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8.xml" ContentType="application/vnd.ms-excel.controlproperties+xml"/>
  <Override PartName="/xl/drawings/drawing1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C7999837-931E-4FC3-BE5B-D08C6E586D26}" xr6:coauthVersionLast="47" xr6:coauthVersionMax="47" xr10:uidLastSave="{00000000-0000-0000-0000-000000000000}"/>
  <bookViews>
    <workbookView xWindow="-108" yWindow="-108" windowWidth="23256" windowHeight="12456" activeTab="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Cfg_PlanoQC" sheetId="25" r:id="rId10"/>
    <sheet name="EQA.CAP_Dados" sheetId="18" r:id="rId11"/>
    <sheet name="EQA.CAP_Resumo" sheetId="19" r:id="rId12"/>
    <sheet name="EQA.CAP_Nao_Aceitaveis" sheetId="20" r:id="rId13"/>
    <sheet name="EQA.Controllab_Dados" sheetId="21" r:id="rId14"/>
    <sheet name="EQA.Controllab_Resumo" sheetId="22" r:id="rId15"/>
    <sheet name="EQA.Controllab_Desvios" sheetId="23" r:id="rId16"/>
    <sheet name="EQA_Base" sheetId="24" r:id="rId17"/>
    <sheet name="Estatística" sheetId="10" r:id="rId18"/>
    <sheet name="Usuarios" sheetId="11" r:id="rId19"/>
    <sheet name="Liberação" sheetId="12" r:id="rId20"/>
    <sheet name="LiberStore" sheetId="13" state="veryHidden" r:id="rId21"/>
    <sheet name="RegistrosStore" sheetId="14" state="veryHidden" r:id="rId22"/>
    <sheet name="Resultados" sheetId="16" r:id="rId23"/>
    <sheet name="Login" sheetId="15" state="veryHidden" r:id="rId24"/>
    <sheet name="Importar" sheetId="17" r:id="rId25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asAtivas">Cfg_PlanoQC!$J$10:$P$10</definedName>
    <definedName name="regrasRotulos">Cfg_PlanoQC!$J$3:$P$3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sigmaDoPlano">Cfg_PlanoQC!$B$1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25" l="1"/>
  <c r="P6" i="25"/>
  <c r="P5" i="25"/>
  <c r="P4" i="25"/>
  <c r="O7" i="25"/>
  <c r="O6" i="25"/>
  <c r="O5" i="25"/>
  <c r="O4" i="25"/>
  <c r="N7" i="25"/>
  <c r="N6" i="25"/>
  <c r="N5" i="25"/>
  <c r="N4" i="25"/>
  <c r="M7" i="25"/>
  <c r="M6" i="25"/>
  <c r="M5" i="25"/>
  <c r="M4" i="25"/>
  <c r="L7" i="25"/>
  <c r="L6" i="25"/>
  <c r="L5" i="25"/>
  <c r="L4" i="25"/>
  <c r="K7" i="25"/>
  <c r="K6" i="25"/>
  <c r="K5" i="25"/>
  <c r="K4" i="25"/>
  <c r="J7" i="25"/>
  <c r="J6" i="25"/>
  <c r="J5" i="25"/>
  <c r="J4" i="25"/>
  <c r="D1" i="25"/>
  <c r="AD14" i="10"/>
  <c r="AD15" i="10"/>
  <c r="AD16" i="10"/>
  <c r="AD17" i="10"/>
  <c r="AD18" i="10"/>
  <c r="AD19" i="10"/>
  <c r="AD20" i="10"/>
  <c r="AD21" i="10"/>
  <c r="AD22" i="10"/>
  <c r="AD23" i="10"/>
  <c r="AD24" i="10"/>
  <c r="AD25" i="10"/>
  <c r="AD26" i="10"/>
  <c r="AD27" i="10"/>
  <c r="AD28" i="10"/>
  <c r="AD29" i="10"/>
  <c r="AD30" i="10"/>
  <c r="AD31" i="10"/>
  <c r="AD32" i="10"/>
  <c r="AD33" i="10"/>
  <c r="AD34" i="10"/>
  <c r="AD35" i="10"/>
  <c r="AD36" i="10"/>
  <c r="AD37" i="10"/>
  <c r="AD38" i="10"/>
  <c r="AD39" i="10"/>
  <c r="AD40" i="10"/>
  <c r="AD41" i="10"/>
  <c r="AD42" i="10"/>
  <c r="AD43" i="10"/>
  <c r="AD44" i="10"/>
  <c r="AD45" i="10"/>
  <c r="AD46" i="10"/>
  <c r="AD47" i="10"/>
  <c r="AD48" i="10"/>
  <c r="AD49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70" i="10"/>
  <c r="AD71" i="10"/>
  <c r="AD72" i="10"/>
  <c r="AD73" i="10"/>
  <c r="AD74" i="10"/>
  <c r="AD75" i="10"/>
  <c r="AD76" i="10"/>
  <c r="AD77" i="10"/>
  <c r="AD78" i="10"/>
  <c r="AD79" i="10"/>
  <c r="AD80" i="10"/>
  <c r="AD81" i="10"/>
  <c r="AD82" i="10"/>
  <c r="AD83" i="10"/>
  <c r="AD84" i="10"/>
  <c r="AD85" i="10"/>
  <c r="AD86" i="10"/>
  <c r="AD87" i="10"/>
  <c r="AD88" i="10"/>
  <c r="AD89" i="10"/>
  <c r="AD90" i="10"/>
  <c r="AD91" i="10"/>
  <c r="AD92" i="10"/>
  <c r="AD93" i="10"/>
  <c r="AC14" i="10"/>
  <c r="AC15" i="10"/>
  <c r="AC16" i="10"/>
  <c r="AC17" i="10"/>
  <c r="AC18" i="10"/>
  <c r="AC19" i="10"/>
  <c r="AC20" i="10"/>
  <c r="AC21" i="10"/>
  <c r="AC22" i="10"/>
  <c r="AC23" i="10"/>
  <c r="AC24" i="10"/>
  <c r="AC25" i="10"/>
  <c r="AC26" i="10"/>
  <c r="AC27" i="10"/>
  <c r="AC28" i="10"/>
  <c r="AC29" i="10"/>
  <c r="AC30" i="10"/>
  <c r="AC31" i="10"/>
  <c r="AC32" i="10"/>
  <c r="AC33" i="10"/>
  <c r="AC34" i="10"/>
  <c r="AC35" i="10"/>
  <c r="AC36" i="10"/>
  <c r="AC37" i="10"/>
  <c r="AC38" i="10"/>
  <c r="AC39" i="10"/>
  <c r="AC40" i="10"/>
  <c r="AC41" i="10"/>
  <c r="AC42" i="10"/>
  <c r="AC43" i="10"/>
  <c r="AC44" i="10"/>
  <c r="AC45" i="10"/>
  <c r="AC46" i="10"/>
  <c r="AC47" i="10"/>
  <c r="AC48" i="10"/>
  <c r="AC49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C79" i="10"/>
  <c r="AC80" i="10"/>
  <c r="AC81" i="10"/>
  <c r="AC82" i="10"/>
  <c r="AC83" i="10"/>
  <c r="AC84" i="10"/>
  <c r="AC85" i="10"/>
  <c r="AC86" i="10"/>
  <c r="AC87" i="10"/>
  <c r="AC88" i="10"/>
  <c r="AC89" i="10"/>
  <c r="AC90" i="10"/>
  <c r="AC91" i="10"/>
  <c r="AC92" i="10"/>
  <c r="AC93" i="10"/>
  <c r="T35" i="7"/>
  <c r="S35" i="7"/>
  <c r="T34" i="7"/>
  <c r="S34" i="7"/>
  <c r="T33" i="7"/>
  <c r="S33" i="7"/>
  <c r="T32" i="7"/>
  <c r="S32" i="7"/>
  <c r="T31" i="7"/>
  <c r="S31" i="7"/>
  <c r="T30" i="7"/>
  <c r="S30" i="7"/>
  <c r="T29" i="7"/>
  <c r="S29" i="7"/>
  <c r="T28" i="7"/>
  <c r="S28" i="7"/>
  <c r="T27" i="7"/>
  <c r="S27" i="7"/>
  <c r="K5" i="10"/>
  <c r="C138" i="10"/>
  <c r="B138" i="10"/>
  <c r="C137" i="10"/>
  <c r="B137" i="10"/>
  <c r="C136" i="10"/>
  <c r="B136" i="10"/>
  <c r="C135" i="10"/>
  <c r="B135" i="10"/>
  <c r="C134" i="10"/>
  <c r="B134" i="10"/>
  <c r="C133" i="10"/>
  <c r="B133" i="10"/>
  <c r="C132" i="10"/>
  <c r="B132" i="10"/>
  <c r="C131" i="10"/>
  <c r="B131" i="10"/>
  <c r="C130" i="10"/>
  <c r="B130" i="10"/>
  <c r="Z3" i="21"/>
  <c r="Z2" i="21"/>
  <c r="Z3" i="18"/>
  <c r="Z2" i="18"/>
  <c r="J23" i="22"/>
  <c r="J22" i="22"/>
  <c r="J18" i="22"/>
  <c r="D13" i="22"/>
  <c r="G13" i="22" s="1"/>
  <c r="J23" i="19"/>
  <c r="J22" i="19"/>
  <c r="J18" i="19"/>
  <c r="D13" i="19"/>
  <c r="W2" i="21"/>
  <c r="S2" i="21" s="1"/>
  <c r="V2" i="21"/>
  <c r="C13" i="22" s="1"/>
  <c r="U2" i="21"/>
  <c r="T2" i="21"/>
  <c r="W2" i="18"/>
  <c r="W3" i="18"/>
  <c r="W4" i="18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W34" i="18"/>
  <c r="W35" i="18"/>
  <c r="W36" i="18"/>
  <c r="W37" i="18"/>
  <c r="W38" i="18"/>
  <c r="W39" i="18"/>
  <c r="W40" i="18"/>
  <c r="W41" i="18"/>
  <c r="W42" i="18"/>
  <c r="W43" i="18"/>
  <c r="W44" i="18"/>
  <c r="W45" i="18"/>
  <c r="W46" i="18"/>
  <c r="W47" i="18"/>
  <c r="W48" i="18"/>
  <c r="W49" i="18"/>
  <c r="W50" i="18"/>
  <c r="W51" i="18"/>
  <c r="W52" i="18"/>
  <c r="W53" i="18"/>
  <c r="W54" i="18"/>
  <c r="W55" i="18"/>
  <c r="W56" i="18"/>
  <c r="W57" i="18"/>
  <c r="W58" i="18"/>
  <c r="W59" i="18"/>
  <c r="W60" i="18"/>
  <c r="W61" i="18"/>
  <c r="W62" i="18"/>
  <c r="W63" i="18"/>
  <c r="W64" i="18"/>
  <c r="W65" i="18"/>
  <c r="W66" i="18"/>
  <c r="W67" i="18"/>
  <c r="W68" i="18"/>
  <c r="W69" i="18"/>
  <c r="W70" i="18"/>
  <c r="W71" i="18"/>
  <c r="W72" i="18"/>
  <c r="W73" i="18"/>
  <c r="W74" i="18"/>
  <c r="W75" i="18"/>
  <c r="W76" i="18"/>
  <c r="W77" i="18"/>
  <c r="W78" i="18"/>
  <c r="W79" i="18"/>
  <c r="W80" i="18"/>
  <c r="W81" i="18"/>
  <c r="W82" i="18"/>
  <c r="W83" i="18"/>
  <c r="W84" i="18"/>
  <c r="W85" i="18"/>
  <c r="W86" i="18"/>
  <c r="W87" i="18"/>
  <c r="W88" i="18"/>
  <c r="W89" i="18"/>
  <c r="W90" i="18"/>
  <c r="W91" i="18"/>
  <c r="W92" i="18"/>
  <c r="W93" i="18"/>
  <c r="W94" i="18"/>
  <c r="W95" i="18"/>
  <c r="W96" i="18"/>
  <c r="W97" i="18"/>
  <c r="W98" i="18"/>
  <c r="W99" i="18"/>
  <c r="W100" i="18"/>
  <c r="W101" i="18"/>
  <c r="W102" i="18"/>
  <c r="W103" i="18"/>
  <c r="W104" i="18"/>
  <c r="W105" i="18"/>
  <c r="W106" i="18"/>
  <c r="W107" i="18"/>
  <c r="W108" i="18"/>
  <c r="W109" i="18"/>
  <c r="W110" i="18"/>
  <c r="W111" i="18"/>
  <c r="W112" i="18"/>
  <c r="W113" i="18"/>
  <c r="W114" i="18"/>
  <c r="W115" i="18"/>
  <c r="W116" i="18"/>
  <c r="W117" i="18"/>
  <c r="W118" i="18"/>
  <c r="W119" i="18"/>
  <c r="W120" i="18"/>
  <c r="W121" i="18"/>
  <c r="W122" i="18"/>
  <c r="W123" i="18"/>
  <c r="W124" i="18"/>
  <c r="W125" i="18"/>
  <c r="W126" i="18"/>
  <c r="W127" i="18"/>
  <c r="W128" i="18"/>
  <c r="W129" i="18"/>
  <c r="W130" i="18"/>
  <c r="W131" i="18"/>
  <c r="W132" i="18"/>
  <c r="W133" i="18"/>
  <c r="W134" i="18"/>
  <c r="W135" i="18"/>
  <c r="W136" i="18"/>
  <c r="W137" i="18"/>
  <c r="W138" i="18"/>
  <c r="W139" i="18"/>
  <c r="W140" i="18"/>
  <c r="W141" i="18"/>
  <c r="W142" i="18"/>
  <c r="W143" i="18"/>
  <c r="W144" i="18"/>
  <c r="W145" i="18"/>
  <c r="W146" i="18"/>
  <c r="W147" i="18"/>
  <c r="W148" i="18"/>
  <c r="W149" i="18"/>
  <c r="W150" i="18"/>
  <c r="W151" i="18"/>
  <c r="W152" i="18"/>
  <c r="W153" i="18"/>
  <c r="W154" i="18"/>
  <c r="W155" i="18"/>
  <c r="W156" i="18"/>
  <c r="W157" i="18"/>
  <c r="W158" i="18"/>
  <c r="W159" i="18"/>
  <c r="W160" i="18"/>
  <c r="W161" i="18"/>
  <c r="W162" i="18"/>
  <c r="W163" i="18"/>
  <c r="W164" i="18"/>
  <c r="W165" i="18"/>
  <c r="W166" i="18"/>
  <c r="W167" i="18"/>
  <c r="W168" i="18"/>
  <c r="W169" i="18"/>
  <c r="W170" i="18"/>
  <c r="W171" i="18"/>
  <c r="W172" i="18"/>
  <c r="W173" i="18"/>
  <c r="W174" i="18"/>
  <c r="W175" i="18"/>
  <c r="W176" i="18"/>
  <c r="W177" i="18"/>
  <c r="W178" i="18"/>
  <c r="W179" i="18"/>
  <c r="W180" i="18"/>
  <c r="W181" i="18"/>
  <c r="W182" i="18"/>
  <c r="W183" i="18"/>
  <c r="W184" i="18"/>
  <c r="W185" i="18"/>
  <c r="W186" i="18"/>
  <c r="W187" i="18"/>
  <c r="W188" i="18"/>
  <c r="W189" i="18"/>
  <c r="W190" i="18"/>
  <c r="W191" i="18"/>
  <c r="W192" i="18"/>
  <c r="W193" i="18"/>
  <c r="W194" i="18"/>
  <c r="W195" i="18"/>
  <c r="W196" i="18"/>
  <c r="W197" i="18"/>
  <c r="W198" i="18"/>
  <c r="W199" i="18"/>
  <c r="W200" i="18"/>
  <c r="W201" i="18"/>
  <c r="W202" i="18"/>
  <c r="W203" i="18"/>
  <c r="W204" i="18"/>
  <c r="W205" i="18"/>
  <c r="W206" i="18"/>
  <c r="W207" i="18"/>
  <c r="W208" i="18"/>
  <c r="W209" i="18"/>
  <c r="W210" i="18"/>
  <c r="W211" i="18"/>
  <c r="W212" i="18"/>
  <c r="W213" i="18"/>
  <c r="W214" i="18"/>
  <c r="W215" i="18"/>
  <c r="W216" i="18"/>
  <c r="W217" i="18"/>
  <c r="W218" i="18"/>
  <c r="W219" i="18"/>
  <c r="W220" i="18"/>
  <c r="W221" i="18"/>
  <c r="W222" i="18"/>
  <c r="W223" i="18"/>
  <c r="W224" i="18"/>
  <c r="W225" i="18"/>
  <c r="W226" i="18"/>
  <c r="W227" i="18"/>
  <c r="W228" i="18"/>
  <c r="W229" i="18"/>
  <c r="W230" i="18"/>
  <c r="W231" i="18"/>
  <c r="W232" i="18"/>
  <c r="W233" i="18"/>
  <c r="W234" i="18"/>
  <c r="W235" i="18"/>
  <c r="W236" i="18"/>
  <c r="W237" i="18"/>
  <c r="W238" i="18"/>
  <c r="W239" i="18"/>
  <c r="W240" i="18"/>
  <c r="W241" i="18"/>
  <c r="W242" i="18"/>
  <c r="W243" i="18"/>
  <c r="W244" i="18"/>
  <c r="W245" i="18"/>
  <c r="W246" i="18"/>
  <c r="W247" i="18"/>
  <c r="W248" i="18"/>
  <c r="W249" i="18"/>
  <c r="W250" i="18"/>
  <c r="W251" i="18"/>
  <c r="W252" i="18"/>
  <c r="W253" i="18"/>
  <c r="W254" i="18"/>
  <c r="W255" i="18"/>
  <c r="W256" i="18"/>
  <c r="W257" i="18"/>
  <c r="W258" i="18"/>
  <c r="W259" i="18"/>
  <c r="W260" i="18"/>
  <c r="W261" i="18"/>
  <c r="W262" i="18"/>
  <c r="W263" i="18"/>
  <c r="W264" i="18"/>
  <c r="W265" i="18"/>
  <c r="W266" i="18"/>
  <c r="W267" i="18"/>
  <c r="W268" i="18"/>
  <c r="W269" i="18"/>
  <c r="W270" i="18"/>
  <c r="W271" i="18"/>
  <c r="W272" i="18"/>
  <c r="W273" i="18"/>
  <c r="W274" i="18"/>
  <c r="W275" i="18"/>
  <c r="W276" i="18"/>
  <c r="W277" i="18"/>
  <c r="W278" i="18"/>
  <c r="W279" i="18"/>
  <c r="W280" i="18"/>
  <c r="W281" i="18"/>
  <c r="W282" i="18"/>
  <c r="W283" i="18"/>
  <c r="W284" i="18"/>
  <c r="W285" i="18"/>
  <c r="W286" i="18"/>
  <c r="W287" i="18"/>
  <c r="W288" i="18"/>
  <c r="W289" i="18"/>
  <c r="W290" i="18"/>
  <c r="W291" i="18"/>
  <c r="W292" i="18"/>
  <c r="W293" i="18"/>
  <c r="W294" i="18"/>
  <c r="W295" i="18"/>
  <c r="W296" i="18"/>
  <c r="W297" i="18"/>
  <c r="W298" i="18"/>
  <c r="W299" i="18"/>
  <c r="W300" i="18"/>
  <c r="W301" i="18"/>
  <c r="W302" i="18"/>
  <c r="W303" i="18"/>
  <c r="W304" i="18"/>
  <c r="W305" i="18"/>
  <c r="W306" i="18"/>
  <c r="W307" i="18"/>
  <c r="W308" i="18"/>
  <c r="W309" i="18"/>
  <c r="W310" i="18"/>
  <c r="W311" i="18"/>
  <c r="W312" i="18"/>
  <c r="W313" i="18"/>
  <c r="W314" i="18"/>
  <c r="W315" i="18"/>
  <c r="W316" i="18"/>
  <c r="W317" i="18"/>
  <c r="W318" i="18"/>
  <c r="W319" i="18"/>
  <c r="W320" i="18"/>
  <c r="W321" i="18"/>
  <c r="W322" i="18"/>
  <c r="W323" i="18"/>
  <c r="W324" i="18"/>
  <c r="W325" i="18"/>
  <c r="W326" i="18"/>
  <c r="W327" i="18"/>
  <c r="W328" i="18"/>
  <c r="W329" i="18"/>
  <c r="W330" i="18"/>
  <c r="W331" i="18"/>
  <c r="W332" i="18"/>
  <c r="W333" i="18"/>
  <c r="W334" i="18"/>
  <c r="W335" i="18"/>
  <c r="W336" i="18"/>
  <c r="W337" i="18"/>
  <c r="W338" i="18"/>
  <c r="W339" i="18"/>
  <c r="W340" i="18"/>
  <c r="W341" i="18"/>
  <c r="W342" i="18"/>
  <c r="W343" i="18"/>
  <c r="W344" i="18"/>
  <c r="W345" i="18"/>
  <c r="W346" i="18"/>
  <c r="W347" i="18"/>
  <c r="W348" i="18"/>
  <c r="W349" i="18"/>
  <c r="W350" i="18"/>
  <c r="W351" i="18"/>
  <c r="W352" i="18"/>
  <c r="W353" i="18"/>
  <c r="W354" i="18"/>
  <c r="W355" i="18"/>
  <c r="W356" i="18"/>
  <c r="W357" i="18"/>
  <c r="W358" i="18"/>
  <c r="W359" i="18"/>
  <c r="W360" i="18"/>
  <c r="W361" i="18"/>
  <c r="W362" i="18"/>
  <c r="W363" i="18"/>
  <c r="W364" i="18"/>
  <c r="W365" i="18"/>
  <c r="W366" i="18"/>
  <c r="W367" i="18"/>
  <c r="W368" i="18"/>
  <c r="W369" i="18"/>
  <c r="W370" i="18"/>
  <c r="W371" i="18"/>
  <c r="W372" i="18"/>
  <c r="W373" i="18"/>
  <c r="W374" i="18"/>
  <c r="W375" i="18"/>
  <c r="W376" i="18"/>
  <c r="W377" i="18"/>
  <c r="W378" i="18"/>
  <c r="W379" i="18"/>
  <c r="W380" i="18"/>
  <c r="W381" i="18"/>
  <c r="W382" i="18"/>
  <c r="W383" i="18"/>
  <c r="W384" i="18"/>
  <c r="W385" i="18"/>
  <c r="W386" i="18"/>
  <c r="W387" i="18"/>
  <c r="W388" i="18"/>
  <c r="W389" i="18"/>
  <c r="W390" i="18"/>
  <c r="W391" i="18"/>
  <c r="W392" i="18"/>
  <c r="W393" i="18"/>
  <c r="W394" i="18"/>
  <c r="W395" i="18"/>
  <c r="W396" i="18"/>
  <c r="W397" i="18"/>
  <c r="W398" i="18"/>
  <c r="W399" i="18"/>
  <c r="W400" i="18"/>
  <c r="W401" i="18"/>
  <c r="W402" i="18"/>
  <c r="W403" i="18"/>
  <c r="W404" i="18"/>
  <c r="W405" i="18"/>
  <c r="W406" i="18"/>
  <c r="W407" i="18"/>
  <c r="W408" i="18"/>
  <c r="W409" i="18"/>
  <c r="W410" i="18"/>
  <c r="W411" i="18"/>
  <c r="W412" i="18"/>
  <c r="W413" i="18"/>
  <c r="W414" i="18"/>
  <c r="W415" i="18"/>
  <c r="W416" i="18"/>
  <c r="W417" i="18"/>
  <c r="W418" i="18"/>
  <c r="W419" i="18"/>
  <c r="W420" i="18"/>
  <c r="W421" i="18"/>
  <c r="W422" i="18"/>
  <c r="W423" i="18"/>
  <c r="W424" i="18"/>
  <c r="W425" i="18"/>
  <c r="W426" i="18"/>
  <c r="W427" i="18"/>
  <c r="W428" i="18"/>
  <c r="W429" i="18"/>
  <c r="W430" i="18"/>
  <c r="W431" i="18"/>
  <c r="W432" i="18"/>
  <c r="W433" i="18"/>
  <c r="W434" i="18"/>
  <c r="W435" i="18"/>
  <c r="W436" i="18"/>
  <c r="W437" i="18"/>
  <c r="W438" i="18"/>
  <c r="W439" i="18"/>
  <c r="W440" i="18"/>
  <c r="W441" i="18"/>
  <c r="W442" i="18"/>
  <c r="W443" i="18"/>
  <c r="W444" i="18"/>
  <c r="W445" i="18"/>
  <c r="W446" i="18"/>
  <c r="W447" i="18"/>
  <c r="W448" i="18"/>
  <c r="W449" i="18"/>
  <c r="W450" i="18"/>
  <c r="W451" i="18"/>
  <c r="W452" i="18"/>
  <c r="W453" i="18"/>
  <c r="W454" i="18"/>
  <c r="W455" i="18"/>
  <c r="W456" i="18"/>
  <c r="W457" i="18"/>
  <c r="W458" i="18"/>
  <c r="W459" i="18"/>
  <c r="W460" i="18"/>
  <c r="W461" i="18"/>
  <c r="W462" i="18"/>
  <c r="W463" i="18"/>
  <c r="W464" i="18"/>
  <c r="W465" i="18"/>
  <c r="W466" i="18"/>
  <c r="W467" i="18"/>
  <c r="W468" i="18"/>
  <c r="W469" i="18"/>
  <c r="W470" i="18"/>
  <c r="W471" i="18"/>
  <c r="W472" i="18"/>
  <c r="W473" i="18"/>
  <c r="W474" i="18"/>
  <c r="W475" i="18"/>
  <c r="W476" i="18"/>
  <c r="W477" i="18"/>
  <c r="W478" i="18"/>
  <c r="W479" i="18"/>
  <c r="W480" i="18"/>
  <c r="W481" i="18"/>
  <c r="W482" i="18"/>
  <c r="W483" i="18"/>
  <c r="W484" i="18"/>
  <c r="W485" i="18"/>
  <c r="W486" i="18"/>
  <c r="W487" i="18"/>
  <c r="W488" i="18"/>
  <c r="W489" i="18"/>
  <c r="W490" i="18"/>
  <c r="W491" i="18"/>
  <c r="W492" i="18"/>
  <c r="W493" i="18"/>
  <c r="W494" i="18"/>
  <c r="W495" i="18"/>
  <c r="W496" i="18"/>
  <c r="W497" i="18"/>
  <c r="W498" i="18"/>
  <c r="W499" i="18"/>
  <c r="W500" i="18"/>
  <c r="W501" i="18"/>
  <c r="W502" i="18"/>
  <c r="W503" i="18"/>
  <c r="W504" i="18"/>
  <c r="W505" i="18"/>
  <c r="W506" i="18"/>
  <c r="W507" i="18"/>
  <c r="W508" i="18"/>
  <c r="W509" i="18"/>
  <c r="W510" i="18"/>
  <c r="W511" i="18"/>
  <c r="W512" i="18"/>
  <c r="W513" i="18"/>
  <c r="W514" i="18"/>
  <c r="W515" i="18"/>
  <c r="W516" i="18"/>
  <c r="W517" i="18"/>
  <c r="W518" i="18"/>
  <c r="W519" i="18"/>
  <c r="W520" i="18"/>
  <c r="W521" i="18"/>
  <c r="W522" i="18"/>
  <c r="W523" i="18"/>
  <c r="W524" i="18"/>
  <c r="W525" i="18"/>
  <c r="W526" i="18"/>
  <c r="W527" i="18"/>
  <c r="W528" i="18"/>
  <c r="W529" i="18"/>
  <c r="W530" i="18"/>
  <c r="W531" i="18"/>
  <c r="W532" i="18"/>
  <c r="W533" i="18"/>
  <c r="W534" i="18"/>
  <c r="W535" i="18"/>
  <c r="W536" i="18"/>
  <c r="W537" i="18"/>
  <c r="W538" i="18"/>
  <c r="W539" i="18"/>
  <c r="W540" i="18"/>
  <c r="W541" i="18"/>
  <c r="W542" i="18"/>
  <c r="W543" i="18"/>
  <c r="W544" i="18"/>
  <c r="W545" i="18"/>
  <c r="W546" i="18"/>
  <c r="V2" i="18"/>
  <c r="V3" i="18"/>
  <c r="V4" i="18"/>
  <c r="V5" i="18"/>
  <c r="V6" i="18"/>
  <c r="V7" i="18"/>
  <c r="V8" i="18"/>
  <c r="V9" i="18"/>
  <c r="V10" i="18"/>
  <c r="V11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U2" i="18"/>
  <c r="U3" i="18"/>
  <c r="U4" i="18"/>
  <c r="U5" i="18"/>
  <c r="U6" i="18"/>
  <c r="U8" i="18"/>
  <c r="U9" i="18"/>
  <c r="U10" i="18"/>
  <c r="U11" i="18"/>
  <c r="U13" i="18"/>
  <c r="U14" i="18"/>
  <c r="U15" i="18"/>
  <c r="U16" i="18"/>
  <c r="U18" i="18"/>
  <c r="U19" i="18"/>
  <c r="U20" i="18"/>
  <c r="U21" i="18"/>
  <c r="U23" i="18"/>
  <c r="U24" i="18"/>
  <c r="U25" i="18"/>
  <c r="U26" i="18"/>
  <c r="U28" i="18"/>
  <c r="U29" i="18"/>
  <c r="U30" i="18"/>
  <c r="U31" i="18"/>
  <c r="U33" i="18"/>
  <c r="U34" i="18"/>
  <c r="U35" i="18"/>
  <c r="U36" i="18"/>
  <c r="U38" i="18"/>
  <c r="U39" i="18"/>
  <c r="U40" i="18"/>
  <c r="U41" i="18"/>
  <c r="U43" i="18"/>
  <c r="U44" i="18"/>
  <c r="U45" i="18"/>
  <c r="U46" i="18"/>
  <c r="U48" i="18"/>
  <c r="U49" i="18"/>
  <c r="U50" i="18"/>
  <c r="U51" i="18"/>
  <c r="U53" i="18"/>
  <c r="U54" i="18"/>
  <c r="U55" i="18"/>
  <c r="U56" i="18"/>
  <c r="U58" i="18"/>
  <c r="U59" i="18"/>
  <c r="U60" i="18"/>
  <c r="U61" i="18"/>
  <c r="U63" i="18"/>
  <c r="U64" i="18"/>
  <c r="U65" i="18"/>
  <c r="U66" i="18"/>
  <c r="U68" i="18"/>
  <c r="U69" i="18"/>
  <c r="U70" i="18"/>
  <c r="U71" i="18"/>
  <c r="U73" i="18"/>
  <c r="U74" i="18"/>
  <c r="U75" i="18"/>
  <c r="U76" i="18"/>
  <c r="U78" i="18"/>
  <c r="U79" i="18"/>
  <c r="U80" i="18"/>
  <c r="U81" i="18"/>
  <c r="U83" i="18"/>
  <c r="U84" i="18"/>
  <c r="U85" i="18"/>
  <c r="U86" i="18"/>
  <c r="U88" i="18"/>
  <c r="U89" i="18"/>
  <c r="U90" i="18"/>
  <c r="U91" i="18"/>
  <c r="U93" i="18"/>
  <c r="U94" i="18"/>
  <c r="U95" i="18"/>
  <c r="U96" i="18"/>
  <c r="U98" i="18"/>
  <c r="U99" i="18"/>
  <c r="U100" i="18"/>
  <c r="U101" i="18"/>
  <c r="U103" i="18"/>
  <c r="U104" i="18"/>
  <c r="U105" i="18"/>
  <c r="U106" i="18"/>
  <c r="U108" i="18"/>
  <c r="U109" i="18"/>
  <c r="U110" i="18"/>
  <c r="U111" i="18"/>
  <c r="U113" i="18"/>
  <c r="U114" i="18"/>
  <c r="U115" i="18"/>
  <c r="U116" i="18"/>
  <c r="U118" i="18"/>
  <c r="U119" i="18"/>
  <c r="U120" i="18"/>
  <c r="U121" i="18"/>
  <c r="U123" i="18"/>
  <c r="U124" i="18"/>
  <c r="U125" i="18"/>
  <c r="U126" i="18"/>
  <c r="U128" i="18"/>
  <c r="U129" i="18"/>
  <c r="U130" i="18"/>
  <c r="U131" i="18"/>
  <c r="U133" i="18"/>
  <c r="U134" i="18"/>
  <c r="U135" i="18"/>
  <c r="U136" i="18"/>
  <c r="U138" i="18"/>
  <c r="U139" i="18"/>
  <c r="U140" i="18"/>
  <c r="U141" i="18"/>
  <c r="U143" i="18"/>
  <c r="U144" i="18"/>
  <c r="U145" i="18"/>
  <c r="U146" i="18"/>
  <c r="U148" i="18"/>
  <c r="U149" i="18"/>
  <c r="U150" i="18"/>
  <c r="U151" i="18"/>
  <c r="U152" i="18"/>
  <c r="U153" i="18"/>
  <c r="U154" i="18"/>
  <c r="U155" i="18"/>
  <c r="U156" i="18"/>
  <c r="U157" i="18"/>
  <c r="U158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7" i="18"/>
  <c r="U178" i="18"/>
  <c r="U179" i="18"/>
  <c r="U180" i="18"/>
  <c r="U181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4" i="18"/>
  <c r="U205" i="18"/>
  <c r="U206" i="18"/>
  <c r="U207" i="18"/>
  <c r="U208" i="18"/>
  <c r="U209" i="18"/>
  <c r="U210" i="18"/>
  <c r="U211" i="18"/>
  <c r="U212" i="18"/>
  <c r="U213" i="18"/>
  <c r="U214" i="18"/>
  <c r="U215" i="18"/>
  <c r="U216" i="18"/>
  <c r="U217" i="18"/>
  <c r="U218" i="18"/>
  <c r="U219" i="18"/>
  <c r="U220" i="18"/>
  <c r="U221" i="18"/>
  <c r="U222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1" i="18"/>
  <c r="U242" i="18"/>
  <c r="U243" i="18"/>
  <c r="U244" i="18"/>
  <c r="U245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8" i="18"/>
  <c r="U269" i="18"/>
  <c r="U270" i="18"/>
  <c r="U271" i="18"/>
  <c r="U272" i="18"/>
  <c r="U273" i="18"/>
  <c r="U274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6" i="18"/>
  <c r="U307" i="18"/>
  <c r="U308" i="18"/>
  <c r="U309" i="18"/>
  <c r="U310" i="18"/>
  <c r="U311" i="18"/>
  <c r="U312" i="18"/>
  <c r="U313" i="18"/>
  <c r="U314" i="18"/>
  <c r="U315" i="18"/>
  <c r="U316" i="18"/>
  <c r="U317" i="18"/>
  <c r="U318" i="18"/>
  <c r="U319" i="18"/>
  <c r="U320" i="18"/>
  <c r="U321" i="18"/>
  <c r="U322" i="18"/>
  <c r="U323" i="18"/>
  <c r="U324" i="18"/>
  <c r="U325" i="18"/>
  <c r="U326" i="18"/>
  <c r="U327" i="18"/>
  <c r="U328" i="18"/>
  <c r="U329" i="18"/>
  <c r="U330" i="18"/>
  <c r="U331" i="18"/>
  <c r="U332" i="18"/>
  <c r="U333" i="18"/>
  <c r="U334" i="18"/>
  <c r="U335" i="18"/>
  <c r="U336" i="18"/>
  <c r="U337" i="18"/>
  <c r="U338" i="18"/>
  <c r="U339" i="18"/>
  <c r="U340" i="18"/>
  <c r="U341" i="18"/>
  <c r="U342" i="18"/>
  <c r="U343" i="18"/>
  <c r="U344" i="18"/>
  <c r="U345" i="18"/>
  <c r="U346" i="18"/>
  <c r="U347" i="18"/>
  <c r="U348" i="18"/>
  <c r="U349" i="18"/>
  <c r="U350" i="18"/>
  <c r="U351" i="18"/>
  <c r="U352" i="18"/>
  <c r="U353" i="18"/>
  <c r="U354" i="18"/>
  <c r="U355" i="18"/>
  <c r="U356" i="18"/>
  <c r="U357" i="18"/>
  <c r="U358" i="18"/>
  <c r="U359" i="18"/>
  <c r="U360" i="18"/>
  <c r="U361" i="18"/>
  <c r="U362" i="18"/>
  <c r="U363" i="18"/>
  <c r="U364" i="18"/>
  <c r="U365" i="18"/>
  <c r="U366" i="18"/>
  <c r="U367" i="18"/>
  <c r="U368" i="18"/>
  <c r="U369" i="18"/>
  <c r="U370" i="18"/>
  <c r="U371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4" i="18"/>
  <c r="U385" i="18"/>
  <c r="U386" i="18"/>
  <c r="U387" i="18"/>
  <c r="U388" i="18"/>
  <c r="U389" i="18"/>
  <c r="U390" i="18"/>
  <c r="U391" i="18"/>
  <c r="U392" i="18"/>
  <c r="U393" i="18"/>
  <c r="U394" i="18"/>
  <c r="U395" i="18"/>
  <c r="U396" i="18"/>
  <c r="U397" i="18"/>
  <c r="U398" i="18"/>
  <c r="U399" i="18"/>
  <c r="U400" i="18"/>
  <c r="U401" i="18"/>
  <c r="U402" i="18"/>
  <c r="U403" i="18"/>
  <c r="U404" i="18"/>
  <c r="U405" i="18"/>
  <c r="U406" i="18"/>
  <c r="U407" i="18"/>
  <c r="U408" i="18"/>
  <c r="U409" i="18"/>
  <c r="U410" i="18"/>
  <c r="U411" i="18"/>
  <c r="U412" i="18"/>
  <c r="U413" i="18"/>
  <c r="U414" i="18"/>
  <c r="U415" i="18"/>
  <c r="U416" i="18"/>
  <c r="U417" i="18"/>
  <c r="U418" i="18"/>
  <c r="U419" i="18"/>
  <c r="U420" i="18"/>
  <c r="U421" i="18"/>
  <c r="U422" i="18"/>
  <c r="U423" i="18"/>
  <c r="U424" i="18"/>
  <c r="U425" i="18"/>
  <c r="U426" i="18"/>
  <c r="U427" i="18"/>
  <c r="U428" i="18"/>
  <c r="U429" i="18"/>
  <c r="U430" i="18"/>
  <c r="U431" i="18"/>
  <c r="U432" i="18"/>
  <c r="U433" i="18"/>
  <c r="U434" i="18"/>
  <c r="U435" i="18"/>
  <c r="U436" i="18"/>
  <c r="U437" i="18"/>
  <c r="U438" i="18"/>
  <c r="U439" i="18"/>
  <c r="U440" i="18"/>
  <c r="U441" i="18"/>
  <c r="U442" i="18"/>
  <c r="U443" i="18"/>
  <c r="U444" i="18"/>
  <c r="U445" i="18"/>
  <c r="U446" i="18"/>
  <c r="U447" i="18"/>
  <c r="U448" i="18"/>
  <c r="U449" i="18"/>
  <c r="U450" i="18"/>
  <c r="U451" i="18"/>
  <c r="U452" i="18"/>
  <c r="U453" i="18"/>
  <c r="U454" i="18"/>
  <c r="U455" i="18"/>
  <c r="U456" i="18"/>
  <c r="U458" i="18"/>
  <c r="U459" i="18"/>
  <c r="U460" i="18"/>
  <c r="U461" i="18"/>
  <c r="U463" i="18"/>
  <c r="U464" i="18"/>
  <c r="U465" i="18"/>
  <c r="U466" i="18"/>
  <c r="U468" i="18"/>
  <c r="U469" i="18"/>
  <c r="U470" i="18"/>
  <c r="U471" i="18"/>
  <c r="U473" i="18"/>
  <c r="U474" i="18"/>
  <c r="U475" i="18"/>
  <c r="U476" i="18"/>
  <c r="U478" i="18"/>
  <c r="U479" i="18"/>
  <c r="U480" i="18"/>
  <c r="U481" i="18"/>
  <c r="U483" i="18"/>
  <c r="U484" i="18"/>
  <c r="U485" i="18"/>
  <c r="U486" i="18"/>
  <c r="U487" i="18"/>
  <c r="U488" i="18"/>
  <c r="U489" i="18"/>
  <c r="U490" i="18"/>
  <c r="U491" i="18"/>
  <c r="U492" i="18"/>
  <c r="U493" i="18"/>
  <c r="U494" i="18"/>
  <c r="U495" i="18"/>
  <c r="U496" i="18"/>
  <c r="U497" i="18"/>
  <c r="U498" i="18"/>
  <c r="U499" i="18"/>
  <c r="U500" i="18"/>
  <c r="U501" i="18"/>
  <c r="U502" i="18"/>
  <c r="U503" i="18"/>
  <c r="U504" i="18"/>
  <c r="U505" i="18"/>
  <c r="U506" i="18"/>
  <c r="U507" i="18"/>
  <c r="U508" i="18"/>
  <c r="U509" i="18"/>
  <c r="U510" i="18"/>
  <c r="U511" i="18"/>
  <c r="U512" i="18"/>
  <c r="U513" i="18"/>
  <c r="U514" i="18"/>
  <c r="U515" i="18"/>
  <c r="U516" i="18"/>
  <c r="U517" i="18"/>
  <c r="U518" i="18"/>
  <c r="U519" i="18"/>
  <c r="U520" i="18"/>
  <c r="U521" i="18"/>
  <c r="U522" i="18"/>
  <c r="U523" i="18"/>
  <c r="U524" i="18"/>
  <c r="U525" i="18"/>
  <c r="U526" i="18"/>
  <c r="U527" i="18"/>
  <c r="U528" i="18"/>
  <c r="U529" i="18"/>
  <c r="U530" i="18"/>
  <c r="U531" i="18"/>
  <c r="U532" i="18"/>
  <c r="U533" i="18"/>
  <c r="U534" i="18"/>
  <c r="U535" i="18"/>
  <c r="U536" i="18"/>
  <c r="U537" i="18"/>
  <c r="U538" i="18"/>
  <c r="U539" i="18"/>
  <c r="U540" i="18"/>
  <c r="U541" i="18"/>
  <c r="U542" i="18"/>
  <c r="U543" i="18"/>
  <c r="U544" i="18"/>
  <c r="U545" i="18"/>
  <c r="U546" i="18"/>
  <c r="T2" i="18"/>
  <c r="T3" i="18"/>
  <c r="T4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T34" i="18"/>
  <c r="T35" i="18"/>
  <c r="T36" i="18"/>
  <c r="T37" i="18"/>
  <c r="T38" i="18"/>
  <c r="T39" i="18"/>
  <c r="T40" i="18"/>
  <c r="T41" i="18"/>
  <c r="T42" i="18"/>
  <c r="T43" i="18"/>
  <c r="T44" i="18"/>
  <c r="T45" i="18"/>
  <c r="T46" i="18"/>
  <c r="T47" i="18"/>
  <c r="T48" i="18"/>
  <c r="T49" i="18"/>
  <c r="T50" i="18"/>
  <c r="T51" i="18"/>
  <c r="T52" i="18"/>
  <c r="T53" i="18"/>
  <c r="T54" i="18"/>
  <c r="T55" i="18"/>
  <c r="T56" i="18"/>
  <c r="T57" i="18"/>
  <c r="T58" i="18"/>
  <c r="T59" i="18"/>
  <c r="T60" i="18"/>
  <c r="T61" i="18"/>
  <c r="T62" i="18"/>
  <c r="T63" i="18"/>
  <c r="T64" i="18"/>
  <c r="T65" i="18"/>
  <c r="T66" i="18"/>
  <c r="T67" i="18"/>
  <c r="T68" i="18"/>
  <c r="T69" i="18"/>
  <c r="T70" i="18"/>
  <c r="T71" i="18"/>
  <c r="T72" i="18"/>
  <c r="T73" i="18"/>
  <c r="T74" i="18"/>
  <c r="T75" i="18"/>
  <c r="T76" i="18"/>
  <c r="T77" i="18"/>
  <c r="T78" i="18"/>
  <c r="T79" i="18"/>
  <c r="T80" i="18"/>
  <c r="T81" i="18"/>
  <c r="T82" i="18"/>
  <c r="T83" i="18"/>
  <c r="T84" i="18"/>
  <c r="T85" i="18"/>
  <c r="T86" i="18"/>
  <c r="T87" i="18"/>
  <c r="T88" i="18"/>
  <c r="T89" i="18"/>
  <c r="T90" i="18"/>
  <c r="T91" i="18"/>
  <c r="T92" i="18"/>
  <c r="T93" i="18"/>
  <c r="T94" i="18"/>
  <c r="T95" i="18"/>
  <c r="T96" i="18"/>
  <c r="T97" i="18"/>
  <c r="T98" i="18"/>
  <c r="T99" i="18"/>
  <c r="T100" i="18"/>
  <c r="T101" i="18"/>
  <c r="T102" i="18"/>
  <c r="T103" i="18"/>
  <c r="T104" i="18"/>
  <c r="T105" i="18"/>
  <c r="T106" i="18"/>
  <c r="T107" i="18"/>
  <c r="T108" i="18"/>
  <c r="T109" i="18"/>
  <c r="T110" i="18"/>
  <c r="T111" i="18"/>
  <c r="T112" i="18"/>
  <c r="T113" i="18"/>
  <c r="T114" i="18"/>
  <c r="T115" i="18"/>
  <c r="T116" i="18"/>
  <c r="T117" i="18"/>
  <c r="T118" i="18"/>
  <c r="T119" i="18"/>
  <c r="T120" i="18"/>
  <c r="T121" i="18"/>
  <c r="T122" i="18"/>
  <c r="T123" i="18"/>
  <c r="T124" i="18"/>
  <c r="T125" i="18"/>
  <c r="T126" i="18"/>
  <c r="T127" i="18"/>
  <c r="T128" i="18"/>
  <c r="T129" i="18"/>
  <c r="T130" i="18"/>
  <c r="T131" i="18"/>
  <c r="T132" i="18"/>
  <c r="T133" i="18"/>
  <c r="T134" i="18"/>
  <c r="T135" i="18"/>
  <c r="T136" i="18"/>
  <c r="T137" i="18"/>
  <c r="T138" i="18"/>
  <c r="T139" i="18"/>
  <c r="T140" i="18"/>
  <c r="T141" i="18"/>
  <c r="T142" i="18"/>
  <c r="T143" i="18"/>
  <c r="T144" i="18"/>
  <c r="T145" i="18"/>
  <c r="T146" i="18"/>
  <c r="T147" i="18"/>
  <c r="T148" i="18"/>
  <c r="T149" i="18"/>
  <c r="T150" i="18"/>
  <c r="T151" i="18"/>
  <c r="T153" i="18"/>
  <c r="T154" i="18"/>
  <c r="T155" i="18"/>
  <c r="T156" i="18"/>
  <c r="T157" i="18"/>
  <c r="T158" i="18"/>
  <c r="T159" i="18"/>
  <c r="T160" i="18"/>
  <c r="T161" i="18"/>
  <c r="T162" i="18"/>
  <c r="T163" i="18"/>
  <c r="T164" i="18"/>
  <c r="T165" i="18"/>
  <c r="T166" i="18"/>
  <c r="T167" i="18"/>
  <c r="T168" i="18"/>
  <c r="T169" i="18"/>
  <c r="T170" i="18"/>
  <c r="T171" i="18"/>
  <c r="T172" i="18"/>
  <c r="T173" i="18"/>
  <c r="T174" i="18"/>
  <c r="T175" i="18"/>
  <c r="T176" i="18"/>
  <c r="T177" i="18"/>
  <c r="T178" i="18"/>
  <c r="T179" i="18"/>
  <c r="T180" i="18"/>
  <c r="T181" i="18"/>
  <c r="T182" i="18"/>
  <c r="T183" i="18"/>
  <c r="T184" i="18"/>
  <c r="T185" i="18"/>
  <c r="T186" i="18"/>
  <c r="T187" i="18"/>
  <c r="T188" i="18"/>
  <c r="T189" i="18"/>
  <c r="T190" i="18"/>
  <c r="T191" i="18"/>
  <c r="T192" i="18"/>
  <c r="T193" i="18"/>
  <c r="T194" i="18"/>
  <c r="T195" i="18"/>
  <c r="T196" i="18"/>
  <c r="T197" i="18"/>
  <c r="T198" i="18"/>
  <c r="T199" i="18"/>
  <c r="T200" i="18"/>
  <c r="T201" i="18"/>
  <c r="T202" i="18"/>
  <c r="T203" i="18"/>
  <c r="T204" i="18"/>
  <c r="T205" i="18"/>
  <c r="T206" i="18"/>
  <c r="T207" i="18"/>
  <c r="T208" i="18"/>
  <c r="T209" i="18"/>
  <c r="T210" i="18"/>
  <c r="T211" i="18"/>
  <c r="T212" i="18"/>
  <c r="T213" i="18"/>
  <c r="T214" i="18"/>
  <c r="T215" i="18"/>
  <c r="T216" i="18"/>
  <c r="T217" i="18"/>
  <c r="T218" i="18"/>
  <c r="T219" i="18"/>
  <c r="T220" i="18"/>
  <c r="T221" i="18"/>
  <c r="T222" i="18"/>
  <c r="T223" i="18"/>
  <c r="T224" i="18"/>
  <c r="T225" i="18"/>
  <c r="T226" i="18"/>
  <c r="T227" i="18"/>
  <c r="T228" i="18"/>
  <c r="T229" i="18"/>
  <c r="T230" i="18"/>
  <c r="T231" i="18"/>
  <c r="T232" i="18"/>
  <c r="T233" i="18"/>
  <c r="T234" i="18"/>
  <c r="T235" i="18"/>
  <c r="T236" i="18"/>
  <c r="T237" i="18"/>
  <c r="T238" i="18"/>
  <c r="T239" i="18"/>
  <c r="T240" i="18"/>
  <c r="T241" i="18"/>
  <c r="T242" i="18"/>
  <c r="T243" i="18"/>
  <c r="T244" i="18"/>
  <c r="T245" i="18"/>
  <c r="T246" i="18"/>
  <c r="T247" i="18"/>
  <c r="T248" i="18"/>
  <c r="T249" i="18"/>
  <c r="T250" i="18"/>
  <c r="T251" i="18"/>
  <c r="T252" i="18"/>
  <c r="T253" i="18"/>
  <c r="T254" i="18"/>
  <c r="T255" i="18"/>
  <c r="T256" i="18"/>
  <c r="T257" i="18"/>
  <c r="T258" i="18"/>
  <c r="T259" i="18"/>
  <c r="T260" i="18"/>
  <c r="T261" i="18"/>
  <c r="T262" i="18"/>
  <c r="T263" i="18"/>
  <c r="T264" i="18"/>
  <c r="T265" i="18"/>
  <c r="T266" i="18"/>
  <c r="T267" i="18"/>
  <c r="T268" i="18"/>
  <c r="T269" i="18"/>
  <c r="T270" i="18"/>
  <c r="T271" i="18"/>
  <c r="T272" i="18"/>
  <c r="T273" i="18"/>
  <c r="T274" i="18"/>
  <c r="T275" i="18"/>
  <c r="T276" i="18"/>
  <c r="T277" i="18"/>
  <c r="T278" i="18"/>
  <c r="T279" i="18"/>
  <c r="T280" i="18"/>
  <c r="T281" i="18"/>
  <c r="T282" i="18"/>
  <c r="T283" i="18"/>
  <c r="T284" i="18"/>
  <c r="T285" i="18"/>
  <c r="T286" i="18"/>
  <c r="T287" i="18"/>
  <c r="T288" i="18"/>
  <c r="T289" i="18"/>
  <c r="T290" i="18"/>
  <c r="T291" i="18"/>
  <c r="T292" i="18"/>
  <c r="T293" i="18"/>
  <c r="T294" i="18"/>
  <c r="T295" i="18"/>
  <c r="T296" i="18"/>
  <c r="T297" i="18"/>
  <c r="T298" i="18"/>
  <c r="T299" i="18"/>
  <c r="T300" i="18"/>
  <c r="T301" i="18"/>
  <c r="T302" i="18"/>
  <c r="T303" i="18"/>
  <c r="T304" i="18"/>
  <c r="T305" i="18"/>
  <c r="T306" i="18"/>
  <c r="T308" i="18"/>
  <c r="T309" i="18"/>
  <c r="T310" i="18"/>
  <c r="T311" i="18"/>
  <c r="T312" i="18"/>
  <c r="T313" i="18"/>
  <c r="T314" i="18"/>
  <c r="T315" i="18"/>
  <c r="T316" i="18"/>
  <c r="T317" i="18"/>
  <c r="T318" i="18"/>
  <c r="T319" i="18"/>
  <c r="T320" i="18"/>
  <c r="T321" i="18"/>
  <c r="T322" i="18"/>
  <c r="T323" i="18"/>
  <c r="T324" i="18"/>
  <c r="T325" i="18"/>
  <c r="T326" i="18"/>
  <c r="T327" i="18"/>
  <c r="T328" i="18"/>
  <c r="T329" i="18"/>
  <c r="T330" i="18"/>
  <c r="T331" i="18"/>
  <c r="T332" i="18"/>
  <c r="T333" i="18"/>
  <c r="T334" i="18"/>
  <c r="T335" i="18"/>
  <c r="T336" i="18"/>
  <c r="T337" i="18"/>
  <c r="T338" i="18"/>
  <c r="T339" i="18"/>
  <c r="T340" i="18"/>
  <c r="T341" i="18"/>
  <c r="T342" i="18"/>
  <c r="T343" i="18"/>
  <c r="T344" i="18"/>
  <c r="T345" i="18"/>
  <c r="T346" i="18"/>
  <c r="T347" i="18"/>
  <c r="T348" i="18"/>
  <c r="T349" i="18"/>
  <c r="T350" i="18"/>
  <c r="T351" i="18"/>
  <c r="T352" i="18"/>
  <c r="T353" i="18"/>
  <c r="T354" i="18"/>
  <c r="T355" i="18"/>
  <c r="T356" i="18"/>
  <c r="T357" i="18"/>
  <c r="T358" i="18"/>
  <c r="T359" i="18"/>
  <c r="T360" i="18"/>
  <c r="T361" i="18"/>
  <c r="T362" i="18"/>
  <c r="T363" i="18"/>
  <c r="T364" i="18"/>
  <c r="T365" i="18"/>
  <c r="T366" i="18"/>
  <c r="T367" i="18"/>
  <c r="T368" i="18"/>
  <c r="T369" i="18"/>
  <c r="T370" i="18"/>
  <c r="T371" i="18"/>
  <c r="T372" i="18"/>
  <c r="T373" i="18"/>
  <c r="T374" i="18"/>
  <c r="T375" i="18"/>
  <c r="T376" i="18"/>
  <c r="T377" i="18"/>
  <c r="T378" i="18"/>
  <c r="T379" i="18"/>
  <c r="T380" i="18"/>
  <c r="T381" i="18"/>
  <c r="T382" i="18"/>
  <c r="T383" i="18"/>
  <c r="T384" i="18"/>
  <c r="T385" i="18"/>
  <c r="T386" i="18"/>
  <c r="T387" i="18"/>
  <c r="T388" i="18"/>
  <c r="T389" i="18"/>
  <c r="T390" i="18"/>
  <c r="T391" i="18"/>
  <c r="T392" i="18"/>
  <c r="T393" i="18"/>
  <c r="T394" i="18"/>
  <c r="T395" i="18"/>
  <c r="T396" i="18"/>
  <c r="T397" i="18"/>
  <c r="T398" i="18"/>
  <c r="T399" i="18"/>
  <c r="T400" i="18"/>
  <c r="T401" i="18"/>
  <c r="T402" i="18"/>
  <c r="T403" i="18"/>
  <c r="T404" i="18"/>
  <c r="T405" i="18"/>
  <c r="T406" i="18"/>
  <c r="T407" i="18"/>
  <c r="T408" i="18"/>
  <c r="T409" i="18"/>
  <c r="T410" i="18"/>
  <c r="T411" i="18"/>
  <c r="T412" i="18"/>
  <c r="T413" i="18"/>
  <c r="T414" i="18"/>
  <c r="T415" i="18"/>
  <c r="T416" i="18"/>
  <c r="T417" i="18"/>
  <c r="T418" i="18"/>
  <c r="T419" i="18"/>
  <c r="T420" i="18"/>
  <c r="T421" i="18"/>
  <c r="T422" i="18"/>
  <c r="T423" i="18"/>
  <c r="T424" i="18"/>
  <c r="T425" i="18"/>
  <c r="T426" i="18"/>
  <c r="T427" i="18"/>
  <c r="T428" i="18"/>
  <c r="T429" i="18"/>
  <c r="T430" i="18"/>
  <c r="T431" i="18"/>
  <c r="T432" i="18"/>
  <c r="T433" i="18"/>
  <c r="T434" i="18"/>
  <c r="T435" i="18"/>
  <c r="T436" i="18"/>
  <c r="T437" i="18"/>
  <c r="T438" i="18"/>
  <c r="T439" i="18"/>
  <c r="T440" i="18"/>
  <c r="T441" i="18"/>
  <c r="T442" i="18"/>
  <c r="T443" i="18"/>
  <c r="T444" i="18"/>
  <c r="T445" i="18"/>
  <c r="T446" i="18"/>
  <c r="T447" i="18"/>
  <c r="T448" i="18"/>
  <c r="T449" i="18"/>
  <c r="T450" i="18"/>
  <c r="T451" i="18"/>
  <c r="T452" i="18"/>
  <c r="T453" i="18"/>
  <c r="T454" i="18"/>
  <c r="T455" i="18"/>
  <c r="T456" i="18"/>
  <c r="T458" i="18"/>
  <c r="T459" i="18"/>
  <c r="T460" i="18"/>
  <c r="T461" i="18"/>
  <c r="T462" i="18"/>
  <c r="T463" i="18"/>
  <c r="T464" i="18"/>
  <c r="T465" i="18"/>
  <c r="T466" i="18"/>
  <c r="T467" i="18"/>
  <c r="T468" i="18"/>
  <c r="T469" i="18"/>
  <c r="T470" i="18"/>
  <c r="T471" i="18"/>
  <c r="T472" i="18"/>
  <c r="T473" i="18"/>
  <c r="T474" i="18"/>
  <c r="T475" i="18"/>
  <c r="T476" i="18"/>
  <c r="T477" i="18"/>
  <c r="T478" i="18"/>
  <c r="T479" i="18"/>
  <c r="T480" i="18"/>
  <c r="T481" i="18"/>
  <c r="T482" i="18"/>
  <c r="T483" i="18"/>
  <c r="T484" i="18"/>
  <c r="T485" i="18"/>
  <c r="T486" i="18"/>
  <c r="T488" i="18"/>
  <c r="T489" i="18"/>
  <c r="T490" i="18"/>
  <c r="T491" i="18"/>
  <c r="T492" i="18"/>
  <c r="T493" i="18"/>
  <c r="T494" i="18"/>
  <c r="T495" i="18"/>
  <c r="T496" i="18"/>
  <c r="T497" i="18"/>
  <c r="T498" i="18"/>
  <c r="T499" i="18"/>
  <c r="T500" i="18"/>
  <c r="T501" i="18"/>
  <c r="T502" i="18"/>
  <c r="T503" i="18"/>
  <c r="T504" i="18"/>
  <c r="T505" i="18"/>
  <c r="T506" i="18"/>
  <c r="T507" i="18"/>
  <c r="T508" i="18"/>
  <c r="T509" i="18"/>
  <c r="T510" i="18"/>
  <c r="T511" i="18"/>
  <c r="T512" i="18"/>
  <c r="T513" i="18"/>
  <c r="T514" i="18"/>
  <c r="T515" i="18"/>
  <c r="T516" i="18"/>
  <c r="T518" i="18"/>
  <c r="T519" i="18"/>
  <c r="T520" i="18"/>
  <c r="T521" i="18"/>
  <c r="T522" i="18"/>
  <c r="T523" i="18"/>
  <c r="T524" i="18"/>
  <c r="T525" i="18"/>
  <c r="T526" i="18"/>
  <c r="T527" i="18"/>
  <c r="T528" i="18"/>
  <c r="T529" i="18"/>
  <c r="T530" i="18"/>
  <c r="T531" i="18"/>
  <c r="T532" i="18"/>
  <c r="T533" i="18"/>
  <c r="T534" i="18"/>
  <c r="T535" i="18"/>
  <c r="T536" i="18"/>
  <c r="T537" i="18"/>
  <c r="T538" i="18"/>
  <c r="T539" i="18"/>
  <c r="T540" i="18"/>
  <c r="T541" i="18"/>
  <c r="T542" i="18"/>
  <c r="T543" i="18"/>
  <c r="T544" i="18"/>
  <c r="T545" i="18"/>
  <c r="T546" i="18"/>
  <c r="O2" i="18"/>
  <c r="P2" i="18" s="1"/>
  <c r="O3" i="18"/>
  <c r="P3" i="18" s="1"/>
  <c r="O4" i="18"/>
  <c r="P4" i="18" s="1"/>
  <c r="O5" i="18"/>
  <c r="P5" i="18" s="1"/>
  <c r="O6" i="18"/>
  <c r="P6" i="18" s="1"/>
  <c r="O7" i="18"/>
  <c r="P7" i="18" s="1"/>
  <c r="O8" i="18"/>
  <c r="P8" i="18" s="1"/>
  <c r="O9" i="18"/>
  <c r="P9" i="18" s="1"/>
  <c r="O10" i="18"/>
  <c r="P10" i="18" s="1"/>
  <c r="O11" i="18"/>
  <c r="P11" i="18" s="1"/>
  <c r="O12" i="18"/>
  <c r="P12" i="18" s="1"/>
  <c r="O13" i="18"/>
  <c r="P13" i="18" s="1"/>
  <c r="O14" i="18"/>
  <c r="P14" i="18" s="1"/>
  <c r="O15" i="18"/>
  <c r="P15" i="18" s="1"/>
  <c r="O16" i="18"/>
  <c r="P16" i="18" s="1"/>
  <c r="O17" i="18"/>
  <c r="P17" i="18" s="1"/>
  <c r="O18" i="18"/>
  <c r="P18" i="18" s="1"/>
  <c r="O19" i="18"/>
  <c r="P19" i="18" s="1"/>
  <c r="O20" i="18"/>
  <c r="P20" i="18" s="1"/>
  <c r="O21" i="18"/>
  <c r="P21" i="18" s="1"/>
  <c r="O22" i="18"/>
  <c r="P22" i="18" s="1"/>
  <c r="O23" i="18"/>
  <c r="P23" i="18" s="1"/>
  <c r="O24" i="18"/>
  <c r="P24" i="18" s="1"/>
  <c r="O25" i="18"/>
  <c r="P25" i="18" s="1"/>
  <c r="O26" i="18"/>
  <c r="P26" i="18" s="1"/>
  <c r="O27" i="18"/>
  <c r="P27" i="18" s="1"/>
  <c r="O28" i="18"/>
  <c r="P28" i="18" s="1"/>
  <c r="O29" i="18"/>
  <c r="P29" i="18" s="1"/>
  <c r="O30" i="18"/>
  <c r="P30" i="18" s="1"/>
  <c r="O31" i="18"/>
  <c r="P31" i="18" s="1"/>
  <c r="O32" i="18"/>
  <c r="P32" i="18" s="1"/>
  <c r="O33" i="18"/>
  <c r="P33" i="18" s="1"/>
  <c r="O34" i="18"/>
  <c r="P34" i="18" s="1"/>
  <c r="O35" i="18"/>
  <c r="P35" i="18" s="1"/>
  <c r="O36" i="18"/>
  <c r="P36" i="18" s="1"/>
  <c r="O37" i="18"/>
  <c r="P37" i="18" s="1"/>
  <c r="O38" i="18"/>
  <c r="P38" i="18" s="1"/>
  <c r="O39" i="18"/>
  <c r="P39" i="18" s="1"/>
  <c r="O40" i="18"/>
  <c r="P40" i="18" s="1"/>
  <c r="O41" i="18"/>
  <c r="P41" i="18" s="1"/>
  <c r="O42" i="18"/>
  <c r="P42" i="18" s="1"/>
  <c r="O43" i="18"/>
  <c r="P43" i="18" s="1"/>
  <c r="O44" i="18"/>
  <c r="P44" i="18" s="1"/>
  <c r="O45" i="18"/>
  <c r="P45" i="18" s="1"/>
  <c r="O46" i="18"/>
  <c r="P46" i="18" s="1"/>
  <c r="O47" i="18"/>
  <c r="P47" i="18" s="1"/>
  <c r="O48" i="18"/>
  <c r="P48" i="18" s="1"/>
  <c r="O49" i="18"/>
  <c r="P49" i="18" s="1"/>
  <c r="O50" i="18"/>
  <c r="P50" i="18" s="1"/>
  <c r="O51" i="18"/>
  <c r="P51" i="18" s="1"/>
  <c r="O52" i="18"/>
  <c r="P52" i="18" s="1"/>
  <c r="O53" i="18"/>
  <c r="P53" i="18" s="1"/>
  <c r="O54" i="18"/>
  <c r="P54" i="18" s="1"/>
  <c r="O55" i="18"/>
  <c r="P55" i="18" s="1"/>
  <c r="O56" i="18"/>
  <c r="P56" i="18" s="1"/>
  <c r="O57" i="18"/>
  <c r="P57" i="18" s="1"/>
  <c r="O58" i="18"/>
  <c r="P58" i="18" s="1"/>
  <c r="O59" i="18"/>
  <c r="P59" i="18" s="1"/>
  <c r="O60" i="18"/>
  <c r="P60" i="18" s="1"/>
  <c r="O61" i="18"/>
  <c r="P61" i="18" s="1"/>
  <c r="O62" i="18"/>
  <c r="P62" i="18" s="1"/>
  <c r="O63" i="18"/>
  <c r="P63" i="18" s="1"/>
  <c r="O64" i="18"/>
  <c r="P64" i="18" s="1"/>
  <c r="O65" i="18"/>
  <c r="P65" i="18" s="1"/>
  <c r="O66" i="18"/>
  <c r="P66" i="18" s="1"/>
  <c r="O67" i="18"/>
  <c r="P67" i="18" s="1"/>
  <c r="O68" i="18"/>
  <c r="P68" i="18" s="1"/>
  <c r="O69" i="18"/>
  <c r="P69" i="18" s="1"/>
  <c r="O70" i="18"/>
  <c r="P70" i="18" s="1"/>
  <c r="O71" i="18"/>
  <c r="P71" i="18" s="1"/>
  <c r="O72" i="18"/>
  <c r="P72" i="18" s="1"/>
  <c r="O73" i="18"/>
  <c r="P73" i="18" s="1"/>
  <c r="O74" i="18"/>
  <c r="P74" i="18" s="1"/>
  <c r="O75" i="18"/>
  <c r="P75" i="18" s="1"/>
  <c r="O76" i="18"/>
  <c r="P76" i="18" s="1"/>
  <c r="O77" i="18"/>
  <c r="P77" i="18" s="1"/>
  <c r="O78" i="18"/>
  <c r="P78" i="18" s="1"/>
  <c r="O79" i="18"/>
  <c r="P79" i="18" s="1"/>
  <c r="O80" i="18"/>
  <c r="P80" i="18" s="1"/>
  <c r="O81" i="18"/>
  <c r="P81" i="18" s="1"/>
  <c r="O82" i="18"/>
  <c r="P82" i="18" s="1"/>
  <c r="O83" i="18"/>
  <c r="P83" i="18" s="1"/>
  <c r="O84" i="18"/>
  <c r="P84" i="18" s="1"/>
  <c r="O85" i="18"/>
  <c r="P85" i="18" s="1"/>
  <c r="O86" i="18"/>
  <c r="P86" i="18" s="1"/>
  <c r="O87" i="18"/>
  <c r="P87" i="18" s="1"/>
  <c r="O88" i="18"/>
  <c r="P88" i="18" s="1"/>
  <c r="O89" i="18"/>
  <c r="P89" i="18" s="1"/>
  <c r="O90" i="18"/>
  <c r="P90" i="18" s="1"/>
  <c r="O91" i="18"/>
  <c r="P91" i="18" s="1"/>
  <c r="O92" i="18"/>
  <c r="P92" i="18" s="1"/>
  <c r="O93" i="18"/>
  <c r="P93" i="18" s="1"/>
  <c r="O94" i="18"/>
  <c r="P94" i="18" s="1"/>
  <c r="O95" i="18"/>
  <c r="P95" i="18" s="1"/>
  <c r="O96" i="18"/>
  <c r="P96" i="18" s="1"/>
  <c r="O97" i="18"/>
  <c r="P97" i="18" s="1"/>
  <c r="O98" i="18"/>
  <c r="P98" i="18" s="1"/>
  <c r="O99" i="18"/>
  <c r="P99" i="18" s="1"/>
  <c r="O100" i="18"/>
  <c r="P100" i="18" s="1"/>
  <c r="O101" i="18"/>
  <c r="P101" i="18" s="1"/>
  <c r="O102" i="18"/>
  <c r="P102" i="18" s="1"/>
  <c r="O103" i="18"/>
  <c r="P103" i="18" s="1"/>
  <c r="O104" i="18"/>
  <c r="P104" i="18" s="1"/>
  <c r="O105" i="18"/>
  <c r="P105" i="18" s="1"/>
  <c r="O106" i="18"/>
  <c r="P106" i="18" s="1"/>
  <c r="O107" i="18"/>
  <c r="P107" i="18" s="1"/>
  <c r="O108" i="18"/>
  <c r="P108" i="18" s="1"/>
  <c r="O109" i="18"/>
  <c r="P109" i="18" s="1"/>
  <c r="O110" i="18"/>
  <c r="P110" i="18" s="1"/>
  <c r="O111" i="18"/>
  <c r="P111" i="18" s="1"/>
  <c r="O112" i="18"/>
  <c r="P112" i="18" s="1"/>
  <c r="O113" i="18"/>
  <c r="P113" i="18" s="1"/>
  <c r="O114" i="18"/>
  <c r="P114" i="18" s="1"/>
  <c r="O115" i="18"/>
  <c r="P115" i="18" s="1"/>
  <c r="O116" i="18"/>
  <c r="P116" i="18" s="1"/>
  <c r="O117" i="18"/>
  <c r="P117" i="18" s="1"/>
  <c r="O118" i="18"/>
  <c r="P118" i="18" s="1"/>
  <c r="O119" i="18"/>
  <c r="P119" i="18" s="1"/>
  <c r="O120" i="18"/>
  <c r="P120" i="18" s="1"/>
  <c r="O121" i="18"/>
  <c r="P121" i="18" s="1"/>
  <c r="O122" i="18"/>
  <c r="P122" i="18" s="1"/>
  <c r="O123" i="18"/>
  <c r="P123" i="18" s="1"/>
  <c r="O124" i="18"/>
  <c r="P124" i="18" s="1"/>
  <c r="O125" i="18"/>
  <c r="P125" i="18" s="1"/>
  <c r="O126" i="18"/>
  <c r="P126" i="18" s="1"/>
  <c r="O127" i="18"/>
  <c r="P127" i="18" s="1"/>
  <c r="O128" i="18"/>
  <c r="P128" i="18" s="1"/>
  <c r="O129" i="18"/>
  <c r="P129" i="18" s="1"/>
  <c r="O130" i="18"/>
  <c r="P130" i="18" s="1"/>
  <c r="O131" i="18"/>
  <c r="P131" i="18" s="1"/>
  <c r="O132" i="18"/>
  <c r="P132" i="18" s="1"/>
  <c r="O133" i="18"/>
  <c r="P133" i="18" s="1"/>
  <c r="O134" i="18"/>
  <c r="P134" i="18" s="1"/>
  <c r="O135" i="18"/>
  <c r="P135" i="18" s="1"/>
  <c r="O136" i="18"/>
  <c r="P136" i="18" s="1"/>
  <c r="O137" i="18"/>
  <c r="P137" i="18" s="1"/>
  <c r="O138" i="18"/>
  <c r="P138" i="18" s="1"/>
  <c r="O139" i="18"/>
  <c r="P139" i="18" s="1"/>
  <c r="O140" i="18"/>
  <c r="P140" i="18" s="1"/>
  <c r="O141" i="18"/>
  <c r="P141" i="18" s="1"/>
  <c r="O142" i="18"/>
  <c r="P142" i="18" s="1"/>
  <c r="O143" i="18"/>
  <c r="P143" i="18" s="1"/>
  <c r="O144" i="18"/>
  <c r="P144" i="18" s="1"/>
  <c r="O145" i="18"/>
  <c r="P145" i="18" s="1"/>
  <c r="O146" i="18"/>
  <c r="P146" i="18" s="1"/>
  <c r="O147" i="18"/>
  <c r="P147" i="18" s="1"/>
  <c r="O148" i="18"/>
  <c r="P148" i="18" s="1"/>
  <c r="O149" i="18"/>
  <c r="P149" i="18" s="1"/>
  <c r="O150" i="18"/>
  <c r="P150" i="18" s="1"/>
  <c r="O151" i="18"/>
  <c r="P151" i="18" s="1"/>
  <c r="O152" i="18"/>
  <c r="P152" i="18" s="1"/>
  <c r="O153" i="18"/>
  <c r="P153" i="18" s="1"/>
  <c r="O154" i="18"/>
  <c r="P154" i="18" s="1"/>
  <c r="O155" i="18"/>
  <c r="P155" i="18" s="1"/>
  <c r="O156" i="18"/>
  <c r="P156" i="18" s="1"/>
  <c r="O157" i="18"/>
  <c r="P157" i="18" s="1"/>
  <c r="O158" i="18"/>
  <c r="P158" i="18" s="1"/>
  <c r="O159" i="18"/>
  <c r="P159" i="18" s="1"/>
  <c r="O160" i="18"/>
  <c r="P160" i="18" s="1"/>
  <c r="O161" i="18"/>
  <c r="P161" i="18" s="1"/>
  <c r="O162" i="18"/>
  <c r="P162" i="18" s="1"/>
  <c r="O163" i="18"/>
  <c r="P163" i="18" s="1"/>
  <c r="O164" i="18"/>
  <c r="P164" i="18" s="1"/>
  <c r="O165" i="18"/>
  <c r="P165" i="18" s="1"/>
  <c r="O166" i="18"/>
  <c r="P166" i="18" s="1"/>
  <c r="O167" i="18"/>
  <c r="P167" i="18" s="1"/>
  <c r="O168" i="18"/>
  <c r="P168" i="18" s="1"/>
  <c r="O169" i="18"/>
  <c r="P169" i="18" s="1"/>
  <c r="O170" i="18"/>
  <c r="P170" i="18" s="1"/>
  <c r="O171" i="18"/>
  <c r="P171" i="18" s="1"/>
  <c r="O172" i="18"/>
  <c r="P172" i="18" s="1"/>
  <c r="O173" i="18"/>
  <c r="P173" i="18" s="1"/>
  <c r="O174" i="18"/>
  <c r="P174" i="18" s="1"/>
  <c r="O175" i="18"/>
  <c r="P175" i="18" s="1"/>
  <c r="O176" i="18"/>
  <c r="P176" i="18" s="1"/>
  <c r="O177" i="18"/>
  <c r="P177" i="18" s="1"/>
  <c r="O178" i="18"/>
  <c r="P178" i="18" s="1"/>
  <c r="O179" i="18"/>
  <c r="P179" i="18" s="1"/>
  <c r="O180" i="18"/>
  <c r="P180" i="18" s="1"/>
  <c r="O181" i="18"/>
  <c r="P181" i="18" s="1"/>
  <c r="O182" i="18"/>
  <c r="P182" i="18" s="1"/>
  <c r="O183" i="18"/>
  <c r="P183" i="18" s="1"/>
  <c r="O184" i="18"/>
  <c r="P184" i="18" s="1"/>
  <c r="O185" i="18"/>
  <c r="P185" i="18" s="1"/>
  <c r="O186" i="18"/>
  <c r="P186" i="18" s="1"/>
  <c r="O187" i="18"/>
  <c r="P187" i="18" s="1"/>
  <c r="O188" i="18"/>
  <c r="P188" i="18" s="1"/>
  <c r="O189" i="18"/>
  <c r="P189" i="18" s="1"/>
  <c r="O190" i="18"/>
  <c r="P190" i="18" s="1"/>
  <c r="O191" i="18"/>
  <c r="P191" i="18" s="1"/>
  <c r="O192" i="18"/>
  <c r="P192" i="18" s="1"/>
  <c r="O193" i="18"/>
  <c r="P193" i="18" s="1"/>
  <c r="O194" i="18"/>
  <c r="P194" i="18" s="1"/>
  <c r="O195" i="18"/>
  <c r="P195" i="18" s="1"/>
  <c r="O196" i="18"/>
  <c r="P196" i="18" s="1"/>
  <c r="O197" i="18"/>
  <c r="P197" i="18" s="1"/>
  <c r="O198" i="18"/>
  <c r="P198" i="18" s="1"/>
  <c r="O199" i="18"/>
  <c r="P199" i="18" s="1"/>
  <c r="O200" i="18"/>
  <c r="P200" i="18" s="1"/>
  <c r="O201" i="18"/>
  <c r="P201" i="18" s="1"/>
  <c r="O202" i="18"/>
  <c r="P202" i="18" s="1"/>
  <c r="O203" i="18"/>
  <c r="P203" i="18" s="1"/>
  <c r="O204" i="18"/>
  <c r="P204" i="18" s="1"/>
  <c r="O205" i="18"/>
  <c r="P205" i="18" s="1"/>
  <c r="O206" i="18"/>
  <c r="P206" i="18" s="1"/>
  <c r="O207" i="18"/>
  <c r="P207" i="18" s="1"/>
  <c r="O208" i="18"/>
  <c r="P208" i="18" s="1"/>
  <c r="O209" i="18"/>
  <c r="P209" i="18" s="1"/>
  <c r="O210" i="18"/>
  <c r="P210" i="18" s="1"/>
  <c r="O211" i="18"/>
  <c r="P211" i="18" s="1"/>
  <c r="O212" i="18"/>
  <c r="P212" i="18" s="1"/>
  <c r="O213" i="18"/>
  <c r="P213" i="18" s="1"/>
  <c r="O214" i="18"/>
  <c r="P214" i="18" s="1"/>
  <c r="O215" i="18"/>
  <c r="P215" i="18" s="1"/>
  <c r="O216" i="18"/>
  <c r="P216" i="18" s="1"/>
  <c r="O217" i="18"/>
  <c r="P217" i="18" s="1"/>
  <c r="O218" i="18"/>
  <c r="P218" i="18" s="1"/>
  <c r="O219" i="18"/>
  <c r="P219" i="18" s="1"/>
  <c r="O220" i="18"/>
  <c r="P220" i="18" s="1"/>
  <c r="O221" i="18"/>
  <c r="P221" i="18" s="1"/>
  <c r="O222" i="18"/>
  <c r="P222" i="18" s="1"/>
  <c r="O223" i="18"/>
  <c r="P223" i="18" s="1"/>
  <c r="O224" i="18"/>
  <c r="P224" i="18" s="1"/>
  <c r="O225" i="18"/>
  <c r="P225" i="18" s="1"/>
  <c r="O226" i="18"/>
  <c r="P226" i="18" s="1"/>
  <c r="O227" i="18"/>
  <c r="P227" i="18" s="1"/>
  <c r="O228" i="18"/>
  <c r="P228" i="18" s="1"/>
  <c r="O229" i="18"/>
  <c r="P229" i="18" s="1"/>
  <c r="O230" i="18"/>
  <c r="P230" i="18" s="1"/>
  <c r="O231" i="18"/>
  <c r="P231" i="18" s="1"/>
  <c r="O232" i="18"/>
  <c r="P232" i="18" s="1"/>
  <c r="O233" i="18"/>
  <c r="P233" i="18" s="1"/>
  <c r="O234" i="18"/>
  <c r="P234" i="18" s="1"/>
  <c r="O235" i="18"/>
  <c r="P235" i="18" s="1"/>
  <c r="O236" i="18"/>
  <c r="P236" i="18" s="1"/>
  <c r="O237" i="18"/>
  <c r="P237" i="18" s="1"/>
  <c r="O238" i="18"/>
  <c r="P238" i="18" s="1"/>
  <c r="O239" i="18"/>
  <c r="P239" i="18" s="1"/>
  <c r="O240" i="18"/>
  <c r="P240" i="18" s="1"/>
  <c r="O241" i="18"/>
  <c r="P241" i="18" s="1"/>
  <c r="O242" i="18"/>
  <c r="P242" i="18" s="1"/>
  <c r="O243" i="18"/>
  <c r="P243" i="18" s="1"/>
  <c r="O244" i="18"/>
  <c r="P244" i="18" s="1"/>
  <c r="O245" i="18"/>
  <c r="P245" i="18" s="1"/>
  <c r="O246" i="18"/>
  <c r="P246" i="18" s="1"/>
  <c r="O247" i="18"/>
  <c r="P247" i="18" s="1"/>
  <c r="O248" i="18"/>
  <c r="P248" i="18" s="1"/>
  <c r="O249" i="18"/>
  <c r="P249" i="18" s="1"/>
  <c r="O250" i="18"/>
  <c r="P250" i="18" s="1"/>
  <c r="O251" i="18"/>
  <c r="P251" i="18" s="1"/>
  <c r="O252" i="18"/>
  <c r="P252" i="18" s="1"/>
  <c r="O253" i="18"/>
  <c r="P253" i="18" s="1"/>
  <c r="O254" i="18"/>
  <c r="P254" i="18" s="1"/>
  <c r="O255" i="18"/>
  <c r="P255" i="18" s="1"/>
  <c r="O256" i="18"/>
  <c r="P256" i="18" s="1"/>
  <c r="O257" i="18"/>
  <c r="P257" i="18" s="1"/>
  <c r="O258" i="18"/>
  <c r="P258" i="18" s="1"/>
  <c r="O259" i="18"/>
  <c r="P259" i="18" s="1"/>
  <c r="O260" i="18"/>
  <c r="P260" i="18" s="1"/>
  <c r="O261" i="18"/>
  <c r="P261" i="18" s="1"/>
  <c r="O262" i="18"/>
  <c r="P262" i="18" s="1"/>
  <c r="O263" i="18"/>
  <c r="P263" i="18" s="1"/>
  <c r="O264" i="18"/>
  <c r="P264" i="18" s="1"/>
  <c r="O265" i="18"/>
  <c r="P265" i="18" s="1"/>
  <c r="O266" i="18"/>
  <c r="P266" i="18" s="1"/>
  <c r="O267" i="18"/>
  <c r="P267" i="18" s="1"/>
  <c r="O268" i="18"/>
  <c r="P268" i="18" s="1"/>
  <c r="O269" i="18"/>
  <c r="P269" i="18" s="1"/>
  <c r="O270" i="18"/>
  <c r="P270" i="18" s="1"/>
  <c r="O271" i="18"/>
  <c r="P271" i="18" s="1"/>
  <c r="O272" i="18"/>
  <c r="P272" i="18" s="1"/>
  <c r="O273" i="18"/>
  <c r="P273" i="18" s="1"/>
  <c r="O274" i="18"/>
  <c r="P274" i="18" s="1"/>
  <c r="O275" i="18"/>
  <c r="P275" i="18" s="1"/>
  <c r="O276" i="18"/>
  <c r="P276" i="18" s="1"/>
  <c r="O277" i="18"/>
  <c r="P277" i="18" s="1"/>
  <c r="O278" i="18"/>
  <c r="P278" i="18" s="1"/>
  <c r="O279" i="18"/>
  <c r="P279" i="18" s="1"/>
  <c r="O280" i="18"/>
  <c r="P280" i="18" s="1"/>
  <c r="O281" i="18"/>
  <c r="P281" i="18" s="1"/>
  <c r="O282" i="18"/>
  <c r="P282" i="18" s="1"/>
  <c r="O283" i="18"/>
  <c r="P283" i="18" s="1"/>
  <c r="O284" i="18"/>
  <c r="P284" i="18" s="1"/>
  <c r="O285" i="18"/>
  <c r="P285" i="18" s="1"/>
  <c r="O286" i="18"/>
  <c r="P286" i="18" s="1"/>
  <c r="O287" i="18"/>
  <c r="P287" i="18" s="1"/>
  <c r="O288" i="18"/>
  <c r="P288" i="18" s="1"/>
  <c r="O289" i="18"/>
  <c r="P289" i="18" s="1"/>
  <c r="O290" i="18"/>
  <c r="P290" i="18" s="1"/>
  <c r="O291" i="18"/>
  <c r="P291" i="18" s="1"/>
  <c r="O292" i="18"/>
  <c r="P292" i="18" s="1"/>
  <c r="O293" i="18"/>
  <c r="P293" i="18" s="1"/>
  <c r="O294" i="18"/>
  <c r="P294" i="18" s="1"/>
  <c r="O295" i="18"/>
  <c r="P295" i="18" s="1"/>
  <c r="O296" i="18"/>
  <c r="P296" i="18" s="1"/>
  <c r="O297" i="18"/>
  <c r="P297" i="18" s="1"/>
  <c r="O298" i="18"/>
  <c r="P298" i="18" s="1"/>
  <c r="O299" i="18"/>
  <c r="P299" i="18" s="1"/>
  <c r="O300" i="18"/>
  <c r="P300" i="18" s="1"/>
  <c r="O301" i="18"/>
  <c r="P301" i="18" s="1"/>
  <c r="O302" i="18"/>
  <c r="P302" i="18" s="1"/>
  <c r="O303" i="18"/>
  <c r="P303" i="18" s="1"/>
  <c r="O304" i="18"/>
  <c r="P304" i="18" s="1"/>
  <c r="O305" i="18"/>
  <c r="P305" i="18" s="1"/>
  <c r="O306" i="18"/>
  <c r="P306" i="18" s="1"/>
  <c r="O307" i="18"/>
  <c r="P307" i="18" s="1"/>
  <c r="O308" i="18"/>
  <c r="P308" i="18" s="1"/>
  <c r="O309" i="18"/>
  <c r="P309" i="18" s="1"/>
  <c r="O310" i="18"/>
  <c r="P310" i="18" s="1"/>
  <c r="O311" i="18"/>
  <c r="P311" i="18" s="1"/>
  <c r="O312" i="18"/>
  <c r="P312" i="18" s="1"/>
  <c r="O313" i="18"/>
  <c r="P313" i="18" s="1"/>
  <c r="O314" i="18"/>
  <c r="P314" i="18" s="1"/>
  <c r="O315" i="18"/>
  <c r="P315" i="18" s="1"/>
  <c r="O316" i="18"/>
  <c r="P316" i="18" s="1"/>
  <c r="O317" i="18"/>
  <c r="P317" i="18" s="1"/>
  <c r="O318" i="18"/>
  <c r="P318" i="18" s="1"/>
  <c r="O319" i="18"/>
  <c r="P319" i="18" s="1"/>
  <c r="O320" i="18"/>
  <c r="P320" i="18" s="1"/>
  <c r="O321" i="18"/>
  <c r="P321" i="18" s="1"/>
  <c r="O322" i="18"/>
  <c r="P322" i="18" s="1"/>
  <c r="O323" i="18"/>
  <c r="P323" i="18" s="1"/>
  <c r="O324" i="18"/>
  <c r="P324" i="18" s="1"/>
  <c r="O325" i="18"/>
  <c r="P325" i="18" s="1"/>
  <c r="O326" i="18"/>
  <c r="P326" i="18" s="1"/>
  <c r="O327" i="18"/>
  <c r="P327" i="18" s="1"/>
  <c r="O328" i="18"/>
  <c r="P328" i="18" s="1"/>
  <c r="O329" i="18"/>
  <c r="P329" i="18" s="1"/>
  <c r="O330" i="18"/>
  <c r="P330" i="18" s="1"/>
  <c r="O331" i="18"/>
  <c r="P331" i="18" s="1"/>
  <c r="O332" i="18"/>
  <c r="P332" i="18" s="1"/>
  <c r="O333" i="18"/>
  <c r="P333" i="18" s="1"/>
  <c r="O334" i="18"/>
  <c r="P334" i="18" s="1"/>
  <c r="O335" i="18"/>
  <c r="P335" i="18" s="1"/>
  <c r="O336" i="18"/>
  <c r="P336" i="18" s="1"/>
  <c r="O337" i="18"/>
  <c r="P337" i="18" s="1"/>
  <c r="O338" i="18"/>
  <c r="P338" i="18" s="1"/>
  <c r="O339" i="18"/>
  <c r="P339" i="18" s="1"/>
  <c r="O340" i="18"/>
  <c r="P340" i="18" s="1"/>
  <c r="O341" i="18"/>
  <c r="P341" i="18" s="1"/>
  <c r="O342" i="18"/>
  <c r="P342" i="18" s="1"/>
  <c r="O343" i="18"/>
  <c r="P343" i="18" s="1"/>
  <c r="O344" i="18"/>
  <c r="P344" i="18" s="1"/>
  <c r="O345" i="18"/>
  <c r="P345" i="18" s="1"/>
  <c r="O346" i="18"/>
  <c r="P346" i="18" s="1"/>
  <c r="O347" i="18"/>
  <c r="P347" i="18" s="1"/>
  <c r="O348" i="18"/>
  <c r="P348" i="18" s="1"/>
  <c r="O349" i="18"/>
  <c r="P349" i="18" s="1"/>
  <c r="O350" i="18"/>
  <c r="P350" i="18" s="1"/>
  <c r="O351" i="18"/>
  <c r="P351" i="18" s="1"/>
  <c r="O352" i="18"/>
  <c r="P352" i="18" s="1"/>
  <c r="O353" i="18"/>
  <c r="P353" i="18" s="1"/>
  <c r="O354" i="18"/>
  <c r="P354" i="18" s="1"/>
  <c r="O355" i="18"/>
  <c r="P355" i="18" s="1"/>
  <c r="O356" i="18"/>
  <c r="P356" i="18" s="1"/>
  <c r="O357" i="18"/>
  <c r="P357" i="18" s="1"/>
  <c r="O358" i="18"/>
  <c r="P358" i="18" s="1"/>
  <c r="O359" i="18"/>
  <c r="P359" i="18" s="1"/>
  <c r="O360" i="18"/>
  <c r="P360" i="18" s="1"/>
  <c r="O361" i="18"/>
  <c r="P361" i="18" s="1"/>
  <c r="O362" i="18"/>
  <c r="P362" i="18" s="1"/>
  <c r="O363" i="18"/>
  <c r="P363" i="18" s="1"/>
  <c r="O364" i="18"/>
  <c r="P364" i="18" s="1"/>
  <c r="O365" i="18"/>
  <c r="P365" i="18" s="1"/>
  <c r="O366" i="18"/>
  <c r="P366" i="18" s="1"/>
  <c r="O367" i="18"/>
  <c r="P367" i="18" s="1"/>
  <c r="O368" i="18"/>
  <c r="P368" i="18" s="1"/>
  <c r="O369" i="18"/>
  <c r="P369" i="18" s="1"/>
  <c r="O370" i="18"/>
  <c r="P370" i="18" s="1"/>
  <c r="O371" i="18"/>
  <c r="P371" i="18" s="1"/>
  <c r="O372" i="18"/>
  <c r="P372" i="18" s="1"/>
  <c r="O373" i="18"/>
  <c r="P373" i="18" s="1"/>
  <c r="O374" i="18"/>
  <c r="P374" i="18" s="1"/>
  <c r="O375" i="18"/>
  <c r="P375" i="18" s="1"/>
  <c r="O376" i="18"/>
  <c r="P376" i="18" s="1"/>
  <c r="O377" i="18"/>
  <c r="P377" i="18" s="1"/>
  <c r="O378" i="18"/>
  <c r="P378" i="18" s="1"/>
  <c r="O379" i="18"/>
  <c r="P379" i="18" s="1"/>
  <c r="O380" i="18"/>
  <c r="P380" i="18" s="1"/>
  <c r="O381" i="18"/>
  <c r="P381" i="18" s="1"/>
  <c r="O382" i="18"/>
  <c r="P382" i="18" s="1"/>
  <c r="O383" i="18"/>
  <c r="P383" i="18" s="1"/>
  <c r="O384" i="18"/>
  <c r="P384" i="18" s="1"/>
  <c r="O385" i="18"/>
  <c r="P385" i="18" s="1"/>
  <c r="O386" i="18"/>
  <c r="P386" i="18" s="1"/>
  <c r="O387" i="18"/>
  <c r="P387" i="18" s="1"/>
  <c r="O388" i="18"/>
  <c r="P388" i="18" s="1"/>
  <c r="O389" i="18"/>
  <c r="P389" i="18" s="1"/>
  <c r="O390" i="18"/>
  <c r="P390" i="18" s="1"/>
  <c r="O391" i="18"/>
  <c r="P391" i="18" s="1"/>
  <c r="O392" i="18"/>
  <c r="P392" i="18" s="1"/>
  <c r="O393" i="18"/>
  <c r="P393" i="18" s="1"/>
  <c r="O394" i="18"/>
  <c r="P394" i="18" s="1"/>
  <c r="O395" i="18"/>
  <c r="P395" i="18" s="1"/>
  <c r="O396" i="18"/>
  <c r="P396" i="18" s="1"/>
  <c r="O397" i="18"/>
  <c r="P397" i="18" s="1"/>
  <c r="O398" i="18"/>
  <c r="P398" i="18" s="1"/>
  <c r="O399" i="18"/>
  <c r="P399" i="18" s="1"/>
  <c r="O400" i="18"/>
  <c r="P400" i="18" s="1"/>
  <c r="O401" i="18"/>
  <c r="P401" i="18" s="1"/>
  <c r="O402" i="18"/>
  <c r="P402" i="18" s="1"/>
  <c r="O403" i="18"/>
  <c r="P403" i="18" s="1"/>
  <c r="O404" i="18"/>
  <c r="P404" i="18" s="1"/>
  <c r="O405" i="18"/>
  <c r="P405" i="18" s="1"/>
  <c r="O406" i="18"/>
  <c r="P406" i="18" s="1"/>
  <c r="O407" i="18"/>
  <c r="P407" i="18" s="1"/>
  <c r="O408" i="18"/>
  <c r="P408" i="18" s="1"/>
  <c r="O409" i="18"/>
  <c r="P409" i="18" s="1"/>
  <c r="O410" i="18"/>
  <c r="P410" i="18" s="1"/>
  <c r="O411" i="18"/>
  <c r="P411" i="18" s="1"/>
  <c r="O412" i="18"/>
  <c r="P412" i="18" s="1"/>
  <c r="O413" i="18"/>
  <c r="P413" i="18" s="1"/>
  <c r="O414" i="18"/>
  <c r="P414" i="18" s="1"/>
  <c r="O415" i="18"/>
  <c r="P415" i="18" s="1"/>
  <c r="O416" i="18"/>
  <c r="P416" i="18" s="1"/>
  <c r="O417" i="18"/>
  <c r="P417" i="18" s="1"/>
  <c r="O418" i="18"/>
  <c r="P418" i="18" s="1"/>
  <c r="O419" i="18"/>
  <c r="P419" i="18" s="1"/>
  <c r="O420" i="18"/>
  <c r="P420" i="18" s="1"/>
  <c r="O421" i="18"/>
  <c r="P421" i="18" s="1"/>
  <c r="O422" i="18"/>
  <c r="P422" i="18" s="1"/>
  <c r="O423" i="18"/>
  <c r="P423" i="18" s="1"/>
  <c r="O424" i="18"/>
  <c r="P424" i="18" s="1"/>
  <c r="O425" i="18"/>
  <c r="P425" i="18" s="1"/>
  <c r="O426" i="18"/>
  <c r="P426" i="18" s="1"/>
  <c r="O427" i="18"/>
  <c r="P427" i="18" s="1"/>
  <c r="O428" i="18"/>
  <c r="P428" i="18" s="1"/>
  <c r="O429" i="18"/>
  <c r="P429" i="18" s="1"/>
  <c r="O430" i="18"/>
  <c r="P430" i="18" s="1"/>
  <c r="O431" i="18"/>
  <c r="P431" i="18" s="1"/>
  <c r="O432" i="18"/>
  <c r="P432" i="18" s="1"/>
  <c r="O433" i="18"/>
  <c r="P433" i="18" s="1"/>
  <c r="O434" i="18"/>
  <c r="P434" i="18" s="1"/>
  <c r="O435" i="18"/>
  <c r="P435" i="18" s="1"/>
  <c r="O436" i="18"/>
  <c r="P436" i="18" s="1"/>
  <c r="O437" i="18"/>
  <c r="P437" i="18" s="1"/>
  <c r="O438" i="18"/>
  <c r="P438" i="18" s="1"/>
  <c r="O439" i="18"/>
  <c r="P439" i="18" s="1"/>
  <c r="O440" i="18"/>
  <c r="P440" i="18" s="1"/>
  <c r="O441" i="18"/>
  <c r="P441" i="18" s="1"/>
  <c r="O442" i="18"/>
  <c r="P442" i="18" s="1"/>
  <c r="O443" i="18"/>
  <c r="P443" i="18" s="1"/>
  <c r="O444" i="18"/>
  <c r="P444" i="18" s="1"/>
  <c r="O445" i="18"/>
  <c r="P445" i="18" s="1"/>
  <c r="O446" i="18"/>
  <c r="P446" i="18" s="1"/>
  <c r="O447" i="18"/>
  <c r="P447" i="18" s="1"/>
  <c r="O448" i="18"/>
  <c r="P448" i="18" s="1"/>
  <c r="O449" i="18"/>
  <c r="P449" i="18" s="1"/>
  <c r="O450" i="18"/>
  <c r="P450" i="18" s="1"/>
  <c r="O451" i="18"/>
  <c r="P451" i="18" s="1"/>
  <c r="O452" i="18"/>
  <c r="P452" i="18" s="1"/>
  <c r="O453" i="18"/>
  <c r="P453" i="18" s="1"/>
  <c r="O454" i="18"/>
  <c r="P454" i="18" s="1"/>
  <c r="O455" i="18"/>
  <c r="P455" i="18" s="1"/>
  <c r="O456" i="18"/>
  <c r="P456" i="18" s="1"/>
  <c r="O457" i="18"/>
  <c r="P457" i="18" s="1"/>
  <c r="O458" i="18"/>
  <c r="P458" i="18" s="1"/>
  <c r="O459" i="18"/>
  <c r="P459" i="18" s="1"/>
  <c r="O460" i="18"/>
  <c r="P460" i="18" s="1"/>
  <c r="O461" i="18"/>
  <c r="P461" i="18" s="1"/>
  <c r="O462" i="18"/>
  <c r="P462" i="18" s="1"/>
  <c r="O463" i="18"/>
  <c r="P463" i="18" s="1"/>
  <c r="O464" i="18"/>
  <c r="P464" i="18" s="1"/>
  <c r="O465" i="18"/>
  <c r="P465" i="18" s="1"/>
  <c r="O466" i="18"/>
  <c r="P466" i="18" s="1"/>
  <c r="O467" i="18"/>
  <c r="P467" i="18" s="1"/>
  <c r="O468" i="18"/>
  <c r="P468" i="18" s="1"/>
  <c r="O469" i="18"/>
  <c r="P469" i="18" s="1"/>
  <c r="O470" i="18"/>
  <c r="P470" i="18" s="1"/>
  <c r="O471" i="18"/>
  <c r="P471" i="18" s="1"/>
  <c r="O472" i="18"/>
  <c r="P472" i="18" s="1"/>
  <c r="O473" i="18"/>
  <c r="P473" i="18" s="1"/>
  <c r="O474" i="18"/>
  <c r="P474" i="18" s="1"/>
  <c r="O475" i="18"/>
  <c r="P475" i="18" s="1"/>
  <c r="O476" i="18"/>
  <c r="P476" i="18" s="1"/>
  <c r="O477" i="18"/>
  <c r="P477" i="18" s="1"/>
  <c r="O478" i="18"/>
  <c r="P478" i="18" s="1"/>
  <c r="O479" i="18"/>
  <c r="P479" i="18" s="1"/>
  <c r="O480" i="18"/>
  <c r="P480" i="18" s="1"/>
  <c r="O481" i="18"/>
  <c r="P481" i="18" s="1"/>
  <c r="O482" i="18"/>
  <c r="P482" i="18" s="1"/>
  <c r="O483" i="18"/>
  <c r="P483" i="18" s="1"/>
  <c r="O484" i="18"/>
  <c r="P484" i="18" s="1"/>
  <c r="O485" i="18"/>
  <c r="P485" i="18" s="1"/>
  <c r="O486" i="18"/>
  <c r="P486" i="18" s="1"/>
  <c r="O487" i="18"/>
  <c r="P487" i="18" s="1"/>
  <c r="O488" i="18"/>
  <c r="P488" i="18" s="1"/>
  <c r="O489" i="18"/>
  <c r="P489" i="18" s="1"/>
  <c r="O490" i="18"/>
  <c r="P490" i="18" s="1"/>
  <c r="O491" i="18"/>
  <c r="P491" i="18" s="1"/>
  <c r="O492" i="18"/>
  <c r="P492" i="18" s="1"/>
  <c r="O493" i="18"/>
  <c r="P493" i="18" s="1"/>
  <c r="O494" i="18"/>
  <c r="P494" i="18" s="1"/>
  <c r="O495" i="18"/>
  <c r="P495" i="18" s="1"/>
  <c r="O496" i="18"/>
  <c r="P496" i="18" s="1"/>
  <c r="O497" i="18"/>
  <c r="P497" i="18" s="1"/>
  <c r="O498" i="18"/>
  <c r="P498" i="18" s="1"/>
  <c r="O499" i="18"/>
  <c r="P499" i="18" s="1"/>
  <c r="O500" i="18"/>
  <c r="P500" i="18" s="1"/>
  <c r="O501" i="18"/>
  <c r="P501" i="18" s="1"/>
  <c r="O502" i="18"/>
  <c r="P502" i="18" s="1"/>
  <c r="O503" i="18"/>
  <c r="P503" i="18" s="1"/>
  <c r="O504" i="18"/>
  <c r="P504" i="18" s="1"/>
  <c r="O505" i="18"/>
  <c r="P505" i="18" s="1"/>
  <c r="O506" i="18"/>
  <c r="P506" i="18" s="1"/>
  <c r="O507" i="18"/>
  <c r="P507" i="18" s="1"/>
  <c r="O508" i="18"/>
  <c r="P508" i="18" s="1"/>
  <c r="O509" i="18"/>
  <c r="P509" i="18" s="1"/>
  <c r="O510" i="18"/>
  <c r="P510" i="18" s="1"/>
  <c r="O511" i="18"/>
  <c r="P511" i="18" s="1"/>
  <c r="O512" i="18"/>
  <c r="P512" i="18" s="1"/>
  <c r="O513" i="18"/>
  <c r="P513" i="18" s="1"/>
  <c r="O514" i="18"/>
  <c r="P514" i="18" s="1"/>
  <c r="O515" i="18"/>
  <c r="P515" i="18" s="1"/>
  <c r="O516" i="18"/>
  <c r="P516" i="18" s="1"/>
  <c r="O517" i="18"/>
  <c r="P517" i="18" s="1"/>
  <c r="O518" i="18"/>
  <c r="P518" i="18" s="1"/>
  <c r="O519" i="18"/>
  <c r="P519" i="18" s="1"/>
  <c r="O520" i="18"/>
  <c r="P520" i="18" s="1"/>
  <c r="O521" i="18"/>
  <c r="P521" i="18" s="1"/>
  <c r="O522" i="18"/>
  <c r="P522" i="18" s="1"/>
  <c r="O523" i="18"/>
  <c r="P523" i="18" s="1"/>
  <c r="O524" i="18"/>
  <c r="P524" i="18" s="1"/>
  <c r="O525" i="18"/>
  <c r="P525" i="18" s="1"/>
  <c r="O526" i="18"/>
  <c r="P526" i="18" s="1"/>
  <c r="O527" i="18"/>
  <c r="P527" i="18" s="1"/>
  <c r="O528" i="18"/>
  <c r="P528" i="18" s="1"/>
  <c r="O529" i="18"/>
  <c r="P529" i="18" s="1"/>
  <c r="O530" i="18"/>
  <c r="P530" i="18" s="1"/>
  <c r="O531" i="18"/>
  <c r="P531" i="18" s="1"/>
  <c r="O532" i="18"/>
  <c r="P532" i="18" s="1"/>
  <c r="O533" i="18"/>
  <c r="P533" i="18" s="1"/>
  <c r="O534" i="18"/>
  <c r="P534" i="18" s="1"/>
  <c r="O535" i="18"/>
  <c r="P535" i="18" s="1"/>
  <c r="O536" i="18"/>
  <c r="P536" i="18" s="1"/>
  <c r="O537" i="18"/>
  <c r="P537" i="18" s="1"/>
  <c r="O538" i="18"/>
  <c r="P538" i="18" s="1"/>
  <c r="O539" i="18"/>
  <c r="P539" i="18" s="1"/>
  <c r="O540" i="18"/>
  <c r="P540" i="18" s="1"/>
  <c r="O541" i="18"/>
  <c r="P541" i="18" s="1"/>
  <c r="O542" i="18"/>
  <c r="P542" i="18" s="1"/>
  <c r="O543" i="18"/>
  <c r="P543" i="18" s="1"/>
  <c r="O544" i="18"/>
  <c r="P544" i="18" s="1"/>
  <c r="O545" i="18"/>
  <c r="P545" i="18" s="1"/>
  <c r="O546" i="18"/>
  <c r="P546" i="18" s="1"/>
  <c r="O2" i="21"/>
  <c r="P2" i="21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B93" i="10" s="1"/>
  <c r="A92" i="10"/>
  <c r="AB92" i="10" s="1"/>
  <c r="A91" i="10"/>
  <c r="AB91" i="10" s="1"/>
  <c r="A90" i="10"/>
  <c r="AB90" i="10" s="1"/>
  <c r="A89" i="10"/>
  <c r="AB89" i="10" s="1"/>
  <c r="A88" i="10"/>
  <c r="AB88" i="10" s="1"/>
  <c r="A87" i="10"/>
  <c r="AB87" i="10" s="1"/>
  <c r="A86" i="10"/>
  <c r="AB86" i="10" s="1"/>
  <c r="A85" i="10"/>
  <c r="AB85" i="10" s="1"/>
  <c r="A84" i="10"/>
  <c r="AB84" i="10" s="1"/>
  <c r="A83" i="10"/>
  <c r="AB83" i="10" s="1"/>
  <c r="A82" i="10"/>
  <c r="AB82" i="10" s="1"/>
  <c r="A81" i="10"/>
  <c r="AB81" i="10" s="1"/>
  <c r="A80" i="10"/>
  <c r="AB80" i="10" s="1"/>
  <c r="A79" i="10"/>
  <c r="AB79" i="10" s="1"/>
  <c r="A78" i="10"/>
  <c r="AB78" i="10" s="1"/>
  <c r="A77" i="10"/>
  <c r="AB77" i="10" s="1"/>
  <c r="A76" i="10"/>
  <c r="AB76" i="10" s="1"/>
  <c r="A75" i="10"/>
  <c r="AB75" i="10" s="1"/>
  <c r="A74" i="10"/>
  <c r="AB74" i="10" s="1"/>
  <c r="A73" i="10"/>
  <c r="AB73" i="10" s="1"/>
  <c r="A72" i="10"/>
  <c r="AB72" i="10" s="1"/>
  <c r="A71" i="10"/>
  <c r="AB71" i="10" s="1"/>
  <c r="A70" i="10"/>
  <c r="AB70" i="10" s="1"/>
  <c r="A69" i="10"/>
  <c r="AB69" i="10" s="1"/>
  <c r="A68" i="10"/>
  <c r="AB68" i="10" s="1"/>
  <c r="A67" i="10"/>
  <c r="AB67" i="10" s="1"/>
  <c r="A66" i="10"/>
  <c r="AB66" i="10" s="1"/>
  <c r="A65" i="10"/>
  <c r="AB65" i="10" s="1"/>
  <c r="A64" i="10"/>
  <c r="AB64" i="10" s="1"/>
  <c r="A63" i="10"/>
  <c r="AB63" i="10" s="1"/>
  <c r="A62" i="10"/>
  <c r="AB62" i="10" s="1"/>
  <c r="A61" i="10"/>
  <c r="AB61" i="10" s="1"/>
  <c r="A60" i="10"/>
  <c r="AB60" i="10" s="1"/>
  <c r="A59" i="10"/>
  <c r="AB59" i="10" s="1"/>
  <c r="A58" i="10"/>
  <c r="AB58" i="10" s="1"/>
  <c r="A57" i="10"/>
  <c r="AB57" i="10" s="1"/>
  <c r="A56" i="10"/>
  <c r="AB56" i="10" s="1"/>
  <c r="A55" i="10"/>
  <c r="AB55" i="10" s="1"/>
  <c r="A54" i="10"/>
  <c r="AB54" i="10" s="1"/>
  <c r="A53" i="10"/>
  <c r="AB53" i="10" s="1"/>
  <c r="A52" i="10"/>
  <c r="AB52" i="10" s="1"/>
  <c r="A51" i="10"/>
  <c r="AB51" i="10" s="1"/>
  <c r="A50" i="10"/>
  <c r="AB50" i="10" s="1"/>
  <c r="A49" i="10"/>
  <c r="AB49" i="10" s="1"/>
  <c r="A48" i="10"/>
  <c r="AB48" i="10" s="1"/>
  <c r="A47" i="10"/>
  <c r="AB47" i="10" s="1"/>
  <c r="A46" i="10"/>
  <c r="AB46" i="10" s="1"/>
  <c r="A45" i="10"/>
  <c r="AB45" i="10" s="1"/>
  <c r="A44" i="10"/>
  <c r="AB44" i="10" s="1"/>
  <c r="A43" i="10"/>
  <c r="AB43" i="10" s="1"/>
  <c r="A42" i="10"/>
  <c r="AB42" i="10" s="1"/>
  <c r="A41" i="10"/>
  <c r="AB41" i="10" s="1"/>
  <c r="A40" i="10"/>
  <c r="AB40" i="10" s="1"/>
  <c r="A39" i="10"/>
  <c r="AB39" i="10" s="1"/>
  <c r="A38" i="10"/>
  <c r="AB38" i="10" s="1"/>
  <c r="A37" i="10"/>
  <c r="AB37" i="10" s="1"/>
  <c r="A36" i="10"/>
  <c r="AB36" i="10" s="1"/>
  <c r="A35" i="10"/>
  <c r="AB35" i="10" s="1"/>
  <c r="A34" i="10"/>
  <c r="AB34" i="10" s="1"/>
  <c r="A33" i="10"/>
  <c r="AB33" i="10" s="1"/>
  <c r="A32" i="10"/>
  <c r="AB32" i="10" s="1"/>
  <c r="A31" i="10"/>
  <c r="AB31" i="10" s="1"/>
  <c r="A30" i="10"/>
  <c r="AB30" i="10" s="1"/>
  <c r="A29" i="10"/>
  <c r="AB29" i="10" s="1"/>
  <c r="A28" i="10"/>
  <c r="AB28" i="10" s="1"/>
  <c r="A27" i="10"/>
  <c r="AB27" i="10" s="1"/>
  <c r="A26" i="10"/>
  <c r="AB26" i="10" s="1"/>
  <c r="A25" i="10"/>
  <c r="AB25" i="10" s="1"/>
  <c r="A24" i="10"/>
  <c r="AB24" i="10" s="1"/>
  <c r="A23" i="10"/>
  <c r="AB23" i="10" s="1"/>
  <c r="A22" i="10"/>
  <c r="AB22" i="10" s="1"/>
  <c r="A21" i="10"/>
  <c r="AB21" i="10" s="1"/>
  <c r="A20" i="10"/>
  <c r="AB20" i="10" s="1"/>
  <c r="A19" i="10"/>
  <c r="AB19" i="10" s="1"/>
  <c r="A18" i="10"/>
  <c r="AB18" i="10" s="1"/>
  <c r="A17" i="10"/>
  <c r="AB17" i="10" s="1"/>
  <c r="A16" i="10"/>
  <c r="AB16" i="10" s="1"/>
  <c r="A15" i="10"/>
  <c r="AB15" i="10" s="1"/>
  <c r="A14" i="10"/>
  <c r="AB14" i="10" s="1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O7" i="7" s="1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P8" i="25" l="1"/>
  <c r="N8" i="25"/>
  <c r="O8" i="25"/>
  <c r="M8" i="25"/>
  <c r="L8" i="25"/>
  <c r="K8" i="25"/>
  <c r="J8" i="25"/>
  <c r="C13" i="19"/>
  <c r="T152" i="18"/>
  <c r="X2" i="21"/>
  <c r="J20" i="22" s="1"/>
  <c r="F13" i="22"/>
  <c r="J21" i="22"/>
  <c r="J19" i="22"/>
  <c r="E13" i="22"/>
  <c r="A72" i="22"/>
  <c r="A63" i="22"/>
  <c r="A60" i="22"/>
  <c r="A57" i="22"/>
  <c r="A54" i="22"/>
  <c r="A52" i="22"/>
  <c r="A49" i="22"/>
  <c r="A46" i="22"/>
  <c r="A44" i="22"/>
  <c r="A41" i="22"/>
  <c r="A39" i="22"/>
  <c r="A36" i="22"/>
  <c r="A35" i="22"/>
  <c r="A33" i="22"/>
  <c r="A32" i="22"/>
  <c r="J32" i="22" s="1"/>
  <c r="A30" i="22"/>
  <c r="J30" i="22" s="1"/>
  <c r="A28" i="22"/>
  <c r="J28" i="22" s="1"/>
  <c r="A75" i="22"/>
  <c r="J75" i="22" s="1"/>
  <c r="A73" i="22"/>
  <c r="J73" i="22" s="1"/>
  <c r="A69" i="22"/>
  <c r="J69" i="22" s="1"/>
  <c r="A67" i="22"/>
  <c r="J67" i="22" s="1"/>
  <c r="A64" i="22"/>
  <c r="J64" i="22" s="1"/>
  <c r="A61" i="22"/>
  <c r="J61" i="22" s="1"/>
  <c r="A58" i="22"/>
  <c r="J58" i="22" s="1"/>
  <c r="A51" i="22"/>
  <c r="J51" i="22" s="1"/>
  <c r="A48" i="22"/>
  <c r="J48" i="22" s="1"/>
  <c r="A45" i="22"/>
  <c r="J45" i="22" s="1"/>
  <c r="A42" i="22"/>
  <c r="J42" i="22" s="1"/>
  <c r="A40" i="22"/>
  <c r="J40" i="22" s="1"/>
  <c r="A31" i="22"/>
  <c r="J31" i="22" s="1"/>
  <c r="A37" i="22"/>
  <c r="J37" i="22" s="1"/>
  <c r="A66" i="22"/>
  <c r="J66" i="22" s="1"/>
  <c r="A56" i="22"/>
  <c r="J56" i="22" s="1"/>
  <c r="A74" i="22"/>
  <c r="J74" i="22" s="1"/>
  <c r="J17" i="22"/>
  <c r="A53" i="22"/>
  <c r="J53" i="22" s="1"/>
  <c r="A70" i="22"/>
  <c r="J70" i="22" s="1"/>
  <c r="A68" i="22"/>
  <c r="J68" i="22" s="1"/>
  <c r="A29" i="22"/>
  <c r="J29" i="22" s="1"/>
  <c r="A34" i="22"/>
  <c r="J34" i="22" s="1"/>
  <c r="A38" i="22"/>
  <c r="J38" i="22" s="1"/>
  <c r="A43" i="22"/>
  <c r="J43" i="22" s="1"/>
  <c r="A47" i="22"/>
  <c r="J47" i="22" s="1"/>
  <c r="A50" i="22"/>
  <c r="J50" i="22" s="1"/>
  <c r="A55" i="22"/>
  <c r="J55" i="22" s="1"/>
  <c r="A59" i="22"/>
  <c r="J59" i="22" s="1"/>
  <c r="A65" i="22"/>
  <c r="J65" i="22" s="1"/>
  <c r="A71" i="22"/>
  <c r="J71" i="22" s="1"/>
  <c r="A76" i="22"/>
  <c r="J76" i="22" s="1"/>
  <c r="A77" i="22"/>
  <c r="J77" i="22" s="1"/>
  <c r="A78" i="22"/>
  <c r="J78" i="22" s="1"/>
  <c r="A79" i="22"/>
  <c r="J79" i="22" s="1"/>
  <c r="A80" i="22"/>
  <c r="J80" i="22" s="1"/>
  <c r="A81" i="22"/>
  <c r="J81" i="22" s="1"/>
  <c r="A82" i="22"/>
  <c r="J82" i="22" s="1"/>
  <c r="A83" i="22"/>
  <c r="J83" i="22" s="1"/>
  <c r="A84" i="22"/>
  <c r="J84" i="22" s="1"/>
  <c r="A85" i="22"/>
  <c r="J85" i="22" s="1"/>
  <c r="A86" i="22"/>
  <c r="J86" i="22" s="1"/>
  <c r="A87" i="22"/>
  <c r="J87" i="22" s="1"/>
  <c r="A62" i="22"/>
  <c r="J62" i="22" s="1"/>
  <c r="A11" i="22"/>
  <c r="A7" i="22"/>
  <c r="A6" i="22"/>
  <c r="J16" i="22"/>
  <c r="A12" i="22"/>
  <c r="A10" i="22"/>
  <c r="A9" i="22"/>
  <c r="A8" i="22"/>
  <c r="A5" i="22"/>
  <c r="R43" i="23"/>
  <c r="R44" i="23"/>
  <c r="R45" i="23"/>
  <c r="R46" i="23"/>
  <c r="R47" i="23"/>
  <c r="R48" i="23"/>
  <c r="R49" i="23"/>
  <c r="R50" i="23"/>
  <c r="R51" i="23"/>
  <c r="R52" i="23"/>
  <c r="R53" i="23"/>
  <c r="R54" i="23"/>
  <c r="R55" i="23"/>
  <c r="R56" i="23"/>
  <c r="R57" i="23"/>
  <c r="R58" i="23"/>
  <c r="R59" i="23"/>
  <c r="R60" i="23"/>
  <c r="R61" i="23"/>
  <c r="R62" i="23"/>
  <c r="R63" i="23"/>
  <c r="R64" i="23"/>
  <c r="R65" i="23"/>
  <c r="R66" i="23"/>
  <c r="R67" i="23"/>
  <c r="R68" i="23"/>
  <c r="R69" i="23"/>
  <c r="R70" i="23"/>
  <c r="R71" i="23"/>
  <c r="R72" i="23"/>
  <c r="R73" i="23"/>
  <c r="R74" i="23"/>
  <c r="R75" i="23"/>
  <c r="R76" i="23"/>
  <c r="R77" i="23"/>
  <c r="R78" i="23"/>
  <c r="R79" i="23"/>
  <c r="R80" i="23"/>
  <c r="R81" i="23"/>
  <c r="R82" i="23"/>
  <c r="R83" i="23"/>
  <c r="R84" i="23"/>
  <c r="R85" i="23"/>
  <c r="R86" i="23"/>
  <c r="R87" i="23"/>
  <c r="R88" i="23"/>
  <c r="R89" i="23"/>
  <c r="R90" i="23"/>
  <c r="R91" i="23"/>
  <c r="R92" i="23"/>
  <c r="R93" i="23"/>
  <c r="R94" i="23"/>
  <c r="R95" i="23"/>
  <c r="R96" i="23"/>
  <c r="R97" i="23"/>
  <c r="R98" i="23"/>
  <c r="R99" i="23"/>
  <c r="R100" i="23"/>
  <c r="R101" i="23"/>
  <c r="R102" i="23"/>
  <c r="R103" i="23"/>
  <c r="R104" i="23"/>
  <c r="R105" i="23"/>
  <c r="R106" i="23"/>
  <c r="R107" i="23"/>
  <c r="R108" i="23"/>
  <c r="R109" i="23"/>
  <c r="R110" i="23"/>
  <c r="R111" i="23"/>
  <c r="R112" i="23"/>
  <c r="R113" i="23"/>
  <c r="R114" i="23"/>
  <c r="R115" i="23"/>
  <c r="R116" i="23"/>
  <c r="R117" i="23"/>
  <c r="R118" i="23"/>
  <c r="R119" i="23"/>
  <c r="R120" i="23"/>
  <c r="R121" i="23"/>
  <c r="R122" i="23"/>
  <c r="R123" i="23"/>
  <c r="R124" i="23"/>
  <c r="R125" i="23"/>
  <c r="R126" i="23"/>
  <c r="R127" i="23"/>
  <c r="R128" i="23"/>
  <c r="R129" i="23"/>
  <c r="R130" i="23"/>
  <c r="R131" i="23"/>
  <c r="R132" i="23"/>
  <c r="R133" i="23"/>
  <c r="R134" i="23"/>
  <c r="R135" i="23"/>
  <c r="R136" i="23"/>
  <c r="R137" i="23"/>
  <c r="R138" i="23"/>
  <c r="R139" i="23"/>
  <c r="R140" i="23"/>
  <c r="R141" i="23"/>
  <c r="R142" i="23"/>
  <c r="R143" i="23"/>
  <c r="R144" i="23"/>
  <c r="R145" i="23"/>
  <c r="R146" i="23"/>
  <c r="R147" i="23"/>
  <c r="R148" i="23"/>
  <c r="R149" i="23"/>
  <c r="R150" i="23"/>
  <c r="R151" i="23"/>
  <c r="R152" i="23"/>
  <c r="R153" i="23"/>
  <c r="R154" i="23"/>
  <c r="R155" i="23"/>
  <c r="R156" i="23"/>
  <c r="R157" i="23"/>
  <c r="R158" i="23"/>
  <c r="R159" i="23"/>
  <c r="R160" i="23"/>
  <c r="R161" i="23"/>
  <c r="R162" i="23"/>
  <c r="R163" i="23"/>
  <c r="R164" i="23"/>
  <c r="R165" i="23"/>
  <c r="R166" i="23"/>
  <c r="R167" i="23"/>
  <c r="R168" i="23"/>
  <c r="R169" i="23"/>
  <c r="R170" i="23"/>
  <c r="R171" i="23"/>
  <c r="R172" i="23"/>
  <c r="R173" i="23"/>
  <c r="R174" i="23"/>
  <c r="R175" i="23"/>
  <c r="R176" i="23"/>
  <c r="R177" i="23"/>
  <c r="R178" i="23"/>
  <c r="R179" i="23"/>
  <c r="R180" i="23"/>
  <c r="R181" i="23"/>
  <c r="R182" i="23"/>
  <c r="R183" i="23"/>
  <c r="R184" i="23"/>
  <c r="R185" i="23"/>
  <c r="R186" i="23"/>
  <c r="R187" i="23"/>
  <c r="R188" i="23"/>
  <c r="R189" i="23"/>
  <c r="R190" i="23"/>
  <c r="R191" i="23"/>
  <c r="R192" i="23"/>
  <c r="R193" i="23"/>
  <c r="R194" i="23"/>
  <c r="R195" i="23"/>
  <c r="R196" i="23"/>
  <c r="R197" i="23"/>
  <c r="R198" i="23"/>
  <c r="R199" i="23"/>
  <c r="R200" i="23"/>
  <c r="R201" i="23"/>
  <c r="R202" i="23"/>
  <c r="R203" i="23"/>
  <c r="R20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8" i="23"/>
  <c r="P19" i="23"/>
  <c r="P21" i="23"/>
  <c r="P22" i="23"/>
  <c r="P23" i="23"/>
  <c r="P24" i="23"/>
  <c r="P26" i="23"/>
  <c r="P29" i="23"/>
  <c r="P32" i="23"/>
  <c r="P35" i="23"/>
  <c r="P38" i="23"/>
  <c r="P40" i="23"/>
  <c r="P43" i="23"/>
  <c r="P47" i="23"/>
  <c r="P50" i="23"/>
  <c r="P52" i="23"/>
  <c r="P55" i="23"/>
  <c r="P58" i="23"/>
  <c r="P61" i="23"/>
  <c r="P64" i="23"/>
  <c r="P67" i="23"/>
  <c r="P70" i="23"/>
  <c r="P73" i="23"/>
  <c r="P75" i="23"/>
  <c r="P78" i="23"/>
  <c r="P81" i="23"/>
  <c r="P85" i="23"/>
  <c r="P88" i="23"/>
  <c r="P91" i="23"/>
  <c r="P94" i="23"/>
  <c r="P97" i="23"/>
  <c r="P99" i="23"/>
  <c r="P102" i="23"/>
  <c r="P105" i="23"/>
  <c r="P108" i="23"/>
  <c r="P111" i="23"/>
  <c r="P114" i="23"/>
  <c r="P117" i="23"/>
  <c r="P120" i="23"/>
  <c r="P123" i="23"/>
  <c r="P126" i="23"/>
  <c r="P129" i="23"/>
  <c r="P133" i="23"/>
  <c r="P136" i="23"/>
  <c r="P139" i="23"/>
  <c r="P142" i="23"/>
  <c r="P145" i="23"/>
  <c r="P148" i="23"/>
  <c r="P150" i="23"/>
  <c r="P153" i="23"/>
  <c r="P156" i="23"/>
  <c r="P158" i="23"/>
  <c r="P161" i="23"/>
  <c r="P164" i="23"/>
  <c r="P167" i="23"/>
  <c r="P170" i="23"/>
  <c r="P173" i="23"/>
  <c r="P177" i="23"/>
  <c r="P182" i="23"/>
  <c r="P185" i="23"/>
  <c r="P188" i="23"/>
  <c r="P191" i="23"/>
  <c r="P194" i="23"/>
  <c r="P198" i="23"/>
  <c r="P201" i="23"/>
  <c r="P203" i="23"/>
  <c r="O6" i="23"/>
  <c r="O9" i="23"/>
  <c r="O12" i="23"/>
  <c r="O15" i="23"/>
  <c r="O18" i="23"/>
  <c r="O21" i="23"/>
  <c r="O23" i="23"/>
  <c r="O26" i="23"/>
  <c r="O29" i="23"/>
  <c r="O31" i="23"/>
  <c r="O34" i="23"/>
  <c r="O37" i="23"/>
  <c r="O40" i="23"/>
  <c r="O43" i="23"/>
  <c r="O46" i="23"/>
  <c r="O49" i="23"/>
  <c r="O52" i="23"/>
  <c r="O55" i="23"/>
  <c r="O58" i="23"/>
  <c r="O61" i="23"/>
  <c r="O64" i="23"/>
  <c r="O67" i="23"/>
  <c r="O69" i="23"/>
  <c r="O72" i="23"/>
  <c r="O75" i="23"/>
  <c r="O78" i="23"/>
  <c r="O81" i="23"/>
  <c r="O84" i="23"/>
  <c r="O87" i="23"/>
  <c r="O88" i="23"/>
  <c r="O90" i="23"/>
  <c r="O93" i="23"/>
  <c r="O96" i="23"/>
  <c r="O98" i="23"/>
  <c r="O101" i="23"/>
  <c r="O104" i="23"/>
  <c r="O107" i="23"/>
  <c r="O110" i="23"/>
  <c r="O113" i="23"/>
  <c r="O116" i="23"/>
  <c r="O119" i="23"/>
  <c r="O122" i="23"/>
  <c r="O125" i="23"/>
  <c r="O128" i="23"/>
  <c r="O131" i="23"/>
  <c r="O135" i="23"/>
  <c r="O138" i="23"/>
  <c r="O141" i="23"/>
  <c r="O144" i="23"/>
  <c r="O146" i="23"/>
  <c r="O149" i="23"/>
  <c r="O152" i="23"/>
  <c r="O155" i="23"/>
  <c r="O159" i="23"/>
  <c r="O161" i="23"/>
  <c r="O164" i="23"/>
  <c r="O167" i="23"/>
  <c r="O170" i="23"/>
  <c r="O173" i="23"/>
  <c r="O176" i="23"/>
  <c r="O179" i="23"/>
  <c r="O182" i="23"/>
  <c r="O185" i="23"/>
  <c r="O187" i="23"/>
  <c r="O190" i="23"/>
  <c r="O193" i="23"/>
  <c r="O196" i="23"/>
  <c r="O199" i="23"/>
  <c r="O202" i="23"/>
  <c r="N5" i="23"/>
  <c r="N8" i="23"/>
  <c r="N11" i="23"/>
  <c r="N14" i="23"/>
  <c r="N17" i="23"/>
  <c r="N20" i="23"/>
  <c r="N23" i="23"/>
  <c r="N26" i="23"/>
  <c r="N29" i="23"/>
  <c r="N32" i="23"/>
  <c r="N35" i="23"/>
  <c r="N38" i="23"/>
  <c r="N41" i="23"/>
  <c r="N44" i="23"/>
  <c r="N47" i="23"/>
  <c r="N51" i="23"/>
  <c r="N54" i="23"/>
  <c r="N57" i="23"/>
  <c r="N60" i="23"/>
  <c r="N64" i="23"/>
  <c r="N67" i="23"/>
  <c r="N70" i="23"/>
  <c r="N72" i="23"/>
  <c r="N75" i="23"/>
  <c r="N78" i="23"/>
  <c r="N81" i="23"/>
  <c r="N84" i="23"/>
  <c r="N87" i="23"/>
  <c r="N90" i="23"/>
  <c r="N93" i="23"/>
  <c r="N96" i="23"/>
  <c r="N99" i="23"/>
  <c r="N102" i="23"/>
  <c r="N105" i="23"/>
  <c r="N108" i="23"/>
  <c r="N111" i="23"/>
  <c r="N113" i="23"/>
  <c r="N116" i="23"/>
  <c r="N119" i="23"/>
  <c r="N121" i="23"/>
  <c r="N123" i="23"/>
  <c r="N125" i="23"/>
  <c r="N128" i="23"/>
  <c r="N131" i="23"/>
  <c r="N134" i="23"/>
  <c r="N136" i="23"/>
  <c r="N139" i="23"/>
  <c r="N142" i="23"/>
  <c r="N145" i="23"/>
  <c r="N148" i="23"/>
  <c r="N151" i="23"/>
  <c r="N154" i="23"/>
  <c r="N156" i="23"/>
  <c r="N158" i="23"/>
  <c r="N161" i="23"/>
  <c r="N164" i="23"/>
  <c r="N168" i="23"/>
  <c r="N172" i="23"/>
  <c r="N175" i="23"/>
  <c r="N178" i="23"/>
  <c r="N181" i="23"/>
  <c r="N184" i="23"/>
  <c r="N188" i="23"/>
  <c r="N191" i="23"/>
  <c r="N194" i="23"/>
  <c r="N196" i="23"/>
  <c r="N199" i="23"/>
  <c r="N201" i="23"/>
  <c r="N204" i="23"/>
  <c r="M7" i="23"/>
  <c r="M10" i="23"/>
  <c r="M13" i="23"/>
  <c r="M16" i="23"/>
  <c r="M18" i="23"/>
  <c r="M21" i="23"/>
  <c r="M24" i="23"/>
  <c r="M27" i="23"/>
  <c r="M30" i="23"/>
  <c r="M32" i="23"/>
  <c r="M34" i="23"/>
  <c r="M37" i="23"/>
  <c r="M39" i="23"/>
  <c r="M40" i="23"/>
  <c r="M41" i="23"/>
  <c r="M42" i="23"/>
  <c r="M43" i="23"/>
  <c r="M44" i="23"/>
  <c r="M45" i="23"/>
  <c r="M46" i="23"/>
  <c r="M47" i="23"/>
  <c r="M48" i="23"/>
  <c r="M49" i="23"/>
  <c r="M50" i="23"/>
  <c r="M51" i="23"/>
  <c r="M52" i="23"/>
  <c r="M53" i="23"/>
  <c r="M54" i="23"/>
  <c r="M55" i="23"/>
  <c r="M56" i="23"/>
  <c r="M57" i="23"/>
  <c r="M58" i="23"/>
  <c r="M59" i="23"/>
  <c r="M60" i="23"/>
  <c r="M61" i="23"/>
  <c r="M62" i="23"/>
  <c r="M63" i="23"/>
  <c r="M64" i="23"/>
  <c r="M65" i="23"/>
  <c r="M66" i="23"/>
  <c r="M67" i="23"/>
  <c r="M68" i="23"/>
  <c r="M69" i="23"/>
  <c r="M70" i="23"/>
  <c r="M71" i="23"/>
  <c r="M72" i="23"/>
  <c r="M73" i="23"/>
  <c r="M74" i="23"/>
  <c r="M75" i="23"/>
  <c r="M76" i="23"/>
  <c r="M77" i="23"/>
  <c r="M78" i="23"/>
  <c r="M79" i="23"/>
  <c r="M80" i="23"/>
  <c r="M81" i="23"/>
  <c r="M82" i="23"/>
  <c r="M83" i="23"/>
  <c r="M84" i="23"/>
  <c r="M85" i="23"/>
  <c r="M86" i="23"/>
  <c r="M87" i="23"/>
  <c r="M88" i="23"/>
  <c r="M89" i="23"/>
  <c r="M90" i="23"/>
  <c r="M91" i="23"/>
  <c r="M92" i="23"/>
  <c r="M93" i="23"/>
  <c r="M94" i="23"/>
  <c r="M95" i="23"/>
  <c r="M96" i="23"/>
  <c r="M97" i="23"/>
  <c r="M98" i="23"/>
  <c r="M99" i="23"/>
  <c r="M100" i="23"/>
  <c r="M101" i="23"/>
  <c r="M102" i="23"/>
  <c r="M103" i="23"/>
  <c r="M104" i="23"/>
  <c r="M105" i="23"/>
  <c r="M106" i="23"/>
  <c r="M107" i="23"/>
  <c r="M108" i="23"/>
  <c r="M109" i="23"/>
  <c r="M110" i="23"/>
  <c r="M111" i="23"/>
  <c r="M112" i="23"/>
  <c r="M113" i="23"/>
  <c r="M114" i="23"/>
  <c r="M115" i="23"/>
  <c r="M116" i="23"/>
  <c r="M117" i="23"/>
  <c r="M118" i="23"/>
  <c r="M119" i="23"/>
  <c r="M120" i="23"/>
  <c r="M121" i="23"/>
  <c r="M122" i="23"/>
  <c r="M123" i="23"/>
  <c r="M124" i="23"/>
  <c r="M125" i="23"/>
  <c r="M126" i="23"/>
  <c r="M127" i="23"/>
  <c r="M128" i="23"/>
  <c r="M129" i="23"/>
  <c r="M130" i="23"/>
  <c r="M131" i="23"/>
  <c r="M132" i="23"/>
  <c r="M133" i="23"/>
  <c r="M134" i="23"/>
  <c r="M135" i="23"/>
  <c r="M136" i="23"/>
  <c r="M137" i="23"/>
  <c r="M138" i="23"/>
  <c r="M139" i="23"/>
  <c r="M140" i="23"/>
  <c r="M141" i="23"/>
  <c r="M142" i="23"/>
  <c r="M143" i="23"/>
  <c r="M144" i="23"/>
  <c r="M145" i="23"/>
  <c r="M146" i="23"/>
  <c r="M147" i="23"/>
  <c r="M148" i="23"/>
  <c r="M149" i="23"/>
  <c r="M150" i="23"/>
  <c r="M151" i="23"/>
  <c r="M152" i="23"/>
  <c r="M153" i="23"/>
  <c r="M154" i="23"/>
  <c r="M155" i="23"/>
  <c r="M156" i="23"/>
  <c r="M157" i="23"/>
  <c r="M158" i="23"/>
  <c r="M159" i="23"/>
  <c r="M160" i="23"/>
  <c r="M161" i="23"/>
  <c r="M162" i="23"/>
  <c r="M163" i="23"/>
  <c r="M164" i="23"/>
  <c r="M165" i="23"/>
  <c r="M166" i="23"/>
  <c r="M167" i="23"/>
  <c r="M168" i="23"/>
  <c r="M169" i="23"/>
  <c r="M170" i="23"/>
  <c r="M171" i="23"/>
  <c r="M172" i="23"/>
  <c r="M173" i="23"/>
  <c r="M174" i="23"/>
  <c r="M175" i="23"/>
  <c r="M176" i="23"/>
  <c r="M177" i="23"/>
  <c r="M178" i="23"/>
  <c r="M179" i="23"/>
  <c r="M180" i="23"/>
  <c r="M181" i="23"/>
  <c r="M182" i="23"/>
  <c r="M183" i="23"/>
  <c r="M184" i="23"/>
  <c r="M185" i="23"/>
  <c r="M186" i="23"/>
  <c r="M187" i="23"/>
  <c r="M188" i="23"/>
  <c r="M189" i="23"/>
  <c r="M190" i="23"/>
  <c r="M191" i="23"/>
  <c r="M192" i="23"/>
  <c r="M193" i="23"/>
  <c r="M194" i="23"/>
  <c r="M195" i="23"/>
  <c r="M196" i="23"/>
  <c r="M197" i="23"/>
  <c r="M198" i="23"/>
  <c r="M199" i="23"/>
  <c r="M200" i="23"/>
  <c r="M201" i="23"/>
  <c r="M202" i="23"/>
  <c r="M203" i="23"/>
  <c r="M20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J5" i="23"/>
  <c r="J6" i="23"/>
  <c r="J7" i="23"/>
  <c r="J8" i="23"/>
  <c r="J9" i="23"/>
  <c r="J10" i="23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42" i="23"/>
  <c r="J43" i="23"/>
  <c r="J44" i="23"/>
  <c r="J45" i="23"/>
  <c r="J46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J69" i="23"/>
  <c r="J70" i="23"/>
  <c r="J71" i="23"/>
  <c r="J72" i="23"/>
  <c r="J73" i="23"/>
  <c r="J74" i="23"/>
  <c r="J75" i="23"/>
  <c r="J76" i="23"/>
  <c r="J77" i="23"/>
  <c r="J78" i="23"/>
  <c r="J79" i="23"/>
  <c r="J80" i="23"/>
  <c r="J81" i="23"/>
  <c r="J82" i="23"/>
  <c r="J83" i="23"/>
  <c r="J84" i="23"/>
  <c r="J85" i="23"/>
  <c r="J86" i="23"/>
  <c r="J87" i="23"/>
  <c r="J88" i="23"/>
  <c r="J89" i="23"/>
  <c r="J90" i="23"/>
  <c r="J91" i="23"/>
  <c r="J92" i="23"/>
  <c r="J93" i="23"/>
  <c r="J94" i="23"/>
  <c r="J95" i="23"/>
  <c r="J96" i="23"/>
  <c r="J97" i="23"/>
  <c r="J98" i="23"/>
  <c r="J99" i="23"/>
  <c r="J100" i="23"/>
  <c r="J101" i="23"/>
  <c r="J102" i="23"/>
  <c r="J103" i="23"/>
  <c r="J104" i="23"/>
  <c r="J105" i="23"/>
  <c r="J106" i="23"/>
  <c r="J107" i="23"/>
  <c r="J108" i="23"/>
  <c r="J109" i="23"/>
  <c r="J110" i="23"/>
  <c r="J111" i="23"/>
  <c r="J112" i="23"/>
  <c r="J113" i="23"/>
  <c r="J114" i="23"/>
  <c r="J115" i="23"/>
  <c r="J116" i="23"/>
  <c r="J117" i="23"/>
  <c r="J118" i="23"/>
  <c r="J119" i="23"/>
  <c r="J120" i="23"/>
  <c r="J121" i="23"/>
  <c r="J122" i="23"/>
  <c r="J123" i="23"/>
  <c r="J124" i="23"/>
  <c r="J125" i="23"/>
  <c r="J126" i="23"/>
  <c r="J127" i="23"/>
  <c r="J128" i="23"/>
  <c r="J129" i="23"/>
  <c r="J130" i="23"/>
  <c r="J131" i="23"/>
  <c r="J132" i="23"/>
  <c r="J133" i="23"/>
  <c r="J134" i="23"/>
  <c r="J135" i="23"/>
  <c r="J136" i="23"/>
  <c r="J137" i="23"/>
  <c r="J138" i="23"/>
  <c r="J139" i="23"/>
  <c r="J140" i="23"/>
  <c r="J141" i="23"/>
  <c r="J142" i="23"/>
  <c r="J143" i="23"/>
  <c r="J144" i="23"/>
  <c r="J145" i="23"/>
  <c r="J146" i="23"/>
  <c r="J147" i="23"/>
  <c r="J148" i="23"/>
  <c r="J149" i="23"/>
  <c r="J150" i="23"/>
  <c r="J151" i="23"/>
  <c r="J152" i="23"/>
  <c r="J153" i="23"/>
  <c r="J154" i="23"/>
  <c r="J155" i="23"/>
  <c r="J156" i="23"/>
  <c r="J157" i="23"/>
  <c r="J158" i="23"/>
  <c r="J159" i="23"/>
  <c r="J160" i="23"/>
  <c r="J161" i="23"/>
  <c r="J162" i="23"/>
  <c r="J163" i="23"/>
  <c r="J164" i="23"/>
  <c r="J165" i="23"/>
  <c r="J166" i="23"/>
  <c r="J167" i="23"/>
  <c r="J168" i="23"/>
  <c r="J169" i="23"/>
  <c r="J170" i="23"/>
  <c r="J171" i="23"/>
  <c r="J172" i="23"/>
  <c r="J173" i="23"/>
  <c r="J174" i="23"/>
  <c r="J175" i="23"/>
  <c r="J176" i="23"/>
  <c r="J177" i="23"/>
  <c r="J178" i="23"/>
  <c r="J179" i="23"/>
  <c r="J180" i="23"/>
  <c r="J181" i="23"/>
  <c r="J182" i="23"/>
  <c r="J183" i="23"/>
  <c r="J184" i="23"/>
  <c r="J185" i="23"/>
  <c r="J186" i="23"/>
  <c r="J187" i="23"/>
  <c r="J188" i="23"/>
  <c r="J189" i="23"/>
  <c r="J190" i="23"/>
  <c r="J191" i="23"/>
  <c r="J192" i="23"/>
  <c r="J193" i="23"/>
  <c r="J194" i="23"/>
  <c r="J195" i="23"/>
  <c r="J196" i="23"/>
  <c r="J197" i="23"/>
  <c r="J198" i="23"/>
  <c r="J199" i="23"/>
  <c r="J200" i="23"/>
  <c r="J201" i="23"/>
  <c r="J202" i="23"/>
  <c r="J203" i="23"/>
  <c r="J20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  <c r="I112" i="23"/>
  <c r="I113" i="23"/>
  <c r="I114" i="23"/>
  <c r="I115" i="23"/>
  <c r="I116" i="23"/>
  <c r="I117" i="23"/>
  <c r="I118" i="23"/>
  <c r="I119" i="23"/>
  <c r="I120" i="23"/>
  <c r="I121" i="23"/>
  <c r="I122" i="23"/>
  <c r="I123" i="23"/>
  <c r="I124" i="23"/>
  <c r="I125" i="23"/>
  <c r="I126" i="23"/>
  <c r="I127" i="23"/>
  <c r="I128" i="23"/>
  <c r="I129" i="23"/>
  <c r="I130" i="23"/>
  <c r="I131" i="23"/>
  <c r="I132" i="23"/>
  <c r="I133" i="23"/>
  <c r="I134" i="23"/>
  <c r="I135" i="23"/>
  <c r="I136" i="23"/>
  <c r="I137" i="23"/>
  <c r="I138" i="23"/>
  <c r="I139" i="23"/>
  <c r="I140" i="23"/>
  <c r="I141" i="23"/>
  <c r="I142" i="23"/>
  <c r="I143" i="23"/>
  <c r="I144" i="23"/>
  <c r="I145" i="23"/>
  <c r="I146" i="23"/>
  <c r="I147" i="23"/>
  <c r="I148" i="23"/>
  <c r="I149" i="23"/>
  <c r="I150" i="23"/>
  <c r="I151" i="23"/>
  <c r="I152" i="23"/>
  <c r="I153" i="23"/>
  <c r="I154" i="23"/>
  <c r="I155" i="23"/>
  <c r="I156" i="23"/>
  <c r="I157" i="23"/>
  <c r="I158" i="23"/>
  <c r="I159" i="23"/>
  <c r="I160" i="23"/>
  <c r="I161" i="23"/>
  <c r="I162" i="23"/>
  <c r="I163" i="23"/>
  <c r="I164" i="23"/>
  <c r="I165" i="23"/>
  <c r="I166" i="23"/>
  <c r="I167" i="23"/>
  <c r="I168" i="23"/>
  <c r="I169" i="23"/>
  <c r="I170" i="23"/>
  <c r="I171" i="23"/>
  <c r="I172" i="23"/>
  <c r="I173" i="23"/>
  <c r="I174" i="23"/>
  <c r="I175" i="23"/>
  <c r="I176" i="23"/>
  <c r="I177" i="23"/>
  <c r="I178" i="23"/>
  <c r="I179" i="23"/>
  <c r="I180" i="23"/>
  <c r="I181" i="23"/>
  <c r="I182" i="23"/>
  <c r="I183" i="23"/>
  <c r="I184" i="23"/>
  <c r="I185" i="23"/>
  <c r="I186" i="23"/>
  <c r="I187" i="23"/>
  <c r="I188" i="23"/>
  <c r="I189" i="23"/>
  <c r="I190" i="23"/>
  <c r="I191" i="23"/>
  <c r="I192" i="23"/>
  <c r="I193" i="23"/>
  <c r="I194" i="23"/>
  <c r="I195" i="23"/>
  <c r="I196" i="23"/>
  <c r="I197" i="23"/>
  <c r="I198" i="23"/>
  <c r="I199" i="23"/>
  <c r="I200" i="23"/>
  <c r="I201" i="23"/>
  <c r="I202" i="23"/>
  <c r="I203" i="23"/>
  <c r="I204" i="23"/>
  <c r="H5" i="23"/>
  <c r="H6" i="23"/>
  <c r="H7" i="23"/>
  <c r="H8" i="23"/>
  <c r="H9" i="23"/>
  <c r="H10" i="23"/>
  <c r="H11" i="23"/>
  <c r="H12" i="23"/>
  <c r="H13" i="23"/>
  <c r="H14" i="23"/>
  <c r="H15" i="23"/>
  <c r="H16" i="23"/>
  <c r="H17" i="23"/>
  <c r="H18" i="23"/>
  <c r="H19" i="23"/>
  <c r="H20" i="23"/>
  <c r="H21" i="23"/>
  <c r="H22" i="23"/>
  <c r="H23" i="23"/>
  <c r="H24" i="23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D179" i="23"/>
  <c r="D181" i="23"/>
  <c r="D183" i="23"/>
  <c r="D185" i="23"/>
  <c r="D187" i="23"/>
  <c r="D189" i="23"/>
  <c r="D191" i="23"/>
  <c r="D193" i="23"/>
  <c r="D195" i="23"/>
  <c r="D197" i="23"/>
  <c r="D199" i="23"/>
  <c r="D201" i="23"/>
  <c r="D202" i="23"/>
  <c r="D204" i="23"/>
  <c r="C6" i="23"/>
  <c r="C8" i="23"/>
  <c r="C10" i="23"/>
  <c r="C11" i="23"/>
  <c r="C13" i="23"/>
  <c r="C15" i="23"/>
  <c r="C17" i="23"/>
  <c r="C18" i="23"/>
  <c r="C20" i="23"/>
  <c r="C22" i="23"/>
  <c r="C23" i="23"/>
  <c r="C25" i="23"/>
  <c r="C27" i="23"/>
  <c r="C29" i="23"/>
  <c r="C30" i="23"/>
  <c r="C32" i="23"/>
  <c r="C34" i="23"/>
  <c r="C36" i="23"/>
  <c r="C38" i="23"/>
  <c r="C39" i="23"/>
  <c r="C41" i="23"/>
  <c r="C43" i="23"/>
  <c r="C45" i="23"/>
  <c r="C46" i="23"/>
  <c r="C48" i="23"/>
  <c r="C50" i="23"/>
  <c r="C52" i="23"/>
  <c r="C54" i="23"/>
  <c r="C56" i="23"/>
  <c r="C58" i="23"/>
  <c r="C60" i="23"/>
  <c r="C62" i="23"/>
  <c r="C64" i="23"/>
  <c r="C65" i="23"/>
  <c r="C67" i="23"/>
  <c r="C68" i="23"/>
  <c r="C70" i="23"/>
  <c r="C72" i="23"/>
  <c r="C74" i="23"/>
  <c r="C75" i="23"/>
  <c r="C77" i="23"/>
  <c r="C79" i="23"/>
  <c r="C81" i="23"/>
  <c r="C83" i="23"/>
  <c r="C84" i="23"/>
  <c r="C86" i="23"/>
  <c r="C88" i="23"/>
  <c r="C90" i="23"/>
  <c r="C92" i="23"/>
  <c r="C93" i="23"/>
  <c r="C95" i="23"/>
  <c r="C97" i="23"/>
  <c r="C99" i="23"/>
  <c r="C100" i="23"/>
  <c r="C102" i="23"/>
  <c r="C104" i="23"/>
  <c r="C106" i="23"/>
  <c r="C108" i="23"/>
  <c r="C110" i="23"/>
  <c r="H75" i="23"/>
  <c r="H76" i="23"/>
  <c r="H77" i="23"/>
  <c r="H78" i="23"/>
  <c r="H79" i="23"/>
  <c r="H80" i="23"/>
  <c r="H81" i="23"/>
  <c r="H82" i="23"/>
  <c r="H83" i="23"/>
  <c r="H84" i="23"/>
  <c r="H85" i="23"/>
  <c r="H86" i="23"/>
  <c r="H87" i="23"/>
  <c r="H88" i="23"/>
  <c r="H89" i="23"/>
  <c r="H90" i="23"/>
  <c r="H91" i="23"/>
  <c r="H92" i="23"/>
  <c r="H93" i="23"/>
  <c r="H94" i="23"/>
  <c r="H95" i="23"/>
  <c r="H96" i="23"/>
  <c r="H97" i="23"/>
  <c r="H98" i="23"/>
  <c r="H99" i="23"/>
  <c r="H100" i="23"/>
  <c r="H101" i="23"/>
  <c r="H102" i="23"/>
  <c r="H103" i="23"/>
  <c r="H104" i="23"/>
  <c r="H105" i="23"/>
  <c r="H106" i="23"/>
  <c r="H107" i="23"/>
  <c r="H108" i="23"/>
  <c r="H109" i="23"/>
  <c r="H110" i="23"/>
  <c r="H111" i="23"/>
  <c r="H112" i="23"/>
  <c r="H113" i="23"/>
  <c r="H114" i="23"/>
  <c r="H115" i="23"/>
  <c r="H116" i="23"/>
  <c r="H117" i="23"/>
  <c r="H118" i="23"/>
  <c r="H119" i="23"/>
  <c r="H120" i="23"/>
  <c r="H121" i="23"/>
  <c r="H122" i="23"/>
  <c r="H123" i="23"/>
  <c r="H124" i="23"/>
  <c r="H125" i="23"/>
  <c r="H126" i="23"/>
  <c r="H127" i="23"/>
  <c r="H128" i="23"/>
  <c r="H129" i="23"/>
  <c r="H130" i="23"/>
  <c r="H131" i="23"/>
  <c r="H132" i="23"/>
  <c r="H133" i="23"/>
  <c r="H134" i="23"/>
  <c r="H135" i="23"/>
  <c r="H136" i="23"/>
  <c r="H137" i="23"/>
  <c r="H138" i="23"/>
  <c r="H139" i="23"/>
  <c r="H140" i="23"/>
  <c r="H141" i="23"/>
  <c r="H142" i="23"/>
  <c r="H143" i="23"/>
  <c r="H144" i="23"/>
  <c r="H145" i="23"/>
  <c r="H146" i="23"/>
  <c r="H147" i="23"/>
  <c r="H148" i="23"/>
  <c r="H149" i="23"/>
  <c r="H150" i="23"/>
  <c r="H151" i="23"/>
  <c r="H152" i="23"/>
  <c r="H153" i="23"/>
  <c r="H154" i="23"/>
  <c r="H155" i="23"/>
  <c r="H156" i="23"/>
  <c r="H157" i="23"/>
  <c r="H158" i="23"/>
  <c r="H159" i="23"/>
  <c r="H160" i="23"/>
  <c r="H161" i="23"/>
  <c r="H162" i="23"/>
  <c r="H163" i="23"/>
  <c r="H164" i="23"/>
  <c r="H165" i="23"/>
  <c r="H166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H179" i="23"/>
  <c r="H180" i="23"/>
  <c r="H181" i="23"/>
  <c r="H182" i="23"/>
  <c r="H183" i="23"/>
  <c r="H184" i="23"/>
  <c r="H185" i="23"/>
  <c r="H186" i="23"/>
  <c r="H187" i="23"/>
  <c r="H188" i="23"/>
  <c r="H189" i="23"/>
  <c r="H190" i="23"/>
  <c r="H191" i="23"/>
  <c r="H192" i="23"/>
  <c r="H193" i="23"/>
  <c r="H194" i="23"/>
  <c r="H195" i="23"/>
  <c r="H196" i="23"/>
  <c r="H197" i="23"/>
  <c r="H198" i="23"/>
  <c r="H199" i="23"/>
  <c r="H200" i="23"/>
  <c r="H201" i="23"/>
  <c r="H202" i="23"/>
  <c r="H203" i="23"/>
  <c r="H20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G130" i="23"/>
  <c r="G131" i="23"/>
  <c r="G132" i="23"/>
  <c r="G133" i="23"/>
  <c r="G134" i="23"/>
  <c r="G135" i="23"/>
  <c r="G136" i="23"/>
  <c r="G137" i="23"/>
  <c r="G138" i="23"/>
  <c r="G139" i="23"/>
  <c r="G140" i="23"/>
  <c r="G141" i="23"/>
  <c r="G142" i="23"/>
  <c r="G143" i="23"/>
  <c r="G144" i="23"/>
  <c r="G145" i="23"/>
  <c r="G146" i="23"/>
  <c r="G147" i="23"/>
  <c r="G148" i="23"/>
  <c r="G149" i="23"/>
  <c r="G150" i="23"/>
  <c r="G151" i="23"/>
  <c r="G152" i="23"/>
  <c r="G153" i="23"/>
  <c r="G154" i="23"/>
  <c r="G155" i="23"/>
  <c r="G156" i="23"/>
  <c r="G157" i="23"/>
  <c r="G158" i="23"/>
  <c r="G159" i="23"/>
  <c r="G160" i="23"/>
  <c r="G161" i="23"/>
  <c r="G162" i="23"/>
  <c r="G163" i="23"/>
  <c r="G164" i="23"/>
  <c r="G165" i="23"/>
  <c r="G166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G179" i="23"/>
  <c r="G180" i="23"/>
  <c r="G181" i="23"/>
  <c r="G182" i="23"/>
  <c r="G183" i="23"/>
  <c r="G184" i="23"/>
  <c r="G185" i="23"/>
  <c r="G186" i="23"/>
  <c r="G187" i="23"/>
  <c r="G188" i="23"/>
  <c r="G189" i="23"/>
  <c r="G190" i="23"/>
  <c r="G191" i="23"/>
  <c r="G192" i="23"/>
  <c r="G193" i="23"/>
  <c r="G194" i="23"/>
  <c r="G195" i="23"/>
  <c r="G196" i="23"/>
  <c r="G197" i="23"/>
  <c r="G198" i="23"/>
  <c r="G199" i="23"/>
  <c r="G200" i="23"/>
  <c r="G201" i="23"/>
  <c r="G202" i="23"/>
  <c r="G203" i="23"/>
  <c r="G20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80" i="23"/>
  <c r="D182" i="23"/>
  <c r="D184" i="23"/>
  <c r="D186" i="23"/>
  <c r="D188" i="23"/>
  <c r="D190" i="23"/>
  <c r="D192" i="23"/>
  <c r="D194" i="23"/>
  <c r="D196" i="23"/>
  <c r="D198" i="23"/>
  <c r="D200" i="23"/>
  <c r="D203" i="23"/>
  <c r="C5" i="23"/>
  <c r="C7" i="23"/>
  <c r="C9" i="23"/>
  <c r="C12" i="23"/>
  <c r="C14" i="23"/>
  <c r="C16" i="23"/>
  <c r="C19" i="23"/>
  <c r="C21" i="23"/>
  <c r="C24" i="23"/>
  <c r="C26" i="23"/>
  <c r="C28" i="23"/>
  <c r="C31" i="23"/>
  <c r="C33" i="23"/>
  <c r="C35" i="23"/>
  <c r="C37" i="23"/>
  <c r="C40" i="23"/>
  <c r="C42" i="23"/>
  <c r="C44" i="23"/>
  <c r="C47" i="23"/>
  <c r="C49" i="23"/>
  <c r="C51" i="23"/>
  <c r="C53" i="23"/>
  <c r="C55" i="23"/>
  <c r="C57" i="23"/>
  <c r="C59" i="23"/>
  <c r="C61" i="23"/>
  <c r="C63" i="23"/>
  <c r="C66" i="23"/>
  <c r="C69" i="23"/>
  <c r="C71" i="23"/>
  <c r="C73" i="23"/>
  <c r="C76" i="23"/>
  <c r="C78" i="23"/>
  <c r="C80" i="23"/>
  <c r="C82" i="23"/>
  <c r="C85" i="23"/>
  <c r="C87" i="23"/>
  <c r="C89" i="23"/>
  <c r="C91" i="23"/>
  <c r="C94" i="23"/>
  <c r="C96" i="23"/>
  <c r="C98" i="23"/>
  <c r="C101" i="23"/>
  <c r="C103" i="23"/>
  <c r="C105" i="23"/>
  <c r="C107" i="23"/>
  <c r="C109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36" i="23"/>
  <c r="B37" i="23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B101" i="23"/>
  <c r="B102" i="23"/>
  <c r="B103" i="23"/>
  <c r="B104" i="23"/>
  <c r="B105" i="23"/>
  <c r="B106" i="23"/>
  <c r="B107" i="23"/>
  <c r="B108" i="23"/>
  <c r="B109" i="23"/>
  <c r="B110" i="23"/>
  <c r="B111" i="23"/>
  <c r="B112" i="23"/>
  <c r="B113" i="23"/>
  <c r="B114" i="23"/>
  <c r="B115" i="23"/>
  <c r="B116" i="23"/>
  <c r="B117" i="23"/>
  <c r="B118" i="23"/>
  <c r="B119" i="23"/>
  <c r="B120" i="23"/>
  <c r="B121" i="23"/>
  <c r="B122" i="23"/>
  <c r="B123" i="23"/>
  <c r="B124" i="23"/>
  <c r="B125" i="23"/>
  <c r="B126" i="23"/>
  <c r="B127" i="23"/>
  <c r="B128" i="23"/>
  <c r="B129" i="23"/>
  <c r="B130" i="23"/>
  <c r="B131" i="23"/>
  <c r="B132" i="23"/>
  <c r="B133" i="23"/>
  <c r="B134" i="23"/>
  <c r="B135" i="23"/>
  <c r="B136" i="23"/>
  <c r="B137" i="23"/>
  <c r="B138" i="23"/>
  <c r="B139" i="23"/>
  <c r="B140" i="23"/>
  <c r="B141" i="23"/>
  <c r="B142" i="23"/>
  <c r="B143" i="23"/>
  <c r="B144" i="23"/>
  <c r="B145" i="23"/>
  <c r="B146" i="23"/>
  <c r="B147" i="23"/>
  <c r="B148" i="23"/>
  <c r="B149" i="23"/>
  <c r="B150" i="23"/>
  <c r="B151" i="23"/>
  <c r="B152" i="23"/>
  <c r="B153" i="23"/>
  <c r="B154" i="23"/>
  <c r="B155" i="23"/>
  <c r="B156" i="23"/>
  <c r="B157" i="23"/>
  <c r="B158" i="23"/>
  <c r="B159" i="23"/>
  <c r="B160" i="23"/>
  <c r="B161" i="23"/>
  <c r="B162" i="23"/>
  <c r="B163" i="23"/>
  <c r="B164" i="23"/>
  <c r="B165" i="23"/>
  <c r="B166" i="23"/>
  <c r="B167" i="23"/>
  <c r="B168" i="23"/>
  <c r="B169" i="23"/>
  <c r="B170" i="23"/>
  <c r="B171" i="23"/>
  <c r="B172" i="23"/>
  <c r="B173" i="23"/>
  <c r="B174" i="23"/>
  <c r="B175" i="23"/>
  <c r="B176" i="23"/>
  <c r="B177" i="23"/>
  <c r="B178" i="23"/>
  <c r="B179" i="23"/>
  <c r="B180" i="23"/>
  <c r="B181" i="23"/>
  <c r="B182" i="23"/>
  <c r="B183" i="23"/>
  <c r="B184" i="23"/>
  <c r="B185" i="23"/>
  <c r="B186" i="23"/>
  <c r="B187" i="23"/>
  <c r="B188" i="23"/>
  <c r="B189" i="23"/>
  <c r="B190" i="23"/>
  <c r="B191" i="23"/>
  <c r="B192" i="23"/>
  <c r="B193" i="23"/>
  <c r="B194" i="23"/>
  <c r="B195" i="23"/>
  <c r="B196" i="23"/>
  <c r="B197" i="23"/>
  <c r="B198" i="23"/>
  <c r="B199" i="23"/>
  <c r="B200" i="23"/>
  <c r="B201" i="23"/>
  <c r="B202" i="23"/>
  <c r="B203" i="23"/>
  <c r="B20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A201" i="23"/>
  <c r="A202" i="23"/>
  <c r="A203" i="23"/>
  <c r="A204" i="23"/>
  <c r="A3" i="23"/>
  <c r="R5" i="23"/>
  <c r="R6" i="23"/>
  <c r="R7" i="23"/>
  <c r="R8" i="23"/>
  <c r="R9" i="23"/>
  <c r="R10" i="23"/>
  <c r="R11" i="23"/>
  <c r="R12" i="23"/>
  <c r="R13" i="23"/>
  <c r="R14" i="23"/>
  <c r="M36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P20" i="23"/>
  <c r="P27" i="23"/>
  <c r="P31" i="23"/>
  <c r="P34" i="23"/>
  <c r="P36" i="23"/>
  <c r="P39" i="23"/>
  <c r="P42" i="23"/>
  <c r="P45" i="23"/>
  <c r="P48" i="23"/>
  <c r="P53" i="23"/>
  <c r="P56" i="23"/>
  <c r="P59" i="23"/>
  <c r="P62" i="23"/>
  <c r="P65" i="23"/>
  <c r="P68" i="23"/>
  <c r="P71" i="23"/>
  <c r="P76" i="23"/>
  <c r="P79" i="23"/>
  <c r="P82" i="23"/>
  <c r="P84" i="23"/>
  <c r="P87" i="23"/>
  <c r="P90" i="23"/>
  <c r="P93" i="23"/>
  <c r="P96" i="23"/>
  <c r="P101" i="23"/>
  <c r="P104" i="23"/>
  <c r="P107" i="23"/>
  <c r="P110" i="23"/>
  <c r="P113" i="23"/>
  <c r="P116" i="23"/>
  <c r="P119" i="23"/>
  <c r="P122" i="23"/>
  <c r="P125" i="23"/>
  <c r="P128" i="23"/>
  <c r="P131" i="23"/>
  <c r="P134" i="23"/>
  <c r="P137" i="23"/>
  <c r="P140" i="23"/>
  <c r="P143" i="23"/>
  <c r="P147" i="23"/>
  <c r="P151" i="23"/>
  <c r="P154" i="23"/>
  <c r="P157" i="23"/>
  <c r="P160" i="23"/>
  <c r="P163" i="23"/>
  <c r="P166" i="23"/>
  <c r="P169" i="23"/>
  <c r="P172" i="23"/>
  <c r="P175" i="23"/>
  <c r="P178" i="23"/>
  <c r="P181" i="23"/>
  <c r="P184" i="23"/>
  <c r="P187" i="23"/>
  <c r="P190" i="23"/>
  <c r="P193" i="23"/>
  <c r="P196" i="23"/>
  <c r="P199" i="23"/>
  <c r="P204" i="23"/>
  <c r="O7" i="23"/>
  <c r="O10" i="23"/>
  <c r="O13" i="23"/>
  <c r="O16" i="23"/>
  <c r="O19" i="23"/>
  <c r="O22" i="23"/>
  <c r="O25" i="23"/>
  <c r="O28" i="23"/>
  <c r="O32" i="23"/>
  <c r="O35" i="23"/>
  <c r="O38" i="23"/>
  <c r="O41" i="23"/>
  <c r="O44" i="23"/>
  <c r="O47" i="23"/>
  <c r="O50" i="23"/>
  <c r="O53" i="23"/>
  <c r="O57" i="23"/>
  <c r="O60" i="23"/>
  <c r="O63" i="23"/>
  <c r="O66" i="23"/>
  <c r="O68" i="23"/>
  <c r="O70" i="23"/>
  <c r="O73" i="23"/>
  <c r="O76" i="23"/>
  <c r="O79" i="23"/>
  <c r="O82" i="23"/>
  <c r="O85" i="23"/>
  <c r="O92" i="23"/>
  <c r="O95" i="23"/>
  <c r="O99" i="23"/>
  <c r="O103" i="23"/>
  <c r="O105" i="23"/>
  <c r="O108" i="23"/>
  <c r="O111" i="23"/>
  <c r="O114" i="23"/>
  <c r="O118" i="23"/>
  <c r="O121" i="23"/>
  <c r="O124" i="23"/>
  <c r="O127" i="23"/>
  <c r="O130" i="23"/>
  <c r="O133" i="23"/>
  <c r="O136" i="23"/>
  <c r="O139" i="23"/>
  <c r="O142" i="23"/>
  <c r="O145" i="23"/>
  <c r="O148" i="23"/>
  <c r="O151" i="23"/>
  <c r="O154" i="23"/>
  <c r="O157" i="23"/>
  <c r="O160" i="23"/>
  <c r="O163" i="23"/>
  <c r="O166" i="23"/>
  <c r="O168" i="23"/>
  <c r="O171" i="23"/>
  <c r="O174" i="23"/>
  <c r="O177" i="23"/>
  <c r="O180" i="23"/>
  <c r="O183" i="23"/>
  <c r="O188" i="23"/>
  <c r="O191" i="23"/>
  <c r="O194" i="23"/>
  <c r="O197" i="23"/>
  <c r="O200" i="23"/>
  <c r="O203" i="23"/>
  <c r="N6" i="23"/>
  <c r="N9" i="23"/>
  <c r="N12" i="23"/>
  <c r="N16" i="23"/>
  <c r="N18" i="23"/>
  <c r="N21" i="23"/>
  <c r="N24" i="23"/>
  <c r="N27" i="23"/>
  <c r="N30" i="23"/>
  <c r="N34" i="23"/>
  <c r="N37" i="23"/>
  <c r="N40" i="23"/>
  <c r="N43" i="23"/>
  <c r="N46" i="23"/>
  <c r="N49" i="23"/>
  <c r="N52" i="23"/>
  <c r="N55" i="23"/>
  <c r="N58" i="23"/>
  <c r="N61" i="23"/>
  <c r="N65" i="23"/>
  <c r="N68" i="23"/>
  <c r="N71" i="23"/>
  <c r="N74" i="23"/>
  <c r="N77" i="23"/>
  <c r="N80" i="23"/>
  <c r="N83" i="23"/>
  <c r="N85" i="23"/>
  <c r="N88" i="23"/>
  <c r="N91" i="23"/>
  <c r="N95" i="23"/>
  <c r="N98" i="23"/>
  <c r="N101" i="23"/>
  <c r="N104" i="23"/>
  <c r="N106" i="23"/>
  <c r="N110" i="23"/>
  <c r="N114" i="23"/>
  <c r="N117" i="23"/>
  <c r="N120" i="23"/>
  <c r="N122" i="23"/>
  <c r="N124" i="23"/>
  <c r="N127" i="23"/>
  <c r="N130" i="23"/>
  <c r="N133" i="23"/>
  <c r="N137" i="23"/>
  <c r="N140" i="23"/>
  <c r="N143" i="23"/>
  <c r="N146" i="23"/>
  <c r="N149" i="23"/>
  <c r="N152" i="23"/>
  <c r="N160" i="23"/>
  <c r="N163" i="23"/>
  <c r="N166" i="23"/>
  <c r="N169" i="23"/>
  <c r="N171" i="23"/>
  <c r="N174" i="23"/>
  <c r="N177" i="23"/>
  <c r="N180" i="23"/>
  <c r="N183" i="23"/>
  <c r="N186" i="23"/>
  <c r="N190" i="23"/>
  <c r="N193" i="23"/>
  <c r="N197" i="23"/>
  <c r="N200" i="23"/>
  <c r="N203" i="23"/>
  <c r="M6" i="23"/>
  <c r="M9" i="23"/>
  <c r="M12" i="23"/>
  <c r="M15" i="23"/>
  <c r="M19" i="23"/>
  <c r="M22" i="23"/>
  <c r="M25" i="23"/>
  <c r="M28" i="23"/>
  <c r="M31" i="23"/>
  <c r="M35" i="23"/>
  <c r="M38" i="23"/>
  <c r="P17" i="23"/>
  <c r="P25" i="23"/>
  <c r="P28" i="23"/>
  <c r="P30" i="23"/>
  <c r="P33" i="23"/>
  <c r="P37" i="23"/>
  <c r="P41" i="23"/>
  <c r="P44" i="23"/>
  <c r="P46" i="23"/>
  <c r="P49" i="23"/>
  <c r="P51" i="23"/>
  <c r="P54" i="23"/>
  <c r="P57" i="23"/>
  <c r="P60" i="23"/>
  <c r="P63" i="23"/>
  <c r="P66" i="23"/>
  <c r="P69" i="23"/>
  <c r="P72" i="23"/>
  <c r="P74" i="23"/>
  <c r="P77" i="23"/>
  <c r="P80" i="23"/>
  <c r="P83" i="23"/>
  <c r="P86" i="23"/>
  <c r="P89" i="23"/>
  <c r="P92" i="23"/>
  <c r="P95" i="23"/>
  <c r="P98" i="23"/>
  <c r="P100" i="23"/>
  <c r="P103" i="23"/>
  <c r="P106" i="23"/>
  <c r="P109" i="23"/>
  <c r="P112" i="23"/>
  <c r="P115" i="23"/>
  <c r="P118" i="23"/>
  <c r="P121" i="23"/>
  <c r="P124" i="23"/>
  <c r="P127" i="23"/>
  <c r="P130" i="23"/>
  <c r="P132" i="23"/>
  <c r="P135" i="23"/>
  <c r="P138" i="23"/>
  <c r="P141" i="23"/>
  <c r="P144" i="23"/>
  <c r="P146" i="23"/>
  <c r="P149" i="23"/>
  <c r="P152" i="23"/>
  <c r="P155" i="23"/>
  <c r="P159" i="23"/>
  <c r="P162" i="23"/>
  <c r="P165" i="23"/>
  <c r="P168" i="23"/>
  <c r="P171" i="23"/>
  <c r="P174" i="23"/>
  <c r="P176" i="23"/>
  <c r="P179" i="23"/>
  <c r="P180" i="23"/>
  <c r="P183" i="23"/>
  <c r="P186" i="23"/>
  <c r="P189" i="23"/>
  <c r="P192" i="23"/>
  <c r="P195" i="23"/>
  <c r="P197" i="23"/>
  <c r="P200" i="23"/>
  <c r="P202" i="23"/>
  <c r="O5" i="23"/>
  <c r="O8" i="23"/>
  <c r="O11" i="23"/>
  <c r="O14" i="23"/>
  <c r="O17" i="23"/>
  <c r="O20" i="23"/>
  <c r="O24" i="23"/>
  <c r="O27" i="23"/>
  <c r="O30" i="23"/>
  <c r="O33" i="23"/>
  <c r="O36" i="23"/>
  <c r="O39" i="23"/>
  <c r="O42" i="23"/>
  <c r="O45" i="23"/>
  <c r="O48" i="23"/>
  <c r="O51" i="23"/>
  <c r="O54" i="23"/>
  <c r="O56" i="23"/>
  <c r="O59" i="23"/>
  <c r="O62" i="23"/>
  <c r="O65" i="23"/>
  <c r="O71" i="23"/>
  <c r="O74" i="23"/>
  <c r="O77" i="23"/>
  <c r="O80" i="23"/>
  <c r="O83" i="23"/>
  <c r="O86" i="23"/>
  <c r="O89" i="23"/>
  <c r="O91" i="23"/>
  <c r="O94" i="23"/>
  <c r="O97" i="23"/>
  <c r="O100" i="23"/>
  <c r="O102" i="23"/>
  <c r="O106" i="23"/>
  <c r="O109" i="23"/>
  <c r="O112" i="23"/>
  <c r="O115" i="23"/>
  <c r="O117" i="23"/>
  <c r="O120" i="23"/>
  <c r="O123" i="23"/>
  <c r="O126" i="23"/>
  <c r="O129" i="23"/>
  <c r="O132" i="23"/>
  <c r="O134" i="23"/>
  <c r="O137" i="23"/>
  <c r="O140" i="23"/>
  <c r="O143" i="23"/>
  <c r="O147" i="23"/>
  <c r="O150" i="23"/>
  <c r="O153" i="23"/>
  <c r="O156" i="23"/>
  <c r="O158" i="23"/>
  <c r="O162" i="23"/>
  <c r="O165" i="23"/>
  <c r="O169" i="23"/>
  <c r="O172" i="23"/>
  <c r="O175" i="23"/>
  <c r="O178" i="23"/>
  <c r="O181" i="23"/>
  <c r="O184" i="23"/>
  <c r="O186" i="23"/>
  <c r="O189" i="23"/>
  <c r="O192" i="23"/>
  <c r="O195" i="23"/>
  <c r="O198" i="23"/>
  <c r="O201" i="23"/>
  <c r="O204" i="23"/>
  <c r="N7" i="23"/>
  <c r="N10" i="23"/>
  <c r="N13" i="23"/>
  <c r="N15" i="23"/>
  <c r="N19" i="23"/>
  <c r="N22" i="23"/>
  <c r="N25" i="23"/>
  <c r="N28" i="23"/>
  <c r="N31" i="23"/>
  <c r="N33" i="23"/>
  <c r="N36" i="23"/>
  <c r="N39" i="23"/>
  <c r="N42" i="23"/>
  <c r="N45" i="23"/>
  <c r="N48" i="23"/>
  <c r="N50" i="23"/>
  <c r="N53" i="23"/>
  <c r="N56" i="23"/>
  <c r="N59" i="23"/>
  <c r="N62" i="23"/>
  <c r="N63" i="23"/>
  <c r="N66" i="23"/>
  <c r="N69" i="23"/>
  <c r="N73" i="23"/>
  <c r="N76" i="23"/>
  <c r="N79" i="23"/>
  <c r="N82" i="23"/>
  <c r="N86" i="23"/>
  <c r="N89" i="23"/>
  <c r="N92" i="23"/>
  <c r="N94" i="23"/>
  <c r="N97" i="23"/>
  <c r="N100" i="23"/>
  <c r="N103" i="23"/>
  <c r="N107" i="23"/>
  <c r="N109" i="23"/>
  <c r="N112" i="23"/>
  <c r="N115" i="23"/>
  <c r="N118" i="23"/>
  <c r="N126" i="23"/>
  <c r="N129" i="23"/>
  <c r="N132" i="23"/>
  <c r="N135" i="23"/>
  <c r="N138" i="23"/>
  <c r="N141" i="23"/>
  <c r="N144" i="23"/>
  <c r="N147" i="23"/>
  <c r="N150" i="23"/>
  <c r="N153" i="23"/>
  <c r="N155" i="23"/>
  <c r="N157" i="23"/>
  <c r="N159" i="23"/>
  <c r="N162" i="23"/>
  <c r="N165" i="23"/>
  <c r="N167" i="23"/>
  <c r="N170" i="23"/>
  <c r="N173" i="23"/>
  <c r="N176" i="23"/>
  <c r="N179" i="23"/>
  <c r="N182" i="23"/>
  <c r="N185" i="23"/>
  <c r="N187" i="23"/>
  <c r="N189" i="23"/>
  <c r="N192" i="23"/>
  <c r="N195" i="23"/>
  <c r="N198" i="23"/>
  <c r="N202" i="23"/>
  <c r="M5" i="23"/>
  <c r="M8" i="23"/>
  <c r="M11" i="23"/>
  <c r="M14" i="23"/>
  <c r="M17" i="23"/>
  <c r="M20" i="23"/>
  <c r="M23" i="23"/>
  <c r="M26" i="23"/>
  <c r="M29" i="23"/>
  <c r="M33" i="23"/>
  <c r="J21" i="19"/>
  <c r="F13" i="19"/>
  <c r="J19" i="19"/>
  <c r="E13" i="19"/>
  <c r="G13" i="19" s="1"/>
  <c r="A28" i="19"/>
  <c r="J28" i="19" s="1"/>
  <c r="A6" i="19"/>
  <c r="A5" i="19"/>
  <c r="J33" i="22"/>
  <c r="J35" i="22"/>
  <c r="J36" i="22"/>
  <c r="J39" i="22"/>
  <c r="J41" i="22"/>
  <c r="J44" i="22"/>
  <c r="J46" i="22"/>
  <c r="J49" i="22"/>
  <c r="J52" i="22"/>
  <c r="J54" i="22"/>
  <c r="J57" i="22"/>
  <c r="J60" i="22"/>
  <c r="J63" i="22"/>
  <c r="J72" i="22"/>
  <c r="U7" i="18"/>
  <c r="X2" i="18"/>
  <c r="S2" i="18"/>
  <c r="X3" i="18"/>
  <c r="S3" i="18"/>
  <c r="X4" i="18"/>
  <c r="S4" i="18"/>
  <c r="X5" i="18"/>
  <c r="S5" i="18"/>
  <c r="X6" i="18"/>
  <c r="S6" i="18"/>
  <c r="S7" i="18"/>
  <c r="X7" i="18"/>
  <c r="X8" i="18"/>
  <c r="S8" i="18"/>
  <c r="X9" i="18"/>
  <c r="S9" i="18"/>
  <c r="X10" i="18"/>
  <c r="S10" i="18"/>
  <c r="X11" i="18"/>
  <c r="S11" i="18"/>
  <c r="S12" i="18"/>
  <c r="X12" i="18"/>
  <c r="X13" i="18"/>
  <c r="S13" i="18"/>
  <c r="S14" i="18"/>
  <c r="X14" i="18"/>
  <c r="X15" i="18"/>
  <c r="S15" i="18"/>
  <c r="X16" i="18"/>
  <c r="S16" i="18"/>
  <c r="S17" i="18"/>
  <c r="X17" i="18"/>
  <c r="S18" i="18"/>
  <c r="X18" i="18"/>
  <c r="X19" i="18"/>
  <c r="S19" i="18"/>
  <c r="X20" i="18"/>
  <c r="S20" i="18"/>
  <c r="S21" i="18"/>
  <c r="X21" i="18"/>
  <c r="X22" i="18"/>
  <c r="S22" i="18"/>
  <c r="X23" i="18"/>
  <c r="S23" i="18"/>
  <c r="X24" i="18"/>
  <c r="S24" i="18"/>
  <c r="X25" i="18"/>
  <c r="S25" i="18"/>
  <c r="X26" i="18"/>
  <c r="S26" i="18"/>
  <c r="X27" i="18"/>
  <c r="S27" i="18"/>
  <c r="X28" i="18"/>
  <c r="S28" i="18"/>
  <c r="X29" i="18"/>
  <c r="S29" i="18"/>
  <c r="S30" i="18"/>
  <c r="X30" i="18"/>
  <c r="S31" i="18"/>
  <c r="X31" i="18"/>
  <c r="S32" i="18"/>
  <c r="X32" i="18"/>
  <c r="X33" i="18"/>
  <c r="S33" i="18"/>
  <c r="X34" i="18"/>
  <c r="S34" i="18"/>
  <c r="X35" i="18"/>
  <c r="S35" i="18"/>
  <c r="X36" i="18"/>
  <c r="S36" i="18"/>
  <c r="S37" i="18"/>
  <c r="X37" i="18"/>
  <c r="X38" i="18"/>
  <c r="S38" i="18"/>
  <c r="X39" i="18"/>
  <c r="S39" i="18"/>
  <c r="S40" i="18"/>
  <c r="X40" i="18"/>
  <c r="X41" i="18"/>
  <c r="S41" i="18"/>
  <c r="S42" i="18"/>
  <c r="X42" i="18"/>
  <c r="X43" i="18"/>
  <c r="S43" i="18"/>
  <c r="S44" i="18"/>
  <c r="X44" i="18"/>
  <c r="X45" i="18"/>
  <c r="S45" i="18"/>
  <c r="X46" i="18"/>
  <c r="S46" i="18"/>
  <c r="X47" i="18"/>
  <c r="S47" i="18"/>
  <c r="X48" i="18"/>
  <c r="S48" i="18"/>
  <c r="X49" i="18"/>
  <c r="S49" i="18"/>
  <c r="X50" i="18"/>
  <c r="S50" i="18"/>
  <c r="X51" i="18"/>
  <c r="S51" i="18"/>
  <c r="X52" i="18"/>
  <c r="S52" i="18"/>
  <c r="X53" i="18"/>
  <c r="S53" i="18"/>
  <c r="X54" i="18"/>
  <c r="S54" i="18"/>
  <c r="X55" i="18"/>
  <c r="S55" i="18"/>
  <c r="X56" i="18"/>
  <c r="S56" i="18"/>
  <c r="X57" i="18"/>
  <c r="S57" i="18"/>
  <c r="S58" i="18"/>
  <c r="X58" i="18"/>
  <c r="S59" i="18"/>
  <c r="X59" i="18"/>
  <c r="X60" i="18"/>
  <c r="S60" i="18"/>
  <c r="X61" i="18"/>
  <c r="S61" i="18"/>
  <c r="X62" i="18"/>
  <c r="S62" i="18"/>
  <c r="X63" i="18"/>
  <c r="S63" i="18"/>
  <c r="X64" i="18"/>
  <c r="S64" i="18"/>
  <c r="S65" i="18"/>
  <c r="X65" i="18"/>
  <c r="S66" i="18"/>
  <c r="X66" i="18"/>
  <c r="X67" i="18"/>
  <c r="S67" i="18"/>
  <c r="X68" i="18"/>
  <c r="S68" i="18"/>
  <c r="X69" i="18"/>
  <c r="S69" i="18"/>
  <c r="X70" i="18"/>
  <c r="S70" i="18"/>
  <c r="X71" i="18"/>
  <c r="S71" i="18"/>
  <c r="X72" i="18"/>
  <c r="S72" i="18"/>
  <c r="X73" i="18"/>
  <c r="S73" i="18"/>
  <c r="X74" i="18"/>
  <c r="S74" i="18"/>
  <c r="X75" i="18"/>
  <c r="S75" i="18"/>
  <c r="X76" i="18"/>
  <c r="S76" i="18"/>
  <c r="X77" i="18"/>
  <c r="S77" i="18"/>
  <c r="X78" i="18"/>
  <c r="S78" i="18"/>
  <c r="X79" i="18"/>
  <c r="S79" i="18"/>
  <c r="X80" i="18"/>
  <c r="S80" i="18"/>
  <c r="S81" i="18"/>
  <c r="X81" i="18"/>
  <c r="X82" i="18"/>
  <c r="S82" i="18"/>
  <c r="X83" i="18"/>
  <c r="S83" i="18"/>
  <c r="X84" i="18"/>
  <c r="S84" i="18"/>
  <c r="S85" i="18"/>
  <c r="X85" i="18"/>
  <c r="X86" i="18"/>
  <c r="S86" i="18"/>
  <c r="X87" i="18"/>
  <c r="S87" i="18"/>
  <c r="X88" i="18"/>
  <c r="S88" i="18"/>
  <c r="X89" i="18"/>
  <c r="S89" i="18"/>
  <c r="S90" i="18"/>
  <c r="X90" i="18"/>
  <c r="X91" i="18"/>
  <c r="S91" i="18"/>
  <c r="S92" i="18"/>
  <c r="X92" i="18"/>
  <c r="X93" i="18"/>
  <c r="S93" i="18"/>
  <c r="X94" i="18"/>
  <c r="S94" i="18"/>
  <c r="X95" i="18"/>
  <c r="S95" i="18"/>
  <c r="S96" i="18"/>
  <c r="X96" i="18"/>
  <c r="X97" i="18"/>
  <c r="S97" i="18"/>
  <c r="X98" i="18"/>
  <c r="S98" i="18"/>
  <c r="X99" i="18"/>
  <c r="S99" i="18"/>
  <c r="X100" i="18"/>
  <c r="S100" i="18"/>
  <c r="X101" i="18"/>
  <c r="S101" i="18"/>
  <c r="X102" i="18"/>
  <c r="S102" i="18"/>
  <c r="X103" i="18"/>
  <c r="S103" i="18"/>
  <c r="X104" i="18"/>
  <c r="S104" i="18"/>
  <c r="X105" i="18"/>
  <c r="S105" i="18"/>
  <c r="S106" i="18"/>
  <c r="X106" i="18"/>
  <c r="X107" i="18"/>
  <c r="S107" i="18"/>
  <c r="X108" i="18"/>
  <c r="S108" i="18"/>
  <c r="X109" i="18"/>
  <c r="S109" i="18"/>
  <c r="X110" i="18"/>
  <c r="S110" i="18"/>
  <c r="S111" i="18"/>
  <c r="X111" i="18"/>
  <c r="X112" i="18"/>
  <c r="S112" i="18"/>
  <c r="X113" i="18"/>
  <c r="S113" i="18"/>
  <c r="X114" i="18"/>
  <c r="S114" i="18"/>
  <c r="S115" i="18"/>
  <c r="X115" i="18"/>
  <c r="X116" i="18"/>
  <c r="S116" i="18"/>
  <c r="X117" i="18"/>
  <c r="S117" i="18"/>
  <c r="S118" i="18"/>
  <c r="X118" i="18"/>
  <c r="X119" i="18"/>
  <c r="S119" i="18"/>
  <c r="X120" i="18"/>
  <c r="S120" i="18"/>
  <c r="S121" i="18"/>
  <c r="X121" i="18"/>
  <c r="S122" i="18"/>
  <c r="X122" i="18"/>
  <c r="S123" i="18"/>
  <c r="X123" i="18"/>
  <c r="X124" i="18"/>
  <c r="S124" i="18"/>
  <c r="S125" i="18"/>
  <c r="X125" i="18"/>
  <c r="S126" i="18"/>
  <c r="X126" i="18"/>
  <c r="X127" i="18"/>
  <c r="S127" i="18"/>
  <c r="S128" i="18"/>
  <c r="X128" i="18"/>
  <c r="X129" i="18"/>
  <c r="S129" i="18"/>
  <c r="S130" i="18"/>
  <c r="X130" i="18"/>
  <c r="S131" i="18"/>
  <c r="X131" i="18"/>
  <c r="X132" i="18"/>
  <c r="S132" i="18"/>
  <c r="X133" i="18"/>
  <c r="S133" i="18"/>
  <c r="X134" i="18"/>
  <c r="S134" i="18"/>
  <c r="X135" i="18"/>
  <c r="S135" i="18"/>
  <c r="X136" i="18"/>
  <c r="S136" i="18"/>
  <c r="S137" i="18"/>
  <c r="X137" i="18"/>
  <c r="X138" i="18"/>
  <c r="S138" i="18"/>
  <c r="S139" i="18"/>
  <c r="X139" i="18"/>
  <c r="X140" i="18"/>
  <c r="S140" i="18"/>
  <c r="X141" i="18"/>
  <c r="S141" i="18"/>
  <c r="S142" i="18"/>
  <c r="X142" i="18"/>
  <c r="S143" i="18"/>
  <c r="X143" i="18"/>
  <c r="X144" i="18"/>
  <c r="S144" i="18"/>
  <c r="X145" i="18"/>
  <c r="S145" i="18"/>
  <c r="X146" i="18"/>
  <c r="S146" i="18"/>
  <c r="S147" i="18"/>
  <c r="X147" i="18"/>
  <c r="S148" i="18"/>
  <c r="X148" i="18"/>
  <c r="X149" i="18"/>
  <c r="S149" i="18"/>
  <c r="X150" i="18"/>
  <c r="S150" i="18"/>
  <c r="X151" i="18"/>
  <c r="S151" i="18"/>
  <c r="X152" i="18"/>
  <c r="S152" i="18"/>
  <c r="X153" i="18"/>
  <c r="S153" i="18"/>
  <c r="S154" i="18"/>
  <c r="X154" i="18"/>
  <c r="S155" i="18"/>
  <c r="X155" i="18"/>
  <c r="X156" i="18"/>
  <c r="S156" i="18"/>
  <c r="X157" i="18"/>
  <c r="S157" i="18"/>
  <c r="X158" i="18"/>
  <c r="S158" i="18"/>
  <c r="X159" i="18"/>
  <c r="S159" i="18"/>
  <c r="X160" i="18"/>
  <c r="S160" i="18"/>
  <c r="S161" i="18"/>
  <c r="X161" i="18"/>
  <c r="X162" i="18"/>
  <c r="S162" i="18"/>
  <c r="X163" i="18"/>
  <c r="S163" i="18"/>
  <c r="S164" i="18"/>
  <c r="X164" i="18"/>
  <c r="S165" i="18"/>
  <c r="X165" i="18"/>
  <c r="X166" i="18"/>
  <c r="S166" i="18"/>
  <c r="X167" i="18"/>
  <c r="S167" i="18"/>
  <c r="S168" i="18"/>
  <c r="X168" i="18"/>
  <c r="S169" i="18"/>
  <c r="X169" i="18"/>
  <c r="X170" i="18"/>
  <c r="S170" i="18"/>
  <c r="S171" i="18"/>
  <c r="X171" i="18"/>
  <c r="X172" i="18"/>
  <c r="S172" i="18"/>
  <c r="X173" i="18"/>
  <c r="S173" i="18"/>
  <c r="S174" i="18"/>
  <c r="X174" i="18"/>
  <c r="X175" i="18"/>
  <c r="S175" i="18"/>
  <c r="S176" i="18"/>
  <c r="X176" i="18"/>
  <c r="S177" i="18"/>
  <c r="X177" i="18"/>
  <c r="S178" i="18"/>
  <c r="X178" i="18"/>
  <c r="S179" i="18"/>
  <c r="X179" i="18"/>
  <c r="S180" i="18"/>
  <c r="X180" i="18"/>
  <c r="X181" i="18"/>
  <c r="S181" i="18"/>
  <c r="S182" i="18"/>
  <c r="X182" i="18"/>
  <c r="S183" i="18"/>
  <c r="X183" i="18"/>
  <c r="X184" i="18"/>
  <c r="S184" i="18"/>
  <c r="S185" i="18"/>
  <c r="X185" i="18"/>
  <c r="S186" i="18"/>
  <c r="X186" i="18"/>
  <c r="X187" i="18"/>
  <c r="S187" i="18"/>
  <c r="S188" i="18"/>
  <c r="X188" i="18"/>
  <c r="S189" i="18"/>
  <c r="X189" i="18"/>
  <c r="X190" i="18"/>
  <c r="S190" i="18"/>
  <c r="S191" i="18"/>
  <c r="X191" i="18"/>
  <c r="X192" i="18"/>
  <c r="S192" i="18"/>
  <c r="X193" i="18"/>
  <c r="S193" i="18"/>
  <c r="S194" i="18"/>
  <c r="X194" i="18"/>
  <c r="X195" i="18"/>
  <c r="S195" i="18"/>
  <c r="X196" i="18"/>
  <c r="S196" i="18"/>
  <c r="S197" i="18"/>
  <c r="X197" i="18"/>
  <c r="X198" i="18"/>
  <c r="S198" i="18"/>
  <c r="S199" i="18"/>
  <c r="X199" i="18"/>
  <c r="X200" i="18"/>
  <c r="S200" i="18"/>
  <c r="S201" i="18"/>
  <c r="X201" i="18"/>
  <c r="X202" i="18"/>
  <c r="S202" i="18"/>
  <c r="S203" i="18"/>
  <c r="X203" i="18"/>
  <c r="X204" i="18"/>
  <c r="S204" i="18"/>
  <c r="S205" i="18"/>
  <c r="X205" i="18"/>
  <c r="S206" i="18"/>
  <c r="X206" i="18"/>
  <c r="S207" i="18"/>
  <c r="X207" i="18"/>
  <c r="S208" i="18"/>
  <c r="X208" i="18"/>
  <c r="S209" i="18"/>
  <c r="X209" i="18"/>
  <c r="S210" i="18"/>
  <c r="X210" i="18"/>
  <c r="X211" i="18"/>
  <c r="S211" i="18"/>
  <c r="X212" i="18"/>
  <c r="S212" i="18"/>
  <c r="S213" i="18"/>
  <c r="X213" i="18"/>
  <c r="X214" i="18"/>
  <c r="S214" i="18"/>
  <c r="X215" i="18"/>
  <c r="S215" i="18"/>
  <c r="X216" i="18"/>
  <c r="S216" i="18"/>
  <c r="X217" i="18"/>
  <c r="S217" i="18"/>
  <c r="X218" i="18"/>
  <c r="S218" i="18"/>
  <c r="X219" i="18"/>
  <c r="S219" i="18"/>
  <c r="X220" i="18"/>
  <c r="S220" i="18"/>
  <c r="X221" i="18"/>
  <c r="S221" i="18"/>
  <c r="X222" i="18"/>
  <c r="S222" i="18"/>
  <c r="X223" i="18"/>
  <c r="S223" i="18"/>
  <c r="X224" i="18"/>
  <c r="S224" i="18"/>
  <c r="X225" i="18"/>
  <c r="S225" i="18"/>
  <c r="X226" i="18"/>
  <c r="S226" i="18"/>
  <c r="X227" i="18"/>
  <c r="S227" i="18"/>
  <c r="X228" i="18"/>
  <c r="S228" i="18"/>
  <c r="X229" i="18"/>
  <c r="S229" i="18"/>
  <c r="S230" i="18"/>
  <c r="X230" i="18"/>
  <c r="X231" i="18"/>
  <c r="S231" i="18"/>
  <c r="S232" i="18"/>
  <c r="X232" i="18"/>
  <c r="X233" i="18"/>
  <c r="S233" i="18"/>
  <c r="X234" i="18"/>
  <c r="S234" i="18"/>
  <c r="X235" i="18"/>
  <c r="S235" i="18"/>
  <c r="S236" i="18"/>
  <c r="X236" i="18"/>
  <c r="X237" i="18"/>
  <c r="S237" i="18"/>
  <c r="S238" i="18"/>
  <c r="X238" i="18"/>
  <c r="X239" i="18"/>
  <c r="S239" i="18"/>
  <c r="X240" i="18"/>
  <c r="S240" i="18"/>
  <c r="S241" i="18"/>
  <c r="X241" i="18"/>
  <c r="X242" i="18"/>
  <c r="S242" i="18"/>
  <c r="X243" i="18"/>
  <c r="S243" i="18"/>
  <c r="X244" i="18"/>
  <c r="S244" i="18"/>
  <c r="X245" i="18"/>
  <c r="S245" i="18"/>
  <c r="S246" i="18"/>
  <c r="X246" i="18"/>
  <c r="X247" i="18"/>
  <c r="S247" i="18"/>
  <c r="S248" i="18"/>
  <c r="X248" i="18"/>
  <c r="S249" i="18"/>
  <c r="X249" i="18"/>
  <c r="X250" i="18"/>
  <c r="S250" i="18"/>
  <c r="S251" i="18"/>
  <c r="X251" i="18"/>
  <c r="S252" i="18"/>
  <c r="X252" i="18"/>
  <c r="X253" i="18"/>
  <c r="S253" i="18"/>
  <c r="S254" i="18"/>
  <c r="X254" i="18"/>
  <c r="X255" i="18"/>
  <c r="S255" i="18"/>
  <c r="X256" i="18"/>
  <c r="S256" i="18"/>
  <c r="X257" i="18"/>
  <c r="S257" i="18"/>
  <c r="X258" i="18"/>
  <c r="S258" i="18"/>
  <c r="X259" i="18"/>
  <c r="S259" i="18"/>
  <c r="S260" i="18"/>
  <c r="X260" i="18"/>
  <c r="S261" i="18"/>
  <c r="X261" i="18"/>
  <c r="X262" i="18"/>
  <c r="S262" i="18"/>
  <c r="S263" i="18"/>
  <c r="X263" i="18"/>
  <c r="S264" i="18"/>
  <c r="X264" i="18"/>
  <c r="S265" i="18"/>
  <c r="X265" i="18"/>
  <c r="S266" i="18"/>
  <c r="X266" i="18"/>
  <c r="X267" i="18"/>
  <c r="S267" i="18"/>
  <c r="X268" i="18"/>
  <c r="S268" i="18"/>
  <c r="X269" i="18"/>
  <c r="S269" i="18"/>
  <c r="X270" i="18"/>
  <c r="S270" i="18"/>
  <c r="S271" i="18"/>
  <c r="X271" i="18"/>
  <c r="X272" i="18"/>
  <c r="S272" i="18"/>
  <c r="X273" i="18"/>
  <c r="S273" i="18"/>
  <c r="S274" i="18"/>
  <c r="X274" i="18"/>
  <c r="X275" i="18"/>
  <c r="S275" i="18"/>
  <c r="S276" i="18"/>
  <c r="X276" i="18"/>
  <c r="S277" i="18"/>
  <c r="X277" i="18"/>
  <c r="X278" i="18"/>
  <c r="S278" i="18"/>
  <c r="X279" i="18"/>
  <c r="S279" i="18"/>
  <c r="X280" i="18"/>
  <c r="S280" i="18"/>
  <c r="X281" i="18"/>
  <c r="S281" i="18"/>
  <c r="S282" i="18"/>
  <c r="X282" i="18"/>
  <c r="X283" i="18"/>
  <c r="S283" i="18"/>
  <c r="S284" i="18"/>
  <c r="X284" i="18"/>
  <c r="S285" i="18"/>
  <c r="X285" i="18"/>
  <c r="X286" i="18"/>
  <c r="S286" i="18"/>
  <c r="X287" i="18"/>
  <c r="S287" i="18"/>
  <c r="S288" i="18"/>
  <c r="X288" i="18"/>
  <c r="S289" i="18"/>
  <c r="X289" i="18"/>
  <c r="X290" i="18"/>
  <c r="S290" i="18"/>
  <c r="S291" i="18"/>
  <c r="X291" i="18"/>
  <c r="S292" i="18"/>
  <c r="X292" i="18"/>
  <c r="S293" i="18"/>
  <c r="X293" i="18"/>
  <c r="X294" i="18"/>
  <c r="S294" i="18"/>
  <c r="X295" i="18"/>
  <c r="S295" i="18"/>
  <c r="X296" i="18"/>
  <c r="S296" i="18"/>
  <c r="X297" i="18"/>
  <c r="S297" i="18"/>
  <c r="S298" i="18"/>
  <c r="X298" i="18"/>
  <c r="X299" i="18"/>
  <c r="S299" i="18"/>
  <c r="X300" i="18"/>
  <c r="S300" i="18"/>
  <c r="X301" i="18"/>
  <c r="S301" i="18"/>
  <c r="X302" i="18"/>
  <c r="S302" i="18"/>
  <c r="X303" i="18"/>
  <c r="S303" i="18"/>
  <c r="X304" i="18"/>
  <c r="S304" i="18"/>
  <c r="S305" i="18"/>
  <c r="X305" i="18"/>
  <c r="X306" i="18"/>
  <c r="S306" i="18"/>
  <c r="X307" i="18"/>
  <c r="S307" i="18"/>
  <c r="X308" i="18"/>
  <c r="S308" i="18"/>
  <c r="X309" i="18"/>
  <c r="S309" i="18"/>
  <c r="X310" i="18"/>
  <c r="S310" i="18"/>
  <c r="X311" i="18"/>
  <c r="S311" i="18"/>
  <c r="X312" i="18"/>
  <c r="S312" i="18"/>
  <c r="S313" i="18"/>
  <c r="X313" i="18"/>
  <c r="X314" i="18"/>
  <c r="S314" i="18"/>
  <c r="S315" i="18"/>
  <c r="X315" i="18"/>
  <c r="X316" i="18"/>
  <c r="S316" i="18"/>
  <c r="S317" i="18"/>
  <c r="X317" i="18"/>
  <c r="S318" i="18"/>
  <c r="X318" i="18"/>
  <c r="X319" i="18"/>
  <c r="S319" i="18"/>
  <c r="X320" i="18"/>
  <c r="S320" i="18"/>
  <c r="S321" i="18"/>
  <c r="X321" i="18"/>
  <c r="X322" i="18"/>
  <c r="S322" i="18"/>
  <c r="X323" i="18"/>
  <c r="S323" i="18"/>
  <c r="S324" i="18"/>
  <c r="X324" i="18"/>
  <c r="X325" i="18"/>
  <c r="S325" i="18"/>
  <c r="X326" i="18"/>
  <c r="S326" i="18"/>
  <c r="X327" i="18"/>
  <c r="S327" i="18"/>
  <c r="S328" i="18"/>
  <c r="X328" i="18"/>
  <c r="S329" i="18"/>
  <c r="X329" i="18"/>
  <c r="X330" i="18"/>
  <c r="S330" i="18"/>
  <c r="X331" i="18"/>
  <c r="S331" i="18"/>
  <c r="S332" i="18"/>
  <c r="X332" i="18"/>
  <c r="S333" i="18"/>
  <c r="X333" i="18"/>
  <c r="X334" i="18"/>
  <c r="S334" i="18"/>
  <c r="S335" i="18"/>
  <c r="X335" i="18"/>
  <c r="X336" i="18"/>
  <c r="S336" i="18"/>
  <c r="S337" i="18"/>
  <c r="X337" i="18"/>
  <c r="X338" i="18"/>
  <c r="S338" i="18"/>
  <c r="S339" i="18"/>
  <c r="X339" i="18"/>
  <c r="S340" i="18"/>
  <c r="X340" i="18"/>
  <c r="X341" i="18"/>
  <c r="S341" i="18"/>
  <c r="S342" i="18"/>
  <c r="X342" i="18"/>
  <c r="S343" i="18"/>
  <c r="X343" i="18"/>
  <c r="S344" i="18"/>
  <c r="X344" i="18"/>
  <c r="S345" i="18"/>
  <c r="X345" i="18"/>
  <c r="S346" i="18"/>
  <c r="X346" i="18"/>
  <c r="X347" i="18"/>
  <c r="S347" i="18"/>
  <c r="X348" i="18"/>
  <c r="S348" i="18"/>
  <c r="S349" i="18"/>
  <c r="X349" i="18"/>
  <c r="X350" i="18"/>
  <c r="S350" i="18"/>
  <c r="S351" i="18"/>
  <c r="X351" i="18"/>
  <c r="X352" i="18"/>
  <c r="S352" i="18"/>
  <c r="S353" i="18"/>
  <c r="X353" i="18"/>
  <c r="X354" i="18"/>
  <c r="S354" i="18"/>
  <c r="X355" i="18"/>
  <c r="S355" i="18"/>
  <c r="S356" i="18"/>
  <c r="X356" i="18"/>
  <c r="S357" i="18"/>
  <c r="X357" i="18"/>
  <c r="X358" i="18"/>
  <c r="S358" i="18"/>
  <c r="X359" i="18"/>
  <c r="S359" i="18"/>
  <c r="X360" i="18"/>
  <c r="S360" i="18"/>
  <c r="X361" i="18"/>
  <c r="S361" i="18"/>
  <c r="X362" i="18"/>
  <c r="S362" i="18"/>
  <c r="X363" i="18"/>
  <c r="S363" i="18"/>
  <c r="X364" i="18"/>
  <c r="S364" i="18"/>
  <c r="X365" i="18"/>
  <c r="S365" i="18"/>
  <c r="X366" i="18"/>
  <c r="S366" i="18"/>
  <c r="X367" i="18"/>
  <c r="S367" i="18"/>
  <c r="S368" i="18"/>
  <c r="X368" i="18"/>
  <c r="X369" i="18"/>
  <c r="S369" i="18"/>
  <c r="S370" i="18"/>
  <c r="X370" i="18"/>
  <c r="S371" i="18"/>
  <c r="X371" i="18"/>
  <c r="S372" i="18"/>
  <c r="X372" i="18"/>
  <c r="S373" i="18"/>
  <c r="X373" i="18"/>
  <c r="S374" i="18"/>
  <c r="X374" i="18"/>
  <c r="S375" i="18"/>
  <c r="X375" i="18"/>
  <c r="S376" i="18"/>
  <c r="X376" i="18"/>
  <c r="S377" i="18"/>
  <c r="X377" i="18"/>
  <c r="S378" i="18"/>
  <c r="X378" i="18"/>
  <c r="S379" i="18"/>
  <c r="X379" i="18"/>
  <c r="S380" i="18"/>
  <c r="X380" i="18"/>
  <c r="S381" i="18"/>
  <c r="X381" i="18"/>
  <c r="S382" i="18"/>
  <c r="X382" i="18"/>
  <c r="S383" i="18"/>
  <c r="X383" i="18"/>
  <c r="S384" i="18"/>
  <c r="X384" i="18"/>
  <c r="X385" i="18"/>
  <c r="S385" i="18"/>
  <c r="X386" i="18"/>
  <c r="S386" i="18"/>
  <c r="S387" i="18"/>
  <c r="X387" i="18"/>
  <c r="S388" i="18"/>
  <c r="X388" i="18"/>
  <c r="S389" i="18"/>
  <c r="X389" i="18"/>
  <c r="S390" i="18"/>
  <c r="X390" i="18"/>
  <c r="S391" i="18"/>
  <c r="X391" i="18"/>
  <c r="S392" i="18"/>
  <c r="X392" i="18"/>
  <c r="S393" i="18"/>
  <c r="X393" i="18"/>
  <c r="S394" i="18"/>
  <c r="X394" i="18"/>
  <c r="S395" i="18"/>
  <c r="X395" i="18"/>
  <c r="S396" i="18"/>
  <c r="X396" i="18"/>
  <c r="S397" i="18"/>
  <c r="X397" i="18"/>
  <c r="S398" i="18"/>
  <c r="X398" i="18"/>
  <c r="S399" i="18"/>
  <c r="X399" i="18"/>
  <c r="S400" i="18"/>
  <c r="X400" i="18"/>
  <c r="S401" i="18"/>
  <c r="X401" i="18"/>
  <c r="S402" i="18"/>
  <c r="X402" i="18"/>
  <c r="S403" i="18"/>
  <c r="X403" i="18"/>
  <c r="S404" i="18"/>
  <c r="X404" i="18"/>
  <c r="S405" i="18"/>
  <c r="X405" i="18"/>
  <c r="S406" i="18"/>
  <c r="X406" i="18"/>
  <c r="S407" i="18"/>
  <c r="X407" i="18"/>
  <c r="S408" i="18"/>
  <c r="X408" i="18"/>
  <c r="S409" i="18"/>
  <c r="X409" i="18"/>
  <c r="S410" i="18"/>
  <c r="X410" i="18"/>
  <c r="S411" i="18"/>
  <c r="X411" i="18"/>
  <c r="S412" i="18"/>
  <c r="X412" i="18"/>
  <c r="S413" i="18"/>
  <c r="X413" i="18"/>
  <c r="S414" i="18"/>
  <c r="X414" i="18"/>
  <c r="X415" i="18"/>
  <c r="S415" i="18"/>
  <c r="X416" i="18"/>
  <c r="S416" i="18"/>
  <c r="S417" i="18"/>
  <c r="X417" i="18"/>
  <c r="S418" i="18"/>
  <c r="X418" i="18"/>
  <c r="S419" i="18"/>
  <c r="X419" i="18"/>
  <c r="S420" i="18"/>
  <c r="X420" i="18"/>
  <c r="S421" i="18"/>
  <c r="X421" i="18"/>
  <c r="S422" i="18"/>
  <c r="X422" i="18"/>
  <c r="S423" i="18"/>
  <c r="X423" i="18"/>
  <c r="S424" i="18"/>
  <c r="X424" i="18"/>
  <c r="S425" i="18"/>
  <c r="X425" i="18"/>
  <c r="X426" i="18"/>
  <c r="S426" i="18"/>
  <c r="S427" i="18"/>
  <c r="X427" i="18"/>
  <c r="S428" i="18"/>
  <c r="X428" i="18"/>
  <c r="S429" i="18"/>
  <c r="X429" i="18"/>
  <c r="S430" i="18"/>
  <c r="X430" i="18"/>
  <c r="X431" i="18"/>
  <c r="S431" i="18"/>
  <c r="X432" i="18"/>
  <c r="S432" i="18"/>
  <c r="S433" i="18"/>
  <c r="X433" i="18"/>
  <c r="X434" i="18"/>
  <c r="S434" i="18"/>
  <c r="X435" i="18"/>
  <c r="S435" i="18"/>
  <c r="S436" i="18"/>
  <c r="X436" i="18"/>
  <c r="X437" i="18"/>
  <c r="S437" i="18"/>
  <c r="S438" i="18"/>
  <c r="X438" i="18"/>
  <c r="S439" i="18"/>
  <c r="X439" i="18"/>
  <c r="X440" i="18"/>
  <c r="S440" i="18"/>
  <c r="S441" i="18"/>
  <c r="X441" i="18"/>
  <c r="S442" i="18"/>
  <c r="X442" i="18"/>
  <c r="S443" i="18"/>
  <c r="X443" i="18"/>
  <c r="S444" i="18"/>
  <c r="X444" i="18"/>
  <c r="X445" i="18"/>
  <c r="S445" i="18"/>
  <c r="S446" i="18"/>
  <c r="X446" i="18"/>
  <c r="S447" i="18"/>
  <c r="X447" i="18"/>
  <c r="S448" i="18"/>
  <c r="X448" i="18"/>
  <c r="X449" i="18"/>
  <c r="S449" i="18"/>
  <c r="S450" i="18"/>
  <c r="X450" i="18"/>
  <c r="X451" i="18"/>
  <c r="S451" i="18"/>
  <c r="X452" i="18"/>
  <c r="S452" i="18"/>
  <c r="X453" i="18"/>
  <c r="S453" i="18"/>
  <c r="S454" i="18"/>
  <c r="X454" i="18"/>
  <c r="S455" i="18"/>
  <c r="X455" i="18"/>
  <c r="S456" i="18"/>
  <c r="X456" i="18"/>
  <c r="X457" i="18"/>
  <c r="S457" i="18"/>
  <c r="S458" i="18"/>
  <c r="X458" i="18"/>
  <c r="X459" i="18"/>
  <c r="S459" i="18"/>
  <c r="X460" i="18"/>
  <c r="S460" i="18"/>
  <c r="X461" i="18"/>
  <c r="S461" i="18"/>
  <c r="S462" i="18"/>
  <c r="X462" i="18"/>
  <c r="X463" i="18"/>
  <c r="S463" i="18"/>
  <c r="X464" i="18"/>
  <c r="S464" i="18"/>
  <c r="X465" i="18"/>
  <c r="S465" i="18"/>
  <c r="X466" i="18"/>
  <c r="S466" i="18"/>
  <c r="X467" i="18"/>
  <c r="S467" i="18"/>
  <c r="S468" i="18"/>
  <c r="X468" i="18"/>
  <c r="X469" i="18"/>
  <c r="S469" i="18"/>
  <c r="X470" i="18"/>
  <c r="S470" i="18"/>
  <c r="X471" i="18"/>
  <c r="S471" i="18"/>
  <c r="X472" i="18"/>
  <c r="S472" i="18"/>
  <c r="X473" i="18"/>
  <c r="S473" i="18"/>
  <c r="X474" i="18"/>
  <c r="S474" i="18"/>
  <c r="S475" i="18"/>
  <c r="X475" i="18"/>
  <c r="X476" i="18"/>
  <c r="S476" i="18"/>
  <c r="X477" i="18"/>
  <c r="S477" i="18"/>
  <c r="X478" i="18"/>
  <c r="S478" i="18"/>
  <c r="X479" i="18"/>
  <c r="S479" i="18"/>
  <c r="X480" i="18"/>
  <c r="S480" i="18"/>
  <c r="X481" i="18"/>
  <c r="S481" i="18"/>
  <c r="X482" i="18"/>
  <c r="S482" i="18"/>
  <c r="X483" i="18"/>
  <c r="S483" i="18"/>
  <c r="S484" i="18"/>
  <c r="X484" i="18"/>
  <c r="X485" i="18"/>
  <c r="S485" i="18"/>
  <c r="X486" i="18"/>
  <c r="S486" i="18"/>
  <c r="X487" i="18"/>
  <c r="S487" i="18"/>
  <c r="X488" i="18"/>
  <c r="S488" i="18"/>
  <c r="S489" i="18"/>
  <c r="X489" i="18"/>
  <c r="S490" i="18"/>
  <c r="X490" i="18"/>
  <c r="S491" i="18"/>
  <c r="X491" i="18"/>
  <c r="X492" i="18"/>
  <c r="S492" i="18"/>
  <c r="S493" i="18"/>
  <c r="X493" i="18"/>
  <c r="S494" i="18"/>
  <c r="X494" i="18"/>
  <c r="X495" i="18"/>
  <c r="S495" i="18"/>
  <c r="S496" i="18"/>
  <c r="X496" i="18"/>
  <c r="X497" i="18"/>
  <c r="S497" i="18"/>
  <c r="X498" i="18"/>
  <c r="S498" i="18"/>
  <c r="S499" i="18"/>
  <c r="X499" i="18"/>
  <c r="X500" i="18"/>
  <c r="S500" i="18"/>
  <c r="X501" i="18"/>
  <c r="S501" i="18"/>
  <c r="S502" i="18"/>
  <c r="X502" i="18"/>
  <c r="S503" i="18"/>
  <c r="X503" i="18"/>
  <c r="X504" i="18"/>
  <c r="S504" i="18"/>
  <c r="S505" i="18"/>
  <c r="X505" i="18"/>
  <c r="S506" i="18"/>
  <c r="X506" i="18"/>
  <c r="S507" i="18"/>
  <c r="X507" i="18"/>
  <c r="X508" i="18"/>
  <c r="S508" i="18"/>
  <c r="S509" i="18"/>
  <c r="X509" i="18"/>
  <c r="S510" i="18"/>
  <c r="X510" i="18"/>
  <c r="S511" i="18"/>
  <c r="X511" i="18"/>
  <c r="S512" i="18"/>
  <c r="X512" i="18"/>
  <c r="X513" i="18"/>
  <c r="S513" i="18"/>
  <c r="X514" i="18"/>
  <c r="S514" i="18"/>
  <c r="X515" i="18"/>
  <c r="S515" i="18"/>
  <c r="X516" i="18"/>
  <c r="S516" i="18"/>
  <c r="X517" i="18"/>
  <c r="S517" i="18"/>
  <c r="X518" i="18"/>
  <c r="S518" i="18"/>
  <c r="X519" i="18"/>
  <c r="S519" i="18"/>
  <c r="S520" i="18"/>
  <c r="X520" i="18"/>
  <c r="X521" i="18"/>
  <c r="S521" i="18"/>
  <c r="X522" i="18"/>
  <c r="S522" i="18"/>
  <c r="X523" i="18"/>
  <c r="S523" i="18"/>
  <c r="X524" i="18"/>
  <c r="S524" i="18"/>
  <c r="X525" i="18"/>
  <c r="S525" i="18"/>
  <c r="X526" i="18"/>
  <c r="S526" i="18"/>
  <c r="X527" i="18"/>
  <c r="S527" i="18"/>
  <c r="S528" i="18"/>
  <c r="X528" i="18"/>
  <c r="X529" i="18"/>
  <c r="S529" i="18"/>
  <c r="S530" i="18"/>
  <c r="X530" i="18"/>
  <c r="S531" i="18"/>
  <c r="X531" i="18"/>
  <c r="S532" i="18"/>
  <c r="X532" i="18"/>
  <c r="X533" i="18"/>
  <c r="S533" i="18"/>
  <c r="X534" i="18"/>
  <c r="S534" i="18"/>
  <c r="X535" i="18"/>
  <c r="S535" i="18"/>
  <c r="X536" i="18"/>
  <c r="S536" i="18"/>
  <c r="S537" i="18"/>
  <c r="X537" i="18"/>
  <c r="X538" i="18"/>
  <c r="S538" i="18"/>
  <c r="X539" i="18"/>
  <c r="S539" i="18"/>
  <c r="X540" i="18"/>
  <c r="S540" i="18"/>
  <c r="X541" i="18"/>
  <c r="S541" i="18"/>
  <c r="X542" i="18"/>
  <c r="S542" i="18"/>
  <c r="X543" i="18"/>
  <c r="S543" i="18"/>
  <c r="X544" i="18"/>
  <c r="S544" i="18"/>
  <c r="S545" i="18"/>
  <c r="X545" i="18"/>
  <c r="S546" i="18"/>
  <c r="X546" i="18"/>
  <c r="K93" i="10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S11" i="7" s="1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S10" i="7" s="1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U12" i="18" l="1"/>
  <c r="A29" i="19"/>
  <c r="J29" i="19" s="1"/>
  <c r="A30" i="19"/>
  <c r="J30" i="19" s="1"/>
  <c r="J20" i="19"/>
  <c r="T307" i="18"/>
  <c r="A7" i="19" s="1"/>
  <c r="T457" i="18"/>
  <c r="T487" i="18"/>
  <c r="E11" i="22"/>
  <c r="F11" i="22"/>
  <c r="H27" i="22"/>
  <c r="B11" i="22"/>
  <c r="C11" i="22"/>
  <c r="D11" i="22"/>
  <c r="G11" i="22" s="1"/>
  <c r="C7" i="22"/>
  <c r="E7" i="22"/>
  <c r="B7" i="22"/>
  <c r="D27" i="22"/>
  <c r="F7" i="22"/>
  <c r="D7" i="22"/>
  <c r="G7" i="22" s="1"/>
  <c r="B6" i="22"/>
  <c r="D6" i="22"/>
  <c r="C6" i="22"/>
  <c r="C27" i="22"/>
  <c r="G6" i="22"/>
  <c r="F6" i="22"/>
  <c r="E6" i="22"/>
  <c r="B12" i="22"/>
  <c r="D12" i="22"/>
  <c r="G12" i="22" s="1"/>
  <c r="E12" i="22"/>
  <c r="F12" i="22"/>
  <c r="I27" i="22"/>
  <c r="C12" i="22"/>
  <c r="B10" i="22"/>
  <c r="G27" i="22"/>
  <c r="C10" i="22"/>
  <c r="D10" i="22"/>
  <c r="E10" i="22"/>
  <c r="F10" i="22"/>
  <c r="G10" i="22"/>
  <c r="F27" i="22"/>
  <c r="B9" i="22"/>
  <c r="D9" i="22"/>
  <c r="G9" i="22" s="1"/>
  <c r="C9" i="22"/>
  <c r="F9" i="22"/>
  <c r="E9" i="22"/>
  <c r="C8" i="22"/>
  <c r="D8" i="22"/>
  <c r="G8" i="22"/>
  <c r="B8" i="22"/>
  <c r="E27" i="22"/>
  <c r="F8" i="22"/>
  <c r="E8" i="22"/>
  <c r="B5" i="22"/>
  <c r="C5" i="22"/>
  <c r="B27" i="22"/>
  <c r="D5" i="22"/>
  <c r="G5" i="22" s="1"/>
  <c r="F5" i="22"/>
  <c r="E5" i="22"/>
  <c r="D6" i="19"/>
  <c r="E6" i="19"/>
  <c r="B6" i="19"/>
  <c r="C27" i="19"/>
  <c r="C6" i="19"/>
  <c r="F6" i="19"/>
  <c r="F5" i="19"/>
  <c r="D5" i="19"/>
  <c r="B27" i="19"/>
  <c r="B5" i="19"/>
  <c r="C5" i="19"/>
  <c r="E5" i="19"/>
  <c r="M181" i="20"/>
  <c r="M188" i="20"/>
  <c r="M195" i="20"/>
  <c r="M199" i="20"/>
  <c r="M203" i="20"/>
  <c r="L7" i="20"/>
  <c r="L13" i="20"/>
  <c r="L23" i="20"/>
  <c r="L27" i="20"/>
  <c r="L32" i="20"/>
  <c r="L37" i="20"/>
  <c r="L42" i="20"/>
  <c r="L47" i="20"/>
  <c r="L51" i="20"/>
  <c r="L57" i="20"/>
  <c r="L66" i="20"/>
  <c r="L70" i="20"/>
  <c r="L75" i="20"/>
  <c r="L80" i="20"/>
  <c r="L85" i="20"/>
  <c r="L90" i="20"/>
  <c r="L94" i="20"/>
  <c r="L100" i="20"/>
  <c r="L105" i="20"/>
  <c r="L110" i="20"/>
  <c r="L115" i="20"/>
  <c r="L122" i="20"/>
  <c r="L128" i="20"/>
  <c r="L133" i="20"/>
  <c r="L139" i="20"/>
  <c r="L144" i="20"/>
  <c r="L149" i="20"/>
  <c r="L153" i="20"/>
  <c r="L159" i="20"/>
  <c r="L164" i="20"/>
  <c r="L169" i="20"/>
  <c r="L173" i="20"/>
  <c r="L178" i="20"/>
  <c r="L183" i="20"/>
  <c r="L189" i="20"/>
  <c r="L196" i="20"/>
  <c r="L200" i="20"/>
  <c r="K5" i="20"/>
  <c r="K10" i="20"/>
  <c r="K13" i="20"/>
  <c r="K21" i="20"/>
  <c r="K26" i="20"/>
  <c r="K31" i="20"/>
  <c r="K37" i="20"/>
  <c r="K42" i="20"/>
  <c r="K47" i="20"/>
  <c r="K51" i="20"/>
  <c r="K55" i="20"/>
  <c r="K85" i="20"/>
  <c r="K90" i="20"/>
  <c r="K96" i="20"/>
  <c r="K101" i="20"/>
  <c r="K106" i="20"/>
  <c r="K112" i="20"/>
  <c r="K116" i="20"/>
  <c r="K122" i="20"/>
  <c r="K128" i="20"/>
  <c r="K133" i="20"/>
  <c r="K138" i="20"/>
  <c r="K143" i="20"/>
  <c r="K150" i="20"/>
  <c r="K154" i="20"/>
  <c r="K159" i="20"/>
  <c r="K165" i="20"/>
  <c r="K171" i="20"/>
  <c r="K176" i="20"/>
  <c r="K180" i="20"/>
  <c r="F9" i="20"/>
  <c r="F14" i="20"/>
  <c r="F18" i="20"/>
  <c r="F23" i="20"/>
  <c r="F28" i="20"/>
  <c r="F35" i="20"/>
  <c r="F40" i="20"/>
  <c r="F45" i="20"/>
  <c r="F50" i="20"/>
  <c r="F55" i="20"/>
  <c r="F59" i="20"/>
  <c r="F64" i="20"/>
  <c r="F68" i="20"/>
  <c r="F73" i="20"/>
  <c r="F79" i="20"/>
  <c r="F85" i="20"/>
  <c r="F90" i="20"/>
  <c r="F95" i="20"/>
  <c r="F99" i="20"/>
  <c r="F105" i="20"/>
  <c r="F109" i="20"/>
  <c r="F113" i="20"/>
  <c r="F120" i="20"/>
  <c r="F124" i="20"/>
  <c r="F129" i="20"/>
  <c r="F134" i="20"/>
  <c r="F140" i="20"/>
  <c r="F145" i="20"/>
  <c r="F149" i="20"/>
  <c r="F158" i="20"/>
  <c r="F164" i="20"/>
  <c r="F169" i="20"/>
  <c r="F174" i="20"/>
  <c r="F178" i="20"/>
  <c r="F183" i="20"/>
  <c r="F188" i="20"/>
  <c r="F193" i="20"/>
  <c r="F198" i="20"/>
  <c r="F203" i="20"/>
  <c r="E8" i="20"/>
  <c r="E14" i="20"/>
  <c r="A87" i="20"/>
  <c r="A92" i="20"/>
  <c r="A95" i="20"/>
  <c r="A100" i="20"/>
  <c r="A104" i="20"/>
  <c r="A109" i="20"/>
  <c r="A113" i="20"/>
  <c r="A117" i="20"/>
  <c r="A120" i="20"/>
  <c r="A123" i="20"/>
  <c r="A125" i="20"/>
  <c r="A128" i="20"/>
  <c r="A131" i="20"/>
  <c r="A134" i="20"/>
  <c r="A137" i="20"/>
  <c r="A140" i="20"/>
  <c r="A143" i="20"/>
  <c r="A146" i="20"/>
  <c r="A149" i="20"/>
  <c r="A151" i="20"/>
  <c r="A154" i="20"/>
  <c r="A157" i="20"/>
  <c r="A160" i="20"/>
  <c r="A163" i="20"/>
  <c r="A166" i="20"/>
  <c r="A169" i="20"/>
  <c r="R11" i="20"/>
  <c r="R13" i="20"/>
  <c r="R15" i="20"/>
  <c r="R17" i="20"/>
  <c r="R19" i="20"/>
  <c r="R21" i="20"/>
  <c r="R24" i="20"/>
  <c r="R26" i="20"/>
  <c r="R28" i="20"/>
  <c r="R30" i="20"/>
  <c r="R32" i="20"/>
  <c r="R34" i="20"/>
  <c r="R36" i="20"/>
  <c r="R38" i="20"/>
  <c r="R40" i="20"/>
  <c r="R42" i="20"/>
  <c r="R44" i="20"/>
  <c r="R46" i="20"/>
  <c r="R48" i="20"/>
  <c r="R50" i="20"/>
  <c r="R52" i="20"/>
  <c r="R54" i="20"/>
  <c r="R56" i="20"/>
  <c r="R58" i="20"/>
  <c r="R60" i="20"/>
  <c r="R62" i="20"/>
  <c r="R64" i="20"/>
  <c r="R66" i="20"/>
  <c r="R68" i="20"/>
  <c r="R70" i="20"/>
  <c r="R72" i="20"/>
  <c r="R74" i="20"/>
  <c r="R75" i="20"/>
  <c r="R77" i="20"/>
  <c r="R79" i="20"/>
  <c r="R81" i="20"/>
  <c r="R84" i="20"/>
  <c r="R86" i="20"/>
  <c r="R88" i="20"/>
  <c r="R91" i="20"/>
  <c r="R92" i="20"/>
  <c r="R94" i="20"/>
  <c r="R96" i="20"/>
  <c r="R98" i="20"/>
  <c r="R100" i="20"/>
  <c r="R102" i="20"/>
  <c r="R104" i="20"/>
  <c r="R106" i="20"/>
  <c r="R108" i="20"/>
  <c r="R110" i="20"/>
  <c r="R112" i="20"/>
  <c r="R114" i="20"/>
  <c r="R116" i="20"/>
  <c r="R118" i="20"/>
  <c r="R120" i="20"/>
  <c r="R122" i="20"/>
  <c r="R124" i="20"/>
  <c r="R126" i="20"/>
  <c r="R128" i="20"/>
  <c r="R130" i="20"/>
  <c r="R132" i="20"/>
  <c r="R134" i="20"/>
  <c r="R136" i="20"/>
  <c r="R138" i="20"/>
  <c r="R140" i="20"/>
  <c r="R142" i="20"/>
  <c r="R144" i="20"/>
  <c r="R146" i="20"/>
  <c r="R148" i="20"/>
  <c r="R150" i="20"/>
  <c r="R152" i="20"/>
  <c r="R154" i="20"/>
  <c r="R156" i="20"/>
  <c r="R157" i="20"/>
  <c r="R159" i="20"/>
  <c r="R161" i="20"/>
  <c r="R163" i="20"/>
  <c r="R165" i="20"/>
  <c r="R167" i="20"/>
  <c r="R170" i="20"/>
  <c r="R172" i="20"/>
  <c r="R174" i="20"/>
  <c r="R180" i="20"/>
  <c r="R182" i="20"/>
  <c r="R184" i="20"/>
  <c r="R186" i="20"/>
  <c r="R188" i="20"/>
  <c r="R190" i="20"/>
  <c r="R192" i="20"/>
  <c r="R194" i="20"/>
  <c r="R196" i="20"/>
  <c r="R198" i="20"/>
  <c r="R199" i="20"/>
  <c r="R200" i="20"/>
  <c r="R201" i="20"/>
  <c r="R202" i="20"/>
  <c r="R204" i="20"/>
  <c r="Q5" i="20"/>
  <c r="Q7" i="20"/>
  <c r="Q9" i="20"/>
  <c r="Q10" i="20"/>
  <c r="Q12" i="20"/>
  <c r="Q14" i="20"/>
  <c r="Q16" i="20"/>
  <c r="Q18" i="20"/>
  <c r="Q19" i="20"/>
  <c r="Q21" i="20"/>
  <c r="Q23" i="20"/>
  <c r="Q25" i="20"/>
  <c r="Q27" i="20"/>
  <c r="Q29" i="20"/>
  <c r="Q31" i="20"/>
  <c r="Q33" i="20"/>
  <c r="Q34" i="20"/>
  <c r="Q36" i="20"/>
  <c r="Q38" i="20"/>
  <c r="Q40" i="20"/>
  <c r="Q42" i="20"/>
  <c r="Q44" i="20"/>
  <c r="Q46" i="20"/>
  <c r="Q49" i="20"/>
  <c r="Q51" i="20"/>
  <c r="Q52" i="20"/>
  <c r="Q54" i="20"/>
  <c r="Q56" i="20"/>
  <c r="Q58" i="20"/>
  <c r="Q60" i="20"/>
  <c r="Q62" i="20"/>
  <c r="Q64" i="20"/>
  <c r="Q65" i="20"/>
  <c r="Q67" i="20"/>
  <c r="Q69" i="20"/>
  <c r="Q75" i="20"/>
  <c r="Q77" i="20"/>
  <c r="Q80" i="20"/>
  <c r="Q82" i="20"/>
  <c r="Q84" i="20"/>
  <c r="Q86" i="20"/>
  <c r="Q88" i="20"/>
  <c r="Q90" i="20"/>
  <c r="Q92" i="20"/>
  <c r="Q94" i="20"/>
  <c r="Q96" i="20"/>
  <c r="Q98" i="20"/>
  <c r="Q99" i="20"/>
  <c r="Q101" i="20"/>
  <c r="Q103" i="20"/>
  <c r="Q105" i="20"/>
  <c r="Q107" i="20"/>
  <c r="Q109" i="20"/>
  <c r="Q111" i="20"/>
  <c r="Q113" i="20"/>
  <c r="Q115" i="20"/>
  <c r="Q117" i="20"/>
  <c r="Q119" i="20"/>
  <c r="Q120" i="20"/>
  <c r="Q122" i="20"/>
  <c r="Q124" i="20"/>
  <c r="Q126" i="20"/>
  <c r="Q128" i="20"/>
  <c r="Q130" i="20"/>
  <c r="Q132" i="20"/>
  <c r="Q134" i="20"/>
  <c r="Q136" i="20"/>
  <c r="Q138" i="20"/>
  <c r="Q139" i="20"/>
  <c r="Q141" i="20"/>
  <c r="Q143" i="20"/>
  <c r="Q145" i="20"/>
  <c r="Q147" i="20"/>
  <c r="Q149" i="20"/>
  <c r="Q151" i="20"/>
  <c r="Q153" i="20"/>
  <c r="Q155" i="20"/>
  <c r="Q157" i="20"/>
  <c r="Q159" i="20"/>
  <c r="Q160" i="20"/>
  <c r="Q162" i="20"/>
  <c r="Q164" i="20"/>
  <c r="Q166" i="20"/>
  <c r="Q168" i="20"/>
  <c r="Q170" i="20"/>
  <c r="Q172" i="20"/>
  <c r="Q174" i="20"/>
  <c r="Q176" i="20"/>
  <c r="Q178" i="20"/>
  <c r="Q180" i="20"/>
  <c r="Q182" i="20"/>
  <c r="Q184" i="20"/>
  <c r="Q186" i="20"/>
  <c r="Q188" i="20"/>
  <c r="Q190" i="20"/>
  <c r="Q192" i="20"/>
  <c r="Q194" i="20"/>
  <c r="Q196" i="20"/>
  <c r="Q198" i="20"/>
  <c r="Q201" i="20"/>
  <c r="Q203" i="20"/>
  <c r="Q204" i="20"/>
  <c r="P6" i="20"/>
  <c r="P9" i="20"/>
  <c r="P11" i="20"/>
  <c r="P13" i="20"/>
  <c r="P15" i="20"/>
  <c r="P17" i="20"/>
  <c r="P18" i="20"/>
  <c r="P20" i="20"/>
  <c r="P22" i="20"/>
  <c r="P24" i="20"/>
  <c r="P26" i="20"/>
  <c r="P28" i="20"/>
  <c r="P30" i="20"/>
  <c r="P32" i="20"/>
  <c r="P34" i="20"/>
  <c r="P36" i="20"/>
  <c r="P38" i="20"/>
  <c r="P40" i="20"/>
  <c r="P42" i="20"/>
  <c r="P44" i="20"/>
  <c r="P46" i="20"/>
  <c r="P48" i="20"/>
  <c r="P50" i="20"/>
  <c r="P52" i="20"/>
  <c r="P54" i="20"/>
  <c r="P56" i="20"/>
  <c r="P59" i="20"/>
  <c r="P61" i="20"/>
  <c r="P63" i="20"/>
  <c r="P65" i="20"/>
  <c r="P67" i="20"/>
  <c r="P69" i="20"/>
  <c r="P71" i="20"/>
  <c r="P73" i="20"/>
  <c r="P75" i="20"/>
  <c r="P76" i="20"/>
  <c r="P78" i="20"/>
  <c r="P80" i="20"/>
  <c r="P82" i="20"/>
  <c r="P84" i="20"/>
  <c r="P86" i="20"/>
  <c r="P88" i="20"/>
  <c r="P90" i="20"/>
  <c r="P91" i="20"/>
  <c r="P93" i="20"/>
  <c r="P95" i="20"/>
  <c r="P97" i="20"/>
  <c r="P99" i="20"/>
  <c r="P101" i="20"/>
  <c r="P103" i="20"/>
  <c r="P105" i="20"/>
  <c r="P107" i="20"/>
  <c r="P108" i="20"/>
  <c r="P110" i="20"/>
  <c r="P112" i="20"/>
  <c r="P114" i="20"/>
  <c r="P116" i="20"/>
  <c r="P117" i="20"/>
  <c r="P132" i="20"/>
  <c r="P134" i="20"/>
  <c r="P136" i="20"/>
  <c r="P140" i="20"/>
  <c r="P143" i="20"/>
  <c r="P145" i="20"/>
  <c r="M180" i="20"/>
  <c r="M185" i="20"/>
  <c r="M189" i="20"/>
  <c r="M193" i="20"/>
  <c r="M200" i="20"/>
  <c r="L5" i="20"/>
  <c r="L10" i="20"/>
  <c r="L14" i="20"/>
  <c r="L18" i="20"/>
  <c r="L22" i="20"/>
  <c r="L26" i="20"/>
  <c r="L31" i="20"/>
  <c r="L36" i="20"/>
  <c r="L41" i="20"/>
  <c r="L45" i="20"/>
  <c r="L49" i="20"/>
  <c r="L53" i="20"/>
  <c r="L56" i="20"/>
  <c r="L60" i="20"/>
  <c r="L63" i="20"/>
  <c r="L68" i="20"/>
  <c r="L73" i="20"/>
  <c r="L77" i="20"/>
  <c r="L82" i="20"/>
  <c r="L86" i="20"/>
  <c r="L91" i="20"/>
  <c r="L96" i="20"/>
  <c r="L99" i="20"/>
  <c r="L104" i="20"/>
  <c r="L109" i="20"/>
  <c r="L113" i="20"/>
  <c r="L118" i="20"/>
  <c r="L123" i="20"/>
  <c r="L127" i="20"/>
  <c r="L132" i="20"/>
  <c r="L137" i="20"/>
  <c r="L142" i="20"/>
  <c r="L146" i="20"/>
  <c r="L150" i="20"/>
  <c r="L154" i="20"/>
  <c r="L158" i="20"/>
  <c r="L163" i="20"/>
  <c r="L167" i="20"/>
  <c r="L172" i="20"/>
  <c r="L177" i="20"/>
  <c r="L181" i="20"/>
  <c r="L186" i="20"/>
  <c r="L191" i="20"/>
  <c r="L195" i="20"/>
  <c r="L198" i="20"/>
  <c r="L203" i="20"/>
  <c r="K8" i="20"/>
  <c r="K12" i="20"/>
  <c r="K16" i="20"/>
  <c r="K19" i="20"/>
  <c r="K24" i="20"/>
  <c r="K28" i="20"/>
  <c r="K33" i="20"/>
  <c r="K38" i="20"/>
  <c r="K43" i="20"/>
  <c r="K48" i="20"/>
  <c r="K53" i="20"/>
  <c r="K57" i="20"/>
  <c r="K60" i="20"/>
  <c r="K64" i="20"/>
  <c r="K68" i="20"/>
  <c r="K72" i="20"/>
  <c r="K75" i="20"/>
  <c r="K78" i="20"/>
  <c r="K82" i="20"/>
  <c r="K87" i="20"/>
  <c r="K91" i="20"/>
  <c r="K95" i="20"/>
  <c r="K100" i="20"/>
  <c r="K104" i="20"/>
  <c r="K109" i="20"/>
  <c r="K110" i="20"/>
  <c r="K115" i="20"/>
  <c r="K120" i="20"/>
  <c r="K125" i="20"/>
  <c r="K131" i="20"/>
  <c r="K135" i="20"/>
  <c r="K139" i="20"/>
  <c r="K144" i="20"/>
  <c r="K148" i="20"/>
  <c r="K151" i="20"/>
  <c r="K156" i="20"/>
  <c r="K160" i="20"/>
  <c r="K164" i="20"/>
  <c r="K170" i="20"/>
  <c r="K175" i="20"/>
  <c r="K179" i="20"/>
  <c r="F11" i="20"/>
  <c r="F16" i="20"/>
  <c r="F21" i="20"/>
  <c r="F24" i="20"/>
  <c r="F29" i="20"/>
  <c r="F32" i="20"/>
  <c r="F36" i="20"/>
  <c r="F41" i="20"/>
  <c r="F46" i="20"/>
  <c r="F52" i="20"/>
  <c r="F57" i="20"/>
  <c r="F62" i="20"/>
  <c r="F66" i="20"/>
  <c r="F71" i="20"/>
  <c r="F76" i="20"/>
  <c r="F80" i="20"/>
  <c r="F87" i="20"/>
  <c r="F91" i="20"/>
  <c r="F96" i="20"/>
  <c r="F100" i="20"/>
  <c r="F104" i="20"/>
  <c r="F110" i="20"/>
  <c r="F114" i="20"/>
  <c r="F117" i="20"/>
  <c r="F121" i="20"/>
  <c r="F126" i="20"/>
  <c r="F131" i="20"/>
  <c r="F135" i="20"/>
  <c r="F139" i="20"/>
  <c r="F144" i="20"/>
  <c r="F148" i="20"/>
  <c r="F152" i="20"/>
  <c r="F155" i="20"/>
  <c r="F160" i="20"/>
  <c r="F165" i="20"/>
  <c r="F168" i="20"/>
  <c r="F173" i="20"/>
  <c r="F179" i="20"/>
  <c r="F182" i="20"/>
  <c r="F187" i="20"/>
  <c r="F192" i="20"/>
  <c r="F196" i="20"/>
  <c r="F201" i="20"/>
  <c r="E6" i="20"/>
  <c r="E10" i="20"/>
  <c r="E13" i="20"/>
  <c r="R12" i="20"/>
  <c r="R14" i="20"/>
  <c r="R16" i="20"/>
  <c r="R18" i="20"/>
  <c r="R20" i="20"/>
  <c r="R22" i="20"/>
  <c r="R23" i="20"/>
  <c r="R25" i="20"/>
  <c r="R27" i="20"/>
  <c r="R29" i="20"/>
  <c r="R31" i="20"/>
  <c r="R33" i="20"/>
  <c r="R35" i="20"/>
  <c r="R37" i="20"/>
  <c r="R39" i="20"/>
  <c r="R41" i="20"/>
  <c r="R43" i="20"/>
  <c r="R45" i="20"/>
  <c r="R47" i="20"/>
  <c r="R49" i="20"/>
  <c r="R51" i="20"/>
  <c r="R53" i="20"/>
  <c r="R55" i="20"/>
  <c r="R57" i="20"/>
  <c r="R59" i="20"/>
  <c r="R61" i="20"/>
  <c r="R63" i="20"/>
  <c r="R65" i="20"/>
  <c r="R67" i="20"/>
  <c r="R69" i="20"/>
  <c r="R71" i="20"/>
  <c r="R73" i="20"/>
  <c r="R76" i="20"/>
  <c r="R78" i="20"/>
  <c r="R80" i="20"/>
  <c r="R82" i="20"/>
  <c r="R83" i="20"/>
  <c r="R85" i="20"/>
  <c r="R87" i="20"/>
  <c r="R89" i="20"/>
  <c r="R90" i="20"/>
  <c r="R93" i="20"/>
  <c r="R95" i="20"/>
  <c r="R97" i="20"/>
  <c r="R99" i="20"/>
  <c r="R101" i="20"/>
  <c r="R103" i="20"/>
  <c r="R105" i="20"/>
  <c r="R107" i="20"/>
  <c r="R109" i="20"/>
  <c r="R111" i="20"/>
  <c r="R113" i="20"/>
  <c r="R115" i="20"/>
  <c r="R117" i="20"/>
  <c r="R119" i="20"/>
  <c r="R121" i="20"/>
  <c r="R123" i="20"/>
  <c r="R125" i="20"/>
  <c r="R127" i="20"/>
  <c r="R129" i="20"/>
  <c r="R131" i="20"/>
  <c r="R133" i="20"/>
  <c r="R135" i="20"/>
  <c r="R137" i="20"/>
  <c r="R139" i="20"/>
  <c r="R141" i="20"/>
  <c r="R143" i="20"/>
  <c r="R145" i="20"/>
  <c r="R147" i="20"/>
  <c r="R149" i="20"/>
  <c r="R151" i="20"/>
  <c r="R153" i="20"/>
  <c r="R155" i="20"/>
  <c r="R158" i="20"/>
  <c r="R160" i="20"/>
  <c r="R162" i="20"/>
  <c r="R164" i="20"/>
  <c r="R166" i="20"/>
  <c r="R168" i="20"/>
  <c r="R169" i="20"/>
  <c r="R171" i="20"/>
  <c r="R173" i="20"/>
  <c r="R175" i="20"/>
  <c r="R176" i="20"/>
  <c r="R177" i="20"/>
  <c r="R178" i="20"/>
  <c r="R179" i="20"/>
  <c r="R181" i="20"/>
  <c r="R183" i="20"/>
  <c r="R185" i="20"/>
  <c r="R187" i="20"/>
  <c r="R189" i="20"/>
  <c r="R191" i="20"/>
  <c r="R193" i="20"/>
  <c r="R195" i="20"/>
  <c r="R197" i="20"/>
  <c r="R203" i="20"/>
  <c r="Q6" i="20"/>
  <c r="Q8" i="20"/>
  <c r="Q11" i="20"/>
  <c r="Q13" i="20"/>
  <c r="Q15" i="20"/>
  <c r="Q17" i="20"/>
  <c r="Q20" i="20"/>
  <c r="Q22" i="20"/>
  <c r="Q24" i="20"/>
  <c r="Q26" i="20"/>
  <c r="Q28" i="20"/>
  <c r="Q30" i="20"/>
  <c r="Q32" i="20"/>
  <c r="Q35" i="20"/>
  <c r="Q37" i="20"/>
  <c r="Q39" i="20"/>
  <c r="Q41" i="20"/>
  <c r="Q43" i="20"/>
  <c r="Q45" i="20"/>
  <c r="Q47" i="20"/>
  <c r="Q48" i="20"/>
  <c r="Q50" i="20"/>
  <c r="Q53" i="20"/>
  <c r="Q55" i="20"/>
  <c r="Q57" i="20"/>
  <c r="Q59" i="20"/>
  <c r="Q61" i="20"/>
  <c r="Q63" i="20"/>
  <c r="Q66" i="20"/>
  <c r="Q68" i="20"/>
  <c r="Q70" i="20"/>
  <c r="Q71" i="20"/>
  <c r="Q72" i="20"/>
  <c r="Q73" i="20"/>
  <c r="Q74" i="20"/>
  <c r="Q76" i="20"/>
  <c r="Q78" i="20"/>
  <c r="Q79" i="20"/>
  <c r="Q81" i="20"/>
  <c r="Q83" i="20"/>
  <c r="Q85" i="20"/>
  <c r="Q87" i="20"/>
  <c r="Q89" i="20"/>
  <c r="Q91" i="20"/>
  <c r="Q93" i="20"/>
  <c r="Q95" i="20"/>
  <c r="Q97" i="20"/>
  <c r="Q100" i="20"/>
  <c r="Q102" i="20"/>
  <c r="Q104" i="20"/>
  <c r="Q106" i="20"/>
  <c r="Q108" i="20"/>
  <c r="Q110" i="20"/>
  <c r="Q112" i="20"/>
  <c r="Q114" i="20"/>
  <c r="Q116" i="20"/>
  <c r="Q118" i="20"/>
  <c r="Q121" i="20"/>
  <c r="Q123" i="20"/>
  <c r="Q125" i="20"/>
  <c r="Q127" i="20"/>
  <c r="Q129" i="20"/>
  <c r="Q131" i="20"/>
  <c r="Q133" i="20"/>
  <c r="Q135" i="20"/>
  <c r="Q137" i="20"/>
  <c r="Q140" i="20"/>
  <c r="Q142" i="20"/>
  <c r="Q144" i="20"/>
  <c r="Q146" i="20"/>
  <c r="Q148" i="20"/>
  <c r="Q150" i="20"/>
  <c r="Q152" i="20"/>
  <c r="Q154" i="20"/>
  <c r="Q156" i="20"/>
  <c r="Q158" i="20"/>
  <c r="Q161" i="20"/>
  <c r="Q163" i="20"/>
  <c r="Q165" i="20"/>
  <c r="Q167" i="20"/>
  <c r="Q169" i="20"/>
  <c r="Q171" i="20"/>
  <c r="Q173" i="20"/>
  <c r="Q175" i="20"/>
  <c r="Q177" i="20"/>
  <c r="Q179" i="20"/>
  <c r="Q181" i="20"/>
  <c r="Q183" i="20"/>
  <c r="Q185" i="20"/>
  <c r="Q187" i="20"/>
  <c r="Q189" i="20"/>
  <c r="Q191" i="20"/>
  <c r="Q193" i="20"/>
  <c r="Q195" i="20"/>
  <c r="Q197" i="20"/>
  <c r="Q199" i="20"/>
  <c r="Q200" i="20"/>
  <c r="Q202" i="20"/>
  <c r="P5" i="20"/>
  <c r="P7" i="20"/>
  <c r="P8" i="20"/>
  <c r="P10" i="20"/>
  <c r="P12" i="20"/>
  <c r="P14" i="20"/>
  <c r="P16" i="20"/>
  <c r="P19" i="20"/>
  <c r="P21" i="20"/>
  <c r="P23" i="20"/>
  <c r="P25" i="20"/>
  <c r="P27" i="20"/>
  <c r="P29" i="20"/>
  <c r="P31" i="20"/>
  <c r="P33" i="20"/>
  <c r="P35" i="20"/>
  <c r="P37" i="20"/>
  <c r="P39" i="20"/>
  <c r="P41" i="20"/>
  <c r="P43" i="20"/>
  <c r="P45" i="20"/>
  <c r="P47" i="20"/>
  <c r="P49" i="20"/>
  <c r="P51" i="20"/>
  <c r="P53" i="20"/>
  <c r="P55" i="20"/>
  <c r="P57" i="20"/>
  <c r="P58" i="20"/>
  <c r="P60" i="20"/>
  <c r="P62" i="20"/>
  <c r="P64" i="20"/>
  <c r="P66" i="20"/>
  <c r="P68" i="20"/>
  <c r="P70" i="20"/>
  <c r="P72" i="20"/>
  <c r="P74" i="20"/>
  <c r="P77" i="20"/>
  <c r="P79" i="20"/>
  <c r="P81" i="20"/>
  <c r="P83" i="20"/>
  <c r="P85" i="20"/>
  <c r="P87" i="20"/>
  <c r="P89" i="20"/>
  <c r="P92" i="20"/>
  <c r="P94" i="20"/>
  <c r="P96" i="20"/>
  <c r="P98" i="20"/>
  <c r="P100" i="20"/>
  <c r="P102" i="20"/>
  <c r="P104" i="20"/>
  <c r="P106" i="20"/>
  <c r="P109" i="20"/>
  <c r="P111" i="20"/>
  <c r="P113" i="20"/>
  <c r="P115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3" i="20"/>
  <c r="P135" i="20"/>
  <c r="P137" i="20"/>
  <c r="P142" i="20"/>
  <c r="P144" i="20"/>
  <c r="M179" i="20"/>
  <c r="M184" i="20"/>
  <c r="M187" i="20"/>
  <c r="M192" i="20"/>
  <c r="M196" i="20"/>
  <c r="M201" i="20"/>
  <c r="L6" i="20"/>
  <c r="L11" i="20"/>
  <c r="L16" i="20"/>
  <c r="L19" i="20"/>
  <c r="L24" i="20"/>
  <c r="L29" i="20"/>
  <c r="L34" i="20"/>
  <c r="L38" i="20"/>
  <c r="L43" i="20"/>
  <c r="L48" i="20"/>
  <c r="L54" i="20"/>
  <c r="L61" i="20"/>
  <c r="L64" i="20"/>
  <c r="L72" i="20"/>
  <c r="L78" i="20"/>
  <c r="L83" i="20"/>
  <c r="L87" i="20"/>
  <c r="L92" i="20"/>
  <c r="L98" i="20"/>
  <c r="L103" i="20"/>
  <c r="L107" i="20"/>
  <c r="L112" i="20"/>
  <c r="L117" i="20"/>
  <c r="L121" i="20"/>
  <c r="L126" i="20"/>
  <c r="L131" i="20"/>
  <c r="L135" i="20"/>
  <c r="L140" i="20"/>
  <c r="L145" i="20"/>
  <c r="L151" i="20"/>
  <c r="L155" i="20"/>
  <c r="L162" i="20"/>
  <c r="L168" i="20"/>
  <c r="L174" i="20"/>
  <c r="L179" i="20"/>
  <c r="L184" i="20"/>
  <c r="L188" i="20"/>
  <c r="L193" i="20"/>
  <c r="L199" i="20"/>
  <c r="L204" i="20"/>
  <c r="K9" i="20"/>
  <c r="K17" i="20"/>
  <c r="K22" i="20"/>
  <c r="K25" i="20"/>
  <c r="K30" i="20"/>
  <c r="K35" i="20"/>
  <c r="K40" i="20"/>
  <c r="K45" i="20"/>
  <c r="K50" i="20"/>
  <c r="K54" i="20"/>
  <c r="K59" i="20"/>
  <c r="K63" i="20"/>
  <c r="K67" i="20"/>
  <c r="K71" i="20"/>
  <c r="K76" i="20"/>
  <c r="K81" i="20"/>
  <c r="K86" i="20"/>
  <c r="K92" i="20"/>
  <c r="K97" i="20"/>
  <c r="K102" i="20"/>
  <c r="K107" i="20"/>
  <c r="K111" i="20"/>
  <c r="K117" i="20"/>
  <c r="K121" i="20"/>
  <c r="K126" i="20"/>
  <c r="K130" i="20"/>
  <c r="K136" i="20"/>
  <c r="K142" i="20"/>
  <c r="K147" i="20"/>
  <c r="K152" i="20"/>
  <c r="K158" i="20"/>
  <c r="K163" i="20"/>
  <c r="K168" i="20"/>
  <c r="K173" i="20"/>
  <c r="K177" i="20"/>
  <c r="F10" i="20"/>
  <c r="F15" i="20"/>
  <c r="F22" i="20"/>
  <c r="F27" i="20"/>
  <c r="F31" i="20"/>
  <c r="F37" i="20"/>
  <c r="F42" i="20"/>
  <c r="F48" i="20"/>
  <c r="F53" i="20"/>
  <c r="F58" i="20"/>
  <c r="F63" i="20"/>
  <c r="F69" i="20"/>
  <c r="F74" i="20"/>
  <c r="F78" i="20"/>
  <c r="F83" i="20"/>
  <c r="F88" i="20"/>
  <c r="F93" i="20"/>
  <c r="F97" i="20"/>
  <c r="F103" i="20"/>
  <c r="F107" i="20"/>
  <c r="F111" i="20"/>
  <c r="F116" i="20"/>
  <c r="F122" i="20"/>
  <c r="F127" i="20"/>
  <c r="F132" i="20"/>
  <c r="F138" i="20"/>
  <c r="F142" i="20"/>
  <c r="F147" i="20"/>
  <c r="F153" i="20"/>
  <c r="F157" i="20"/>
  <c r="F161" i="20"/>
  <c r="F166" i="20"/>
  <c r="F170" i="20"/>
  <c r="F175" i="20"/>
  <c r="F180" i="20"/>
  <c r="F184" i="20"/>
  <c r="F189" i="20"/>
  <c r="F194" i="20"/>
  <c r="F199" i="20"/>
  <c r="E5" i="20"/>
  <c r="E11" i="20"/>
  <c r="E16" i="20"/>
  <c r="A90" i="20"/>
  <c r="A97" i="20"/>
  <c r="A101" i="20"/>
  <c r="A106" i="20"/>
  <c r="A111" i="20"/>
  <c r="A3" i="20"/>
  <c r="R5" i="20"/>
  <c r="R6" i="20"/>
  <c r="R7" i="20"/>
  <c r="R8" i="20"/>
  <c r="R9" i="20"/>
  <c r="R10" i="20"/>
  <c r="A168" i="20"/>
  <c r="A174" i="20"/>
  <c r="A178" i="20"/>
  <c r="A181" i="20"/>
  <c r="A184" i="20"/>
  <c r="A187" i="20"/>
  <c r="A190" i="20"/>
  <c r="A193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O5" i="20"/>
  <c r="O6" i="20"/>
  <c r="O7" i="20"/>
  <c r="O8" i="20"/>
  <c r="O9" i="20"/>
  <c r="O10" i="20"/>
  <c r="O11" i="20"/>
  <c r="O12" i="20"/>
  <c r="O13" i="20"/>
  <c r="O14" i="20"/>
  <c r="O15" i="20"/>
  <c r="O16" i="20"/>
  <c r="O17" i="20"/>
  <c r="O18" i="20"/>
  <c r="O19" i="20"/>
  <c r="O20" i="20"/>
  <c r="O21" i="20"/>
  <c r="O22" i="20"/>
  <c r="O23" i="20"/>
  <c r="O24" i="20"/>
  <c r="O25" i="20"/>
  <c r="O26" i="20"/>
  <c r="O27" i="20"/>
  <c r="O28" i="20"/>
  <c r="O29" i="20"/>
  <c r="O30" i="20"/>
  <c r="O31" i="20"/>
  <c r="O32" i="20"/>
  <c r="O33" i="20"/>
  <c r="O34" i="20"/>
  <c r="O35" i="20"/>
  <c r="O36" i="20"/>
  <c r="O37" i="20"/>
  <c r="O38" i="20"/>
  <c r="O39" i="20"/>
  <c r="O40" i="20"/>
  <c r="O41" i="20"/>
  <c r="O42" i="20"/>
  <c r="O43" i="20"/>
  <c r="O44" i="20"/>
  <c r="O45" i="20"/>
  <c r="O46" i="20"/>
  <c r="O47" i="20"/>
  <c r="O48" i="20"/>
  <c r="O49" i="20"/>
  <c r="O50" i="20"/>
  <c r="O51" i="20"/>
  <c r="O52" i="20"/>
  <c r="O53" i="20"/>
  <c r="O54" i="20"/>
  <c r="O55" i="20"/>
  <c r="O56" i="20"/>
  <c r="O57" i="20"/>
  <c r="O58" i="20"/>
  <c r="O59" i="20"/>
  <c r="O60" i="20"/>
  <c r="O61" i="20"/>
  <c r="O62" i="20"/>
  <c r="O63" i="20"/>
  <c r="O64" i="20"/>
  <c r="O65" i="20"/>
  <c r="O66" i="20"/>
  <c r="O67" i="20"/>
  <c r="O68" i="20"/>
  <c r="O69" i="20"/>
  <c r="O70" i="20"/>
  <c r="O71" i="20"/>
  <c r="O72" i="20"/>
  <c r="O73" i="20"/>
  <c r="O74" i="20"/>
  <c r="O75" i="20"/>
  <c r="O76" i="20"/>
  <c r="O77" i="20"/>
  <c r="O78" i="20"/>
  <c r="O79" i="20"/>
  <c r="O80" i="20"/>
  <c r="O81" i="20"/>
  <c r="O82" i="20"/>
  <c r="O83" i="20"/>
  <c r="O84" i="20"/>
  <c r="O85" i="20"/>
  <c r="O86" i="20"/>
  <c r="O87" i="20"/>
  <c r="O88" i="20"/>
  <c r="O89" i="20"/>
  <c r="O90" i="20"/>
  <c r="O91" i="20"/>
  <c r="O92" i="20"/>
  <c r="O93" i="20"/>
  <c r="O94" i="20"/>
  <c r="O95" i="20"/>
  <c r="O96" i="20"/>
  <c r="O97" i="20"/>
  <c r="O98" i="20"/>
  <c r="O99" i="20"/>
  <c r="O100" i="20"/>
  <c r="O101" i="20"/>
  <c r="O102" i="20"/>
  <c r="O103" i="20"/>
  <c r="O104" i="20"/>
  <c r="O105" i="20"/>
  <c r="O106" i="20"/>
  <c r="O107" i="20"/>
  <c r="O108" i="20"/>
  <c r="O109" i="20"/>
  <c r="O110" i="20"/>
  <c r="O111" i="20"/>
  <c r="O112" i="20"/>
  <c r="O113" i="20"/>
  <c r="O114" i="20"/>
  <c r="O115" i="20"/>
  <c r="O116" i="20"/>
  <c r="O117" i="20"/>
  <c r="O118" i="20"/>
  <c r="O119" i="20"/>
  <c r="O120" i="20"/>
  <c r="O121" i="20"/>
  <c r="O122" i="20"/>
  <c r="O123" i="20"/>
  <c r="O124" i="20"/>
  <c r="O125" i="20"/>
  <c r="O126" i="20"/>
  <c r="O127" i="20"/>
  <c r="O128" i="20"/>
  <c r="O129" i="20"/>
  <c r="O130" i="20"/>
  <c r="O131" i="20"/>
  <c r="O132" i="20"/>
  <c r="O133" i="20"/>
  <c r="O134" i="20"/>
  <c r="O135" i="20"/>
  <c r="O136" i="20"/>
  <c r="O137" i="20"/>
  <c r="O138" i="20"/>
  <c r="O139" i="20"/>
  <c r="O140" i="20"/>
  <c r="O141" i="20"/>
  <c r="O142" i="20"/>
  <c r="O143" i="20"/>
  <c r="O144" i="20"/>
  <c r="O145" i="20"/>
  <c r="O146" i="20"/>
  <c r="O147" i="20"/>
  <c r="O148" i="20"/>
  <c r="O149" i="20"/>
  <c r="O150" i="20"/>
  <c r="O151" i="20"/>
  <c r="O152" i="20"/>
  <c r="O153" i="20"/>
  <c r="O154" i="20"/>
  <c r="O155" i="20"/>
  <c r="O156" i="20"/>
  <c r="O157" i="20"/>
  <c r="O158" i="20"/>
  <c r="O159" i="20"/>
  <c r="O160" i="20"/>
  <c r="O161" i="20"/>
  <c r="O162" i="20"/>
  <c r="O163" i="20"/>
  <c r="O164" i="20"/>
  <c r="O165" i="20"/>
  <c r="O166" i="20"/>
  <c r="O167" i="20"/>
  <c r="O168" i="20"/>
  <c r="O169" i="20"/>
  <c r="O170" i="20"/>
  <c r="O171" i="20"/>
  <c r="O172" i="20"/>
  <c r="O173" i="20"/>
  <c r="O174" i="20"/>
  <c r="O175" i="20"/>
  <c r="O176" i="20"/>
  <c r="O177" i="20"/>
  <c r="O178" i="20"/>
  <c r="O179" i="20"/>
  <c r="O180" i="20"/>
  <c r="O181" i="20"/>
  <c r="O182" i="20"/>
  <c r="O183" i="20"/>
  <c r="O184" i="20"/>
  <c r="O185" i="20"/>
  <c r="O186" i="20"/>
  <c r="O187" i="20"/>
  <c r="O188" i="20"/>
  <c r="O189" i="20"/>
  <c r="O190" i="20"/>
  <c r="O191" i="20"/>
  <c r="O192" i="20"/>
  <c r="O193" i="20"/>
  <c r="O194" i="20"/>
  <c r="O195" i="20"/>
  <c r="O196" i="20"/>
  <c r="O197" i="20"/>
  <c r="O198" i="20"/>
  <c r="O199" i="20"/>
  <c r="O200" i="20"/>
  <c r="O201" i="20"/>
  <c r="O202" i="20"/>
  <c r="O203" i="20"/>
  <c r="O20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A171" i="20"/>
  <c r="A175" i="20"/>
  <c r="A177" i="20"/>
  <c r="A180" i="20"/>
  <c r="A183" i="20"/>
  <c r="A186" i="20"/>
  <c r="A189" i="20"/>
  <c r="A191" i="20"/>
  <c r="A194" i="20"/>
  <c r="A196" i="20"/>
  <c r="A198" i="20"/>
  <c r="A201" i="20"/>
  <c r="A203" i="20"/>
  <c r="A204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F5" i="20"/>
  <c r="F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8" i="20"/>
  <c r="A93" i="20"/>
  <c r="A98" i="20"/>
  <c r="A103" i="20"/>
  <c r="A108" i="20"/>
  <c r="A115" i="20"/>
  <c r="A119" i="20"/>
  <c r="A122" i="20"/>
  <c r="A126" i="20"/>
  <c r="A129" i="20"/>
  <c r="A132" i="20"/>
  <c r="A135" i="20"/>
  <c r="A138" i="20"/>
  <c r="A141" i="20"/>
  <c r="A144" i="20"/>
  <c r="A147" i="20"/>
  <c r="A150" i="20"/>
  <c r="A153" i="20"/>
  <c r="A156" i="20"/>
  <c r="A159" i="20"/>
  <c r="A162" i="20"/>
  <c r="A165" i="20"/>
  <c r="A170" i="20"/>
  <c r="A172" i="20"/>
  <c r="A173" i="20"/>
  <c r="A176" i="20"/>
  <c r="A179" i="20"/>
  <c r="A182" i="20"/>
  <c r="A185" i="20"/>
  <c r="A188" i="20"/>
  <c r="A192" i="20"/>
  <c r="A195" i="20"/>
  <c r="A197" i="20"/>
  <c r="A199" i="20"/>
  <c r="A200" i="20"/>
  <c r="A202" i="20"/>
  <c r="P141" i="20"/>
  <c r="M178" i="20"/>
  <c r="M183" i="20"/>
  <c r="M186" i="20"/>
  <c r="M190" i="20"/>
  <c r="M194" i="20"/>
  <c r="M198" i="20"/>
  <c r="M204" i="20"/>
  <c r="L8" i="20"/>
  <c r="L12" i="20"/>
  <c r="L17" i="20"/>
  <c r="L20" i="20"/>
  <c r="L25" i="20"/>
  <c r="L30" i="20"/>
  <c r="L35" i="20"/>
  <c r="L40" i="20"/>
  <c r="L46" i="20"/>
  <c r="L50" i="20"/>
  <c r="L55" i="20"/>
  <c r="L58" i="20"/>
  <c r="L62" i="20"/>
  <c r="L65" i="20"/>
  <c r="L69" i="20"/>
  <c r="L74" i="20"/>
  <c r="L79" i="20"/>
  <c r="L84" i="20"/>
  <c r="L89" i="20"/>
  <c r="L93" i="20"/>
  <c r="L97" i="20"/>
  <c r="L102" i="20"/>
  <c r="L106" i="20"/>
  <c r="L111" i="20"/>
  <c r="L116" i="20"/>
  <c r="L119" i="20"/>
  <c r="L124" i="20"/>
  <c r="L129" i="20"/>
  <c r="L134" i="20"/>
  <c r="L138" i="20"/>
  <c r="L143" i="20"/>
  <c r="L147" i="20"/>
  <c r="L152" i="20"/>
  <c r="L157" i="20"/>
  <c r="L161" i="20"/>
  <c r="L166" i="20"/>
  <c r="L171" i="20"/>
  <c r="L175" i="20"/>
  <c r="L180" i="20"/>
  <c r="L185" i="20"/>
  <c r="L190" i="20"/>
  <c r="L194" i="20"/>
  <c r="L201" i="20"/>
  <c r="K6" i="20"/>
  <c r="K11" i="20"/>
  <c r="K15" i="20"/>
  <c r="K18" i="20"/>
  <c r="K23" i="20"/>
  <c r="K27" i="20"/>
  <c r="K32" i="20"/>
  <c r="K36" i="20"/>
  <c r="K41" i="20"/>
  <c r="K46" i="20"/>
  <c r="K52" i="20"/>
  <c r="K58" i="20"/>
  <c r="K62" i="20"/>
  <c r="K65" i="20"/>
  <c r="K69" i="20"/>
  <c r="K73" i="20"/>
  <c r="K77" i="20"/>
  <c r="K80" i="20"/>
  <c r="K84" i="20"/>
  <c r="K89" i="20"/>
  <c r="K94" i="20"/>
  <c r="K99" i="20"/>
  <c r="K103" i="20"/>
  <c r="K108" i="20"/>
  <c r="K114" i="20"/>
  <c r="K118" i="20"/>
  <c r="K123" i="20"/>
  <c r="K127" i="20"/>
  <c r="K132" i="20"/>
  <c r="K137" i="20"/>
  <c r="K141" i="20"/>
  <c r="K145" i="20"/>
  <c r="K149" i="20"/>
  <c r="K153" i="20"/>
  <c r="K157" i="20"/>
  <c r="K162" i="20"/>
  <c r="K166" i="20"/>
  <c r="K169" i="20"/>
  <c r="K174" i="20"/>
  <c r="K178" i="20"/>
  <c r="F8" i="20"/>
  <c r="F13" i="20"/>
  <c r="F17" i="20"/>
  <c r="F20" i="20"/>
  <c r="F25" i="20"/>
  <c r="F30" i="20"/>
  <c r="F34" i="20"/>
  <c r="F39" i="20"/>
  <c r="F44" i="20"/>
  <c r="F49" i="20"/>
  <c r="F51" i="20"/>
  <c r="F56" i="20"/>
  <c r="F60" i="20"/>
  <c r="F65" i="20"/>
  <c r="F70" i="20"/>
  <c r="F75" i="20"/>
  <c r="F81" i="20"/>
  <c r="F84" i="20"/>
  <c r="F89" i="20"/>
  <c r="F94" i="20"/>
  <c r="F98" i="20"/>
  <c r="F102" i="20"/>
  <c r="F108" i="20"/>
  <c r="F115" i="20"/>
  <c r="F118" i="20"/>
  <c r="F123" i="20"/>
  <c r="F128" i="20"/>
  <c r="F133" i="20"/>
  <c r="F136" i="20"/>
  <c r="F141" i="20"/>
  <c r="F146" i="20"/>
  <c r="F151" i="20"/>
  <c r="F154" i="20"/>
  <c r="F159" i="20"/>
  <c r="F163" i="20"/>
  <c r="F167" i="20"/>
  <c r="F172" i="20"/>
  <c r="F176" i="20"/>
  <c r="F181" i="20"/>
  <c r="F186" i="20"/>
  <c r="F190" i="20"/>
  <c r="F195" i="20"/>
  <c r="F200" i="20"/>
  <c r="F204" i="20"/>
  <c r="E9" i="20"/>
  <c r="E15" i="20"/>
  <c r="A89" i="20"/>
  <c r="A94" i="20"/>
  <c r="A99" i="20"/>
  <c r="A105" i="20"/>
  <c r="A110" i="20"/>
  <c r="A112" i="20"/>
  <c r="A116" i="20"/>
  <c r="P139" i="20"/>
  <c r="P138" i="20"/>
  <c r="M182" i="20"/>
  <c r="M191" i="20"/>
  <c r="M197" i="20"/>
  <c r="M202" i="20"/>
  <c r="L9" i="20"/>
  <c r="L15" i="20"/>
  <c r="L21" i="20"/>
  <c r="L28" i="20"/>
  <c r="L33" i="20"/>
  <c r="L39" i="20"/>
  <c r="L44" i="20"/>
  <c r="L52" i="20"/>
  <c r="L59" i="20"/>
  <c r="L67" i="20"/>
  <c r="L71" i="20"/>
  <c r="L76" i="20"/>
  <c r="L81" i="20"/>
  <c r="L88" i="20"/>
  <c r="L95" i="20"/>
  <c r="L101" i="20"/>
  <c r="L108" i="20"/>
  <c r="L114" i="20"/>
  <c r="L120" i="20"/>
  <c r="L125" i="20"/>
  <c r="L130" i="20"/>
  <c r="L136" i="20"/>
  <c r="L141" i="20"/>
  <c r="L148" i="20"/>
  <c r="L156" i="20"/>
  <c r="L160" i="20"/>
  <c r="L165" i="20"/>
  <c r="L170" i="20"/>
  <c r="L176" i="20"/>
  <c r="L182" i="20"/>
  <c r="L187" i="20"/>
  <c r="L192" i="20"/>
  <c r="L197" i="20"/>
  <c r="L202" i="20"/>
  <c r="K7" i="20"/>
  <c r="K14" i="20"/>
  <c r="K20" i="20"/>
  <c r="K29" i="20"/>
  <c r="K34" i="20"/>
  <c r="K39" i="20"/>
  <c r="K44" i="20"/>
  <c r="K49" i="20"/>
  <c r="K56" i="20"/>
  <c r="K61" i="20"/>
  <c r="K66" i="20"/>
  <c r="K70" i="20"/>
  <c r="K74" i="20"/>
  <c r="K79" i="20"/>
  <c r="K83" i="20"/>
  <c r="K88" i="20"/>
  <c r="K93" i="20"/>
  <c r="K98" i="20"/>
  <c r="K105" i="20"/>
  <c r="K113" i="20"/>
  <c r="K119" i="20"/>
  <c r="K124" i="20"/>
  <c r="K129" i="20"/>
  <c r="K134" i="20"/>
  <c r="K140" i="20"/>
  <c r="K146" i="20"/>
  <c r="K155" i="20"/>
  <c r="K161" i="20"/>
  <c r="K167" i="20"/>
  <c r="K172" i="20"/>
  <c r="F7" i="20"/>
  <c r="F12" i="20"/>
  <c r="F19" i="20"/>
  <c r="F26" i="20"/>
  <c r="F33" i="20"/>
  <c r="F38" i="20"/>
  <c r="F43" i="20"/>
  <c r="F47" i="20"/>
  <c r="F54" i="20"/>
  <c r="F61" i="20"/>
  <c r="F67" i="20"/>
  <c r="F72" i="20"/>
  <c r="F77" i="20"/>
  <c r="F82" i="20"/>
  <c r="F86" i="20"/>
  <c r="F92" i="20"/>
  <c r="F101" i="20"/>
  <c r="F106" i="20"/>
  <c r="F112" i="20"/>
  <c r="F119" i="20"/>
  <c r="F125" i="20"/>
  <c r="F130" i="20"/>
  <c r="F137" i="20"/>
  <c r="F143" i="20"/>
  <c r="F150" i="20"/>
  <c r="F156" i="20"/>
  <c r="F162" i="20"/>
  <c r="F171" i="20"/>
  <c r="F177" i="20"/>
  <c r="F185" i="20"/>
  <c r="F191" i="20"/>
  <c r="F197" i="20"/>
  <c r="F202" i="20"/>
  <c r="E7" i="20"/>
  <c r="E12" i="20"/>
  <c r="A86" i="20"/>
  <c r="A91" i="20"/>
  <c r="A96" i="20"/>
  <c r="A102" i="20"/>
  <c r="A107" i="20"/>
  <c r="A114" i="20"/>
  <c r="A118" i="20"/>
  <c r="A121" i="20"/>
  <c r="A124" i="20"/>
  <c r="A127" i="20"/>
  <c r="A130" i="20"/>
  <c r="A133" i="20"/>
  <c r="A136" i="20"/>
  <c r="A139" i="20"/>
  <c r="A142" i="20"/>
  <c r="A145" i="20"/>
  <c r="A148" i="20"/>
  <c r="A152" i="20"/>
  <c r="A155" i="20"/>
  <c r="A158" i="20"/>
  <c r="A161" i="20"/>
  <c r="A164" i="20"/>
  <c r="A167" i="20"/>
  <c r="I58" i="22"/>
  <c r="I66" i="22"/>
  <c r="I28" i="22"/>
  <c r="I53" i="22"/>
  <c r="I35" i="22"/>
  <c r="I86" i="22"/>
  <c r="I30" i="22"/>
  <c r="I43" i="22"/>
  <c r="I62" i="22"/>
  <c r="I73" i="22"/>
  <c r="I31" i="22"/>
  <c r="I55" i="22"/>
  <c r="I65" i="22"/>
  <c r="I84" i="22"/>
  <c r="I32" i="22"/>
  <c r="I50" i="22"/>
  <c r="I83" i="22"/>
  <c r="I52" i="22"/>
  <c r="I57" i="22"/>
  <c r="I69" i="22"/>
  <c r="I34" i="22"/>
  <c r="I39" i="22"/>
  <c r="I68" i="22"/>
  <c r="I47" i="22"/>
  <c r="I64" i="22"/>
  <c r="I67" i="22"/>
  <c r="I81" i="22"/>
  <c r="I44" i="22"/>
  <c r="I36" i="22"/>
  <c r="I56" i="22"/>
  <c r="I74" i="22"/>
  <c r="I54" i="22"/>
  <c r="I46" i="22"/>
  <c r="I75" i="22"/>
  <c r="I76" i="22"/>
  <c r="I60" i="22"/>
  <c r="I37" i="22"/>
  <c r="I51" i="22"/>
  <c r="I82" i="22"/>
  <c r="I38" i="22"/>
  <c r="I72" i="22"/>
  <c r="I42" i="22"/>
  <c r="I41" i="22"/>
  <c r="I61" i="22"/>
  <c r="I29" i="22"/>
  <c r="I70" i="22"/>
  <c r="I77" i="22"/>
  <c r="I45" i="22"/>
  <c r="I71" i="22"/>
  <c r="I63" i="22"/>
  <c r="I78" i="22"/>
  <c r="I40" i="22"/>
  <c r="I59" i="22"/>
  <c r="I33" i="22"/>
  <c r="I48" i="22"/>
  <c r="I49" i="22"/>
  <c r="I87" i="22"/>
  <c r="I79" i="22"/>
  <c r="I80" i="22"/>
  <c r="I85" i="22"/>
  <c r="H28" i="22"/>
  <c r="H30" i="22"/>
  <c r="H74" i="22"/>
  <c r="H59" i="22"/>
  <c r="H31" i="22"/>
  <c r="H65" i="22"/>
  <c r="H67" i="22"/>
  <c r="H57" i="22"/>
  <c r="H73" i="22"/>
  <c r="H34" i="22"/>
  <c r="H53" i="22"/>
  <c r="H35" i="22"/>
  <c r="H52" i="22"/>
  <c r="H72" i="22"/>
  <c r="H49" i="22"/>
  <c r="H62" i="22"/>
  <c r="H63" i="22"/>
  <c r="H36" i="22"/>
  <c r="H37" i="22"/>
  <c r="H44" i="22"/>
  <c r="H38" i="22"/>
  <c r="H41" i="22"/>
  <c r="H39" i="22"/>
  <c r="H40" i="22"/>
  <c r="H46" i="22"/>
  <c r="H48" i="22"/>
  <c r="H70" i="22"/>
  <c r="H81" i="22"/>
  <c r="H42" i="22"/>
  <c r="H71" i="22"/>
  <c r="H45" i="22"/>
  <c r="H58" i="22"/>
  <c r="H75" i="22"/>
  <c r="H55" i="22"/>
  <c r="H56" i="22"/>
  <c r="H61" i="22"/>
  <c r="H68" i="22"/>
  <c r="H76" i="22"/>
  <c r="H64" i="22"/>
  <c r="H43" i="22"/>
  <c r="H66" i="22"/>
  <c r="H60" i="22"/>
  <c r="H83" i="22"/>
  <c r="H87" i="22"/>
  <c r="H82" i="22"/>
  <c r="H29" i="22"/>
  <c r="H69" i="22"/>
  <c r="H77" i="22"/>
  <c r="H50" i="22"/>
  <c r="H84" i="22"/>
  <c r="H78" i="22"/>
  <c r="H32" i="22"/>
  <c r="H47" i="22"/>
  <c r="H86" i="22"/>
  <c r="H54" i="22"/>
  <c r="H79" i="22"/>
  <c r="H33" i="22"/>
  <c r="H80" i="22"/>
  <c r="H85" i="22"/>
  <c r="H51" i="22"/>
  <c r="G66" i="22"/>
  <c r="G67" i="22"/>
  <c r="G46" i="22"/>
  <c r="G52" i="22"/>
  <c r="G41" i="22"/>
  <c r="G68" i="22"/>
  <c r="G69" i="22"/>
  <c r="G62" i="22"/>
  <c r="G70" i="22"/>
  <c r="G40" i="22"/>
  <c r="G71" i="22"/>
  <c r="G83" i="22"/>
  <c r="G43" i="22"/>
  <c r="G72" i="22"/>
  <c r="G50" i="22"/>
  <c r="G53" i="22"/>
  <c r="G73" i="22"/>
  <c r="G74" i="22"/>
  <c r="G31" i="22"/>
  <c r="G59" i="22"/>
  <c r="G33" i="22"/>
  <c r="G55" i="22"/>
  <c r="G34" i="22"/>
  <c r="G75" i="22"/>
  <c r="G35" i="22"/>
  <c r="G60" i="22"/>
  <c r="G58" i="22"/>
  <c r="G48" i="22"/>
  <c r="G36" i="22"/>
  <c r="G38" i="22"/>
  <c r="G81" i="22"/>
  <c r="G39" i="22"/>
  <c r="G47" i="22"/>
  <c r="G76" i="22"/>
  <c r="G54" i="22"/>
  <c r="G51" i="22"/>
  <c r="G77" i="22"/>
  <c r="G28" i="22"/>
  <c r="G61" i="22"/>
  <c r="G86" i="22"/>
  <c r="G87" i="22"/>
  <c r="G49" i="22"/>
  <c r="G29" i="22"/>
  <c r="G30" i="22"/>
  <c r="G85" i="22"/>
  <c r="G84" i="22"/>
  <c r="G78" i="22"/>
  <c r="G57" i="22"/>
  <c r="G32" i="22"/>
  <c r="G63" i="22"/>
  <c r="G37" i="22"/>
  <c r="G79" i="22"/>
  <c r="G42" i="22"/>
  <c r="G82" i="22"/>
  <c r="G64" i="22"/>
  <c r="G44" i="22"/>
  <c r="G80" i="22"/>
  <c r="G45" i="22"/>
  <c r="G65" i="22"/>
  <c r="G56" i="22"/>
  <c r="F58" i="22"/>
  <c r="F55" i="22"/>
  <c r="F31" i="22"/>
  <c r="F73" i="22"/>
  <c r="U17" i="18"/>
  <c r="Q93" i="10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11" i="7" s="1"/>
  <c r="T20" i="10"/>
  <c r="S20" i="10"/>
  <c r="R20" i="10"/>
  <c r="G20" i="10"/>
  <c r="T10" i="7" s="1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T517" i="18" l="1"/>
  <c r="F7" i="19"/>
  <c r="E7" i="19"/>
  <c r="D7" i="19"/>
  <c r="B7" i="19"/>
  <c r="C7" i="19"/>
  <c r="D27" i="19"/>
  <c r="A9" i="19"/>
  <c r="A8" i="19"/>
  <c r="D75" i="22"/>
  <c r="D85" i="22"/>
  <c r="D74" i="22"/>
  <c r="D84" i="22"/>
  <c r="D65" i="22"/>
  <c r="D80" i="22"/>
  <c r="D60" i="22"/>
  <c r="D58" i="22"/>
  <c r="D33" i="22"/>
  <c r="D73" i="22"/>
  <c r="D79" i="22"/>
  <c r="D32" i="22"/>
  <c r="D49" i="22"/>
  <c r="D66" i="22"/>
  <c r="D52" i="22"/>
  <c r="D38" i="22"/>
  <c r="D55" i="22"/>
  <c r="D31" i="22"/>
  <c r="D78" i="22"/>
  <c r="D54" i="22"/>
  <c r="D83" i="22"/>
  <c r="D53" i="22"/>
  <c r="D30" i="22"/>
  <c r="D63" i="22"/>
  <c r="D72" i="22"/>
  <c r="D67" i="22"/>
  <c r="D57" i="22"/>
  <c r="D68" i="22"/>
  <c r="D86" i="22"/>
  <c r="D59" i="22"/>
  <c r="D69" i="22"/>
  <c r="D76" i="22"/>
  <c r="D45" i="22"/>
  <c r="D40" i="22"/>
  <c r="D62" i="22"/>
  <c r="D82" i="22"/>
  <c r="D35" i="22"/>
  <c r="D48" i="22"/>
  <c r="D47" i="22"/>
  <c r="D46" i="22"/>
  <c r="D43" i="22"/>
  <c r="D87" i="22"/>
  <c r="D44" i="22"/>
  <c r="D28" i="22"/>
  <c r="D41" i="22"/>
  <c r="D56" i="22"/>
  <c r="D61" i="22"/>
  <c r="D77" i="22"/>
  <c r="D70" i="22"/>
  <c r="D29" i="22"/>
  <c r="D39" i="22"/>
  <c r="D50" i="22"/>
  <c r="D34" i="22"/>
  <c r="D71" i="22"/>
  <c r="D51" i="22"/>
  <c r="D42" i="22"/>
  <c r="D37" i="22"/>
  <c r="D64" i="22"/>
  <c r="D36" i="22"/>
  <c r="D81" i="22"/>
  <c r="C66" i="22"/>
  <c r="C70" i="22"/>
  <c r="C61" i="22"/>
  <c r="C72" i="22"/>
  <c r="C60" i="22"/>
  <c r="C58" i="22"/>
  <c r="C81" i="22"/>
  <c r="C37" i="22"/>
  <c r="C47" i="22"/>
  <c r="C38" i="22"/>
  <c r="C46" i="22"/>
  <c r="C44" i="22"/>
  <c r="C73" i="22"/>
  <c r="C43" i="22"/>
  <c r="C45" i="22"/>
  <c r="C75" i="22"/>
  <c r="C82" i="22"/>
  <c r="C71" i="22"/>
  <c r="C36" i="22"/>
  <c r="C51" i="22"/>
  <c r="C54" i="22"/>
  <c r="C53" i="22"/>
  <c r="C33" i="22"/>
  <c r="C32" i="22"/>
  <c r="C31" i="22"/>
  <c r="C52" i="22"/>
  <c r="C62" i="22"/>
  <c r="C68" i="22"/>
  <c r="C35" i="22"/>
  <c r="C85" i="22"/>
  <c r="C49" i="22"/>
  <c r="C59" i="22"/>
  <c r="C34" i="22"/>
  <c r="C80" i="22"/>
  <c r="C48" i="22"/>
  <c r="C79" i="22"/>
  <c r="C69" i="22"/>
  <c r="C39" i="22"/>
  <c r="C56" i="22"/>
  <c r="C30" i="22"/>
  <c r="C86" i="22"/>
  <c r="C67" i="22"/>
  <c r="C84" i="22"/>
  <c r="C78" i="22"/>
  <c r="C29" i="22"/>
  <c r="C83" i="22"/>
  <c r="C77" i="22"/>
  <c r="C76" i="22"/>
  <c r="C28" i="22"/>
  <c r="C50" i="22"/>
  <c r="C64" i="22"/>
  <c r="C57" i="22"/>
  <c r="C42" i="22"/>
  <c r="C87" i="22"/>
  <c r="C65" i="22"/>
  <c r="C40" i="22"/>
  <c r="C74" i="22"/>
  <c r="C55" i="22"/>
  <c r="C41" i="22"/>
  <c r="C63" i="22"/>
  <c r="F51" i="22"/>
  <c r="F60" i="22"/>
  <c r="F64" i="22"/>
  <c r="F29" i="22"/>
  <c r="F28" i="22"/>
  <c r="F52" i="22"/>
  <c r="F56" i="22"/>
  <c r="F57" i="22"/>
  <c r="F74" i="22"/>
  <c r="F63" i="22"/>
  <c r="F68" i="22"/>
  <c r="F53" i="22"/>
  <c r="F85" i="22"/>
  <c r="F75" i="22"/>
  <c r="F84" i="22"/>
  <c r="F66" i="22"/>
  <c r="F59" i="22"/>
  <c r="F65" i="22"/>
  <c r="F81" i="22"/>
  <c r="F69" i="22"/>
  <c r="F38" i="22"/>
  <c r="F76" i="22"/>
  <c r="F47" i="22"/>
  <c r="F87" i="22"/>
  <c r="F82" i="22"/>
  <c r="F83" i="22"/>
  <c r="F77" i="22"/>
  <c r="F86" i="22"/>
  <c r="F50" i="22"/>
  <c r="F37" i="22"/>
  <c r="F70" i="22"/>
  <c r="F54" i="22"/>
  <c r="F46" i="22"/>
  <c r="F67" i="22"/>
  <c r="F78" i="22"/>
  <c r="F30" i="22"/>
  <c r="F42" i="22"/>
  <c r="F43" i="22"/>
  <c r="F41" i="22"/>
  <c r="F71" i="22"/>
  <c r="F40" i="22"/>
  <c r="F39" i="22"/>
  <c r="F44" i="22"/>
  <c r="F62" i="22"/>
  <c r="F79" i="22"/>
  <c r="F45" i="22"/>
  <c r="F36" i="22"/>
  <c r="F33" i="22"/>
  <c r="F72" i="22"/>
  <c r="F49" i="22"/>
  <c r="F34" i="22"/>
  <c r="F35" i="22"/>
  <c r="F32" i="22"/>
  <c r="F80" i="22"/>
  <c r="F61" i="22"/>
  <c r="F48" i="22"/>
  <c r="E35" i="22"/>
  <c r="E37" i="22"/>
  <c r="E43" i="22"/>
  <c r="E51" i="22"/>
  <c r="E55" i="22"/>
  <c r="E56" i="22"/>
  <c r="E59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7" i="22"/>
  <c r="E29" i="22"/>
  <c r="E54" i="22"/>
  <c r="E38" i="22"/>
  <c r="E84" i="22"/>
  <c r="E52" i="22"/>
  <c r="E48" i="22"/>
  <c r="E41" i="22"/>
  <c r="E57" i="22"/>
  <c r="E86" i="22"/>
  <c r="E40" i="22"/>
  <c r="E42" i="22"/>
  <c r="E45" i="22"/>
  <c r="E58" i="22"/>
  <c r="E60" i="22"/>
  <c r="E61" i="22"/>
  <c r="E44" i="22"/>
  <c r="E53" i="22"/>
  <c r="E46" i="22"/>
  <c r="E49" i="22"/>
  <c r="E85" i="22"/>
  <c r="E30" i="22"/>
  <c r="E31" i="22"/>
  <c r="E33" i="22"/>
  <c r="E34" i="22"/>
  <c r="E36" i="22"/>
  <c r="E39" i="22"/>
  <c r="E47" i="22"/>
  <c r="E50" i="22"/>
  <c r="E28" i="22"/>
  <c r="E62" i="22"/>
  <c r="E32" i="22"/>
  <c r="B43" i="22"/>
  <c r="B65" i="22"/>
  <c r="B64" i="22"/>
  <c r="B42" i="22"/>
  <c r="B63" i="22"/>
  <c r="B62" i="22"/>
  <c r="B54" i="22"/>
  <c r="B59" i="22"/>
  <c r="B46" i="22"/>
  <c r="B82" i="22"/>
  <c r="B51" i="22"/>
  <c r="B86" i="22"/>
  <c r="B84" i="22"/>
  <c r="B56" i="22"/>
  <c r="B60" i="22"/>
  <c r="B81" i="22"/>
  <c r="B66" i="22"/>
  <c r="B52" i="22"/>
  <c r="B80" i="22"/>
  <c r="B85" i="22"/>
  <c r="B79" i="22"/>
  <c r="B50" i="22"/>
  <c r="B47" i="22"/>
  <c r="B87" i="22"/>
  <c r="B33" i="22"/>
  <c r="B78" i="22"/>
  <c r="B30" i="22"/>
  <c r="B29" i="22"/>
  <c r="B38" i="22"/>
  <c r="B28" i="22"/>
  <c r="B39" i="22"/>
  <c r="B77" i="22"/>
  <c r="B41" i="22"/>
  <c r="B61" i="22"/>
  <c r="B76" i="22"/>
  <c r="B44" i="22"/>
  <c r="B75" i="22"/>
  <c r="B45" i="22"/>
  <c r="B57" i="22"/>
  <c r="B74" i="22"/>
  <c r="B37" i="22"/>
  <c r="B73" i="22"/>
  <c r="B36" i="22"/>
  <c r="B48" i="22"/>
  <c r="B72" i="22"/>
  <c r="B83" i="22"/>
  <c r="B71" i="22"/>
  <c r="B70" i="22"/>
  <c r="B35" i="22"/>
  <c r="B34" i="22"/>
  <c r="B69" i="22"/>
  <c r="B58" i="22"/>
  <c r="B55" i="22"/>
  <c r="B32" i="22"/>
  <c r="B31" i="22"/>
  <c r="B68" i="22"/>
  <c r="B67" i="22"/>
  <c r="B53" i="22"/>
  <c r="B40" i="22"/>
  <c r="B49" i="22"/>
  <c r="G6" i="19"/>
  <c r="G5" i="19"/>
  <c r="C29" i="19"/>
  <c r="C30" i="19"/>
  <c r="C28" i="19"/>
  <c r="B30" i="19"/>
  <c r="B28" i="19"/>
  <c r="B29" i="19"/>
  <c r="A11" i="19"/>
  <c r="A10" i="19"/>
  <c r="A12" i="19"/>
  <c r="J16" i="19"/>
  <c r="A31" i="19"/>
  <c r="U22" i="18"/>
  <c r="L93" i="10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L91" i="10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L89" i="10"/>
  <c r="H89" i="10"/>
  <c r="N89" i="10" s="1"/>
  <c r="O89" i="10" s="1"/>
  <c r="P89" i="10" s="1"/>
  <c r="U89" i="10" s="1"/>
  <c r="L88" i="10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L86" i="10"/>
  <c r="H86" i="10"/>
  <c r="N86" i="10" s="1"/>
  <c r="O86" i="10" s="1"/>
  <c r="P86" i="10" s="1"/>
  <c r="U86" i="10" s="1"/>
  <c r="L85" i="10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H83" i="10"/>
  <c r="N83" i="10" s="1"/>
  <c r="O83" i="10" s="1"/>
  <c r="P83" i="10" s="1"/>
  <c r="U83" i="10" s="1"/>
  <c r="L83" i="10"/>
  <c r="H82" i="10"/>
  <c r="N82" i="10" s="1"/>
  <c r="O82" i="10" s="1"/>
  <c r="P82" i="10" s="1"/>
  <c r="U82" i="10" s="1"/>
  <c r="L82" i="10"/>
  <c r="L81" i="10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H79" i="10"/>
  <c r="N79" i="10" s="1"/>
  <c r="O79" i="10" s="1"/>
  <c r="P79" i="10" s="1"/>
  <c r="U79" i="10" s="1"/>
  <c r="L79" i="10"/>
  <c r="L78" i="10"/>
  <c r="H78" i="10"/>
  <c r="N78" i="10" s="1"/>
  <c r="O78" i="10" s="1"/>
  <c r="P78" i="10" s="1"/>
  <c r="U78" i="10" s="1"/>
  <c r="L77" i="10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S17" i="7" s="1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K16" i="10"/>
  <c r="L16" i="10" s="1"/>
  <c r="K25" i="10"/>
  <c r="L25" i="10" s="1"/>
  <c r="K24" i="10"/>
  <c r="L24" i="10" s="1"/>
  <c r="K19" i="10"/>
  <c r="L19" i="10" s="1"/>
  <c r="K18" i="10"/>
  <c r="L18" i="10" s="1"/>
  <c r="J15" i="10"/>
  <c r="Q15" i="10" s="1"/>
  <c r="J14" i="10"/>
  <c r="Q14" i="10" s="1"/>
  <c r="K14" i="10"/>
  <c r="L14" i="10" s="1"/>
  <c r="K15" i="10"/>
  <c r="L15" i="10" s="1"/>
  <c r="K21" i="10"/>
  <c r="K20" i="10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S18" i="7" l="1"/>
  <c r="U11" i="7"/>
  <c r="T18" i="7"/>
  <c r="T17" i="7"/>
  <c r="U10" i="7"/>
  <c r="V93" i="10"/>
  <c r="AA93" i="10"/>
  <c r="X93" i="10"/>
  <c r="W93" i="10"/>
  <c r="Y93" i="10"/>
  <c r="Z93" i="10"/>
  <c r="X92" i="10"/>
  <c r="V92" i="10"/>
  <c r="AA92" i="10"/>
  <c r="Y92" i="10"/>
  <c r="Z92" i="10"/>
  <c r="W92" i="10"/>
  <c r="V91" i="10"/>
  <c r="AA91" i="10"/>
  <c r="Y91" i="10"/>
  <c r="X91" i="10"/>
  <c r="Z91" i="10"/>
  <c r="W91" i="10"/>
  <c r="V90" i="10"/>
  <c r="Z90" i="10"/>
  <c r="W90" i="10"/>
  <c r="AA90" i="10"/>
  <c r="X90" i="10"/>
  <c r="Y90" i="10"/>
  <c r="W89" i="10"/>
  <c r="Z89" i="10"/>
  <c r="Y89" i="10"/>
  <c r="AA89" i="10"/>
  <c r="V89" i="10"/>
  <c r="X89" i="10"/>
  <c r="Y88" i="10"/>
  <c r="AA88" i="10"/>
  <c r="Z88" i="10"/>
  <c r="X88" i="10"/>
  <c r="V88" i="10"/>
  <c r="W88" i="10"/>
  <c r="X87" i="10"/>
  <c r="AA87" i="10"/>
  <c r="Z87" i="10"/>
  <c r="V87" i="10"/>
  <c r="Y87" i="10"/>
  <c r="W87" i="10"/>
  <c r="V86" i="10"/>
  <c r="Y86" i="10"/>
  <c r="X86" i="10"/>
  <c r="AA86" i="10"/>
  <c r="W86" i="10"/>
  <c r="Z86" i="10"/>
  <c r="V85" i="10"/>
  <c r="X85" i="10"/>
  <c r="AA85" i="10"/>
  <c r="Z85" i="10"/>
  <c r="W85" i="10"/>
  <c r="Y85" i="10"/>
  <c r="Y84" i="10"/>
  <c r="X84" i="10"/>
  <c r="W84" i="10"/>
  <c r="AA84" i="10"/>
  <c r="Z84" i="10"/>
  <c r="V84" i="10"/>
  <c r="X83" i="10"/>
  <c r="Y83" i="10"/>
  <c r="W83" i="10"/>
  <c r="Z83" i="10"/>
  <c r="AA83" i="10"/>
  <c r="V83" i="10"/>
  <c r="Z82" i="10"/>
  <c r="Y82" i="10"/>
  <c r="W82" i="10"/>
  <c r="X82" i="10"/>
  <c r="V82" i="10"/>
  <c r="AA82" i="10"/>
  <c r="W81" i="10"/>
  <c r="V81" i="10"/>
  <c r="AA81" i="10"/>
  <c r="Y81" i="10"/>
  <c r="X81" i="10"/>
  <c r="Z81" i="10"/>
  <c r="X80" i="10"/>
  <c r="V80" i="10"/>
  <c r="Z80" i="10"/>
  <c r="AA80" i="10"/>
  <c r="W80" i="10"/>
  <c r="Y80" i="10"/>
  <c r="Y79" i="10"/>
  <c r="X79" i="10"/>
  <c r="V79" i="10"/>
  <c r="AA79" i="10"/>
  <c r="W79" i="10"/>
  <c r="Z79" i="10"/>
  <c r="W78" i="10"/>
  <c r="X78" i="10"/>
  <c r="AA78" i="10"/>
  <c r="Z78" i="10"/>
  <c r="V78" i="10"/>
  <c r="Y78" i="10"/>
  <c r="AA77" i="10"/>
  <c r="V77" i="10"/>
  <c r="Y77" i="10"/>
  <c r="W77" i="10"/>
  <c r="X77" i="10"/>
  <c r="Z77" i="10"/>
  <c r="Z76" i="10"/>
  <c r="AA76" i="10"/>
  <c r="Y76" i="10"/>
  <c r="W76" i="10"/>
  <c r="V76" i="10"/>
  <c r="X76" i="10"/>
  <c r="X17" i="10"/>
  <c r="AA17" i="10"/>
  <c r="Y17" i="10"/>
  <c r="V17" i="10"/>
  <c r="Z17" i="10"/>
  <c r="W17" i="10"/>
  <c r="AA16" i="10"/>
  <c r="Z16" i="10"/>
  <c r="W16" i="10"/>
  <c r="X16" i="10"/>
  <c r="Y16" i="10"/>
  <c r="V16" i="10"/>
  <c r="AA25" i="10"/>
  <c r="Y25" i="10"/>
  <c r="V25" i="10"/>
  <c r="Z25" i="10"/>
  <c r="W25" i="10"/>
  <c r="X25" i="10"/>
  <c r="V24" i="10"/>
  <c r="Z24" i="10"/>
  <c r="X24" i="10"/>
  <c r="W24" i="10"/>
  <c r="Y24" i="10"/>
  <c r="AA24" i="10"/>
  <c r="AA19" i="10"/>
  <c r="Z19" i="10"/>
  <c r="X19" i="10"/>
  <c r="V19" i="10"/>
  <c r="Y19" i="10"/>
  <c r="W19" i="10"/>
  <c r="Z18" i="10"/>
  <c r="W18" i="10"/>
  <c r="Y18" i="10"/>
  <c r="X18" i="10"/>
  <c r="V18" i="10"/>
  <c r="AA18" i="10"/>
  <c r="X14" i="10"/>
  <c r="V14" i="10"/>
  <c r="AA14" i="10"/>
  <c r="Y14" i="10"/>
  <c r="Z14" i="10"/>
  <c r="W14" i="10"/>
  <c r="AA15" i="10"/>
  <c r="Z15" i="10"/>
  <c r="V15" i="10"/>
  <c r="X15" i="10"/>
  <c r="W15" i="10"/>
  <c r="Y15" i="10"/>
  <c r="G7" i="19"/>
  <c r="D29" i="19"/>
  <c r="D28" i="19"/>
  <c r="D30" i="19"/>
  <c r="L21" i="10"/>
  <c r="L20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17" i="10"/>
  <c r="M16" i="10"/>
  <c r="M25" i="10"/>
  <c r="M24" i="10"/>
  <c r="M19" i="10"/>
  <c r="M18" i="10"/>
  <c r="M14" i="10"/>
  <c r="M15" i="10"/>
  <c r="M21" i="10"/>
  <c r="W11" i="7" s="1"/>
  <c r="M20" i="10"/>
  <c r="W10" i="7" s="1"/>
  <c r="D9" i="19"/>
  <c r="E9" i="19"/>
  <c r="F27" i="19"/>
  <c r="B9" i="19"/>
  <c r="F9" i="19"/>
  <c r="C9" i="19"/>
  <c r="E8" i="19"/>
  <c r="F8" i="19"/>
  <c r="E27" i="19"/>
  <c r="D8" i="19"/>
  <c r="B8" i="19"/>
  <c r="C8" i="19"/>
  <c r="D11" i="19"/>
  <c r="G11" i="19" s="1"/>
  <c r="F11" i="19"/>
  <c r="E11" i="19"/>
  <c r="H27" i="19"/>
  <c r="C11" i="19"/>
  <c r="B11" i="19"/>
  <c r="F10" i="19"/>
  <c r="C10" i="19"/>
  <c r="D10" i="19"/>
  <c r="E10" i="19"/>
  <c r="G27" i="19"/>
  <c r="B10" i="19"/>
  <c r="B12" i="19"/>
  <c r="C12" i="19"/>
  <c r="E12" i="19"/>
  <c r="D12" i="19"/>
  <c r="G12" i="19" s="1"/>
  <c r="F12" i="19"/>
  <c r="I27" i="19"/>
  <c r="B31" i="19"/>
  <c r="C31" i="19"/>
  <c r="D31" i="19"/>
  <c r="E31" i="19"/>
  <c r="F31" i="19"/>
  <c r="G31" i="19"/>
  <c r="H31" i="19"/>
  <c r="I31" i="19"/>
  <c r="J31" i="19"/>
  <c r="A32" i="19"/>
  <c r="U27" i="18"/>
  <c r="E3" i="6"/>
  <c r="N18" i="10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N20" i="10"/>
  <c r="U17" i="7" s="1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G32" i="6" s="1"/>
  <c r="AD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G111" i="6" s="1"/>
  <c r="AD111" i="6"/>
  <c r="G111" i="6"/>
  <c r="H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K76" i="6" s="1"/>
  <c r="H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G54" i="6" s="1"/>
  <c r="AD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H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M65" i="6" s="1"/>
  <c r="H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K102" i="6" s="1"/>
  <c r="H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K91" i="6" s="1"/>
  <c r="H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H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G109" i="6" s="1"/>
  <c r="AD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G98" i="6" s="1"/>
  <c r="AD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K64" i="6" s="1"/>
  <c r="H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H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G93" i="6" s="1"/>
  <c r="AD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G79" i="6" s="1"/>
  <c r="AD79" i="6"/>
  <c r="G79" i="6"/>
  <c r="K79" i="6" s="1"/>
  <c r="H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K52" i="6" s="1"/>
  <c r="H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H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G94" i="6" s="1"/>
  <c r="AD94" i="6"/>
  <c r="G94" i="6"/>
  <c r="H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G78" i="6"/>
  <c r="K78" i="6" s="1"/>
  <c r="H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G56" i="6"/>
  <c r="K56" i="6" s="1"/>
  <c r="H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G97" i="6" s="1"/>
  <c r="AD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G75" i="6" s="1"/>
  <c r="AD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G58" i="6" s="1"/>
  <c r="AD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G110" i="6" s="1"/>
  <c r="AD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G101" i="6" s="1"/>
  <c r="AD101" i="6"/>
  <c r="G101" i="6"/>
  <c r="H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G92" i="6" s="1"/>
  <c r="AD92" i="6"/>
  <c r="G92" i="6"/>
  <c r="H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G83" i="6" s="1"/>
  <c r="AD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H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G44" i="6" s="1"/>
  <c r="AD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G43" i="6" s="1"/>
  <c r="AD43" i="6"/>
  <c r="G43" i="6"/>
  <c r="H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G42" i="6" s="1"/>
  <c r="AD42" i="6"/>
  <c r="G42" i="6"/>
  <c r="K42" i="6" s="1"/>
  <c r="H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G41" i="6" s="1"/>
  <c r="AD41" i="6"/>
  <c r="G41" i="6"/>
  <c r="H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G40" i="6" s="1"/>
  <c r="AD40" i="6"/>
  <c r="G40" i="6"/>
  <c r="H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G81" i="6" s="1"/>
  <c r="AD81" i="6"/>
  <c r="G81" i="6"/>
  <c r="H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G24" i="6"/>
  <c r="K24" i="6" s="1"/>
  <c r="H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AG78" i="6" l="1"/>
  <c r="M78" i="6"/>
  <c r="K41" i="6"/>
  <c r="M41" i="6"/>
  <c r="K81" i="6"/>
  <c r="M81" i="6"/>
  <c r="M99" i="6"/>
  <c r="K99" i="6"/>
  <c r="K101" i="6"/>
  <c r="M101" i="6"/>
  <c r="K33" i="6"/>
  <c r="M33" i="6"/>
  <c r="U18" i="7"/>
  <c r="K30" i="6"/>
  <c r="M30" i="6"/>
  <c r="K48" i="6"/>
  <c r="M48" i="6"/>
  <c r="K37" i="6"/>
  <c r="M37" i="6"/>
  <c r="K34" i="6"/>
  <c r="M34" i="6"/>
  <c r="K51" i="6"/>
  <c r="M51" i="6"/>
  <c r="M111" i="6"/>
  <c r="K111" i="6"/>
  <c r="W21" i="10"/>
  <c r="Y11" i="7" s="1"/>
  <c r="V21" i="10"/>
  <c r="X11" i="7" s="1"/>
  <c r="AA21" i="10"/>
  <c r="X23" i="7" s="1"/>
  <c r="X21" i="10"/>
  <c r="T23" i="7" s="1"/>
  <c r="Z21" i="10"/>
  <c r="V23" i="7" s="1"/>
  <c r="Y21" i="10"/>
  <c r="U23" i="7" s="1"/>
  <c r="S23" i="7"/>
  <c r="W23" i="7" s="1"/>
  <c r="V11" i="7"/>
  <c r="W20" i="10"/>
  <c r="Y10" i="7" s="1"/>
  <c r="V20" i="10"/>
  <c r="X10" i="7" s="1"/>
  <c r="Y20" i="10"/>
  <c r="U22" i="7" s="1"/>
  <c r="AA20" i="10"/>
  <c r="X22" i="7" s="1"/>
  <c r="Z20" i="10"/>
  <c r="V22" i="7" s="1"/>
  <c r="X20" i="10"/>
  <c r="T22" i="7" s="1"/>
  <c r="S22" i="7"/>
  <c r="W22" i="7" s="1"/>
  <c r="V10" i="7"/>
  <c r="B1" i="25" s="1"/>
  <c r="AG24" i="6"/>
  <c r="M24" i="6"/>
  <c r="K107" i="6"/>
  <c r="M107" i="6"/>
  <c r="G8" i="19"/>
  <c r="O21" i="10"/>
  <c r="V18" i="7" s="1"/>
  <c r="O20" i="10"/>
  <c r="V17" i="7" s="1"/>
  <c r="F30" i="19"/>
  <c r="F29" i="19"/>
  <c r="F28" i="19"/>
  <c r="E29" i="19"/>
  <c r="E30" i="19"/>
  <c r="E28" i="19"/>
  <c r="G9" i="19"/>
  <c r="M84" i="6"/>
  <c r="K84" i="6"/>
  <c r="K105" i="6"/>
  <c r="M105" i="6"/>
  <c r="K94" i="6"/>
  <c r="M94" i="6"/>
  <c r="AG56" i="6"/>
  <c r="M56" i="6"/>
  <c r="M92" i="6"/>
  <c r="K92" i="6"/>
  <c r="K59" i="6"/>
  <c r="M59" i="6"/>
  <c r="K43" i="6"/>
  <c r="M43" i="6"/>
  <c r="M40" i="6"/>
  <c r="K40" i="6"/>
  <c r="M39" i="6"/>
  <c r="K39" i="6"/>
  <c r="H28" i="19"/>
  <c r="H30" i="19"/>
  <c r="H29" i="19"/>
  <c r="G28" i="19"/>
  <c r="G30" i="19"/>
  <c r="G29" i="19"/>
  <c r="I29" i="19"/>
  <c r="I28" i="19"/>
  <c r="I30" i="19"/>
  <c r="J32" i="19"/>
  <c r="I32" i="19"/>
  <c r="H32" i="19"/>
  <c r="G32" i="19"/>
  <c r="F32" i="19"/>
  <c r="E32" i="19"/>
  <c r="D32" i="19"/>
  <c r="C32" i="19"/>
  <c r="B32" i="19"/>
  <c r="G10" i="19"/>
  <c r="A33" i="19"/>
  <c r="U32" i="18"/>
  <c r="U37" i="18" s="1"/>
  <c r="U42" i="18" s="1"/>
  <c r="U47" i="18" s="1"/>
  <c r="U52" i="18" s="1"/>
  <c r="U57" i="18" s="1"/>
  <c r="U62" i="18" s="1"/>
  <c r="K80" i="6"/>
  <c r="M80" i="6"/>
  <c r="K38" i="6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B2" i="25" l="1"/>
  <c r="F10" i="7"/>
  <c r="F11" i="7"/>
  <c r="F13" i="7"/>
  <c r="G8" i="7"/>
  <c r="G7" i="7"/>
  <c r="H7" i="7"/>
  <c r="H8" i="7"/>
  <c r="I8" i="7"/>
  <c r="K7" i="7"/>
  <c r="K8" i="7"/>
  <c r="J7" i="7"/>
  <c r="J8" i="7"/>
  <c r="I7" i="7"/>
  <c r="P21" i="10"/>
  <c r="W18" i="7" s="1"/>
  <c r="P20" i="10"/>
  <c r="B33" i="19"/>
  <c r="C33" i="19"/>
  <c r="D33" i="19"/>
  <c r="E33" i="19"/>
  <c r="F33" i="19"/>
  <c r="G33" i="19"/>
  <c r="H33" i="19"/>
  <c r="I33" i="19"/>
  <c r="J33" i="19"/>
  <c r="P46" i="6"/>
  <c r="AL4" i="6"/>
  <c r="U67" i="18"/>
  <c r="U72" i="18" s="1"/>
  <c r="U77" i="18" s="1"/>
  <c r="U82" i="18" s="1"/>
  <c r="U87" i="18" s="1"/>
  <c r="U92" i="18" s="1"/>
  <c r="U97" i="18" s="1"/>
  <c r="U102" i="18" s="1"/>
  <c r="U107" i="18" s="1"/>
  <c r="U112" i="18" s="1"/>
  <c r="U117" i="18" s="1"/>
  <c r="U122" i="18" s="1"/>
  <c r="U127" i="18" s="1"/>
  <c r="U132" i="18" s="1"/>
  <c r="U137" i="18" s="1"/>
  <c r="U142" i="18" s="1"/>
  <c r="U147" i="18" s="1"/>
  <c r="U287" i="18" s="1"/>
  <c r="U457" i="18" s="1"/>
  <c r="U462" i="18" s="1"/>
  <c r="U467" i="18" s="1"/>
  <c r="U472" i="18" s="1"/>
  <c r="U477" i="18" s="1"/>
  <c r="U482" i="18" s="1"/>
  <c r="P3" i="6"/>
  <c r="P106" i="6"/>
  <c r="L28" i="10"/>
  <c r="N28" i="10"/>
  <c r="O28" i="10" s="1"/>
  <c r="P28" i="10" s="1"/>
  <c r="U28" i="10" s="1"/>
  <c r="N29" i="10"/>
  <c r="O29" i="10" s="1"/>
  <c r="P29" i="10" s="1"/>
  <c r="U29" i="10" s="1"/>
  <c r="L29" i="10"/>
  <c r="N22" i="10"/>
  <c r="O22" i="10" s="1"/>
  <c r="P22" i="10" s="1"/>
  <c r="L22" i="10"/>
  <c r="N23" i="10"/>
  <c r="O23" i="10" s="1"/>
  <c r="P23" i="10" s="1"/>
  <c r="U23" i="10" s="1"/>
  <c r="L23" i="10"/>
  <c r="P84" i="6"/>
  <c r="T13" i="3"/>
  <c r="V13" i="3"/>
  <c r="U13" i="3" s="1"/>
  <c r="V10" i="3"/>
  <c r="U10" i="3" s="1"/>
  <c r="T10" i="3"/>
  <c r="P81" i="6"/>
  <c r="P105" i="6"/>
  <c r="P71" i="6"/>
  <c r="AL103" i="6"/>
  <c r="AL34" i="6"/>
  <c r="P30" i="6"/>
  <c r="P103" i="6"/>
  <c r="AL77" i="6"/>
  <c r="AL64" i="6"/>
  <c r="AL75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P23" i="6"/>
  <c r="P24" i="6"/>
  <c r="P6" i="6"/>
  <c r="P20" i="6"/>
  <c r="P17" i="6"/>
  <c r="AL22" i="6"/>
  <c r="P12" i="6"/>
  <c r="AL18" i="6"/>
  <c r="E7" i="7"/>
  <c r="P13" i="6"/>
  <c r="AL8" i="6"/>
  <c r="AL21" i="6"/>
  <c r="AL9" i="6"/>
  <c r="P22" i="6"/>
  <c r="P7" i="6"/>
  <c r="P14" i="6"/>
  <c r="AL3" i="6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19" i="6"/>
  <c r="P5" i="6"/>
  <c r="AL25" i="6"/>
  <c r="AL10" i="6"/>
  <c r="AL27" i="6"/>
  <c r="AL15" i="6"/>
  <c r="P16" i="6"/>
  <c r="AL16" i="6"/>
  <c r="AL5" i="6"/>
  <c r="AL14" i="6"/>
  <c r="P15" i="6"/>
  <c r="AL24" i="6"/>
  <c r="P25" i="6"/>
  <c r="AL11" i="6"/>
  <c r="J10" i="25" l="1"/>
  <c r="K10" i="25"/>
  <c r="L10" i="25"/>
  <c r="M10" i="25"/>
  <c r="N10" i="25"/>
  <c r="O10" i="25"/>
  <c r="P10" i="25"/>
  <c r="L7" i="7"/>
  <c r="M7" i="7" s="1"/>
  <c r="L8" i="7"/>
  <c r="M8" i="7" s="1"/>
  <c r="W17" i="7"/>
  <c r="Y28" i="10"/>
  <c r="W28" i="10"/>
  <c r="V28" i="10"/>
  <c r="AA28" i="10"/>
  <c r="Z28" i="10"/>
  <c r="X28" i="10"/>
  <c r="W29" i="10"/>
  <c r="V29" i="10"/>
  <c r="Z29" i="10"/>
  <c r="X29" i="10"/>
  <c r="Y29" i="10"/>
  <c r="AA29" i="10"/>
  <c r="AA22" i="10"/>
  <c r="X22" i="10"/>
  <c r="W22" i="10"/>
  <c r="V22" i="10"/>
  <c r="Z22" i="10"/>
  <c r="Y22" i="10"/>
  <c r="Z23" i="10"/>
  <c r="W23" i="10"/>
  <c r="V23" i="10"/>
  <c r="AA23" i="10"/>
  <c r="Y23" i="10"/>
  <c r="X23" i="10"/>
  <c r="U21" i="10"/>
  <c r="U20" i="10"/>
  <c r="M28" i="10"/>
  <c r="M29" i="10"/>
  <c r="M22" i="10"/>
  <c r="M23" i="10"/>
  <c r="J46" i="6"/>
  <c r="I46" i="6"/>
  <c r="AE4" i="6"/>
  <c r="AF4" i="6"/>
  <c r="A78" i="19"/>
  <c r="A87" i="19"/>
  <c r="A75" i="19"/>
  <c r="A59" i="19"/>
  <c r="A81" i="19"/>
  <c r="A71" i="19"/>
  <c r="J17" i="19"/>
  <c r="A41" i="19"/>
  <c r="A57" i="19"/>
  <c r="A44" i="19"/>
  <c r="A80" i="19"/>
  <c r="A36" i="19"/>
  <c r="A77" i="19"/>
  <c r="A79" i="19"/>
  <c r="A84" i="19"/>
  <c r="A35" i="19"/>
  <c r="A73" i="19"/>
  <c r="A82" i="19"/>
  <c r="A56" i="19"/>
  <c r="A70" i="19"/>
  <c r="A63" i="19"/>
  <c r="A86" i="19"/>
  <c r="A46" i="19"/>
  <c r="A67" i="19"/>
  <c r="A61" i="19"/>
  <c r="A50" i="19"/>
  <c r="A49" i="19"/>
  <c r="A55" i="19"/>
  <c r="A58" i="19"/>
  <c r="A34" i="19"/>
  <c r="A38" i="19"/>
  <c r="A40" i="19"/>
  <c r="A66" i="19"/>
  <c r="A47" i="19"/>
  <c r="A37" i="19"/>
  <c r="A51" i="19"/>
  <c r="A48" i="19"/>
  <c r="A42" i="19"/>
  <c r="A68" i="19"/>
  <c r="A83" i="19"/>
  <c r="A53" i="19"/>
  <c r="A60" i="19"/>
  <c r="A45" i="19"/>
  <c r="A69" i="19"/>
  <c r="A76" i="19"/>
  <c r="A54" i="19"/>
  <c r="A72" i="19"/>
  <c r="A52" i="19"/>
  <c r="A62" i="19"/>
  <c r="A39" i="19"/>
  <c r="A85" i="19"/>
  <c r="A74" i="19"/>
  <c r="A65" i="19"/>
  <c r="A43" i="19"/>
  <c r="A64" i="19"/>
  <c r="I3" i="6"/>
  <c r="J3" i="6"/>
  <c r="J106" i="6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J78" i="19" l="1"/>
  <c r="I78" i="19"/>
  <c r="H78" i="19"/>
  <c r="G78" i="19"/>
  <c r="F78" i="19"/>
  <c r="E78" i="19"/>
  <c r="D78" i="19"/>
  <c r="C78" i="19"/>
  <c r="B78" i="19"/>
  <c r="J87" i="19"/>
  <c r="I87" i="19"/>
  <c r="H87" i="19"/>
  <c r="G87" i="19"/>
  <c r="F87" i="19"/>
  <c r="E87" i="19"/>
  <c r="D87" i="19"/>
  <c r="C87" i="19"/>
  <c r="B87" i="19"/>
  <c r="J75" i="19"/>
  <c r="I75" i="19"/>
  <c r="H75" i="19"/>
  <c r="G75" i="19"/>
  <c r="F75" i="19"/>
  <c r="E75" i="19"/>
  <c r="D75" i="19"/>
  <c r="C75" i="19"/>
  <c r="B75" i="19"/>
  <c r="J59" i="19"/>
  <c r="I59" i="19"/>
  <c r="H59" i="19"/>
  <c r="G59" i="19"/>
  <c r="F59" i="19"/>
  <c r="E59" i="19"/>
  <c r="D59" i="19"/>
  <c r="C59" i="19"/>
  <c r="B59" i="19"/>
  <c r="J81" i="19"/>
  <c r="I81" i="19"/>
  <c r="H81" i="19"/>
  <c r="G81" i="19"/>
  <c r="F81" i="19"/>
  <c r="E81" i="19"/>
  <c r="D81" i="19"/>
  <c r="C81" i="19"/>
  <c r="B81" i="19"/>
  <c r="J71" i="19"/>
  <c r="I71" i="19"/>
  <c r="H71" i="19"/>
  <c r="G71" i="19"/>
  <c r="F71" i="19"/>
  <c r="E71" i="19"/>
  <c r="D71" i="19"/>
  <c r="C71" i="19"/>
  <c r="B71" i="19"/>
  <c r="J41" i="19"/>
  <c r="I41" i="19"/>
  <c r="H41" i="19"/>
  <c r="G41" i="19"/>
  <c r="F41" i="19"/>
  <c r="E41" i="19"/>
  <c r="D41" i="19"/>
  <c r="C41" i="19"/>
  <c r="B41" i="19"/>
  <c r="J57" i="19"/>
  <c r="I57" i="19"/>
  <c r="H57" i="19"/>
  <c r="G57" i="19"/>
  <c r="F57" i="19"/>
  <c r="E57" i="19"/>
  <c r="D57" i="19"/>
  <c r="C57" i="19"/>
  <c r="B57" i="19"/>
  <c r="J44" i="19"/>
  <c r="I44" i="19"/>
  <c r="H44" i="19"/>
  <c r="G44" i="19"/>
  <c r="F44" i="19"/>
  <c r="E44" i="19"/>
  <c r="D44" i="19"/>
  <c r="C44" i="19"/>
  <c r="B44" i="19"/>
  <c r="J80" i="19"/>
  <c r="I80" i="19"/>
  <c r="H80" i="19"/>
  <c r="G80" i="19"/>
  <c r="F80" i="19"/>
  <c r="E80" i="19"/>
  <c r="D80" i="19"/>
  <c r="C80" i="19"/>
  <c r="B80" i="19"/>
  <c r="J36" i="19"/>
  <c r="I36" i="19"/>
  <c r="H36" i="19"/>
  <c r="G36" i="19"/>
  <c r="F36" i="19"/>
  <c r="E36" i="19"/>
  <c r="D36" i="19"/>
  <c r="C36" i="19"/>
  <c r="B36" i="19"/>
  <c r="J77" i="19"/>
  <c r="I77" i="19"/>
  <c r="H77" i="19"/>
  <c r="G77" i="19"/>
  <c r="F77" i="19"/>
  <c r="E77" i="19"/>
  <c r="D77" i="19"/>
  <c r="C77" i="19"/>
  <c r="B77" i="19"/>
  <c r="J79" i="19"/>
  <c r="I79" i="19"/>
  <c r="H79" i="19"/>
  <c r="G79" i="19"/>
  <c r="F79" i="19"/>
  <c r="E79" i="19"/>
  <c r="D79" i="19"/>
  <c r="C79" i="19"/>
  <c r="B79" i="19"/>
  <c r="J84" i="19"/>
  <c r="I84" i="19"/>
  <c r="H84" i="19"/>
  <c r="G84" i="19"/>
  <c r="F84" i="19"/>
  <c r="E84" i="19"/>
  <c r="D84" i="19"/>
  <c r="C84" i="19"/>
  <c r="B84" i="19"/>
  <c r="J35" i="19"/>
  <c r="I35" i="19"/>
  <c r="H35" i="19"/>
  <c r="G35" i="19"/>
  <c r="F35" i="19"/>
  <c r="E35" i="19"/>
  <c r="D35" i="19"/>
  <c r="C35" i="19"/>
  <c r="B35" i="19"/>
  <c r="J73" i="19"/>
  <c r="I73" i="19"/>
  <c r="H73" i="19"/>
  <c r="G73" i="19"/>
  <c r="F73" i="19"/>
  <c r="E73" i="19"/>
  <c r="D73" i="19"/>
  <c r="C73" i="19"/>
  <c r="B73" i="19"/>
  <c r="J82" i="19"/>
  <c r="I82" i="19"/>
  <c r="H82" i="19"/>
  <c r="G82" i="19"/>
  <c r="F82" i="19"/>
  <c r="E82" i="19"/>
  <c r="D82" i="19"/>
  <c r="C82" i="19"/>
  <c r="B82" i="19"/>
  <c r="J56" i="19"/>
  <c r="I56" i="19"/>
  <c r="H56" i="19"/>
  <c r="G56" i="19"/>
  <c r="F56" i="19"/>
  <c r="E56" i="19"/>
  <c r="D56" i="19"/>
  <c r="C56" i="19"/>
  <c r="B56" i="19"/>
  <c r="J70" i="19"/>
  <c r="I70" i="19"/>
  <c r="H70" i="19"/>
  <c r="G70" i="19"/>
  <c r="F70" i="19"/>
  <c r="E70" i="19"/>
  <c r="D70" i="19"/>
  <c r="C70" i="19"/>
  <c r="B70" i="19"/>
  <c r="J63" i="19"/>
  <c r="I63" i="19"/>
  <c r="H63" i="19"/>
  <c r="G63" i="19"/>
  <c r="F63" i="19"/>
  <c r="E63" i="19"/>
  <c r="D63" i="19"/>
  <c r="C63" i="19"/>
  <c r="B63" i="19"/>
  <c r="J86" i="19"/>
  <c r="I86" i="19"/>
  <c r="H86" i="19"/>
  <c r="G86" i="19"/>
  <c r="F86" i="19"/>
  <c r="E86" i="19"/>
  <c r="D86" i="19"/>
  <c r="C86" i="19"/>
  <c r="B86" i="19"/>
  <c r="J46" i="19"/>
  <c r="I46" i="19"/>
  <c r="H46" i="19"/>
  <c r="G46" i="19"/>
  <c r="F46" i="19"/>
  <c r="E46" i="19"/>
  <c r="D46" i="19"/>
  <c r="C46" i="19"/>
  <c r="B46" i="19"/>
  <c r="J67" i="19"/>
  <c r="I67" i="19"/>
  <c r="H67" i="19"/>
  <c r="G67" i="19"/>
  <c r="F67" i="19"/>
  <c r="E67" i="19"/>
  <c r="D67" i="19"/>
  <c r="C67" i="19"/>
  <c r="B67" i="19"/>
  <c r="J61" i="19"/>
  <c r="I61" i="19"/>
  <c r="H61" i="19"/>
  <c r="G61" i="19"/>
  <c r="F61" i="19"/>
  <c r="E61" i="19"/>
  <c r="D61" i="19"/>
  <c r="C61" i="19"/>
  <c r="B61" i="19"/>
  <c r="J50" i="19"/>
  <c r="I50" i="19"/>
  <c r="H50" i="19"/>
  <c r="G50" i="19"/>
  <c r="F50" i="19"/>
  <c r="E50" i="19"/>
  <c r="D50" i="19"/>
  <c r="C50" i="19"/>
  <c r="B50" i="19"/>
  <c r="J49" i="19"/>
  <c r="I49" i="19"/>
  <c r="H49" i="19"/>
  <c r="G49" i="19"/>
  <c r="F49" i="19"/>
  <c r="E49" i="19"/>
  <c r="D49" i="19"/>
  <c r="C49" i="19"/>
  <c r="B49" i="19"/>
  <c r="J55" i="19"/>
  <c r="I55" i="19"/>
  <c r="H55" i="19"/>
  <c r="G55" i="19"/>
  <c r="F55" i="19"/>
  <c r="E55" i="19"/>
  <c r="D55" i="19"/>
  <c r="C55" i="19"/>
  <c r="B55" i="19"/>
  <c r="J58" i="19"/>
  <c r="I58" i="19"/>
  <c r="H58" i="19"/>
  <c r="G58" i="19"/>
  <c r="F58" i="19"/>
  <c r="E58" i="19"/>
  <c r="D58" i="19"/>
  <c r="C58" i="19"/>
  <c r="B58" i="19"/>
  <c r="J34" i="19"/>
  <c r="I34" i="19"/>
  <c r="H34" i="19"/>
  <c r="G34" i="19"/>
  <c r="F34" i="19"/>
  <c r="E34" i="19"/>
  <c r="D34" i="19"/>
  <c r="C34" i="19"/>
  <c r="B34" i="19"/>
  <c r="J38" i="19"/>
  <c r="I38" i="19"/>
  <c r="H38" i="19"/>
  <c r="G38" i="19"/>
  <c r="F38" i="19"/>
  <c r="E38" i="19"/>
  <c r="D38" i="19"/>
  <c r="C38" i="19"/>
  <c r="B38" i="19"/>
  <c r="J40" i="19"/>
  <c r="I40" i="19"/>
  <c r="H40" i="19"/>
  <c r="G40" i="19"/>
  <c r="F40" i="19"/>
  <c r="E40" i="19"/>
  <c r="D40" i="19"/>
  <c r="C40" i="19"/>
  <c r="B40" i="19"/>
  <c r="J66" i="19"/>
  <c r="I66" i="19"/>
  <c r="H66" i="19"/>
  <c r="G66" i="19"/>
  <c r="F66" i="19"/>
  <c r="E66" i="19"/>
  <c r="D66" i="19"/>
  <c r="C66" i="19"/>
  <c r="B66" i="19"/>
  <c r="J47" i="19"/>
  <c r="I47" i="19"/>
  <c r="H47" i="19"/>
  <c r="G47" i="19"/>
  <c r="F47" i="19"/>
  <c r="E47" i="19"/>
  <c r="D47" i="19"/>
  <c r="C47" i="19"/>
  <c r="B47" i="19"/>
  <c r="J37" i="19"/>
  <c r="I37" i="19"/>
  <c r="H37" i="19"/>
  <c r="G37" i="19"/>
  <c r="F37" i="19"/>
  <c r="E37" i="19"/>
  <c r="D37" i="19"/>
  <c r="C37" i="19"/>
  <c r="B37" i="19"/>
  <c r="J51" i="19"/>
  <c r="I51" i="19"/>
  <c r="H51" i="19"/>
  <c r="G51" i="19"/>
  <c r="F51" i="19"/>
  <c r="E51" i="19"/>
  <c r="D51" i="19"/>
  <c r="C51" i="19"/>
  <c r="B51" i="19"/>
  <c r="J48" i="19"/>
  <c r="I48" i="19"/>
  <c r="H48" i="19"/>
  <c r="G48" i="19"/>
  <c r="F48" i="19"/>
  <c r="E48" i="19"/>
  <c r="D48" i="19"/>
  <c r="C48" i="19"/>
  <c r="B48" i="19"/>
  <c r="J42" i="19"/>
  <c r="I42" i="19"/>
  <c r="H42" i="19"/>
  <c r="G42" i="19"/>
  <c r="F42" i="19"/>
  <c r="E42" i="19"/>
  <c r="D42" i="19"/>
  <c r="C42" i="19"/>
  <c r="B42" i="19"/>
  <c r="J68" i="19"/>
  <c r="I68" i="19"/>
  <c r="H68" i="19"/>
  <c r="G68" i="19"/>
  <c r="F68" i="19"/>
  <c r="E68" i="19"/>
  <c r="D68" i="19"/>
  <c r="C68" i="19"/>
  <c r="B68" i="19"/>
  <c r="J83" i="19"/>
  <c r="I83" i="19"/>
  <c r="H83" i="19"/>
  <c r="G83" i="19"/>
  <c r="F83" i="19"/>
  <c r="E83" i="19"/>
  <c r="D83" i="19"/>
  <c r="C83" i="19"/>
  <c r="B83" i="19"/>
  <c r="J53" i="19"/>
  <c r="I53" i="19"/>
  <c r="H53" i="19"/>
  <c r="G53" i="19"/>
  <c r="F53" i="19"/>
  <c r="E53" i="19"/>
  <c r="D53" i="19"/>
  <c r="C53" i="19"/>
  <c r="B53" i="19"/>
  <c r="J60" i="19"/>
  <c r="I60" i="19"/>
  <c r="H60" i="19"/>
  <c r="G60" i="19"/>
  <c r="F60" i="19"/>
  <c r="E60" i="19"/>
  <c r="D60" i="19"/>
  <c r="C60" i="19"/>
  <c r="B60" i="19"/>
  <c r="J45" i="19"/>
  <c r="I45" i="19"/>
  <c r="H45" i="19"/>
  <c r="G45" i="19"/>
  <c r="F45" i="19"/>
  <c r="E45" i="19"/>
  <c r="D45" i="19"/>
  <c r="C45" i="19"/>
  <c r="B45" i="19"/>
  <c r="J69" i="19"/>
  <c r="I69" i="19"/>
  <c r="H69" i="19"/>
  <c r="G69" i="19"/>
  <c r="F69" i="19"/>
  <c r="E69" i="19"/>
  <c r="D69" i="19"/>
  <c r="C69" i="19"/>
  <c r="B69" i="19"/>
  <c r="J76" i="19"/>
  <c r="I76" i="19"/>
  <c r="H76" i="19"/>
  <c r="G76" i="19"/>
  <c r="F76" i="19"/>
  <c r="E76" i="19"/>
  <c r="D76" i="19"/>
  <c r="C76" i="19"/>
  <c r="B76" i="19"/>
  <c r="J54" i="19"/>
  <c r="I54" i="19"/>
  <c r="H54" i="19"/>
  <c r="G54" i="19"/>
  <c r="F54" i="19"/>
  <c r="E54" i="19"/>
  <c r="D54" i="19"/>
  <c r="C54" i="19"/>
  <c r="B54" i="19"/>
  <c r="J72" i="19"/>
  <c r="I72" i="19"/>
  <c r="H72" i="19"/>
  <c r="G72" i="19"/>
  <c r="F72" i="19"/>
  <c r="E72" i="19"/>
  <c r="D72" i="19"/>
  <c r="C72" i="19"/>
  <c r="B72" i="19"/>
  <c r="J52" i="19"/>
  <c r="I52" i="19"/>
  <c r="H52" i="19"/>
  <c r="G52" i="19"/>
  <c r="F52" i="19"/>
  <c r="E52" i="19"/>
  <c r="D52" i="19"/>
  <c r="C52" i="19"/>
  <c r="B52" i="19"/>
  <c r="J62" i="19"/>
  <c r="I62" i="19"/>
  <c r="H62" i="19"/>
  <c r="G62" i="19"/>
  <c r="F62" i="19"/>
  <c r="E62" i="19"/>
  <c r="D62" i="19"/>
  <c r="C62" i="19"/>
  <c r="B62" i="19"/>
  <c r="J39" i="19"/>
  <c r="I39" i="19"/>
  <c r="H39" i="19"/>
  <c r="G39" i="19"/>
  <c r="F39" i="19"/>
  <c r="E39" i="19"/>
  <c r="D39" i="19"/>
  <c r="C39" i="19"/>
  <c r="B39" i="19"/>
  <c r="J85" i="19"/>
  <c r="I85" i="19"/>
  <c r="H85" i="19"/>
  <c r="G85" i="19"/>
  <c r="F85" i="19"/>
  <c r="E85" i="19"/>
  <c r="D85" i="19"/>
  <c r="C85" i="19"/>
  <c r="B85" i="19"/>
  <c r="J74" i="19"/>
  <c r="I74" i="19"/>
  <c r="H74" i="19"/>
  <c r="G74" i="19"/>
  <c r="F74" i="19"/>
  <c r="E74" i="19"/>
  <c r="D74" i="19"/>
  <c r="C74" i="19"/>
  <c r="B74" i="19"/>
  <c r="J65" i="19"/>
  <c r="I65" i="19"/>
  <c r="H65" i="19"/>
  <c r="G65" i="19"/>
  <c r="F65" i="19"/>
  <c r="E65" i="19"/>
  <c r="D65" i="19"/>
  <c r="C65" i="19"/>
  <c r="B65" i="19"/>
  <c r="J43" i="19"/>
  <c r="I43" i="19"/>
  <c r="H43" i="19"/>
  <c r="G43" i="19"/>
  <c r="F43" i="19"/>
  <c r="E43" i="19"/>
  <c r="D43" i="19"/>
  <c r="C43" i="19"/>
  <c r="B43" i="19"/>
  <c r="J64" i="19"/>
  <c r="I64" i="19"/>
  <c r="H64" i="19"/>
  <c r="G64" i="19"/>
  <c r="F64" i="19"/>
  <c r="E64" i="19"/>
  <c r="D64" i="19"/>
  <c r="C64" i="19"/>
  <c r="B64" i="19"/>
  <c r="N33" i="10"/>
  <c r="O33" i="10" s="1"/>
  <c r="P33" i="10" s="1"/>
  <c r="U33" i="10" s="1"/>
  <c r="L33" i="10"/>
  <c r="N32" i="10"/>
  <c r="O32" i="10" s="1"/>
  <c r="P32" i="10" s="1"/>
  <c r="U32" i="10" s="1"/>
  <c r="L32" i="10"/>
  <c r="L27" i="10"/>
  <c r="N27" i="10"/>
  <c r="O27" i="10" s="1"/>
  <c r="P27" i="10" s="1"/>
  <c r="U27" i="10" s="1"/>
  <c r="N26" i="10"/>
  <c r="O26" i="10" s="1"/>
  <c r="P26" i="10" s="1"/>
  <c r="L26" i="10"/>
  <c r="V15" i="3"/>
  <c r="U15" i="3" s="1"/>
  <c r="T15" i="3"/>
  <c r="V12" i="3"/>
  <c r="U12" i="3" s="1"/>
  <c r="T12" i="3"/>
  <c r="Z33" i="10" l="1"/>
  <c r="X33" i="10"/>
  <c r="W33" i="10"/>
  <c r="V33" i="10"/>
  <c r="Y33" i="10"/>
  <c r="AA33" i="10"/>
  <c r="W32" i="10"/>
  <c r="V32" i="10"/>
  <c r="AA32" i="10"/>
  <c r="Z32" i="10"/>
  <c r="X32" i="10"/>
  <c r="Y32" i="10"/>
  <c r="W27" i="10"/>
  <c r="V27" i="10"/>
  <c r="AA27" i="10"/>
  <c r="Z27" i="10"/>
  <c r="X27" i="10"/>
  <c r="Y27" i="10"/>
  <c r="W26" i="10"/>
  <c r="V26" i="10"/>
  <c r="AA26" i="10"/>
  <c r="Y26" i="10"/>
  <c r="X26" i="10"/>
  <c r="Z26" i="10"/>
  <c r="M33" i="10"/>
  <c r="M32" i="10"/>
  <c r="M27" i="10"/>
  <c r="M26" i="10"/>
  <c r="U26" i="10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N36" i="10"/>
  <c r="O36" i="10" s="1"/>
  <c r="P36" i="10" s="1"/>
  <c r="U36" i="10" s="1"/>
  <c r="L36" i="10"/>
  <c r="N31" i="10"/>
  <c r="O31" i="10" s="1"/>
  <c r="P31" i="10" s="1"/>
  <c r="U31" i="10" s="1"/>
  <c r="L31" i="10"/>
  <c r="L30" i="10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W37" i="10" l="1"/>
  <c r="V37" i="10"/>
  <c r="Y37" i="10"/>
  <c r="X37" i="10"/>
  <c r="AA37" i="10"/>
  <c r="Z37" i="10"/>
  <c r="W36" i="10"/>
  <c r="V36" i="10"/>
  <c r="AA36" i="10"/>
  <c r="X36" i="10"/>
  <c r="Y36" i="10"/>
  <c r="Z36" i="10"/>
  <c r="W31" i="10"/>
  <c r="V31" i="10"/>
  <c r="AA31" i="10"/>
  <c r="Z31" i="10"/>
  <c r="Y31" i="10"/>
  <c r="X31" i="10"/>
  <c r="AA30" i="10"/>
  <c r="W30" i="10"/>
  <c r="V30" i="10"/>
  <c r="Y30" i="10"/>
  <c r="X30" i="10"/>
  <c r="Z30" i="10"/>
  <c r="M37" i="10"/>
  <c r="M36" i="10"/>
  <c r="M31" i="10"/>
  <c r="M30" i="10"/>
  <c r="U30" i="10"/>
  <c r="N41" i="10"/>
  <c r="O41" i="10" s="1"/>
  <c r="P41" i="10" s="1"/>
  <c r="U41" i="10" s="1"/>
  <c r="L41" i="10"/>
  <c r="L40" i="10"/>
  <c r="N40" i="10"/>
  <c r="O40" i="10" s="1"/>
  <c r="P40" i="10" s="1"/>
  <c r="U40" i="10" s="1"/>
  <c r="L35" i="10"/>
  <c r="N35" i="10"/>
  <c r="O35" i="10" s="1"/>
  <c r="P35" i="10" s="1"/>
  <c r="U35" i="10" s="1"/>
  <c r="L34" i="10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AA41" i="10" l="1"/>
  <c r="W41" i="10"/>
  <c r="V41" i="10"/>
  <c r="Y41" i="10"/>
  <c r="X41" i="10"/>
  <c r="Z41" i="10"/>
  <c r="W40" i="10"/>
  <c r="V40" i="10"/>
  <c r="AA40" i="10"/>
  <c r="X40" i="10"/>
  <c r="Z40" i="10"/>
  <c r="Y40" i="10"/>
  <c r="Y35" i="10"/>
  <c r="W35" i="10"/>
  <c r="V35" i="10"/>
  <c r="Z35" i="10"/>
  <c r="X35" i="10"/>
  <c r="AA35" i="10"/>
  <c r="W34" i="10"/>
  <c r="V34" i="10"/>
  <c r="Z34" i="10"/>
  <c r="X34" i="10"/>
  <c r="Y34" i="10"/>
  <c r="AA34" i="10"/>
  <c r="M41" i="10"/>
  <c r="M40" i="10"/>
  <c r="M35" i="10"/>
  <c r="M34" i="10"/>
  <c r="N45" i="10"/>
  <c r="O45" i="10" s="1"/>
  <c r="P45" i="10" s="1"/>
  <c r="U45" i="10" s="1"/>
  <c r="L45" i="10"/>
  <c r="N44" i="10"/>
  <c r="O44" i="10" s="1"/>
  <c r="P44" i="10" s="1"/>
  <c r="U44" i="10" s="1"/>
  <c r="L44" i="10"/>
  <c r="L39" i="10"/>
  <c r="N39" i="10"/>
  <c r="O39" i="10" s="1"/>
  <c r="P39" i="10" s="1"/>
  <c r="U39" i="10" s="1"/>
  <c r="N38" i="10"/>
  <c r="O38" i="10" s="1"/>
  <c r="P38" i="10" s="1"/>
  <c r="U38" i="10" s="1"/>
  <c r="L38" i="10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Z45" i="10" l="1"/>
  <c r="W45" i="10"/>
  <c r="V45" i="10"/>
  <c r="AA45" i="10"/>
  <c r="X45" i="10"/>
  <c r="Y45" i="10"/>
  <c r="W44" i="10"/>
  <c r="V44" i="10"/>
  <c r="X44" i="10"/>
  <c r="AA44" i="10"/>
  <c r="Y44" i="10"/>
  <c r="Z44" i="10"/>
  <c r="W39" i="10"/>
  <c r="V39" i="10"/>
  <c r="AA39" i="10"/>
  <c r="Z39" i="10"/>
  <c r="Y39" i="10"/>
  <c r="X39" i="10"/>
  <c r="W38" i="10"/>
  <c r="V38" i="10"/>
  <c r="AA38" i="10"/>
  <c r="Z38" i="10"/>
  <c r="X38" i="10"/>
  <c r="Y38" i="10"/>
  <c r="M45" i="10"/>
  <c r="M44" i="10"/>
  <c r="M39" i="10"/>
  <c r="M38" i="10"/>
  <c r="L49" i="10"/>
  <c r="N49" i="10"/>
  <c r="O49" i="10" s="1"/>
  <c r="P49" i="10" s="1"/>
  <c r="L48" i="10"/>
  <c r="N48" i="10"/>
  <c r="O48" i="10" s="1"/>
  <c r="P48" i="10" s="1"/>
  <c r="N43" i="10"/>
  <c r="O43" i="10" s="1"/>
  <c r="P43" i="10" s="1"/>
  <c r="U43" i="10" s="1"/>
  <c r="L43" i="10"/>
  <c r="L42" i="10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W49" i="10" l="1"/>
  <c r="V49" i="10"/>
  <c r="AA49" i="10"/>
  <c r="Z49" i="10"/>
  <c r="Y49" i="10"/>
  <c r="X49" i="10"/>
  <c r="Y48" i="10"/>
  <c r="W48" i="10"/>
  <c r="V48" i="10"/>
  <c r="AA48" i="10"/>
  <c r="Z48" i="10"/>
  <c r="X48" i="10"/>
  <c r="W43" i="10"/>
  <c r="V43" i="10"/>
  <c r="Z43" i="10"/>
  <c r="AA43" i="10"/>
  <c r="Y43" i="10"/>
  <c r="X43" i="10"/>
  <c r="W42" i="10"/>
  <c r="V42" i="10"/>
  <c r="Z42" i="10"/>
  <c r="X42" i="10"/>
  <c r="AA42" i="10"/>
  <c r="Y42" i="10"/>
  <c r="M49" i="10"/>
  <c r="M48" i="10"/>
  <c r="M43" i="10"/>
  <c r="M42" i="10"/>
  <c r="L53" i="10"/>
  <c r="N53" i="10"/>
  <c r="O53" i="10" s="1"/>
  <c r="P53" i="10" s="1"/>
  <c r="U53" i="10" s="1"/>
  <c r="N52" i="10"/>
  <c r="O52" i="10" s="1"/>
  <c r="P52" i="10" s="1"/>
  <c r="U52" i="10" s="1"/>
  <c r="L52" i="10"/>
  <c r="N47" i="10"/>
  <c r="O47" i="10" s="1"/>
  <c r="P47" i="10" s="1"/>
  <c r="U47" i="10" s="1"/>
  <c r="L47" i="10"/>
  <c r="L46" i="10"/>
  <c r="N46" i="10"/>
  <c r="O46" i="10" s="1"/>
  <c r="P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W53" i="10" l="1"/>
  <c r="V53" i="10"/>
  <c r="Y53" i="10"/>
  <c r="X53" i="10"/>
  <c r="AA53" i="10"/>
  <c r="Z53" i="10"/>
  <c r="AA52" i="10"/>
  <c r="X52" i="10"/>
  <c r="W52" i="10"/>
  <c r="V52" i="10"/>
  <c r="Z52" i="10"/>
  <c r="Y52" i="10"/>
  <c r="AA47" i="10"/>
  <c r="W47" i="10"/>
  <c r="V47" i="10"/>
  <c r="X47" i="10"/>
  <c r="Y47" i="10"/>
  <c r="Z47" i="10"/>
  <c r="W46" i="10"/>
  <c r="V46" i="10"/>
  <c r="Y46" i="10"/>
  <c r="Z46" i="10"/>
  <c r="AA46" i="10"/>
  <c r="X46" i="10"/>
  <c r="M53" i="10"/>
  <c r="M52" i="10"/>
  <c r="M47" i="10"/>
  <c r="M46" i="10"/>
  <c r="U46" i="10"/>
  <c r="U49" i="10"/>
  <c r="U48" i="10"/>
  <c r="L57" i="10"/>
  <c r="N57" i="10"/>
  <c r="O57" i="10" s="1"/>
  <c r="P57" i="10" s="1"/>
  <c r="U57" i="10" s="1"/>
  <c r="N56" i="10"/>
  <c r="O56" i="10" s="1"/>
  <c r="P56" i="10" s="1"/>
  <c r="U56" i="10" s="1"/>
  <c r="L56" i="10"/>
  <c r="N51" i="10"/>
  <c r="O51" i="10" s="1"/>
  <c r="P51" i="10" s="1"/>
  <c r="U51" i="10" s="1"/>
  <c r="L51" i="10"/>
  <c r="N50" i="10"/>
  <c r="O50" i="10" s="1"/>
  <c r="P50" i="10" s="1"/>
  <c r="U50" i="10" s="1"/>
  <c r="L50" i="10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X57" i="10" l="1"/>
  <c r="W57" i="10"/>
  <c r="V57" i="10"/>
  <c r="Z57" i="10"/>
  <c r="Y57" i="10"/>
  <c r="AA57" i="10"/>
  <c r="AA56" i="10"/>
  <c r="W56" i="10"/>
  <c r="V56" i="10"/>
  <c r="Y56" i="10"/>
  <c r="X56" i="10"/>
  <c r="Z56" i="10"/>
  <c r="W51" i="10"/>
  <c r="V51" i="10"/>
  <c r="AA51" i="10"/>
  <c r="X51" i="10"/>
  <c r="Y51" i="10"/>
  <c r="Z51" i="10"/>
  <c r="W50" i="10"/>
  <c r="V50" i="10"/>
  <c r="AA50" i="10"/>
  <c r="Z50" i="10"/>
  <c r="Y50" i="10"/>
  <c r="X50" i="10"/>
  <c r="M57" i="10"/>
  <c r="M56" i="10"/>
  <c r="M51" i="10"/>
  <c r="M50" i="10"/>
  <c r="N61" i="10"/>
  <c r="O61" i="10" s="1"/>
  <c r="P61" i="10" s="1"/>
  <c r="U61" i="10" s="1"/>
  <c r="L61" i="10"/>
  <c r="N60" i="10"/>
  <c r="O60" i="10" s="1"/>
  <c r="P60" i="10" s="1"/>
  <c r="U60" i="10" s="1"/>
  <c r="L60" i="10"/>
  <c r="L55" i="10"/>
  <c r="N55" i="10"/>
  <c r="O55" i="10" s="1"/>
  <c r="P55" i="10" s="1"/>
  <c r="U55" i="10" s="1"/>
  <c r="N54" i="10"/>
  <c r="O54" i="10" s="1"/>
  <c r="P54" i="10" s="1"/>
  <c r="U54" i="10" s="1"/>
  <c r="L54" i="10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Y61" i="10" l="1"/>
  <c r="W61" i="10"/>
  <c r="V61" i="10"/>
  <c r="AA61" i="10"/>
  <c r="Z61" i="10"/>
  <c r="X61" i="10"/>
  <c r="AA60" i="10"/>
  <c r="Z60" i="10"/>
  <c r="W60" i="10"/>
  <c r="V60" i="10"/>
  <c r="Y60" i="10"/>
  <c r="X60" i="10"/>
  <c r="Z55" i="10"/>
  <c r="W55" i="10"/>
  <c r="V55" i="10"/>
  <c r="X55" i="10"/>
  <c r="AA55" i="10"/>
  <c r="Y55" i="10"/>
  <c r="Y54" i="10"/>
  <c r="W54" i="10"/>
  <c r="V54" i="10"/>
  <c r="AA54" i="10"/>
  <c r="Z54" i="10"/>
  <c r="X54" i="10"/>
  <c r="M61" i="10"/>
  <c r="M60" i="10"/>
  <c r="M55" i="10"/>
  <c r="M54" i="10"/>
  <c r="L65" i="10"/>
  <c r="N65" i="10"/>
  <c r="O65" i="10" s="1"/>
  <c r="P65" i="10" s="1"/>
  <c r="U65" i="10" s="1"/>
  <c r="N64" i="10"/>
  <c r="O64" i="10" s="1"/>
  <c r="P64" i="10" s="1"/>
  <c r="U64" i="10" s="1"/>
  <c r="L64" i="10"/>
  <c r="N59" i="10"/>
  <c r="O59" i="10" s="1"/>
  <c r="P59" i="10" s="1"/>
  <c r="U59" i="10" s="1"/>
  <c r="L59" i="10"/>
  <c r="N58" i="10"/>
  <c r="O58" i="10" s="1"/>
  <c r="P58" i="10" s="1"/>
  <c r="U58" i="10" s="1"/>
  <c r="L58" i="10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AA65" i="10" l="1"/>
  <c r="W65" i="10"/>
  <c r="V65" i="10"/>
  <c r="X65" i="10"/>
  <c r="Z65" i="10"/>
  <c r="Y65" i="10"/>
  <c r="Y64" i="10"/>
  <c r="W64" i="10"/>
  <c r="V64" i="10"/>
  <c r="X64" i="10"/>
  <c r="AA64" i="10"/>
  <c r="Z64" i="10"/>
  <c r="W59" i="10"/>
  <c r="V59" i="10"/>
  <c r="Y59" i="10"/>
  <c r="X59" i="10"/>
  <c r="AA59" i="10"/>
  <c r="Z59" i="10"/>
  <c r="Y58" i="10"/>
  <c r="W58" i="10"/>
  <c r="V58" i="10"/>
  <c r="AA58" i="10"/>
  <c r="Z58" i="10"/>
  <c r="X58" i="10"/>
  <c r="M65" i="10"/>
  <c r="M64" i="10"/>
  <c r="M59" i="10"/>
  <c r="M58" i="10"/>
  <c r="L69" i="10"/>
  <c r="N69" i="10"/>
  <c r="O69" i="10" s="1"/>
  <c r="P69" i="10" s="1"/>
  <c r="L68" i="10"/>
  <c r="N68" i="10"/>
  <c r="O68" i="10" s="1"/>
  <c r="P68" i="10" s="1"/>
  <c r="L63" i="10"/>
  <c r="N63" i="10"/>
  <c r="O63" i="10" s="1"/>
  <c r="P63" i="10" s="1"/>
  <c r="U63" i="10" s="1"/>
  <c r="L62" i="10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Z69" i="10" l="1"/>
  <c r="W69" i="10"/>
  <c r="V69" i="10"/>
  <c r="AA69" i="10"/>
  <c r="Y69" i="10"/>
  <c r="X69" i="10"/>
  <c r="Y68" i="10"/>
  <c r="W68" i="10"/>
  <c r="V68" i="10"/>
  <c r="AA68" i="10"/>
  <c r="X68" i="10"/>
  <c r="Z68" i="10"/>
  <c r="Z63" i="10"/>
  <c r="X63" i="10"/>
  <c r="W63" i="10"/>
  <c r="V63" i="10"/>
  <c r="AA63" i="10"/>
  <c r="Y63" i="10"/>
  <c r="W62" i="10"/>
  <c r="V62" i="10"/>
  <c r="Y62" i="10"/>
  <c r="X62" i="10"/>
  <c r="AA62" i="10"/>
  <c r="Z62" i="10"/>
  <c r="M69" i="10"/>
  <c r="M68" i="10"/>
  <c r="M63" i="10"/>
  <c r="M62" i="10"/>
  <c r="N73" i="10"/>
  <c r="O73" i="10" s="1"/>
  <c r="P73" i="10" s="1"/>
  <c r="L73" i="10"/>
  <c r="L72" i="10"/>
  <c r="N72" i="10"/>
  <c r="O72" i="10" s="1"/>
  <c r="P72" i="10" s="1"/>
  <c r="N67" i="10"/>
  <c r="O67" i="10" s="1"/>
  <c r="P67" i="10" s="1"/>
  <c r="U67" i="10" s="1"/>
  <c r="L67" i="10"/>
  <c r="N66" i="10"/>
  <c r="O66" i="10" s="1"/>
  <c r="P66" i="10" s="1"/>
  <c r="L66" i="10"/>
  <c r="T32" i="3"/>
  <c r="V32" i="3"/>
  <c r="U32" i="3" s="1"/>
  <c r="Z73" i="10" l="1"/>
  <c r="W73" i="10"/>
  <c r="V73" i="10"/>
  <c r="AA73" i="10"/>
  <c r="X73" i="10"/>
  <c r="Y73" i="10"/>
  <c r="W72" i="10"/>
  <c r="V72" i="10"/>
  <c r="Y72" i="10"/>
  <c r="AA72" i="10"/>
  <c r="Z72" i="10"/>
  <c r="X72" i="10"/>
  <c r="W67" i="10"/>
  <c r="V67" i="10"/>
  <c r="Z67" i="10"/>
  <c r="Y67" i="10"/>
  <c r="X67" i="10"/>
  <c r="AA67" i="10"/>
  <c r="W66" i="10"/>
  <c r="V66" i="10"/>
  <c r="AA66" i="10"/>
  <c r="Z66" i="10"/>
  <c r="X66" i="10"/>
  <c r="Y66" i="10"/>
  <c r="M73" i="10"/>
  <c r="M72" i="10"/>
  <c r="M67" i="10"/>
  <c r="M66" i="10"/>
  <c r="U66" i="10"/>
  <c r="U68" i="10"/>
  <c r="U69" i="10"/>
  <c r="K71" i="10"/>
  <c r="K70" i="10"/>
  <c r="J71" i="10"/>
  <c r="Q71" i="10" s="1"/>
  <c r="J70" i="10"/>
  <c r="Q70" i="10" s="1"/>
  <c r="V34" i="3"/>
  <c r="U34" i="3" s="1"/>
  <c r="T34" i="3"/>
  <c r="N71" i="10" l="1"/>
  <c r="O71" i="10" s="1"/>
  <c r="P71" i="10" s="1"/>
  <c r="U71" i="10" s="1"/>
  <c r="L71" i="10"/>
  <c r="N70" i="10"/>
  <c r="O70" i="10" s="1"/>
  <c r="P70" i="10" s="1"/>
  <c r="L70" i="10"/>
  <c r="J75" i="10"/>
  <c r="Q75" i="10" s="1"/>
  <c r="J74" i="10"/>
  <c r="Q74" i="10" s="1"/>
  <c r="K75" i="10"/>
  <c r="K74" i="10"/>
  <c r="T36" i="3"/>
  <c r="T38" i="3" s="1"/>
  <c r="T40" i="3" s="1"/>
  <c r="T42" i="3" s="1"/>
  <c r="AA71" i="10" l="1"/>
  <c r="W71" i="10"/>
  <c r="V71" i="10"/>
  <c r="Z71" i="10"/>
  <c r="Y71" i="10"/>
  <c r="X71" i="10"/>
  <c r="W70" i="10"/>
  <c r="V70" i="10"/>
  <c r="Z70" i="10"/>
  <c r="X70" i="10"/>
  <c r="Y70" i="10"/>
  <c r="AA70" i="10"/>
  <c r="M71" i="10"/>
  <c r="M70" i="10"/>
  <c r="U70" i="10"/>
  <c r="U72" i="10"/>
  <c r="U73" i="10"/>
  <c r="N75" i="10"/>
  <c r="O75" i="10" s="1"/>
  <c r="P75" i="10" s="1"/>
  <c r="L75" i="10"/>
  <c r="L74" i="10"/>
  <c r="N74" i="10"/>
  <c r="O74" i="10" s="1"/>
  <c r="P74" i="10" s="1"/>
  <c r="U74" i="10" s="1"/>
  <c r="W75" i="10" l="1"/>
  <c r="V75" i="10"/>
  <c r="X75" i="10"/>
  <c r="Y75" i="10"/>
  <c r="Z75" i="10"/>
  <c r="AA75" i="10"/>
  <c r="W74" i="10"/>
  <c r="V74" i="10"/>
  <c r="Z74" i="10"/>
  <c r="AA74" i="10"/>
  <c r="X74" i="10"/>
  <c r="Y74" i="10"/>
  <c r="M75" i="10"/>
  <c r="M74" i="10"/>
  <c r="F99" i="10"/>
  <c r="F100" i="10"/>
  <c r="F98" i="10"/>
  <c r="U75" i="10"/>
  <c r="B99" i="10" l="1"/>
  <c r="B98" i="10"/>
  <c r="B102" i="10"/>
  <c r="B101" i="10"/>
  <c r="B100" i="10"/>
  <c r="F110" i="10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<sst xmlns="http://schemas.openxmlformats.org/spreadsheetml/2006/main" count="56125" uniqueCount="1168">
  <si>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</si>
  <si>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</si>
  <si>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</si>
  <si>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</si>
  <si>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</si>
  <si>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</si>
  <si>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</si>
  <si>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</si>
  <si>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</si>
  <si>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</si>
  <si>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</si>
  <si>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</si>
  <si>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</si>
  <si>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</si>
  <si>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</si>
  <si>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</si>
  <si>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</si>
  <si>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</si>
  <si>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</si>
  <si>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</si>
  <si>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</si>
  <si>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</si>
  <si>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</si>
  <si>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</si>
  <si>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</si>
  <si>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</si>
  <si>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</si>
  <si>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</si>
  <si>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</si>
  <si>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</si>
  <si>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</si>
  <si>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</si>
  <si>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</si>
  <si>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</si>
  <si>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</si>
  <si>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</si>
  <si>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</si>
  <si>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</si>
  <si>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</si>
  <si>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</si>
  <si>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</si>
  <si>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</si>
  <si>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</si>
  <si>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</si>
  <si>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</si>
  <si>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</si>
  <si>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</si>
  <si>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</si>
  <si>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</si>
  <si>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</si>
  <si>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</si>
  <si>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</si>
  <si>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</si>
  <si>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</si>
  <si>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</si>
  <si>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</si>
  <si>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</si>
  <si>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</si>
  <si>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</si>
  <si>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</si>
  <si>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</si>
  <si>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</si>
  <si>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</si>
  <si>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</si>
  <si>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</si>
  <si>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</si>
  <si>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</si>
  <si>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</si>
  <si>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</si>
  <si>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</si>
  <si>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</si>
  <si>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</si>
  <si>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</si>
  <si>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</si>
  <si>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</si>
  <si>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</si>
  <si>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</si>
  <si>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</si>
  <si>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</si>
  <si>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</si>
  <si>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</si>
  <si>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</si>
  <si>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</si>
  <si>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</si>
  <si>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</si>
  <si>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</si>
  <si>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</si>
  <si>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</si>
  <si>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</si>
  <si>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</si>
  <si>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</si>
  <si>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</si>
  <si>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</si>
  <si>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</si>
  <si>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</si>
  <si>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</si>
  <si>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</si>
  <si>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</si>
  <si>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</si>
  <si>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</si>
  <si>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</si>
  <si>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</si>
  <si>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</si>
  <si>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</si>
  <si>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</si>
  <si>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</si>
  <si>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</si>
  <si>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</si>
  <si>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</si>
  <si>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</si>
  <si>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</si>
  <si>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</si>
  <si>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</si>
  <si>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</si>
  <si>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</si>
  <si>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</si>
  <si>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</si>
  <si>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</si>
  <si>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</si>
  <si>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</si>
  <si>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</si>
  <si>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</si>
  <si>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</si>
  <si>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</si>
  <si>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</si>
  <si>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</si>
  <si>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</si>
  <si>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</si>
  <si>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</si>
  <si>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</si>
  <si>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</si>
  <si>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</si>
  <si>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</si>
  <si>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</si>
  <si>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</si>
  <si>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</si>
  <si>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</si>
  <si>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</si>
  <si>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</si>
  <si>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</si>
  <si>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</si>
  <si>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</si>
  <si>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</si>
  <si>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</si>
  <si>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</si>
  <si>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</si>
  <si>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</si>
  <si>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</si>
  <si>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</si>
  <si>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</si>
  <si>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</si>
  <si>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</si>
  <si>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</si>
  <si>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</si>
  <si>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</si>
  <si>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</si>
  <si>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</si>
  <si>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</si>
  <si>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</si>
  <si>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</si>
  <si>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</si>
  <si>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</si>
  <si>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</si>
  <si>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</si>
  <si>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</si>
  <si>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</si>
  <si>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</si>
  <si>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</si>
  <si>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</si>
  <si>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</si>
  <si>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</si>
  <si>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</si>
  <si>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</si>
  <si>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</si>
  <si>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</si>
  <si>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</si>
  <si>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</si>
  <si>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</si>
  <si>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</si>
  <si>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</si>
  <si>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</si>
  <si>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</si>
  <si>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</si>
  <si>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</si>
  <si>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</si>
  <si>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</si>
  <si>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</si>
  <si>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</si>
  <si>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</si>
  <si>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</si>
  <si>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</si>
  <si>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</si>
  <si>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</si>
  <si>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</si>
  <si>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</si>
  <si>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</si>
  <si>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</si>
  <si>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</si>
  <si>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</si>
  <si>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</si>
  <si>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</si>
  <si>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</si>
  <si>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</si>
  <si>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</si>
  <si>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</si>
  <si>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</si>
  <si>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</si>
  <si>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</si>
  <si>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</si>
  <si>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</si>
  <si>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</si>
  <si>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</si>
  <si>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</si>
  <si>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</si>
  <si>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</si>
  <si>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</si>
  <si>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</si>
  <si>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</si>
  <si>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</si>
  <si>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</si>
  <si>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</si>
  <si>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</si>
  <si>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</si>
  <si>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</si>
  <si>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</si>
  <si>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</si>
  <si>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</si>
  <si>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</si>
  <si>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</si>
  <si>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</si>
  <si>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</si>
  <si>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</si>
  <si>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</si>
  <si>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</si>
  <si>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</si>
  <si>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</si>
  <si>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</si>
  <si>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</si>
  <si>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</si>
  <si>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</si>
  <si>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</si>
  <si>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</si>
  <si>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</si>
  <si>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</si>
  <si>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</si>
  <si>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</si>
  <si>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</si>
  <si>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</si>
  <si>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</si>
  <si>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</si>
  <si>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</si>
  <si>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</si>
  <si>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</si>
  <si>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</si>
  <si>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</si>
  <si>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</si>
  <si>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</si>
  <si>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</si>
  <si>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</si>
  <si>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</si>
  <si>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</si>
  <si>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</si>
  <si>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</si>
  <si>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</si>
  <si>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</si>
  <si>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</si>
  <si>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</si>
  <si>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</si>
  <si>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</si>
  <si>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</si>
  <si>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</si>
  <si>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</si>
  <si>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</si>
  <si>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</si>
  <si>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</si>
  <si>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</si>
  <si>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</si>
  <si>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</si>
  <si>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</si>
  <si>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</si>
  <si>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</si>
  <si>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</si>
  <si>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</si>
  <si>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</si>
  <si>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</si>
  <si>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</si>
  <si>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</si>
  <si>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</si>
  <si>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</si>
  <si>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</si>
  <si>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</si>
  <si>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</si>
  <si>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</si>
  <si>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</si>
  <si>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</si>
  <si>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</si>
  <si>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</si>
  <si>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</si>
  <si>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</si>
  <si>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</si>
  <si>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</si>
  <si>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</si>
  <si>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</si>
  <si>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</si>
  <si>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</si>
  <si>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</si>
  <si>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</si>
  <si>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</si>
  <si>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</si>
  <si>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</si>
  <si>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</si>
  <si>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</si>
  <si>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</si>
  <si>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</si>
  <si>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</si>
  <si>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</si>
  <si>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</si>
  <si>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</si>
  <si>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</si>
  <si>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</si>
  <si>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</si>
  <si>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</si>
  <si>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</si>
  <si>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</si>
  <si>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</si>
  <si>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</si>
  <si>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</si>
  <si>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</si>
  <si>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</si>
  <si>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</si>
  <si>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</si>
  <si>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</si>
  <si>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</si>
  <si>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</si>
  <si>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</si>
  <si>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</si>
  <si>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</si>
  <si>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</si>
  <si>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</si>
  <si>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</si>
  <si>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</si>
  <si>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</si>
  <si>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</si>
  <si>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</si>
  <si>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</si>
  <si>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</si>
  <si>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</si>
  <si>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</si>
  <si>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</si>
  <si>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</si>
  <si>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</si>
  <si>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</si>
  <si>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</si>
  <si>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</si>
  <si>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</si>
  <si>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</si>
  <si>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</si>
  <si>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</si>
  <si>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</si>
  <si>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</si>
  <si>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</si>
  <si>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</si>
  <si>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</si>
  <si>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</si>
  <si>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</si>
  <si>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</si>
  <si>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</si>
  <si>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</si>
  <si>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</si>
  <si>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</si>
  <si>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</si>
  <si>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</si>
  <si>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</si>
  <si>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</si>
  <si>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</si>
  <si>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</si>
  <si>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</si>
  <si>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</si>
  <si>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</si>
  <si>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</si>
  <si>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</si>
  <si>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</si>
  <si>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</si>
  <si>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</si>
  <si>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</si>
  <si>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</si>
  <si>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</si>
  <si>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</si>
  <si>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</si>
  <si>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</si>
  <si>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</si>
  <si>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</si>
  <si>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</si>
  <si>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</si>
  <si>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</si>
  <si>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</si>
  <si>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</si>
  <si>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</si>
  <si>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</si>
  <si>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</si>
  <si>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</si>
  <si>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</si>
  <si>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</si>
  <si>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</si>
  <si>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</si>
  <si>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</si>
  <si>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</si>
  <si>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</si>
  <si>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</si>
  <si>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</si>
  <si>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</si>
  <si>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</si>
  <si>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</si>
  <si>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</si>
  <si>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</si>
  <si>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</si>
  <si>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</si>
  <si>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</si>
  <si>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</si>
  <si>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</si>
  <si>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</si>
  <si>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</si>
  <si>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</si>
  <si>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</si>
  <si>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</si>
  <si>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</si>
  <si>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</si>
  <si>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</si>
  <si>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</si>
  <si>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</si>
  <si>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</si>
  <si>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</si>
  <si>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CV % obs</t>
  </si>
  <si>
    <t>Classificação</t>
  </si>
  <si>
    <t>Margem (p.p.)</t>
  </si>
  <si>
    <t>Survey / Rodada</t>
  </si>
  <si>
    <t>Seu Resultado</t>
  </si>
  <si>
    <t>Média / Valor-alvo</t>
  </si>
  <si>
    <t>SD</t>
  </si>
  <si>
    <t>Limite Inferior</t>
  </si>
  <si>
    <t>Limite Superior</t>
  </si>
  <si>
    <t>Avaliação</t>
  </si>
  <si>
    <t>Nº Laboratórios</t>
  </si>
  <si>
    <t>Unidade</t>
  </si>
  <si>
    <t>Bias (%)</t>
  </si>
  <si>
    <t>|Bias| (%)</t>
  </si>
  <si>
    <t>Página Fonte</t>
  </si>
  <si>
    <t>Arquivo Fonte</t>
  </si>
  <si>
    <t>ordem_desvio</t>
  </si>
  <si>
    <t>ordem_rodada</t>
  </si>
  <si>
    <t>ordem_analito</t>
  </si>
  <si>
    <t>Controllab</t>
  </si>
  <si>
    <t>Analito_Canonico</t>
  </si>
  <si>
    <t>Valor_Alvo</t>
  </si>
  <si>
    <t>Limite_Inferior</t>
  </si>
  <si>
    <t>Limite_Superior</t>
  </si>
  <si>
    <t>Avaliacao_Original</t>
  </si>
  <si>
    <t>Status_Padronizado</t>
  </si>
  <si>
    <t>Bias</t>
  </si>
  <si>
    <t>Bias_Abs</t>
  </si>
  <si>
    <t>Pagina_Fonte</t>
  </si>
  <si>
    <t>Arquivo_Fonte</t>
  </si>
  <si>
    <t>Uso_Analitico</t>
  </si>
  <si>
    <t>Chave</t>
  </si>
  <si>
    <t>Nome no provedor</t>
  </si>
  <si>
    <t>Analito canônico</t>
  </si>
  <si>
    <t>LEGADO (ADR-034) — esta aba não alimenta mais nada. Preservada apenas como histórico; o módulo vigente é EQA.CAP_Dados / EQA.Controllab_Dados / EQA_Base.</t>
  </si>
  <si>
    <t>ALT (SGPT)</t>
  </si>
  <si>
    <t>AST (SGOT)</t>
  </si>
  <si>
    <t>Albumin</t>
  </si>
  <si>
    <t>Alkaline Phosphatase</t>
  </si>
  <si>
    <t>Amylase, serum</t>
  </si>
  <si>
    <t>Bilirubin, direct</t>
  </si>
  <si>
    <t>Bilirubin, total</t>
  </si>
  <si>
    <t>CO2</t>
  </si>
  <si>
    <t>Calcium, serum</t>
  </si>
  <si>
    <t>Chloride</t>
  </si>
  <si>
    <t>Cholesterol</t>
  </si>
  <si>
    <t>Creatine Kinase</t>
  </si>
  <si>
    <t>Creatinine, serum</t>
  </si>
  <si>
    <t>Ferritin</t>
  </si>
  <si>
    <t>Gamma Glutamyl Trans</t>
  </si>
  <si>
    <t>Glucose, serum</t>
  </si>
  <si>
    <t>HDL Cholesterol</t>
  </si>
  <si>
    <t>Iron</t>
  </si>
  <si>
    <t>Lactate</t>
  </si>
  <si>
    <t>Lactate Dehydrogenase</t>
  </si>
  <si>
    <t>Magnesium</t>
  </si>
  <si>
    <t>Phosphorus, serum</t>
  </si>
  <si>
    <t>Potassium, serum</t>
  </si>
  <si>
    <t>Protein, total, serum</t>
  </si>
  <si>
    <t>Sodium, serum</t>
  </si>
  <si>
    <t>TIBC</t>
  </si>
  <si>
    <t>Thyroid Stim Hormone</t>
  </si>
  <si>
    <t>Triglycerides</t>
  </si>
  <si>
    <t>Urea Nitrogen</t>
  </si>
  <si>
    <t>Uric Acid</t>
  </si>
  <si>
    <t>C-A 2025</t>
  </si>
  <si>
    <t>CHM-01</t>
  </si>
  <si>
    <t>Acceptable</t>
  </si>
  <si>
    <t>CHM-02</t>
  </si>
  <si>
    <t>CHM-03</t>
  </si>
  <si>
    <t>CHM-04</t>
  </si>
  <si>
    <t>CHM-05</t>
  </si>
  <si>
    <t>ng/mL (ug/L)</t>
  </si>
  <si>
    <t>ug/dL</t>
  </si>
  <si>
    <t>Unacceptable</t>
  </si>
  <si>
    <t>C-B 2025</t>
  </si>
  <si>
    <t>CHM-06</t>
  </si>
  <si>
    <t>CHM-07</t>
  </si>
  <si>
    <t>CHM-08</t>
  </si>
  <si>
    <t>CHM-09</t>
  </si>
  <si>
    <t>CHM-10</t>
  </si>
  <si>
    <t>uIU/mL (mIU/L)</t>
  </si>
  <si>
    <t>C-C 2025</t>
  </si>
  <si>
    <t>CHM-11</t>
  </si>
  <si>
    <t>CHM-12</t>
  </si>
  <si>
    <t>CHM-13</t>
  </si>
  <si>
    <t>CHM-14</t>
  </si>
  <si>
    <t>CHM-15</t>
  </si>
  <si>
    <t>OK</t>
  </si>
  <si>
    <t>bioquímicia_HID0050_FIOCRUZ_CAP25C-A_Svy.pdf</t>
  </si>
  <si>
    <t>bioquímicia_HID0050_FIOCRUZ_CAP25C-B_Svy (1)(1).pdf</t>
  </si>
  <si>
    <t>bioquímicia_HID0050_FIOCRUZ_CAP25C-C_Svy (1).pdf</t>
  </si>
  <si>
    <t>EQC_Dados (simulação pré-ADR-034)</t>
  </si>
  <si>
    <t>ACEITO</t>
  </si>
  <si>
    <t>SIM</t>
  </si>
  <si>
    <t>CAP|2025|C-A 2025|ALT (SGPT)|CHM-01</t>
  </si>
  <si>
    <t>CAP|2025|C-A 2025|ALT (SGPT)|CHM-02</t>
  </si>
  <si>
    <t>CAP|2025|C-A 2025|ALT (SGPT)|CHM-03</t>
  </si>
  <si>
    <t>CAP|2025|C-A 2025|ALT (SGPT)|CHM-04</t>
  </si>
  <si>
    <t>CAP|2025|C-A 2025|ALT (SGPT)|CHM-05</t>
  </si>
  <si>
    <t>CAP|2025|C-A 2025|AST (SGOT)|CHM-01</t>
  </si>
  <si>
    <t>CAP|2025|C-A 2025|AST (SGOT)|CHM-02</t>
  </si>
  <si>
    <t>CAP|2025|C-A 2025|AST (SGOT)|CHM-03</t>
  </si>
  <si>
    <t>CAP|2025|C-A 2025|AST (SGOT)|CHM-04</t>
  </si>
  <si>
    <t>CAP|2025|C-A 2025|AST (SGOT)|CHM-05</t>
  </si>
  <si>
    <t>CAP|2025|C-A 2025|Albumin|CHM-01</t>
  </si>
  <si>
    <t>CAP|2025|C-A 2025|Albumin|CHM-02</t>
  </si>
  <si>
    <t>CAP|2025|C-A 2025|Albumin|CHM-03</t>
  </si>
  <si>
    <t>CAP|2025|C-A 2025|Albumin|CHM-04</t>
  </si>
  <si>
    <t>CAP|2025|C-A 2025|Albumin|CHM-05</t>
  </si>
  <si>
    <t>CAP|2025|C-A 2025|Alkaline Phosphatase|CHM-01</t>
  </si>
  <si>
    <t>CAP|2025|C-A 2025|Alkaline Phosphatase|CHM-02</t>
  </si>
  <si>
    <t>CAP|2025|C-A 2025|Alkaline Phosphatase|CHM-03</t>
  </si>
  <si>
    <t>CAP|2025|C-A 2025|Alkaline Phosphatase|CHM-04</t>
  </si>
  <si>
    <t>CAP|2025|C-A 2025|Alkaline Phosphatase|CHM-05</t>
  </si>
  <si>
    <t>CAP|2025|C-A 2025|Amylase, serum|CHM-01</t>
  </si>
  <si>
    <t>CAP|2025|C-A 2025|Amylase, serum|CHM-02</t>
  </si>
  <si>
    <t>CAP|2025|C-A 2025|Amylase, serum|CHM-03</t>
  </si>
  <si>
    <t>CAP|2025|C-A 2025|Amylase, serum|CHM-04</t>
  </si>
  <si>
    <t>CAP|2025|C-A 2025|Amylase, serum|CHM-05</t>
  </si>
  <si>
    <t>CAP|2025|C-A 2025|Bilirubin, direct|CHM-01</t>
  </si>
  <si>
    <t>CAP|2025|C-A 2025|Bilirubin, direct|CHM-02</t>
  </si>
  <si>
    <t>CAP|2025|C-A 2025|Bilirubin, direct|CHM-03</t>
  </si>
  <si>
    <t>CAP|2025|C-A 2025|Bilirubin, direct|CHM-04</t>
  </si>
  <si>
    <t>CAP|2025|C-A 2025|Bilirubin, direct|CHM-05</t>
  </si>
  <si>
    <t>CAP|2025|C-A 2025|Bilirubin, total|CHM-01</t>
  </si>
  <si>
    <t>CAP|2025|C-A 2025|Bilirubin, total|CHM-02</t>
  </si>
  <si>
    <t>CAP|2025|C-A 2025|Bilirubin, total|CHM-03</t>
  </si>
  <si>
    <t>CAP|2025|C-A 2025|Bilirubin, total|CHM-04</t>
  </si>
  <si>
    <t>CAP|2025|C-A 2025|Bilirubin, total|CHM-05</t>
  </si>
  <si>
    <t>CAP|2025|C-A 2025|CO2|CHM-01</t>
  </si>
  <si>
    <t>CAP|2025|C-A 2025|CO2|CHM-02</t>
  </si>
  <si>
    <t>CAP|2025|C-A 2025|CO2|CHM-03</t>
  </si>
  <si>
    <t>CAP|2025|C-A 2025|CO2|CHM-04</t>
  </si>
  <si>
    <t>CAP|2025|C-A 2025|CO2|CHM-05</t>
  </si>
  <si>
    <t>CAP|2025|C-A 2025|Calcium, serum|CHM-01</t>
  </si>
  <si>
    <t>CAP|2025|C-A 2025|Calcium, serum|CHM-02</t>
  </si>
  <si>
    <t>CAP|2025|C-A 2025|Calcium, serum|CHM-03</t>
  </si>
  <si>
    <t>CAP|2025|C-A 2025|Calcium, serum|CHM-04</t>
  </si>
  <si>
    <t>CAP|2025|C-A 2025|Calcium, serum|CHM-05</t>
  </si>
  <si>
    <t>CAP|2025|C-A 2025|Chloride|CHM-01</t>
  </si>
  <si>
    <t>CAP|2025|C-A 2025|Chloride|CHM-02</t>
  </si>
  <si>
    <t>CAP|2025|C-A 2025|Chloride|CHM-03</t>
  </si>
  <si>
    <t>CAP|2025|C-A 2025|Chloride|CHM-04</t>
  </si>
  <si>
    <t>CAP|2025|C-A 2025|Chloride|CHM-05</t>
  </si>
  <si>
    <t>CAP|2025|C-A 2025|Cholesterol|CHM-01</t>
  </si>
  <si>
    <t>CAP|2025|C-A 2025|Cholesterol|CHM-02</t>
  </si>
  <si>
    <t>CAP|2025|C-A 2025|Cholesterol|CHM-03</t>
  </si>
  <si>
    <t>CAP|2025|C-A 2025|Cholesterol|CHM-04</t>
  </si>
  <si>
    <t>CAP|2025|C-A 2025|Cholesterol|CHM-05</t>
  </si>
  <si>
    <t>CAP|2025|C-A 2025|Creatine Kinase|CHM-01</t>
  </si>
  <si>
    <t>CAP|2025|C-A 2025|Creatine Kinase|CHM-02</t>
  </si>
  <si>
    <t>CAP|2025|C-A 2025|Creatine Kinase|CHM-03</t>
  </si>
  <si>
    <t>CAP|2025|C-A 2025|Creatine Kinase|CHM-04</t>
  </si>
  <si>
    <t>CAP|2025|C-A 2025|Creatine Kinase|CHM-05</t>
  </si>
  <si>
    <t>CAP|2025|C-A 2025|Creatinine, serum|CHM-01</t>
  </si>
  <si>
    <t>CAP|2025|C-A 2025|Creatinine, serum|CHM-02</t>
  </si>
  <si>
    <t>CAP|2025|C-A 2025|Creatinine, serum|CHM-03</t>
  </si>
  <si>
    <t>CAP|2025|C-A 2025|Creatinine, serum|CHM-04</t>
  </si>
  <si>
    <t>CAP|2025|C-A 2025|Creatinine, serum|CHM-05</t>
  </si>
  <si>
    <t>CAP|2025|C-A 2025|Ferritin|CHM-01</t>
  </si>
  <si>
    <t>CAP|2025|C-A 2025|Ferritin|CHM-02</t>
  </si>
  <si>
    <t>CAP|2025|C-A 2025|Ferritin|CHM-03</t>
  </si>
  <si>
    <t>CAP|2025|C-A 2025|Ferritin|CHM-04</t>
  </si>
  <si>
    <t>CAP|2025|C-A 2025|Ferritin|CHM-05</t>
  </si>
  <si>
    <t>CAP|2025|C-A 2025|Gamma Glutamyl Trans|CHM-01</t>
  </si>
  <si>
    <t>CAP|2025|C-A 2025|Gamma Glutamyl Trans|CHM-02</t>
  </si>
  <si>
    <t>CAP|2025|C-A 2025|Gamma Glutamyl Trans|CHM-03</t>
  </si>
  <si>
    <t>CAP|2025|C-A 2025|Gamma Glutamyl Trans|CHM-04</t>
  </si>
  <si>
    <t>CAP|2025|C-A 2025|Gamma Glutamyl Trans|CHM-05</t>
  </si>
  <si>
    <t>CAP|2025|C-A 2025|Glucose, serum|CHM-01</t>
  </si>
  <si>
    <t>CAP|2025|C-A 2025|Glucose, serum|CHM-02</t>
  </si>
  <si>
    <t>CAP|2025|C-A 2025|Glucose, serum|CHM-03</t>
  </si>
  <si>
    <t>CAP|2025|C-A 2025|Glucose, serum|CHM-04</t>
  </si>
  <si>
    <t>CAP|2025|C-A 2025|Glucose, serum|CHM-05</t>
  </si>
  <si>
    <t>CAP|2025|C-A 2025|HDL Cholesterol|CHM-01</t>
  </si>
  <si>
    <t>CAP|2025|C-A 2025|HDL Cholesterol|CHM-02</t>
  </si>
  <si>
    <t>CAP|2025|C-A 2025|HDL Cholesterol|CHM-03</t>
  </si>
  <si>
    <t>CAP|2025|C-A 2025|HDL Cholesterol|CHM-04</t>
  </si>
  <si>
    <t>CAP|2025|C-A 2025|HDL Cholesterol|CHM-05</t>
  </si>
  <si>
    <t>CAP|2025|C-A 2025|Iron|CHM-01</t>
  </si>
  <si>
    <t>CAP|2025|C-A 2025|Iron|CHM-02</t>
  </si>
  <si>
    <t>CAP|2025|C-A 2025|Iron|CHM-03</t>
  </si>
  <si>
    <t>CAP|2025|C-A 2025|Iron|CHM-04</t>
  </si>
  <si>
    <t>CAP|2025|C-A 2025|Iron|CHM-05</t>
  </si>
  <si>
    <t>CAP|2025|C-A 2025|Lactate|CHM-01</t>
  </si>
  <si>
    <t>CAP|2025|C-A 2025|Lactate|CHM-02</t>
  </si>
  <si>
    <t>CAP|2025|C-A 2025|Lactate|CHM-03</t>
  </si>
  <si>
    <t>CAP|2025|C-A 2025|Lactate|CHM-04</t>
  </si>
  <si>
    <t>CAP|2025|C-A 2025|Lactate|CHM-05</t>
  </si>
  <si>
    <t>CAP|2025|C-A 2025|Lactate Dehydrogenase|CHM-01</t>
  </si>
  <si>
    <t>CAP|2025|C-A 2025|Lactate Dehydrogenase|CHM-02</t>
  </si>
  <si>
    <t>CAP|2025|C-A 2025|Lactate Dehydrogenase|CHM-03</t>
  </si>
  <si>
    <t>CAP|2025|C-A 2025|Lactate Dehydrogenase|CHM-04</t>
  </si>
  <si>
    <t>CAP|2025|C-A 2025|Lactate Dehydrogenase|CHM-05</t>
  </si>
  <si>
    <t>CAP|2025|C-A 2025|Lipase|CHM-01</t>
  </si>
  <si>
    <t>CAP|2025|C-A 2025|Lipase|CHM-02</t>
  </si>
  <si>
    <t>CAP|2025|C-A 2025|Lipase|CHM-03</t>
  </si>
  <si>
    <t>CAP|2025|C-A 2025|Lipase|CHM-04</t>
  </si>
  <si>
    <t>CAP|2025|C-A 2025|Lipase|CHM-05</t>
  </si>
  <si>
    <t>CAP|2025|C-A 2025|Magnesium|CHM-01</t>
  </si>
  <si>
    <t>CAP|2025|C-A 2025|Magnesium|CHM-02</t>
  </si>
  <si>
    <t>CAP|2025|C-A 2025|Magnesium|CHM-03</t>
  </si>
  <si>
    <t>CAP|2025|C-A 2025|Magnesium|CHM-04</t>
  </si>
  <si>
    <t>CAP|2025|C-A 2025|Magnesium|CHM-05</t>
  </si>
  <si>
    <t>CAP|2025|C-A 2025|Phosphorus, serum|CHM-01</t>
  </si>
  <si>
    <t>CAP|2025|C-A 2025|Phosphorus, serum|CHM-02</t>
  </si>
  <si>
    <t>CAP|2025|C-A 2025|Phosphorus, serum|CHM-03</t>
  </si>
  <si>
    <t>CAP|2025|C-A 2025|Phosphorus, serum|CHM-04</t>
  </si>
  <si>
    <t>CAP|2025|C-A 2025|Phosphorus, serum|CHM-05</t>
  </si>
  <si>
    <t>CAP|2025|C-A 2025|Potassium, serum|CHM-01</t>
  </si>
  <si>
    <t>CAP|2025|C-A 2025|Potassium, serum|CHM-02</t>
  </si>
  <si>
    <t>CAP|2025|C-A 2025|Potassium, serum|CHM-03</t>
  </si>
  <si>
    <t>CAP|2025|C-A 2025|Potassium, serum|CHM-04</t>
  </si>
  <si>
    <t>CAP|2025|C-A 2025|Potassium, serum|CHM-05</t>
  </si>
  <si>
    <t>CAP|2025|C-A 2025|Protein, total, serum|CHM-01</t>
  </si>
  <si>
    <t>CAP|2025|C-A 2025|Protein, total, serum|CHM-02</t>
  </si>
  <si>
    <t>CAP|2025|C-A 2025|Protein, total, serum|CHM-03</t>
  </si>
  <si>
    <t>CAP|2025|C-A 2025|Protein, total, serum|CHM-04</t>
  </si>
  <si>
    <t>CAP|2025|C-A 2025|Protein, total, serum|CHM-05</t>
  </si>
  <si>
    <t>CAP|2025|C-A 2025|Sodium, serum|CHM-01</t>
  </si>
  <si>
    <t>CAP|2025|C-A 2025|Sodium, serum|CHM-02</t>
  </si>
  <si>
    <t>CAP|2025|C-A 2025|Sodium, serum|CHM-03</t>
  </si>
  <si>
    <t>CAP|2025|C-A 2025|Sodium, serum|CHM-04</t>
  </si>
  <si>
    <t>CAP|2025|C-A 2025|Sodium, serum|CHM-05</t>
  </si>
  <si>
    <t>CAP|2025|C-A 2025|TIBC|CHM-01</t>
  </si>
  <si>
    <t>CAP|2025|C-A 2025|TIBC|CHM-02</t>
  </si>
  <si>
    <t>CAP|2025|C-A 2025|TIBC|CHM-03</t>
  </si>
  <si>
    <t>CAP|2025|C-A 2025|TIBC|CHM-04</t>
  </si>
  <si>
    <t>CAP|2025|C-A 2025|TIBC|CHM-05</t>
  </si>
  <si>
    <t>CAP|2025|C-A 2025|Triglycerides|CHM-01</t>
  </si>
  <si>
    <t>CAP|2025|C-A 2025|Triglycerides|CHM-02</t>
  </si>
  <si>
    <t>CAP|2025|C-A 2025|Triglycerides|CHM-03</t>
  </si>
  <si>
    <t>CAP|2025|C-A 2025|Triglycerides|CHM-04</t>
  </si>
  <si>
    <t>CAP|2025|C-A 2025|Triglycerides|CHM-05</t>
  </si>
  <si>
    <t>CAP|2025|C-A 2025|Urea Nitrogen|CHM-01</t>
  </si>
  <si>
    <t>NAO ACEITO</t>
  </si>
  <si>
    <t>CAP|2025|C-A 2025|Urea Nitrogen|CHM-02</t>
  </si>
  <si>
    <t>CAP|2025|C-A 2025|Urea Nitrogen|CHM-03</t>
  </si>
  <si>
    <t>CAP|2025|C-A 2025|Urea Nitrogen|CHM-04</t>
  </si>
  <si>
    <t>CAP|2025|C-A 2025|Urea Nitrogen|CHM-05</t>
  </si>
  <si>
    <t>CAP|2025|C-A 2025|Uric Acid|CHM-01</t>
  </si>
  <si>
    <t>CAP|2025|C-A 2025|Uric Acid|CHM-02</t>
  </si>
  <si>
    <t>CAP|2025|C-A 2025|Uric Acid|CHM-03</t>
  </si>
  <si>
    <t>CAP|2025|C-A 2025|Uric Acid|CHM-04</t>
  </si>
  <si>
    <t>CAP|2025|C-A 2025|Uric Acid|CHM-05</t>
  </si>
  <si>
    <t>CAP|2025|C-B 2025|ALT (SGPT)|CHM-06</t>
  </si>
  <si>
    <t>CAP|2025|C-B 2025|ALT (SGPT)|CHM-07</t>
  </si>
  <si>
    <t>CAP|2025|C-B 2025|ALT (SGPT)|CHM-08</t>
  </si>
  <si>
    <t>CAP|2025|C-B 2025|ALT (SGPT)|CHM-09</t>
  </si>
  <si>
    <t>CAP|2025|C-B 2025|ALT (SGPT)|CHM-10</t>
  </si>
  <si>
    <t>CAP|2025|C-B 2025|AST (SGOT)|CHM-06</t>
  </si>
  <si>
    <t>CAP|2025|C-B 2025|AST (SGOT)|CHM-07</t>
  </si>
  <si>
    <t>CAP|2025|C-B 2025|AST (SGOT)|CHM-08</t>
  </si>
  <si>
    <t>CAP|2025|C-B 2025|AST (SGOT)|CHM-09</t>
  </si>
  <si>
    <t>CAP|2025|C-B 2025|AST (SGOT)|CHM-10</t>
  </si>
  <si>
    <t>CAP|2025|C-B 2025|Albumin|CHM-06</t>
  </si>
  <si>
    <t>CAP|2025|C-B 2025|Albumin|CHM-07</t>
  </si>
  <si>
    <t>CAP|2025|C-B 2025|Albumin|CHM-08</t>
  </si>
  <si>
    <t>CAP|2025|C-B 2025|Albumin|CHM-09</t>
  </si>
  <si>
    <t>CAP|2025|C-B 2025|Albumin|CHM-10</t>
  </si>
  <si>
    <t>CAP|2025|C-B 2025|Alkaline Phosphatase|CHM-06</t>
  </si>
  <si>
    <t>CAP|2025|C-B 2025|Alkaline Phosphatase|CHM-07</t>
  </si>
  <si>
    <t>CAP|2025|C-B 2025|Alkaline Phosphatase|CHM-08</t>
  </si>
  <si>
    <t>CAP|2025|C-B 2025|Alkaline Phosphatase|CHM-09</t>
  </si>
  <si>
    <t>CAP|2025|C-B 2025|Alkaline Phosphatase|CHM-10</t>
  </si>
  <si>
    <t>CAP|2025|C-B 2025|Amylase, serum|CHM-06</t>
  </si>
  <si>
    <t>CAP|2025|C-B 2025|Amylase, serum|CHM-07</t>
  </si>
  <si>
    <t>CAP|2025|C-B 2025|Amylase, serum|CHM-08</t>
  </si>
  <si>
    <t>CAP|2025|C-B 2025|Amylase, serum|CHM-09</t>
  </si>
  <si>
    <t>CAP|2025|C-B 2025|Amylase, serum|CHM-10</t>
  </si>
  <si>
    <t>CAP|2025|C-B 2025|Bilirubin, direct|CHM-06</t>
  </si>
  <si>
    <t>CAP|2025|C-B 2025|Bilirubin, direct|CHM-07</t>
  </si>
  <si>
    <t>CAP|2025|C-B 2025|Bilirubin, direct|CHM-08</t>
  </si>
  <si>
    <t>CAP|2025|C-B 2025|Bilirubin, direct|CHM-09</t>
  </si>
  <si>
    <t>CAP|2025|C-B 2025|Bilirubin, direct|CHM-10</t>
  </si>
  <si>
    <t>CAP|2025|C-B 2025|Bilirubin, total|CHM-06</t>
  </si>
  <si>
    <t>CAP|2025|C-B 2025|Bilirubin, total|CHM-07</t>
  </si>
  <si>
    <t>CAP|2025|C-B 2025|Bilirubin, total|CHM-08</t>
  </si>
  <si>
    <t>CAP|2025|C-B 2025|Bilirubin, total|CHM-09</t>
  </si>
  <si>
    <t>CAP|2025|C-B 2025|Bilirubin, total|CHM-10</t>
  </si>
  <si>
    <t>CAP|2025|C-B 2025|CO2|CHM-06</t>
  </si>
  <si>
    <t>CAP|2025|C-B 2025|CO2|CHM-07</t>
  </si>
  <si>
    <t>CAP|2025|C-B 2025|CO2|CHM-08</t>
  </si>
  <si>
    <t>CAP|2025|C-B 2025|CO2|CHM-09</t>
  </si>
  <si>
    <t>CAP|2025|C-B 2025|CO2|CHM-10</t>
  </si>
  <si>
    <t>CAP|2025|C-B 2025|Calcium, serum|CHM-06</t>
  </si>
  <si>
    <t>CAP|2025|C-B 2025|Calcium, serum|CHM-07</t>
  </si>
  <si>
    <t>CAP|2025|C-B 2025|Calcium, serum|CHM-08</t>
  </si>
  <si>
    <t>CAP|2025|C-B 2025|Calcium, serum|CHM-09</t>
  </si>
  <si>
    <t>CAP|2025|C-B 2025|Calcium, serum|CHM-10</t>
  </si>
  <si>
    <t>CAP|2025|C-B 2025|Chloride|CHM-06</t>
  </si>
  <si>
    <t>CAP|2025|C-B 2025|Chloride|CHM-07</t>
  </si>
  <si>
    <t>CAP|2025|C-B 2025|Chloride|CHM-08</t>
  </si>
  <si>
    <t>CAP|2025|C-B 2025|Chloride|CHM-09</t>
  </si>
  <si>
    <t>CAP|2025|C-B 2025|Chloride|CHM-10</t>
  </si>
  <si>
    <t>CAP|2025|C-B 2025|Cholesterol|CHM-06</t>
  </si>
  <si>
    <t>CAP|2025|C-B 2025|Cholesterol|CHM-07</t>
  </si>
  <si>
    <t>CAP|2025|C-B 2025|Cholesterol|CHM-08</t>
  </si>
  <si>
    <t>CAP|2025|C-B 2025|Cholesterol|CHM-09</t>
  </si>
  <si>
    <t>CAP|2025|C-B 2025|Cholesterol|CHM-10</t>
  </si>
  <si>
    <t>CAP|2025|C-B 2025|Creatine Kinase|CHM-06</t>
  </si>
  <si>
    <t>CAP|2025|C-B 2025|Creatine Kinase|CHM-07</t>
  </si>
  <si>
    <t>CAP|2025|C-B 2025|Creatine Kinase|CHM-08</t>
  </si>
  <si>
    <t>CAP|2025|C-B 2025|Creatine Kinase|CHM-09</t>
  </si>
  <si>
    <t>CAP|2025|C-B 2025|Creatine Kinase|CHM-10</t>
  </si>
  <si>
    <t>CAP|2025|C-B 2025|Creatinine, serum|CHM-06</t>
  </si>
  <si>
    <t>CAP|2025|C-B 2025|Creatinine, serum|CHM-07</t>
  </si>
  <si>
    <t>CAP|2025|C-B 2025|Creatinine, serum|CHM-08</t>
  </si>
  <si>
    <t>CAP|2025|C-B 2025|Creatinine, serum|CHM-09</t>
  </si>
  <si>
    <t>CAP|2025|C-B 2025|Creatinine, serum|CHM-10</t>
  </si>
  <si>
    <t>CAP|2025|C-B 2025|Ferritin|CHM-06</t>
  </si>
  <si>
    <t>CAP|2025|C-B 2025|Ferritin|CHM-07</t>
  </si>
  <si>
    <t>CAP|2025|C-B 2025|Ferritin|CHM-08</t>
  </si>
  <si>
    <t>CAP|2025|C-B 2025|Ferritin|CHM-09</t>
  </si>
  <si>
    <t>CAP|2025|C-B 2025|Ferritin|CHM-10</t>
  </si>
  <si>
    <t>CAP|2025|C-B 2025|Gamma Glutamyl Trans|CHM-06</t>
  </si>
  <si>
    <t>CAP|2025|C-B 2025|Gamma Glutamyl Trans|CHM-07</t>
  </si>
  <si>
    <t>CAP|2025|C-B 2025|Gamma Glutamyl Trans|CHM-08</t>
  </si>
  <si>
    <t>CAP|2025|C-B 2025|Gamma Glutamyl Trans|CHM-09</t>
  </si>
  <si>
    <t>CAP|2025|C-B 2025|Gamma Glutamyl Trans|CHM-10</t>
  </si>
  <si>
    <t>CAP|2025|C-B 2025|Glucose, serum|CHM-06</t>
  </si>
  <si>
    <t>CAP|2025|C-B 2025|Glucose, serum|CHM-07</t>
  </si>
  <si>
    <t>CAP|2025|C-B 2025|Glucose, serum|CHM-08</t>
  </si>
  <si>
    <t>CAP|2025|C-B 2025|Glucose, serum|CHM-09</t>
  </si>
  <si>
    <t>CAP|2025|C-B 2025|Glucose, serum|CHM-10</t>
  </si>
  <si>
    <t>CAP|2025|C-B 2025|HDL Cholesterol|CHM-06</t>
  </si>
  <si>
    <t>CAP|2025|C-B 2025|HDL Cholesterol|CHM-07</t>
  </si>
  <si>
    <t>CAP|2025|C-B 2025|HDL Cholesterol|CHM-08</t>
  </si>
  <si>
    <t>CAP|2025|C-B 2025|HDL Cholesterol|CHM-09</t>
  </si>
  <si>
    <t>CAP|2025|C-B 2025|HDL Cholesterol|CHM-10</t>
  </si>
  <si>
    <t>CAP|2025|C-B 2025|Iron|CHM-06</t>
  </si>
  <si>
    <t>CAP|2025|C-B 2025|Iron|CHM-07</t>
  </si>
  <si>
    <t>CAP|2025|C-B 2025|Iron|CHM-08</t>
  </si>
  <si>
    <t>CAP|2025|C-B 2025|Iron|CHM-09</t>
  </si>
  <si>
    <t>CAP|2025|C-B 2025|Iron|CHM-10</t>
  </si>
  <si>
    <t>CAP|2025|C-B 2025|Lactate|CHM-06</t>
  </si>
  <si>
    <t>CAP|2025|C-B 2025|Lactate|CHM-07</t>
  </si>
  <si>
    <t>CAP|2025|C-B 2025|Lactate|CHM-08</t>
  </si>
  <si>
    <t>CAP|2025|C-B 2025|Lactate|CHM-09</t>
  </si>
  <si>
    <t>CAP|2025|C-B 2025|Lactate|CHM-10</t>
  </si>
  <si>
    <t>CAP|2025|C-B 2025|Lactate Dehydrogenase|CHM-06</t>
  </si>
  <si>
    <t>CAP|2025|C-B 2025|Lactate Dehydrogenase|CHM-07</t>
  </si>
  <si>
    <t>CAP|2025|C-B 2025|Lactate Dehydrogenase|CHM-08</t>
  </si>
  <si>
    <t>CAP|2025|C-B 2025|Lactate Dehydrogenase|CHM-09</t>
  </si>
  <si>
    <t>CAP|2025|C-B 2025|Lactate Dehydrogenase|CHM-10</t>
  </si>
  <si>
    <t>CAP|2025|C-B 2025|Lipase|CHM-06</t>
  </si>
  <si>
    <t>CAP|2025|C-B 2025|Lipase|CHM-07</t>
  </si>
  <si>
    <t>CAP|2025|C-B 2025|Lipase|CHM-08</t>
  </si>
  <si>
    <t>CAP|2025|C-B 2025|Lipase|CHM-09</t>
  </si>
  <si>
    <t>CAP|2025|C-B 2025|Lipase|CHM-10</t>
  </si>
  <si>
    <t>CAP|2025|C-B 2025|Magnesium|CHM-06</t>
  </si>
  <si>
    <t>CAP|2025|C-B 2025|Magnesium|CHM-07</t>
  </si>
  <si>
    <t>CAP|2025|C-B 2025|Magnesium|CHM-08</t>
  </si>
  <si>
    <t>CAP|2025|C-B 2025|Magnesium|CHM-09</t>
  </si>
  <si>
    <t>CAP|2025|C-B 2025|Magnesium|CHM-10</t>
  </si>
  <si>
    <t>CAP|2025|C-B 2025|Phosphorus, serum|CHM-06</t>
  </si>
  <si>
    <t>CAP|2025|C-B 2025|Phosphorus, serum|CHM-07</t>
  </si>
  <si>
    <t>CAP|2025|C-B 2025|Phosphorus, serum|CHM-08</t>
  </si>
  <si>
    <t>CAP|2025|C-B 2025|Phosphorus, serum|CHM-09</t>
  </si>
  <si>
    <t>CAP|2025|C-B 2025|Phosphorus, serum|CHM-10</t>
  </si>
  <si>
    <t>CAP|2025|C-B 2025|Potassium, serum|CHM-06</t>
  </si>
  <si>
    <t>CAP|2025|C-B 2025|Potassium, serum|CHM-07</t>
  </si>
  <si>
    <t>CAP|2025|C-B 2025|Potassium, serum|CHM-08</t>
  </si>
  <si>
    <t>CAP|2025|C-B 2025|Potassium, serum|CHM-09</t>
  </si>
  <si>
    <t>CAP|2025|C-B 2025|Potassium, serum|CHM-10</t>
  </si>
  <si>
    <t>CAP|2025|C-B 2025|Protein, total, serum|CHM-06</t>
  </si>
  <si>
    <t>CAP|2025|C-B 2025|Protein, total, serum|CHM-07</t>
  </si>
  <si>
    <t>CAP|2025|C-B 2025|Protein, total, serum|CHM-08</t>
  </si>
  <si>
    <t>CAP|2025|C-B 2025|Protein, total, serum|CHM-09</t>
  </si>
  <si>
    <t>CAP|2025|C-B 2025|Protein, total, serum|CHM-10</t>
  </si>
  <si>
    <t>CAP|2025|C-B 2025|Sodium, serum|CHM-06</t>
  </si>
  <si>
    <t>CAP|2025|C-B 2025|Sodium, serum|CHM-07</t>
  </si>
  <si>
    <t>CAP|2025|C-B 2025|Sodium, serum|CHM-08</t>
  </si>
  <si>
    <t>CAP|2025|C-B 2025|Sodium, serum|CHM-09</t>
  </si>
  <si>
    <t>CAP|2025|C-B 2025|Sodium, serum|CHM-10</t>
  </si>
  <si>
    <t>CAP|2025|C-B 2025|TIBC|CHM-06</t>
  </si>
  <si>
    <t>CAP|2025|C-B 2025|TIBC|CHM-07</t>
  </si>
  <si>
    <t>CAP|2025|C-B 2025|TIBC|CHM-08</t>
  </si>
  <si>
    <t>CAP|2025|C-B 2025|TIBC|CHM-09</t>
  </si>
  <si>
    <t>CAP|2025|C-B 2025|TIBC|CHM-10</t>
  </si>
  <si>
    <t>CAP|2025|C-B 2025|Thyroid Stim Hormone|CHM-06</t>
  </si>
  <si>
    <t>CAP|2025|C-B 2025|Thyroid Stim Hormone|CHM-07</t>
  </si>
  <si>
    <t>CAP|2025|C-B 2025|Thyroid Stim Hormone|CHM-08</t>
  </si>
  <si>
    <t>CAP|2025|C-B 2025|Thyroid Stim Hormone|CHM-09</t>
  </si>
  <si>
    <t>CAP|2025|C-B 2025|Thyroid Stim Hormone|CHM-10</t>
  </si>
  <si>
    <t>CAP|2025|C-B 2025|Triglycerides|CHM-06</t>
  </si>
  <si>
    <t>CAP|2025|C-B 2025|Triglycerides|CHM-07</t>
  </si>
  <si>
    <t>CAP|2025|C-B 2025|Triglycerides|CHM-08</t>
  </si>
  <si>
    <t>CAP|2025|C-B 2025|Triglycerides|CHM-09</t>
  </si>
  <si>
    <t>CAP|2025|C-B 2025|Triglycerides|CHM-10</t>
  </si>
  <si>
    <t>CAP|2025|C-B 2025|Urea Nitrogen|CHM-06</t>
  </si>
  <si>
    <t>CAP|2025|C-B 2025|Urea Nitrogen|CHM-07</t>
  </si>
  <si>
    <t>CAP|2025|C-B 2025|Urea Nitrogen|CHM-08</t>
  </si>
  <si>
    <t>CAP|2025|C-B 2025|Urea Nitrogen|CHM-09</t>
  </si>
  <si>
    <t>CAP|2025|C-B 2025|Urea Nitrogen|CHM-10</t>
  </si>
  <si>
    <t>CAP|2025|C-B 2025|Uric Acid|CHM-06</t>
  </si>
  <si>
    <t>CAP|2025|C-B 2025|Uric Acid|CHM-07</t>
  </si>
  <si>
    <t>CAP|2025|C-B 2025|Uric Acid|CHM-08</t>
  </si>
  <si>
    <t>CAP|2025|C-B 2025|Uric Acid|CHM-09</t>
  </si>
  <si>
    <t>CAP|2025|C-B 2025|Uric Acid|CHM-10</t>
  </si>
  <si>
    <t>CAP|2025|C-C 2025|ALT (SGPT)|CHM-11</t>
  </si>
  <si>
    <t>CAP|2025|C-C 2025|ALT (SGPT)|CHM-12</t>
  </si>
  <si>
    <t>CAP|2025|C-C 2025|ALT (SGPT)|CHM-13</t>
  </si>
  <si>
    <t>CAP|2025|C-C 2025|ALT (SGPT)|CHM-14</t>
  </si>
  <si>
    <t>CAP|2025|C-C 2025|ALT (SGPT)|CHM-15</t>
  </si>
  <si>
    <t>CAP|2025|C-C 2025|AST (SGOT)|CHM-11</t>
  </si>
  <si>
    <t>CAP|2025|C-C 2025|AST (SGOT)|CHM-12</t>
  </si>
  <si>
    <t>CAP|2025|C-C 2025|AST (SGOT)|CHM-13</t>
  </si>
  <si>
    <t>CAP|2025|C-C 2025|AST (SGOT)|CHM-14</t>
  </si>
  <si>
    <t>CAP|2025|C-C 2025|AST (SGOT)|CHM-15</t>
  </si>
  <si>
    <t>CAP|2025|C-C 2025|Albumin|CHM-11</t>
  </si>
  <si>
    <t>CAP|2025|C-C 2025|Albumin|CHM-12</t>
  </si>
  <si>
    <t>CAP|2025|C-C 2025|Albumin|CHM-13</t>
  </si>
  <si>
    <t>CAP|2025|C-C 2025|Albumin|CHM-14</t>
  </si>
  <si>
    <t>CAP|2025|C-C 2025|Albumin|CHM-15</t>
  </si>
  <si>
    <t>CAP|2025|C-C 2025|Alkaline Phosphatase|CHM-11</t>
  </si>
  <si>
    <t>CAP|2025|C-C 2025|Alkaline Phosphatase|CHM-12</t>
  </si>
  <si>
    <t>CAP|2025|C-C 2025|Alkaline Phosphatase|CHM-13</t>
  </si>
  <si>
    <t>CAP|2025|C-C 2025|Alkaline Phosphatase|CHM-14</t>
  </si>
  <si>
    <t>CAP|2025|C-C 2025|Alkaline Phosphatase|CHM-15</t>
  </si>
  <si>
    <t>CAP|2025|C-C 2025|Amylase, serum|CHM-11</t>
  </si>
  <si>
    <t>CAP|2025|C-C 2025|Amylase, serum|CHM-12</t>
  </si>
  <si>
    <t>CAP|2025|C-C 2025|Amylase, serum|CHM-13</t>
  </si>
  <si>
    <t>CAP|2025|C-C 2025|Amylase, serum|CHM-14</t>
  </si>
  <si>
    <t>CAP|2025|C-C 2025|Amylase, serum|CHM-15</t>
  </si>
  <si>
    <t>CAP|2025|C-C 2025|Bilirubin, direct|CHM-11</t>
  </si>
  <si>
    <t>CAP|2025|C-C 2025|Bilirubin, direct|CHM-12</t>
  </si>
  <si>
    <t>CAP|2025|C-C 2025|Bilirubin, direct|CHM-13</t>
  </si>
  <si>
    <t>CAP|2025|C-C 2025|Bilirubin, direct|CHM-14</t>
  </si>
  <si>
    <t>CAP|2025|C-C 2025|Bilirubin, direct|CHM-15</t>
  </si>
  <si>
    <t>CAP|2025|C-C 2025|Bilirubin, total|CHM-11</t>
  </si>
  <si>
    <t>CAP|2025|C-C 2025|Bilirubin, total|CHM-12</t>
  </si>
  <si>
    <t>CAP|2025|C-C 2025|Bilirubin, total|CHM-13</t>
  </si>
  <si>
    <t>CAP|2025|C-C 2025|Bilirubin, total|CHM-14</t>
  </si>
  <si>
    <t>CAP|2025|C-C 2025|Bilirubin, total|CHM-15</t>
  </si>
  <si>
    <t>CAP|2025|C-C 2025|CO2|CHM-11</t>
  </si>
  <si>
    <t>CAP|2025|C-C 2025|CO2|CHM-12</t>
  </si>
  <si>
    <t>CAP|2025|C-C 2025|CO2|CHM-13</t>
  </si>
  <si>
    <t>CAP|2025|C-C 2025|CO2|CHM-14</t>
  </si>
  <si>
    <t>CAP|2025|C-C 2025|CO2|CHM-15</t>
  </si>
  <si>
    <t>CAP|2025|C-C 2025|Calcium, serum|CHM-11</t>
  </si>
  <si>
    <t>CAP|2025|C-C 2025|Calcium, serum|CHM-12</t>
  </si>
  <si>
    <t>CAP|2025|C-C 2025|Calcium, serum|CHM-13</t>
  </si>
  <si>
    <t>CAP|2025|C-C 2025|Calcium, serum|CHM-14</t>
  </si>
  <si>
    <t>CAP|2025|C-C 2025|Calcium, serum|CHM-15</t>
  </si>
  <si>
    <t>CAP|2025|C-C 2025|Chloride|CHM-11</t>
  </si>
  <si>
    <t>CAP|2025|C-C 2025|Chloride|CHM-12</t>
  </si>
  <si>
    <t>CAP|2025|C-C 2025|Chloride|CHM-13</t>
  </si>
  <si>
    <t>CAP|2025|C-C 2025|Chloride|CHM-14</t>
  </si>
  <si>
    <t>CAP|2025|C-C 2025|Chloride|CHM-15</t>
  </si>
  <si>
    <t>CAP|2025|C-C 2025|Cholesterol|CHM-11</t>
  </si>
  <si>
    <t>CAP|2025|C-C 2025|Cholesterol|CHM-12</t>
  </si>
  <si>
    <t>CAP|2025|C-C 2025|Cholesterol|CHM-13</t>
  </si>
  <si>
    <t>CAP|2025|C-C 2025|Cholesterol|CHM-14</t>
  </si>
  <si>
    <t>CAP|2025|C-C 2025|Cholesterol|CHM-15</t>
  </si>
  <si>
    <t>CAP|2025|C-C 2025|Creatine Kinase|CHM-11</t>
  </si>
  <si>
    <t>CAP|2025|C-C 2025|Creatine Kinase|CHM-12</t>
  </si>
  <si>
    <t>CAP|2025|C-C 2025|Creatine Kinase|CHM-13</t>
  </si>
  <si>
    <t>CAP|2025|C-C 2025|Creatine Kinase|CHM-14</t>
  </si>
  <si>
    <t>CAP|2025|C-C 2025|Creatine Kinase|CHM-15</t>
  </si>
  <si>
    <t>CAP|2025|C-C 2025|Creatinine, serum|CHM-11</t>
  </si>
  <si>
    <t>CAP|2025|C-C 2025|Creatinine, serum|CHM-12</t>
  </si>
  <si>
    <t>CAP|2025|C-C 2025|Creatinine, serum|CHM-13</t>
  </si>
  <si>
    <t>CAP|2025|C-C 2025|Creatinine, serum|CHM-14</t>
  </si>
  <si>
    <t>CAP|2025|C-C 2025|Creatinine, serum|CHM-15</t>
  </si>
  <si>
    <t>CAP|2025|C-C 2025|Ferritin|CHM-11</t>
  </si>
  <si>
    <t>CAP|2025|C-C 2025|Ferritin|CHM-12</t>
  </si>
  <si>
    <t>CAP|2025|C-C 2025|Ferritin|CHM-13</t>
  </si>
  <si>
    <t>CAP|2025|C-C 2025|Ferritin|CHM-14</t>
  </si>
  <si>
    <t>CAP|2025|C-C 2025|Ferritin|CHM-15</t>
  </si>
  <si>
    <t>CAP|2025|C-C 2025|Gamma Glutamyl Trans|CHM-11</t>
  </si>
  <si>
    <t>CAP|2025|C-C 2025|Gamma Glutamyl Trans|CHM-12</t>
  </si>
  <si>
    <t>CAP|2025|C-C 2025|Gamma Glutamyl Trans|CHM-13</t>
  </si>
  <si>
    <t>CAP|2025|C-C 2025|Gamma Glutamyl Trans|CHM-14</t>
  </si>
  <si>
    <t>CAP|2025|C-C 2025|Gamma Glutamyl Trans|CHM-15</t>
  </si>
  <si>
    <t>CAP|2025|C-C 2025|Glucose, serum|CHM-11</t>
  </si>
  <si>
    <t>CAP|2025|C-C 2025|Glucose, serum|CHM-12</t>
  </si>
  <si>
    <t>CAP|2025|C-C 2025|Glucose, serum|CHM-13</t>
  </si>
  <si>
    <t>CAP|2025|C-C 2025|Glucose, serum|CHM-14</t>
  </si>
  <si>
    <t>CAP|2025|C-C 2025|Glucose, serum|CHM-15</t>
  </si>
  <si>
    <t>CAP|2025|C-C 2025|HDL Cholesterol|CHM-11</t>
  </si>
  <si>
    <t>CAP|2025|C-C 2025|HDL Cholesterol|CHM-12</t>
  </si>
  <si>
    <t>CAP|2025|C-C 2025|HDL Cholesterol|CHM-13</t>
  </si>
  <si>
    <t>CAP|2025|C-C 2025|HDL Cholesterol|CHM-14</t>
  </si>
  <si>
    <t>CAP|2025|C-C 2025|HDL Cholesterol|CHM-15</t>
  </si>
  <si>
    <t>CAP|2025|C-C 2025|Iron|CHM-11</t>
  </si>
  <si>
    <t>CAP|2025|C-C 2025|Iron|CHM-12</t>
  </si>
  <si>
    <t>CAP|2025|C-C 2025|Iron|CHM-13</t>
  </si>
  <si>
    <t>CAP|2025|C-C 2025|Iron|CHM-14</t>
  </si>
  <si>
    <t>CAP|2025|C-C 2025|Iron|CHM-15</t>
  </si>
  <si>
    <t>CAP|2025|C-C 2025|Lactate|CHM-11</t>
  </si>
  <si>
    <t>CAP|2025|C-C 2025|Lactate|CHM-12</t>
  </si>
  <si>
    <t>CAP|2025|C-C 2025|Lactate|CHM-13</t>
  </si>
  <si>
    <t>CAP|2025|C-C 2025|Lactate|CHM-14</t>
  </si>
  <si>
    <t>CAP|2025|C-C 2025|Lactate|CHM-15</t>
  </si>
  <si>
    <t>CAP|2025|C-C 2025|Lactate Dehydrogenase|CHM-11</t>
  </si>
  <si>
    <t>CAP|2025|C-C 2025|Lactate Dehydrogenase|CHM-12</t>
  </si>
  <si>
    <t>CAP|2025|C-C 2025|Lactate Dehydrogenase|CHM-13</t>
  </si>
  <si>
    <t>CAP|2025|C-C 2025|Lactate Dehydrogenase|CHM-14</t>
  </si>
  <si>
    <t>CAP|2025|C-C 2025|Lactate Dehydrogenase|CHM-15</t>
  </si>
  <si>
    <t>CAP|2025|C-C 2025|Lipase|CHM-11</t>
  </si>
  <si>
    <t>CAP|2025|C-C 2025|Lipase|CHM-12</t>
  </si>
  <si>
    <t>CAP|2025|C-C 2025|Lipase|CHM-13</t>
  </si>
  <si>
    <t>CAP|2025|C-C 2025|Lipase|CHM-14</t>
  </si>
  <si>
    <t>CAP|2025|C-C 2025|Lipase|CHM-15</t>
  </si>
  <si>
    <t>CAP|2025|C-C 2025|Magnesium|CHM-11</t>
  </si>
  <si>
    <t>CAP|2025|C-C 2025|Magnesium|CHM-12</t>
  </si>
  <si>
    <t>CAP|2025|C-C 2025|Magnesium|CHM-13</t>
  </si>
  <si>
    <t>CAP|2025|C-C 2025|Magnesium|CHM-14</t>
  </si>
  <si>
    <t>CAP|2025|C-C 2025|Magnesium|CHM-15</t>
  </si>
  <si>
    <t>CAP|2025|C-C 2025|Phosphorus, serum|CHM-11</t>
  </si>
  <si>
    <t>CAP|2025|C-C 2025|Phosphorus, serum|CHM-12</t>
  </si>
  <si>
    <t>CAP|2025|C-C 2025|Phosphorus, serum|CHM-13</t>
  </si>
  <si>
    <t>CAP|2025|C-C 2025|Phosphorus, serum|CHM-14</t>
  </si>
  <si>
    <t>CAP|2025|C-C 2025|Phosphorus, serum|CHM-15</t>
  </si>
  <si>
    <t>CAP|2025|C-C 2025|Potassium, serum|CHM-11</t>
  </si>
  <si>
    <t>CAP|2025|C-C 2025|Potassium, serum|CHM-12</t>
  </si>
  <si>
    <t>CAP|2025|C-C 2025|Potassium, serum|CHM-13</t>
  </si>
  <si>
    <t>CAP|2025|C-C 2025|Potassium, serum|CHM-14</t>
  </si>
  <si>
    <t>CAP|2025|C-C 2025|Potassium, serum|CHM-15</t>
  </si>
  <si>
    <t>CAP|2025|C-C 2025|Protein, total, serum|CHM-11</t>
  </si>
  <si>
    <t>CAP|2025|C-C 2025|Protein, total, serum|CHM-12</t>
  </si>
  <si>
    <t>CAP|2025|C-C 2025|Protein, total, serum|CHM-13</t>
  </si>
  <si>
    <t>CAP|2025|C-C 2025|Protein, total, serum|CHM-14</t>
  </si>
  <si>
    <t>CAP|2025|C-C 2025|Protein, total, serum|CHM-15</t>
  </si>
  <si>
    <t>CAP|2025|C-C 2025|Sodium, serum|CHM-11</t>
  </si>
  <si>
    <t>CAP|2025|C-C 2025|Sodium, serum|CHM-12</t>
  </si>
  <si>
    <t>CAP|2025|C-C 2025|Sodium, serum|CHM-13</t>
  </si>
  <si>
    <t>CAP|2025|C-C 2025|Sodium, serum|CHM-14</t>
  </si>
  <si>
    <t>CAP|2025|C-C 2025|Sodium, serum|CHM-15</t>
  </si>
  <si>
    <t>CAP|2025|C-C 2025|TIBC|CHM-11</t>
  </si>
  <si>
    <t>CAP|2025|C-C 2025|TIBC|CHM-12</t>
  </si>
  <si>
    <t>CAP|2025|C-C 2025|TIBC|CHM-13</t>
  </si>
  <si>
    <t>CAP|2025|C-C 2025|TIBC|CHM-14</t>
  </si>
  <si>
    <t>CAP|2025|C-C 2025|TIBC|CHM-15</t>
  </si>
  <si>
    <t>CAP|2025|C-C 2025|Triglycerides|CHM-11</t>
  </si>
  <si>
    <t>CAP|2025|C-C 2025|Triglycerides|CHM-12</t>
  </si>
  <si>
    <t>CAP|2025|C-C 2025|Triglycerides|CHM-13</t>
  </si>
  <si>
    <t>CAP|2025|C-C 2025|Triglycerides|CHM-14</t>
  </si>
  <si>
    <t>CAP|2025|C-C 2025|Triglycerides|CHM-15</t>
  </si>
  <si>
    <t>CAP|2025|C-C 2025|Urea Nitrogen|CHM-11</t>
  </si>
  <si>
    <t>CAP|2025|C-C 2025|Urea Nitrogen|CHM-12</t>
  </si>
  <si>
    <t>CAP|2025|C-C 2025|Urea Nitrogen|CHM-13</t>
  </si>
  <si>
    <t>CAP|2025|C-C 2025|Urea Nitrogen|CHM-14</t>
  </si>
  <si>
    <t>CAP|2025|C-C 2025|Urea Nitrogen|CHM-15</t>
  </si>
  <si>
    <t>CAP|2025|C-C 2025|Uric Acid|CHM-11</t>
  </si>
  <si>
    <t>CAP|2025|C-C 2025|Uric Acid|CHM-12</t>
  </si>
  <si>
    <t>CAP|2025|C-C 2025|Uric Acid|CHM-13</t>
  </si>
  <si>
    <t>CAP|2025|C-C 2025|Uric Acid|CHM-14</t>
  </si>
  <si>
    <t>CAP|2025|C-C 2025|Uric Acid|CHM-15</t>
  </si>
  <si>
    <t>NAO</t>
  </si>
  <si>
    <t>CAP|2025|A|Colesterol total|1</t>
  </si>
  <si>
    <t>CAP|2025|A|Colesterol total|2</t>
  </si>
  <si>
    <t>CAP|2025|A|Colesterol total|3</t>
  </si>
  <si>
    <t>CAP|2025|A|Colesterol total|4</t>
  </si>
  <si>
    <t>CAP|2025|A|Colesterol total|5</t>
  </si>
  <si>
    <t>CAP|2025|A|Creatinina|1</t>
  </si>
  <si>
    <t>CAP|2025|A|Creatinina|2</t>
  </si>
  <si>
    <t>CAP|2025|A|Creatinina|3</t>
  </si>
  <si>
    <t>CAP|2025|A|Creatinina|4</t>
  </si>
  <si>
    <t>CAP|2025|A|Creatinina|5</t>
  </si>
  <si>
    <t>CAP|2025|A|Glicose|1</t>
  </si>
  <si>
    <t>CAP|2025|A|Glicose|2</t>
  </si>
  <si>
    <t>CAP|2025|A|Glicose|3</t>
  </si>
  <si>
    <t>CAP|2025|A|Glicose|4</t>
  </si>
  <si>
    <t>CAP|2025|A|Glicose|5</t>
  </si>
  <si>
    <t>CAP|2025|A|HDL colesterol|1</t>
  </si>
  <si>
    <t>CAP|2025|A|HDL colesterol|2</t>
  </si>
  <si>
    <t>CAP|2025|A|HDL colesterol|3</t>
  </si>
  <si>
    <t>CAP|2025|A|HDL colesterol|4</t>
  </si>
  <si>
    <t>CAP|2025|A|HDL colesterol|5</t>
  </si>
  <si>
    <t>CAP|2025|A|Ureia|1</t>
  </si>
  <si>
    <t>CAP|2025|A|Ureia|2</t>
  </si>
  <si>
    <t>CAP|2025|A|Ureia|3</t>
  </si>
  <si>
    <t>CAP|2025|A|Ureia|4</t>
  </si>
  <si>
    <t>CAP|2025|A|Ureia|5</t>
  </si>
  <si>
    <t>CAP|2025|A|Ácido úrico|1</t>
  </si>
  <si>
    <t>CAP|2025|A|Ácido úrico|2</t>
  </si>
  <si>
    <t>CAP|2025|A|Ácido úrico|3</t>
  </si>
  <si>
    <t>CAP|2025|A|Ácido úrico|4</t>
  </si>
  <si>
    <t>CAP|2025|A|Ácido úrico|5</t>
  </si>
  <si>
    <t>CAP|2025|B|Colesterol total|1</t>
  </si>
  <si>
    <t>CAP|2025|B|Colesterol total|2</t>
  </si>
  <si>
    <t>CAP|2025|B|Colesterol total|3</t>
  </si>
  <si>
    <t>CAP|2025|B|Colesterol total|4</t>
  </si>
  <si>
    <t>CAP|2025|B|Colesterol total|5</t>
  </si>
  <si>
    <t>CAP|2025|B|Creatinina|1</t>
  </si>
  <si>
    <t>CAP|2025|B|Creatinina|2</t>
  </si>
  <si>
    <t>CAP|2025|B|Creatinina|3</t>
  </si>
  <si>
    <t>CAP|2025|B|Creatinina|4</t>
  </si>
  <si>
    <t>CAP|2025|B|Creatinina|5</t>
  </si>
  <si>
    <t>CAP|2025|B|Glicose|1</t>
  </si>
  <si>
    <t>CAP|2025|B|Glicose|2</t>
  </si>
  <si>
    <t>CAP|2025|B|Glicose|3</t>
  </si>
  <si>
    <t>CAP|2025|B|Glicose|4</t>
  </si>
  <si>
    <t>CAP|2025|B|Glicose|5</t>
  </si>
  <si>
    <t>CAP|2025|B|HDL colesterol|1</t>
  </si>
  <si>
    <t>CAP|2025|B|HDL colesterol|2</t>
  </si>
  <si>
    <t>CAP|2025|B|HDL colesterol|3</t>
  </si>
  <si>
    <t>CAP|2025|B|HDL colesterol|4</t>
  </si>
  <si>
    <t>CAP|2025|B|HDL colesterol|5</t>
  </si>
  <si>
    <t>CAP|2025|B|Ureia|1</t>
  </si>
  <si>
    <t>CAP|2025|B|Ureia|2</t>
  </si>
  <si>
    <t>CAP|2025|B|Ureia|3</t>
  </si>
  <si>
    <t>CAP|2025|B|Ureia|4</t>
  </si>
  <si>
    <t>CAP|2025|B|Ureia|5</t>
  </si>
  <si>
    <t>CAP|2025|B|Ácido úrico|1</t>
  </si>
  <si>
    <t>CAP|2025|B|Ácido úrico|2</t>
  </si>
  <si>
    <t>CAP|2025|B|Ácido úrico|3</t>
  </si>
  <si>
    <t>CAP|2025|B|Ácido úrico|4</t>
  </si>
  <si>
    <t>CAP|2025|B|Ácido úrico|5</t>
  </si>
  <si>
    <t>CAP|2025|C|Colesterol total|1</t>
  </si>
  <si>
    <t>CAP|2025|C|Colesterol total|2</t>
  </si>
  <si>
    <t>CAP|2025|C|Colesterol total|3</t>
  </si>
  <si>
    <t>CAP|2025|C|Colesterol total|4</t>
  </si>
  <si>
    <t>CAP|2025|C|Colesterol total|5</t>
  </si>
  <si>
    <t>CAP|2025|C|Creatinina|1</t>
  </si>
  <si>
    <t>CAP|2025|C|Creatinina|2</t>
  </si>
  <si>
    <t>CAP|2025|C|Creatinina|3</t>
  </si>
  <si>
    <t>CAP|2025|C|Creatinina|4</t>
  </si>
  <si>
    <t>CAP|2025|C|Creatinina|5</t>
  </si>
  <si>
    <t>CAP|2025|C|Glicose|1</t>
  </si>
  <si>
    <t>CAP|2025|C|Glicose|2</t>
  </si>
  <si>
    <t>CAP|2025|C|Glicose|3</t>
  </si>
  <si>
    <t>CAP|2025|C|Glicose|4</t>
  </si>
  <si>
    <t>CAP|2025|C|Glicose|5</t>
  </si>
  <si>
    <t>CAP|2025|C|HDL colesterol|1</t>
  </si>
  <si>
    <t>CAP|2025|C|HDL colesterol|2</t>
  </si>
  <si>
    <t>CAP|2025|C|HDL colesterol|3</t>
  </si>
  <si>
    <t>CAP|2025|C|HDL colesterol|4</t>
  </si>
  <si>
    <t>CAP|2025|C|HDL colesterol|5</t>
  </si>
  <si>
    <t>CAP|2025|C|Ureia|1</t>
  </si>
  <si>
    <t>CAP|2025|C|Ureia|2</t>
  </si>
  <si>
    <t>CAP|2025|C|Ureia|3</t>
  </si>
  <si>
    <t>CAP|2025|C|Ureia|4</t>
  </si>
  <si>
    <t>CAP|2025|C|Ureia|5</t>
  </si>
  <si>
    <t>CAP|2025|C|Ácido úrico|1</t>
  </si>
  <si>
    <t>CAP|2025|C|Ácido úrico|2</t>
  </si>
  <si>
    <t>CAP|2025|C|Ácido úrico|3</t>
  </si>
  <si>
    <t>CAP|2025|C|Ácido úrico|4</t>
  </si>
  <si>
    <t>CAP|2025|C|Ácido úrico|5</t>
  </si>
  <si>
    <t>consolidado: 2026-08-22 18:48:37 | CAP 545 | Controllab 0 | total 545 | sem analito canonico 20 | chaves repetidas 0</t>
  </si>
  <si>
    <t>par_rodada_analito</t>
  </si>
  <si>
    <t>status_padronizado</t>
  </si>
  <si>
    <t>analito_com_desvio</t>
  </si>
  <si>
    <t>CAP — Resumo da avaliação externa</t>
  </si>
  <si>
    <t>Calculado a partir de EQA.CAP_Dados. Nada aqui é digitado, e nenhum ano está fixado: as colunas seguem as rodadas que existirem.</t>
  </si>
  <si>
    <t>Survey</t>
  </si>
  <si>
    <t>Analitos</t>
  </si>
  <si>
    <t>Resultados</t>
  </si>
  <si>
    <t>% Acceptable</t>
  </si>
  <si>
    <t>TOTAL</t>
  </si>
  <si>
    <t>Indicador</t>
  </si>
  <si>
    <t>Valor</t>
  </si>
  <si>
    <t>Rodadas</t>
  </si>
  <si>
    <t>Analitos distintos</t>
  </si>
  <si>
    <t>Analitos com pelo menos 1 unacceptable</t>
  </si>
  <si>
    <t>Não avaliados pelo provedor</t>
  </si>
  <si>
    <t>Sem analito canônico (fora da Estatística)</t>
  </si>
  <si>
    <t>Fora da análise (Uso_Analitico = NAO)</t>
  </si>
  <si>
    <t>MATRIZ ANALITO × SURVEY</t>
  </si>
  <si>
    <t>Total de amostras</t>
  </si>
  <si>
    <t>Controllab — Resumo da avaliação externa</t>
  </si>
  <si>
    <t>Calculado a partir de EQA.Controllab_Dados. Nada aqui é digitado, e nenhum ano está fixado: as colunas seguem as rodadas que existirem.</t>
  </si>
  <si>
    <t>Conforme</t>
  </si>
  <si>
    <t>Com desvio</t>
  </si>
  <si>
    <t>% Conforme</t>
  </si>
  <si>
    <t>Analitos com pelo menos 1 com desvio</t>
  </si>
  <si>
    <t>MATRIZ ANALITO × RODADA</t>
  </si>
  <si>
    <t>CAP — Resultados Unacceptable</t>
  </si>
  <si>
    <t>Derivada de EQA.CAP_Dados. Não digite aqui: corrija na origem.</t>
  </si>
  <si>
    <t>Controllab — Resultados com desvio</t>
  </si>
  <si>
    <t>Derivada de EQA.Controllab_Dados. O critério é o do próprio provedor, e não o vocabulário do CAP.</t>
  </si>
  <si>
    <t>ESTADO DA CONSOLIDAÇÃO</t>
  </si>
  <si>
    <t>Sigma_Min</t>
  </si>
  <si>
    <t>Sigma_Max</t>
  </si>
  <si>
    <t>Classificacao</t>
  </si>
  <si>
    <t>Regras</t>
  </si>
  <si>
    <t>N_Controle</t>
  </si>
  <si>
    <t>RunSize_Max</t>
  </si>
  <si>
    <t>Frequencia</t>
  </si>
  <si>
    <t>Referencia</t>
  </si>
  <si>
    <t>1_3s</t>
  </si>
  <si>
    <t>Até 1000 pacientes entre eventos de CQ</t>
  </si>
  <si>
    <t>Westgard &amp; Westgard, 2019</t>
  </si>
  <si>
    <t>1_3s / 2_2s / R_4s</t>
  </si>
  <si>
    <t>Até 450 pacientes entre eventos de CQ</t>
  </si>
  <si>
    <t>1_3s / 2_2s / R_4s / 4_1s</t>
  </si>
  <si>
    <t>Até 200 pacientes entre eventos de CQ</t>
  </si>
  <si>
    <t>Até 45 pacientes entre eventos de CQ</t>
  </si>
  <si>
    <t>Westgard &amp; Westgard, 2019; Peng et al., 2021</t>
  </si>
  <si>
    <t>Desempenho inadequado</t>
  </si>
  <si>
    <t>CQ estatístico isolado pode ser insuficiente — investigar e melhorar o desempenho analítico ou reavaliar o método</t>
  </si>
  <si>
    <t>Westgard et al., 2018; CLSI C24-Ed4</t>
  </si>
  <si>
    <t>O run size é recomendação de planejamento de SQC baseada em desempenho Sigma e risco. Não substitui requisitos regulatórios, de acreditação, instruções do fabricante ou procedimentos internos mais restritivos.</t>
  </si>
  <si>
    <t>DPM teórico estimado pelo Sigma: usa a convenção de short-term Sigma com deslocamento de 1,5 SD. É um benchmark teórico de desempenho, e não uma contagem observada de erros em resultados de pacientes.</t>
  </si>
  <si>
    <t>DPM teórico</t>
  </si>
  <si>
    <t>Rendimento teórico %</t>
  </si>
  <si>
    <t>Regras Westgard recomendadas</t>
  </si>
  <si>
    <t>N (medições de controle)</t>
  </si>
  <si>
    <t>Run Size máx (pacientes)</t>
  </si>
  <si>
    <t>Cobertura do motor Westgard</t>
  </si>
  <si>
    <t>chave analito|nível</t>
  </si>
  <si>
    <t>REFERÊNCIA — SIGMA × DPM TEÓRICO × RENDIMENTO TEÓRICO</t>
  </si>
  <si>
    <t>Valores CALCULADOS pela mesma função que alimenta a coluna V. Conferem com a tabela publicada em Westgard et al., 2018. Servem de orientação: o DPM do analito usa o Sigma real, sem arredondar para a linha mais próxima.</t>
  </si>
  <si>
    <t>DESEMPENHO SIX SIGMA — analito selecionado</t>
  </si>
  <si>
    <t>Valores vindos da aba Estatística. O período e o filtro de EQA (provedor / ano / rodada) são os definidos lá; o filtro de datas deste Painel manda no gráfico e nos descritivos, não aqui.</t>
  </si>
  <si>
    <t>PLANO DE CQ RECOMENDADO PELO SIGMA</t>
  </si>
  <si>
    <t>Regras Westgard</t>
  </si>
  <si>
    <t>N (medições)</t>
  </si>
  <si>
    <t>Run Size máx</t>
  </si>
  <si>
    <t>Frequência de CQ</t>
  </si>
  <si>
    <t>Cobertura do motor</t>
  </si>
  <si>
    <t>Rendimento %</t>
  </si>
  <si>
    <t>BASE CIENTÍFICA DO PLANO DE CQ</t>
  </si>
  <si>
    <t>Metodologia: Westgard Sigma Rules with Run Sizes. Base conceitual de SQC baseado em risco: CLSI C24-Ed4.</t>
  </si>
  <si>
    <t>Westgard et al., 2018 — Sigma metrics e tabela Sigma × DPM ↗</t>
  </si>
  <si>
    <t>Westgard &amp; Westgard, 2019 — Sigma Rules with Run Sizes ↗</t>
  </si>
  <si>
    <t>Peng et al., 2021 — aplicação prática de regras, N e run size ↗</t>
  </si>
  <si>
    <t>CLSI C24-Ed4 — SQC baseado em risco (base conceitual) ↗</t>
  </si>
  <si>
    <t>1_3s / 2_2s / R_4s / 4_1s / 8x</t>
  </si>
  <si>
    <t>ERRO TOTAL vs ETp — Análise</t>
  </si>
  <si>
    <t>N EQA Resultados</t>
  </si>
  <si>
    <t>N EQA Rodadas</t>
  </si>
  <si>
    <t>Sigma efetivo do plano (menor dos dois níveis):</t>
  </si>
  <si>
    <t>Regras que o motor executa:</t>
  </si>
  <si>
    <t>Status_Plano_QC</t>
  </si>
  <si>
    <t>PLANO APLICÁVEL</t>
  </si>
  <si>
    <t>REAVALIAR MÉTODO</t>
  </si>
  <si>
    <t>6x</t>
  </si>
  <si>
    <t>10x</t>
  </si>
  <si>
    <t>matriz derivada da coluna Regras — não editar à mão</t>
  </si>
  <si>
    <t>Linha da faixa vigente (índice na matriz):</t>
  </si>
  <si>
    <t>regras ativas para o Sigma selecionado:</t>
  </si>
  <si>
    <t>VERDE ESCURO: regra recomendada pelo Sigma   ·   VERMELHO: regra violada na corrida   ·   NEUTRO: fora da estratégia atual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</si>
</sst>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  <numFmt numFmtId="170" formatCode="#,#00"/>
    <numFmt numFmtId="171" formatCode="\+0.0;\-0.0;0.0"/>
    <numFmt numFmtId="172" formatCode="0.0"/>
    <numFmt numFmtId="173" formatCode="0.00000"/>
    <numFmt numFmtId="174" formatCode="[&lt;1]0.0000;[&lt;1000]0.0;#,##0"/>
  </numFmts>
  <fonts count="72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  <font>
      <b/>
      <sz val="11"/>
      <color rgb="FFFFFFFF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rgb="FF606A78"/>
      <name val="Calibri"/>
      <family val="2"/>
      <scheme val="minor"/>
    </font>
    <font>
      <i/>
      <sz val="12"/>
      <color rgb="FF606A78"/>
      <name val="Calibri"/>
      <family val="2"/>
      <scheme val="minor"/>
    </font>
    <font>
      <b/>
      <sz val="12"/>
      <color rgb="FFFFFFF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rgb="FFFFFFFF"/>
      <name val="Calibri"/>
      <family val="2"/>
    </font>
    <font>
      <sz val="14"/>
      <color rgb="FFCFEEE7"/>
      <name val="Calibri"/>
      <family val="2"/>
    </font>
    <font>
      <b/>
      <sz val="22"/>
      <color rgb="FF5FE3C2"/>
      <name val="Calibri"/>
      <family val="2"/>
    </font>
    <font>
      <sz val="22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63B4D"/>
        <bgColor indexed="64"/>
      </patternFill>
    </fill>
    <fill>
      <patternFill patternType="solid">
        <fgColor rgb="FFF2F4F7"/>
        <bgColor indexed="64"/>
      </patternFill>
    </fill>
  </fills>
  <borders count="21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1" fillId="0" borderId="0" applyNumberFormat="0" applyFill="0" applyBorder="0" applyAlignment="0" applyProtection="0"/>
  </cellStyleXfs>
  <cellXfs count="227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5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8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6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5" fillId="5" borderId="10" xfId="0" applyNumberFormat="1" applyFont="1" applyFill="1" applyBorder="1" applyAlignment="1" applyProtection="1">
      <alignment horizontal="center" vertical="center"/>
      <protection locked="0"/>
    </xf>
    <xf numFmtId="0" fontId="43" fillId="11" borderId="11" xfId="0" applyFont="1" applyFill="1" applyBorder="1" applyAlignment="1" applyProtection="1">
      <alignment horizontal="center"/>
      <protection locked="0"/>
    </xf>
    <xf numFmtId="0" fontId="32" fillId="5" borderId="0" xfId="0" applyFont="1" applyFill="1" applyAlignment="1" applyProtection="1">
      <alignment horizontal="center" vertical="center"/>
      <protection locked="0"/>
    </xf>
    <xf numFmtId="14" fontId="45" fillId="5" borderId="1" xfId="0" applyNumberFormat="1" applyFont="1" applyFill="1" applyBorder="1" applyAlignment="1" applyProtection="1">
      <alignment horizontal="center" vertical="center"/>
      <protection locked="0"/>
    </xf>
    <xf numFmtId="0" fontId="43" fillId="11" borderId="8" xfId="0" applyFont="1" applyFill="1" applyBorder="1" applyAlignment="1" applyProtection="1">
      <alignment horizontal="center"/>
      <protection locked="0"/>
    </xf>
    <xf numFmtId="0" fontId="32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8" fillId="12" borderId="8" xfId="0" applyFont="1" applyFill="1" applyBorder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 wrapText="1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3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6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 indent="1"/>
      <protection locked="0"/>
    </xf>
    <xf numFmtId="0" fontId="49" fillId="7" borderId="0" xfId="0" applyFont="1" applyFill="1" applyProtection="1"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left" vertical="center" indent="1"/>
      <protection locked="0"/>
    </xf>
    <xf numFmtId="0" fontId="51" fillId="7" borderId="0" xfId="0" applyFont="1" applyFill="1" applyAlignment="1" applyProtection="1">
      <alignment horizontal="righ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6" fillId="7" borderId="1" xfId="0" applyFont="1" applyFill="1" applyBorder="1" applyAlignment="1" applyProtection="1">
      <alignment horizontal="right" vertical="center"/>
      <protection locked="0"/>
    </xf>
    <xf numFmtId="0" fontId="38" fillId="0" borderId="0" xfId="0" applyFont="1" applyProtection="1">
      <protection locked="0"/>
    </xf>
    <xf numFmtId="0" fontId="56" fillId="7" borderId="1" xfId="0" applyFont="1" applyFill="1" applyBorder="1" applyAlignment="1" applyProtection="1">
      <alignment horizontal="center" vertical="center" wrapText="1"/>
      <protection locked="0"/>
    </xf>
    <xf numFmtId="0" fontId="29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7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39" fillId="0" borderId="0" xfId="0" applyFont="1" applyProtection="1">
      <protection locked="0"/>
    </xf>
    <xf numFmtId="0" fontId="40" fillId="0" borderId="0" xfId="0" applyFont="1" applyProtection="1">
      <protection locked="0"/>
    </xf>
    <xf numFmtId="0" fontId="38" fillId="10" borderId="8" xfId="0" applyFont="1" applyFill="1" applyBorder="1" applyAlignment="1" applyProtection="1">
      <alignment horizontal="center"/>
      <protection locked="0"/>
    </xf>
    <xf numFmtId="0" fontId="41" fillId="10" borderId="8" xfId="0" applyFont="1" applyFill="1" applyBorder="1" applyAlignment="1" applyProtection="1">
      <alignment horizontal="center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49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0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8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3" fillId="7" borderId="0" xfId="0" applyFont="1" applyFill="1" applyAlignment="1" applyProtection="1">
      <alignment horizontal="lef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58" fillId="13" borderId="0" xfId="0" applyFont="1" applyFill="1"/>
    <xf numFmtId="1" fontId="0" fillId="0" borderId="0" xfId="0" applyNumberFormat="1"/>
    <xf numFmtId="0" fontId="58" fillId="13" borderId="0" xfId="0" applyFont="1" applyFill="1" applyAlignment="1">
      <alignment horizontal="center" vertical="center"/>
    </xf>
    <xf numFmtId="0" fontId="58" fillId="13" borderId="0" xfId="0" applyFont="1" applyFill="1" applyAlignment="1">
      <alignment vertical="center"/>
    </xf>
    <xf numFmtId="0" fontId="60" fillId="0" borderId="0" xfId="0" applyFont="1"/>
    <xf numFmtId="0" fontId="40" fillId="0" borderId="0" xfId="0" applyFont="1"/>
    <xf numFmtId="0" fontId="38" fillId="0" borderId="0" xfId="0" applyFont="1"/>
    <xf numFmtId="0" fontId="58" fillId="13" borderId="0" xfId="0" applyFont="1" applyFill="1" applyAlignment="1">
      <alignment horizontal="center" wrapText="1"/>
    </xf>
    <xf numFmtId="0" fontId="38" fillId="14" borderId="0" xfId="0" applyFont="1" applyFill="1"/>
    <xf numFmtId="0" fontId="46" fillId="0" borderId="0" xfId="0" applyFont="1"/>
    <xf numFmtId="170" fontId="0" fillId="0" borderId="0" xfId="0" applyNumberFormat="1"/>
    <xf numFmtId="170" fontId="38" fillId="14" borderId="0" xfId="0" applyNumberFormat="1" applyFont="1" applyFill="1"/>
    <xf numFmtId="2" fontId="0" fillId="0" borderId="0" xfId="0" applyNumberFormat="1"/>
    <xf numFmtId="166" fontId="0" fillId="0" borderId="0" xfId="0" applyNumberFormat="1"/>
    <xf numFmtId="171" fontId="0" fillId="0" borderId="0" xfId="0" applyNumberFormat="1"/>
    <xf numFmtId="0" fontId="62" fillId="0" borderId="0" xfId="0" applyFont="1"/>
    <xf numFmtId="0" fontId="58" fillId="13" borderId="0" xfId="0" applyFont="1" applyFill="1" applyAlignment="1" applyProtection="1">
      <alignment horizontal="center" vertical="center" wrapText="1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46" fillId="0" borderId="0" xfId="0" applyFont="1" applyProtection="1">
      <protection locked="0"/>
    </xf>
    <xf numFmtId="0" fontId="62" fillId="0" borderId="0" xfId="0" applyFont="1" applyProtection="1">
      <protection locked="0"/>
    </xf>
    <xf numFmtId="0" fontId="58" fillId="13" borderId="0" xfId="0" applyFont="1" applyFill="1" applyAlignment="1" applyProtection="1">
      <alignment horizontal="center" wrapText="1"/>
      <protection locked="0"/>
    </xf>
    <xf numFmtId="172" fontId="0" fillId="0" borderId="0" xfId="0" applyNumberFormat="1" applyProtection="1">
      <protection locked="0"/>
    </xf>
    <xf numFmtId="173" fontId="0" fillId="0" borderId="0" xfId="0" applyNumberFormat="1" applyAlignment="1" applyProtection="1">
      <alignment horizontal="center" vertic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74" fontId="0" fillId="0" borderId="0" xfId="0" applyNumberFormat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164" fontId="4" fillId="5" borderId="0" xfId="0" applyNumberFormat="1" applyFont="1" applyFill="1" applyAlignment="1" applyProtection="1">
      <alignment horizontal="center" vertical="center"/>
      <protection locked="0"/>
    </xf>
    <xf numFmtId="165" fontId="4" fillId="5" borderId="0" xfId="0" applyNumberFormat="1" applyFont="1" applyFill="1" applyAlignment="1" applyProtection="1">
      <alignment horizontal="center" vertical="center"/>
      <protection locked="0"/>
    </xf>
    <xf numFmtId="0" fontId="4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3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 wrapText="1"/>
    </xf>
    <xf numFmtId="0" fontId="64" fillId="13" borderId="0" xfId="0" applyFont="1" applyFill="1" applyAlignment="1">
      <alignment horizontal="left" vertical="center" wrapText="1"/>
    </xf>
    <xf numFmtId="2" fontId="43" fillId="0" borderId="0" xfId="0" applyNumberFormat="1" applyFont="1" applyAlignment="1">
      <alignment horizontal="left" vertical="center"/>
    </xf>
    <xf numFmtId="174" fontId="43" fillId="0" borderId="0" xfId="0" applyNumberFormat="1" applyFont="1" applyAlignment="1">
      <alignment horizontal="left" vertical="center"/>
    </xf>
    <xf numFmtId="164" fontId="43" fillId="0" borderId="0" xfId="0" applyNumberFormat="1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172" fontId="43" fillId="0" borderId="0" xfId="0" applyNumberFormat="1" applyFont="1" applyAlignment="1">
      <alignment horizontal="left" vertical="center"/>
    </xf>
    <xf numFmtId="173" fontId="43" fillId="0" borderId="0" xfId="0" applyNumberFormat="1" applyFont="1" applyAlignment="1">
      <alignment horizontal="left" vertical="center"/>
    </xf>
    <xf numFmtId="0" fontId="65" fillId="0" borderId="0" xfId="1" applyFont="1" applyAlignment="1">
      <alignment horizontal="left" vertical="center"/>
    </xf>
    <xf numFmtId="0" fontId="66" fillId="6" borderId="1" xfId="0" applyFont="1" applyFill="1" applyBorder="1" applyAlignment="1" applyProtection="1">
      <alignment horizontal="center" vertical="center" wrapText="1"/>
      <protection locked="0"/>
    </xf>
    <xf numFmtId="0" fontId="43" fillId="0" borderId="0" xfId="0" applyFont="1"/>
    <xf numFmtId="0" fontId="13" fillId="5" borderId="1" xfId="0" applyFont="1" applyFill="1" applyBorder="1" applyAlignment="1" applyProtection="1">
      <alignment horizontal="center" vertical="center"/>
      <protection locked="0"/>
    </xf>
    <xf numFmtId="164" fontId="13" fillId="5" borderId="1" xfId="0" applyNumberFormat="1" applyFont="1" applyFill="1" applyBorder="1" applyAlignment="1" applyProtection="1">
      <alignment horizontal="center" vertical="center"/>
      <protection locked="0"/>
    </xf>
    <xf numFmtId="165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69" fillId="0" borderId="0" xfId="0" applyFont="1" applyAlignment="1" applyProtection="1">
      <alignment horizontal="left" vertical="center"/>
      <protection locked="0"/>
    </xf>
    <xf numFmtId="0" fontId="69" fillId="0" borderId="0" xfId="0" applyFont="1" applyProtection="1">
      <protection locked="0"/>
    </xf>
    <xf numFmtId="0" fontId="70" fillId="0" borderId="0" xfId="0" applyFont="1"/>
    <xf numFmtId="0" fontId="71" fillId="0" borderId="0" xfId="0" applyFont="1" applyProtection="1">
      <protection locked="0"/>
    </xf>
    <xf numFmtId="0" fontId="63" fillId="0" borderId="0" xfId="0" applyFont="1" applyAlignment="1">
      <alignment horizontal="left" vertical="center" wrapText="1"/>
    </xf>
    <xf numFmtId="0" fontId="67" fillId="3" borderId="18" xfId="0" applyFont="1" applyFill="1" applyBorder="1" applyAlignment="1" applyProtection="1">
      <alignment horizontal="left" vertical="center" indent="4"/>
      <protection locked="0"/>
    </xf>
    <xf numFmtId="0" fontId="67" fillId="3" borderId="19" xfId="0" applyFont="1" applyFill="1" applyBorder="1" applyAlignment="1" applyProtection="1">
      <alignment horizontal="left" vertical="center" indent="4"/>
      <protection locked="0"/>
    </xf>
    <xf numFmtId="0" fontId="67" fillId="3" borderId="20" xfId="0" applyFont="1" applyFill="1" applyBorder="1" applyAlignment="1" applyProtection="1">
      <alignment horizontal="left" vertical="center" indent="4"/>
      <protection locked="0"/>
    </xf>
    <xf numFmtId="0" fontId="68" fillId="2" borderId="17" xfId="0" applyFont="1" applyFill="1" applyBorder="1" applyAlignment="1" applyProtection="1">
      <alignment horizontal="left" vertical="center" indent="4"/>
      <protection locked="0"/>
    </xf>
    <xf numFmtId="0" fontId="68" fillId="2" borderId="0" xfId="0" applyFont="1" applyFill="1" applyAlignment="1" applyProtection="1">
      <alignment horizontal="left" vertical="center" indent="4"/>
      <protection locked="0"/>
    </xf>
    <xf numFmtId="0" fontId="66" fillId="6" borderId="16" xfId="0" applyFont="1" applyFill="1" applyBorder="1" applyAlignment="1" applyProtection="1">
      <alignment horizontal="center" vertical="center" wrapText="1"/>
      <protection locked="0"/>
    </xf>
    <xf numFmtId="0" fontId="66" fillId="6" borderId="3" xfId="0" applyFont="1" applyFill="1" applyBorder="1" applyAlignment="1" applyProtection="1">
      <alignment horizontal="center" vertical="center" wrapText="1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3" xfId="0" applyFont="1" applyFill="1" applyBorder="1" applyAlignment="1" applyProtection="1">
      <alignment horizontal="center" vertical="center"/>
      <protection locked="0"/>
    </xf>
    <xf numFmtId="0" fontId="13" fillId="5" borderId="14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indent="1"/>
      <protection locked="0"/>
    </xf>
    <xf numFmtId="0" fontId="43" fillId="0" borderId="0" xfId="0" applyFont="1" applyAlignment="1" applyProtection="1">
      <alignment horizontal="left" indent="1"/>
      <protection locked="0"/>
    </xf>
    <xf numFmtId="0" fontId="3" fillId="0" borderId="0" xfId="0" applyFont="1" applyProtection="1">
      <protection locked="0"/>
    </xf>
    <xf numFmtId="0" fontId="43" fillId="0" borderId="0" xfId="0" applyFont="1" applyProtection="1">
      <protection locked="0"/>
    </xf>
    <xf numFmtId="0" fontId="42" fillId="0" borderId="0" xfId="0" applyFont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 wrapText="1" indent="35"/>
      <protection locked="0"/>
    </xf>
    <xf numFmtId="0" fontId="44" fillId="5" borderId="10" xfId="0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57" fillId="7" borderId="9" xfId="0" applyFont="1" applyFill="1" applyBorder="1" applyAlignment="1" applyProtection="1">
      <alignment horizontal="center" vertical="center"/>
      <protection locked="0"/>
    </xf>
    <xf numFmtId="0" fontId="57" fillId="7" borderId="0" xfId="0" applyFont="1" applyFill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25" fillId="4" borderId="1" xfId="0" applyFont="1" applyFill="1" applyBorder="1" applyAlignment="1" applyProtection="1">
      <alignment horizontal="center" vertical="center"/>
      <protection locked="0"/>
    </xf>
    <xf numFmtId="0" fontId="35" fillId="7" borderId="0" xfId="0" applyFont="1" applyFill="1" applyProtection="1">
      <protection locked="0"/>
    </xf>
    <xf numFmtId="0" fontId="36" fillId="8" borderId="0" xfId="0" applyFont="1" applyFill="1" applyProtection="1">
      <protection locked="0"/>
    </xf>
    <xf numFmtId="0" fontId="30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1" fillId="5" borderId="4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60"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171" formatCode="\+0.0;\-0.0;0.0"/>
    </dxf>
    <dxf>
      <numFmt numFmtId="166" formatCode="0.000"/>
    </dxf>
    <dxf>
      <numFmt numFmtId="166" formatCode="0.000"/>
    </dxf>
    <dxf>
      <numFmt numFmtId="2" formatCode="0.0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vertical="center" textRotation="0" wrapText="0" indent="0" justifyLastLine="0" shrinkToFit="0" readingOrder="0"/>
    </dxf>
    <dxf>
      <font>
        <color rgb="FF146C43"/>
      </font>
      <fill>
        <patternFill>
          <bgColor rgb="FFE7F6EC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263B4D"/>
        </patternFill>
      </fill>
      <alignment horizontal="center" vertical="bottom" textRotation="0" wrapText="1" indent="0" justifyLastLine="0" shrinkToFit="0" readingOrder="0"/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i val="0"/>
        <color rgb="FFFFFFFF"/>
      </font>
      <fill>
        <patternFill>
          <bgColor rgb="FF146C43"/>
        </patternFill>
      </fill>
    </dxf>
    <dxf>
      <font>
        <b/>
        <i val="0"/>
        <color rgb="FFB42318"/>
      </font>
      <fill>
        <patternFill>
          <bgColor rgb="FFFDE2E2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0.70555555555555549</c:v>
                </c:pt>
                <c:pt idx="1">
                  <c:v>0.70555555555555549</c:v>
                </c:pt>
                <c:pt idx="2">
                  <c:v>0.70555555555555549</c:v>
                </c:pt>
                <c:pt idx="3">
                  <c:v>0.70555555555555549</c:v>
                </c:pt>
                <c:pt idx="4">
                  <c:v>0.70555555555555549</c:v>
                </c:pt>
                <c:pt idx="5">
                  <c:v>0.70555555555555549</c:v>
                </c:pt>
                <c:pt idx="6">
                  <c:v>0.70555555555555549</c:v>
                </c:pt>
                <c:pt idx="7">
                  <c:v>0.70555555555555549</c:v>
                </c:pt>
                <c:pt idx="8">
                  <c:v>0.70555555555555549</c:v>
                </c:pt>
                <c:pt idx="9">
                  <c:v>0.70555555555555549</c:v>
                </c:pt>
                <c:pt idx="10">
                  <c:v>0.70555555555555549</c:v>
                </c:pt>
                <c:pt idx="11">
                  <c:v>0.70555555555555549</c:v>
                </c:pt>
                <c:pt idx="12">
                  <c:v>0.70555555555555549</c:v>
                </c:pt>
                <c:pt idx="13">
                  <c:v>0.70555555555555549</c:v>
                </c:pt>
                <c:pt idx="14">
                  <c:v>0.70555555555555549</c:v>
                </c:pt>
                <c:pt idx="15">
                  <c:v>0.70555555555555549</c:v>
                </c:pt>
                <c:pt idx="16">
                  <c:v>0.70555555555555549</c:v>
                </c:pt>
                <c:pt idx="17">
                  <c:v>0.70555555555555549</c:v>
                </c:pt>
                <c:pt idx="18">
                  <c:v>0.70555555555555549</c:v>
                </c:pt>
                <c:pt idx="19">
                  <c:v>0.70555555555555549</c:v>
                </c:pt>
                <c:pt idx="20">
                  <c:v>0.70555555555555549</c:v>
                </c:pt>
                <c:pt idx="21">
                  <c:v>0.70555555555555549</c:v>
                </c:pt>
                <c:pt idx="22">
                  <c:v>0.70555555555555549</c:v>
                </c:pt>
                <c:pt idx="23">
                  <c:v>0.70555555555555549</c:v>
                </c:pt>
                <c:pt idx="24">
                  <c:v>0.70555555555555549</c:v>
                </c:pt>
                <c:pt idx="25">
                  <c:v>0.70555555555555549</c:v>
                </c:pt>
                <c:pt idx="26">
                  <c:v>0.70555555555555549</c:v>
                </c:pt>
                <c:pt idx="27">
                  <c:v>0.70555555555555549</c:v>
                </c:pt>
                <c:pt idx="28">
                  <c:v>0.70555555555555549</c:v>
                </c:pt>
                <c:pt idx="29">
                  <c:v>0.70555555555555549</c:v>
                </c:pt>
                <c:pt idx="30">
                  <c:v>0.70555555555555549</c:v>
                </c:pt>
                <c:pt idx="31">
                  <c:v>0.70555555555555549</c:v>
                </c:pt>
                <c:pt idx="32">
                  <c:v>0.70555555555555549</c:v>
                </c:pt>
                <c:pt idx="33">
                  <c:v>0.70555555555555549</c:v>
                </c:pt>
                <c:pt idx="34">
                  <c:v>0.70555555555555549</c:v>
                </c:pt>
                <c:pt idx="35">
                  <c:v>0.70555555555555549</c:v>
                </c:pt>
                <c:pt idx="36">
                  <c:v>0.70555555555555549</c:v>
                </c:pt>
                <c:pt idx="37">
                  <c:v>0.70555555555555549</c:v>
                </c:pt>
                <c:pt idx="38">
                  <c:v>0.70555555555555549</c:v>
                </c:pt>
                <c:pt idx="39">
                  <c:v>0.70555555555555549</c:v>
                </c:pt>
                <c:pt idx="40">
                  <c:v>0.70555555555555549</c:v>
                </c:pt>
                <c:pt idx="41">
                  <c:v>0.70555555555555549</c:v>
                </c:pt>
                <c:pt idx="42">
                  <c:v>0.70555555555555549</c:v>
                </c:pt>
                <c:pt idx="43">
                  <c:v>0.70555555555555549</c:v>
                </c:pt>
                <c:pt idx="44">
                  <c:v>0.70555555555555549</c:v>
                </c:pt>
                <c:pt idx="45">
                  <c:v>0.70555555555555549</c:v>
                </c:pt>
                <c:pt idx="46">
                  <c:v>0.70555555555555549</c:v>
                </c:pt>
                <c:pt idx="47">
                  <c:v>0.70555555555555549</c:v>
                </c:pt>
                <c:pt idx="48">
                  <c:v>0.70555555555555549</c:v>
                </c:pt>
                <c:pt idx="49">
                  <c:v>0.70555555555555549</c:v>
                </c:pt>
                <c:pt idx="50">
                  <c:v>0.70555555555555549</c:v>
                </c:pt>
                <c:pt idx="51">
                  <c:v>0.70555555555555549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0.80555555555555558</c:v>
                </c:pt>
                <c:pt idx="1">
                  <c:v>0.80555555555555558</c:v>
                </c:pt>
                <c:pt idx="2">
                  <c:v>0.80555555555555558</c:v>
                </c:pt>
                <c:pt idx="3">
                  <c:v>0.80555555555555558</c:v>
                </c:pt>
                <c:pt idx="4">
                  <c:v>0.80555555555555558</c:v>
                </c:pt>
                <c:pt idx="5">
                  <c:v>0.80555555555555558</c:v>
                </c:pt>
                <c:pt idx="6">
                  <c:v>0.80555555555555558</c:v>
                </c:pt>
                <c:pt idx="7">
                  <c:v>0.80555555555555558</c:v>
                </c:pt>
                <c:pt idx="8">
                  <c:v>0.80555555555555558</c:v>
                </c:pt>
                <c:pt idx="9">
                  <c:v>0.80555555555555558</c:v>
                </c:pt>
                <c:pt idx="10">
                  <c:v>0.80555555555555558</c:v>
                </c:pt>
                <c:pt idx="11">
                  <c:v>0.80555555555555558</c:v>
                </c:pt>
                <c:pt idx="12">
                  <c:v>0.80555555555555558</c:v>
                </c:pt>
                <c:pt idx="13">
                  <c:v>0.80555555555555558</c:v>
                </c:pt>
                <c:pt idx="14">
                  <c:v>0.80555555555555558</c:v>
                </c:pt>
                <c:pt idx="15">
                  <c:v>0.80555555555555558</c:v>
                </c:pt>
                <c:pt idx="16">
                  <c:v>0.80555555555555558</c:v>
                </c:pt>
                <c:pt idx="17">
                  <c:v>0.80555555555555558</c:v>
                </c:pt>
                <c:pt idx="18">
                  <c:v>0.80555555555555558</c:v>
                </c:pt>
                <c:pt idx="19">
                  <c:v>0.80555555555555558</c:v>
                </c:pt>
                <c:pt idx="20">
                  <c:v>0.80555555555555558</c:v>
                </c:pt>
                <c:pt idx="21">
                  <c:v>0.80555555555555558</c:v>
                </c:pt>
                <c:pt idx="22">
                  <c:v>0.80555555555555558</c:v>
                </c:pt>
                <c:pt idx="23">
                  <c:v>0.80555555555555558</c:v>
                </c:pt>
                <c:pt idx="24">
                  <c:v>0.80555555555555558</c:v>
                </c:pt>
                <c:pt idx="25">
                  <c:v>0.80555555555555558</c:v>
                </c:pt>
                <c:pt idx="26">
                  <c:v>0.80555555555555558</c:v>
                </c:pt>
                <c:pt idx="27">
                  <c:v>0.80555555555555558</c:v>
                </c:pt>
                <c:pt idx="28">
                  <c:v>0.80555555555555558</c:v>
                </c:pt>
                <c:pt idx="29">
                  <c:v>0.80555555555555558</c:v>
                </c:pt>
                <c:pt idx="30">
                  <c:v>0.80555555555555558</c:v>
                </c:pt>
                <c:pt idx="31">
                  <c:v>0.80555555555555558</c:v>
                </c:pt>
                <c:pt idx="32">
                  <c:v>0.80555555555555558</c:v>
                </c:pt>
                <c:pt idx="33">
                  <c:v>0.80555555555555558</c:v>
                </c:pt>
                <c:pt idx="34">
                  <c:v>0.80555555555555558</c:v>
                </c:pt>
                <c:pt idx="35">
                  <c:v>0.80555555555555558</c:v>
                </c:pt>
                <c:pt idx="36">
                  <c:v>0.80555555555555558</c:v>
                </c:pt>
                <c:pt idx="37">
                  <c:v>0.80555555555555558</c:v>
                </c:pt>
                <c:pt idx="38">
                  <c:v>0.80555555555555558</c:v>
                </c:pt>
                <c:pt idx="39">
                  <c:v>0.80555555555555558</c:v>
                </c:pt>
                <c:pt idx="40">
                  <c:v>0.80555555555555558</c:v>
                </c:pt>
                <c:pt idx="41">
                  <c:v>0.80555555555555558</c:v>
                </c:pt>
                <c:pt idx="42">
                  <c:v>0.80555555555555558</c:v>
                </c:pt>
                <c:pt idx="43">
                  <c:v>0.80555555555555558</c:v>
                </c:pt>
                <c:pt idx="44">
                  <c:v>0.80555555555555558</c:v>
                </c:pt>
                <c:pt idx="45">
                  <c:v>0.80555555555555558</c:v>
                </c:pt>
                <c:pt idx="46">
                  <c:v>0.80555555555555558</c:v>
                </c:pt>
                <c:pt idx="47">
                  <c:v>0.80555555555555558</c:v>
                </c:pt>
                <c:pt idx="48">
                  <c:v>0.80555555555555558</c:v>
                </c:pt>
                <c:pt idx="49">
                  <c:v>0.80555555555555558</c:v>
                </c:pt>
                <c:pt idx="50">
                  <c:v>0.80555555555555558</c:v>
                </c:pt>
                <c:pt idx="51">
                  <c:v>0.80555555555555558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0.90555555555555556</c:v>
                </c:pt>
                <c:pt idx="1">
                  <c:v>0.90555555555555556</c:v>
                </c:pt>
                <c:pt idx="2">
                  <c:v>0.90555555555555556</c:v>
                </c:pt>
                <c:pt idx="3">
                  <c:v>0.90555555555555556</c:v>
                </c:pt>
                <c:pt idx="4">
                  <c:v>0.90555555555555556</c:v>
                </c:pt>
                <c:pt idx="5">
                  <c:v>0.90555555555555556</c:v>
                </c:pt>
                <c:pt idx="6">
                  <c:v>0.90555555555555556</c:v>
                </c:pt>
                <c:pt idx="7">
                  <c:v>0.90555555555555556</c:v>
                </c:pt>
                <c:pt idx="8">
                  <c:v>0.90555555555555556</c:v>
                </c:pt>
                <c:pt idx="9">
                  <c:v>0.90555555555555556</c:v>
                </c:pt>
                <c:pt idx="10">
                  <c:v>0.90555555555555556</c:v>
                </c:pt>
                <c:pt idx="11">
                  <c:v>0.90555555555555556</c:v>
                </c:pt>
                <c:pt idx="12">
                  <c:v>0.90555555555555556</c:v>
                </c:pt>
                <c:pt idx="13">
                  <c:v>0.90555555555555556</c:v>
                </c:pt>
                <c:pt idx="14">
                  <c:v>0.90555555555555556</c:v>
                </c:pt>
                <c:pt idx="15">
                  <c:v>0.90555555555555556</c:v>
                </c:pt>
                <c:pt idx="16">
                  <c:v>0.90555555555555556</c:v>
                </c:pt>
                <c:pt idx="17">
                  <c:v>0.90555555555555556</c:v>
                </c:pt>
                <c:pt idx="18">
                  <c:v>0.90555555555555556</c:v>
                </c:pt>
                <c:pt idx="19">
                  <c:v>0.90555555555555556</c:v>
                </c:pt>
                <c:pt idx="20">
                  <c:v>0.90555555555555556</c:v>
                </c:pt>
                <c:pt idx="21">
                  <c:v>0.90555555555555556</c:v>
                </c:pt>
                <c:pt idx="22">
                  <c:v>0.90555555555555556</c:v>
                </c:pt>
                <c:pt idx="23">
                  <c:v>0.90555555555555556</c:v>
                </c:pt>
                <c:pt idx="24">
                  <c:v>0.90555555555555556</c:v>
                </c:pt>
                <c:pt idx="25">
                  <c:v>0.90555555555555556</c:v>
                </c:pt>
                <c:pt idx="26">
                  <c:v>0.90555555555555556</c:v>
                </c:pt>
                <c:pt idx="27">
                  <c:v>0.90555555555555556</c:v>
                </c:pt>
                <c:pt idx="28">
                  <c:v>0.90555555555555556</c:v>
                </c:pt>
                <c:pt idx="29">
                  <c:v>0.90555555555555556</c:v>
                </c:pt>
                <c:pt idx="30">
                  <c:v>0.90555555555555556</c:v>
                </c:pt>
                <c:pt idx="31">
                  <c:v>0.90555555555555556</c:v>
                </c:pt>
                <c:pt idx="32">
                  <c:v>0.90555555555555556</c:v>
                </c:pt>
                <c:pt idx="33">
                  <c:v>0.90555555555555556</c:v>
                </c:pt>
                <c:pt idx="34">
                  <c:v>0.90555555555555556</c:v>
                </c:pt>
                <c:pt idx="35">
                  <c:v>0.90555555555555556</c:v>
                </c:pt>
                <c:pt idx="36">
                  <c:v>0.90555555555555556</c:v>
                </c:pt>
                <c:pt idx="37">
                  <c:v>0.90555555555555556</c:v>
                </c:pt>
                <c:pt idx="38">
                  <c:v>0.90555555555555556</c:v>
                </c:pt>
                <c:pt idx="39">
                  <c:v>0.90555555555555556</c:v>
                </c:pt>
                <c:pt idx="40">
                  <c:v>0.90555555555555556</c:v>
                </c:pt>
                <c:pt idx="41">
                  <c:v>0.90555555555555556</c:v>
                </c:pt>
                <c:pt idx="42">
                  <c:v>0.90555555555555556</c:v>
                </c:pt>
                <c:pt idx="43">
                  <c:v>0.90555555555555556</c:v>
                </c:pt>
                <c:pt idx="44">
                  <c:v>0.90555555555555556</c:v>
                </c:pt>
                <c:pt idx="45">
                  <c:v>0.90555555555555556</c:v>
                </c:pt>
                <c:pt idx="46">
                  <c:v>0.90555555555555556</c:v>
                </c:pt>
                <c:pt idx="47">
                  <c:v>0.90555555555555556</c:v>
                </c:pt>
                <c:pt idx="48">
                  <c:v>0.90555555555555556</c:v>
                </c:pt>
                <c:pt idx="49">
                  <c:v>0.90555555555555556</c:v>
                </c:pt>
                <c:pt idx="50">
                  <c:v>0.90555555555555556</c:v>
                </c:pt>
                <c:pt idx="51">
                  <c:v>0.90555555555555556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1.0055555555555555</c:v>
                </c:pt>
                <c:pt idx="1">
                  <c:v>1.0055555555555555</c:v>
                </c:pt>
                <c:pt idx="2">
                  <c:v>1.0055555555555555</c:v>
                </c:pt>
                <c:pt idx="3">
                  <c:v>1.0055555555555555</c:v>
                </c:pt>
                <c:pt idx="4">
                  <c:v>1.0055555555555555</c:v>
                </c:pt>
                <c:pt idx="5">
                  <c:v>1.0055555555555555</c:v>
                </c:pt>
                <c:pt idx="6">
                  <c:v>1.0055555555555555</c:v>
                </c:pt>
                <c:pt idx="7">
                  <c:v>1.0055555555555555</c:v>
                </c:pt>
                <c:pt idx="8">
                  <c:v>1.0055555555555555</c:v>
                </c:pt>
                <c:pt idx="9">
                  <c:v>1.0055555555555555</c:v>
                </c:pt>
                <c:pt idx="10">
                  <c:v>1.0055555555555555</c:v>
                </c:pt>
                <c:pt idx="11">
                  <c:v>1.0055555555555555</c:v>
                </c:pt>
                <c:pt idx="12">
                  <c:v>1.0055555555555555</c:v>
                </c:pt>
                <c:pt idx="13">
                  <c:v>1.0055555555555555</c:v>
                </c:pt>
                <c:pt idx="14">
                  <c:v>1.0055555555555555</c:v>
                </c:pt>
                <c:pt idx="15">
                  <c:v>1.0055555555555555</c:v>
                </c:pt>
                <c:pt idx="16">
                  <c:v>1.0055555555555555</c:v>
                </c:pt>
                <c:pt idx="17">
                  <c:v>1.0055555555555555</c:v>
                </c:pt>
                <c:pt idx="18">
                  <c:v>1.0055555555555555</c:v>
                </c:pt>
                <c:pt idx="19">
                  <c:v>1.0055555555555555</c:v>
                </c:pt>
                <c:pt idx="20">
                  <c:v>1.0055555555555555</c:v>
                </c:pt>
                <c:pt idx="21">
                  <c:v>1.0055555555555555</c:v>
                </c:pt>
                <c:pt idx="22">
                  <c:v>1.0055555555555555</c:v>
                </c:pt>
                <c:pt idx="23">
                  <c:v>1.0055555555555555</c:v>
                </c:pt>
                <c:pt idx="24">
                  <c:v>1.0055555555555555</c:v>
                </c:pt>
                <c:pt idx="25">
                  <c:v>1.0055555555555555</c:v>
                </c:pt>
                <c:pt idx="26">
                  <c:v>1.0055555555555555</c:v>
                </c:pt>
                <c:pt idx="27">
                  <c:v>1.0055555555555555</c:v>
                </c:pt>
                <c:pt idx="28">
                  <c:v>1.0055555555555555</c:v>
                </c:pt>
                <c:pt idx="29">
                  <c:v>1.0055555555555555</c:v>
                </c:pt>
                <c:pt idx="30">
                  <c:v>1.0055555555555555</c:v>
                </c:pt>
                <c:pt idx="31">
                  <c:v>1.0055555555555555</c:v>
                </c:pt>
                <c:pt idx="32">
                  <c:v>1.0055555555555555</c:v>
                </c:pt>
                <c:pt idx="33">
                  <c:v>1.0055555555555555</c:v>
                </c:pt>
                <c:pt idx="34">
                  <c:v>1.0055555555555555</c:v>
                </c:pt>
                <c:pt idx="35">
                  <c:v>1.0055555555555555</c:v>
                </c:pt>
                <c:pt idx="36">
                  <c:v>1.0055555555555555</c:v>
                </c:pt>
                <c:pt idx="37">
                  <c:v>1.0055555555555555</c:v>
                </c:pt>
                <c:pt idx="38">
                  <c:v>1.0055555555555555</c:v>
                </c:pt>
                <c:pt idx="39">
                  <c:v>1.0055555555555555</c:v>
                </c:pt>
                <c:pt idx="40">
                  <c:v>1.0055555555555555</c:v>
                </c:pt>
                <c:pt idx="41">
                  <c:v>1.0055555555555555</c:v>
                </c:pt>
                <c:pt idx="42">
                  <c:v>1.0055555555555555</c:v>
                </c:pt>
                <c:pt idx="43">
                  <c:v>1.0055555555555555</c:v>
                </c:pt>
                <c:pt idx="44">
                  <c:v>1.0055555555555555</c:v>
                </c:pt>
                <c:pt idx="45">
                  <c:v>1.0055555555555555</c:v>
                </c:pt>
                <c:pt idx="46">
                  <c:v>1.0055555555555555</c:v>
                </c:pt>
                <c:pt idx="47">
                  <c:v>1.0055555555555555</c:v>
                </c:pt>
                <c:pt idx="48">
                  <c:v>1.0055555555555555</c:v>
                </c:pt>
                <c:pt idx="49">
                  <c:v>1.0055555555555555</c:v>
                </c:pt>
                <c:pt idx="50">
                  <c:v>1.0055555555555555</c:v>
                </c:pt>
                <c:pt idx="51">
                  <c:v>1.0055555555555555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1.1055555555555556</c:v>
                </c:pt>
                <c:pt idx="1">
                  <c:v>1.1055555555555556</c:v>
                </c:pt>
                <c:pt idx="2">
                  <c:v>1.1055555555555556</c:v>
                </c:pt>
                <c:pt idx="3">
                  <c:v>1.1055555555555556</c:v>
                </c:pt>
                <c:pt idx="4">
                  <c:v>1.1055555555555556</c:v>
                </c:pt>
                <c:pt idx="5">
                  <c:v>1.1055555555555556</c:v>
                </c:pt>
                <c:pt idx="6">
                  <c:v>1.1055555555555556</c:v>
                </c:pt>
                <c:pt idx="7">
                  <c:v>1.1055555555555556</c:v>
                </c:pt>
                <c:pt idx="8">
                  <c:v>1.1055555555555556</c:v>
                </c:pt>
                <c:pt idx="9">
                  <c:v>1.1055555555555556</c:v>
                </c:pt>
                <c:pt idx="10">
                  <c:v>1.1055555555555556</c:v>
                </c:pt>
                <c:pt idx="11">
                  <c:v>1.1055555555555556</c:v>
                </c:pt>
                <c:pt idx="12">
                  <c:v>1.1055555555555556</c:v>
                </c:pt>
                <c:pt idx="13">
                  <c:v>1.1055555555555556</c:v>
                </c:pt>
                <c:pt idx="14">
                  <c:v>1.1055555555555556</c:v>
                </c:pt>
                <c:pt idx="15">
                  <c:v>1.1055555555555556</c:v>
                </c:pt>
                <c:pt idx="16">
                  <c:v>1.1055555555555556</c:v>
                </c:pt>
                <c:pt idx="17">
                  <c:v>1.1055555555555556</c:v>
                </c:pt>
                <c:pt idx="18">
                  <c:v>1.1055555555555556</c:v>
                </c:pt>
                <c:pt idx="19">
                  <c:v>1.1055555555555556</c:v>
                </c:pt>
                <c:pt idx="20">
                  <c:v>1.1055555555555556</c:v>
                </c:pt>
                <c:pt idx="21">
                  <c:v>1.1055555555555556</c:v>
                </c:pt>
                <c:pt idx="22">
                  <c:v>1.1055555555555556</c:v>
                </c:pt>
                <c:pt idx="23">
                  <c:v>1.1055555555555556</c:v>
                </c:pt>
                <c:pt idx="24">
                  <c:v>1.1055555555555556</c:v>
                </c:pt>
                <c:pt idx="25">
                  <c:v>1.1055555555555556</c:v>
                </c:pt>
                <c:pt idx="26">
                  <c:v>1.1055555555555556</c:v>
                </c:pt>
                <c:pt idx="27">
                  <c:v>1.1055555555555556</c:v>
                </c:pt>
                <c:pt idx="28">
                  <c:v>1.1055555555555556</c:v>
                </c:pt>
                <c:pt idx="29">
                  <c:v>1.1055555555555556</c:v>
                </c:pt>
                <c:pt idx="30">
                  <c:v>1.1055555555555556</c:v>
                </c:pt>
                <c:pt idx="31">
                  <c:v>1.1055555555555556</c:v>
                </c:pt>
                <c:pt idx="32">
                  <c:v>1.1055555555555556</c:v>
                </c:pt>
                <c:pt idx="33">
                  <c:v>1.1055555555555556</c:v>
                </c:pt>
                <c:pt idx="34">
                  <c:v>1.1055555555555556</c:v>
                </c:pt>
                <c:pt idx="35">
                  <c:v>1.1055555555555556</c:v>
                </c:pt>
                <c:pt idx="36">
                  <c:v>1.1055555555555556</c:v>
                </c:pt>
                <c:pt idx="37">
                  <c:v>1.1055555555555556</c:v>
                </c:pt>
                <c:pt idx="38">
                  <c:v>1.1055555555555556</c:v>
                </c:pt>
                <c:pt idx="39">
                  <c:v>1.1055555555555556</c:v>
                </c:pt>
                <c:pt idx="40">
                  <c:v>1.1055555555555556</c:v>
                </c:pt>
                <c:pt idx="41">
                  <c:v>1.1055555555555556</c:v>
                </c:pt>
                <c:pt idx="42">
                  <c:v>1.1055555555555556</c:v>
                </c:pt>
                <c:pt idx="43">
                  <c:v>1.1055555555555556</c:v>
                </c:pt>
                <c:pt idx="44">
                  <c:v>1.1055555555555556</c:v>
                </c:pt>
                <c:pt idx="45">
                  <c:v>1.1055555555555556</c:v>
                </c:pt>
                <c:pt idx="46">
                  <c:v>1.1055555555555556</c:v>
                </c:pt>
                <c:pt idx="47">
                  <c:v>1.1055555555555556</c:v>
                </c:pt>
                <c:pt idx="48">
                  <c:v>1.1055555555555556</c:v>
                </c:pt>
                <c:pt idx="49">
                  <c:v>1.1055555555555556</c:v>
                </c:pt>
                <c:pt idx="50">
                  <c:v>1.1055555555555556</c:v>
                </c:pt>
                <c:pt idx="51">
                  <c:v>1.1055555555555556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1.2055555555555555</c:v>
                </c:pt>
                <c:pt idx="1">
                  <c:v>1.2055555555555555</c:v>
                </c:pt>
                <c:pt idx="2">
                  <c:v>1.2055555555555555</c:v>
                </c:pt>
                <c:pt idx="3">
                  <c:v>1.2055555555555555</c:v>
                </c:pt>
                <c:pt idx="4">
                  <c:v>1.2055555555555555</c:v>
                </c:pt>
                <c:pt idx="5">
                  <c:v>1.2055555555555555</c:v>
                </c:pt>
                <c:pt idx="6">
                  <c:v>1.2055555555555555</c:v>
                </c:pt>
                <c:pt idx="7">
                  <c:v>1.2055555555555555</c:v>
                </c:pt>
                <c:pt idx="8">
                  <c:v>1.2055555555555555</c:v>
                </c:pt>
                <c:pt idx="9">
                  <c:v>1.2055555555555555</c:v>
                </c:pt>
                <c:pt idx="10">
                  <c:v>1.2055555555555555</c:v>
                </c:pt>
                <c:pt idx="11">
                  <c:v>1.2055555555555555</c:v>
                </c:pt>
                <c:pt idx="12">
                  <c:v>1.2055555555555555</c:v>
                </c:pt>
                <c:pt idx="13">
                  <c:v>1.2055555555555555</c:v>
                </c:pt>
                <c:pt idx="14">
                  <c:v>1.2055555555555555</c:v>
                </c:pt>
                <c:pt idx="15">
                  <c:v>1.2055555555555555</c:v>
                </c:pt>
                <c:pt idx="16">
                  <c:v>1.2055555555555555</c:v>
                </c:pt>
                <c:pt idx="17">
                  <c:v>1.2055555555555555</c:v>
                </c:pt>
                <c:pt idx="18">
                  <c:v>1.2055555555555555</c:v>
                </c:pt>
                <c:pt idx="19">
                  <c:v>1.2055555555555555</c:v>
                </c:pt>
                <c:pt idx="20">
                  <c:v>1.2055555555555555</c:v>
                </c:pt>
                <c:pt idx="21">
                  <c:v>1.2055555555555555</c:v>
                </c:pt>
                <c:pt idx="22">
                  <c:v>1.2055555555555555</c:v>
                </c:pt>
                <c:pt idx="23">
                  <c:v>1.2055555555555555</c:v>
                </c:pt>
                <c:pt idx="24">
                  <c:v>1.2055555555555555</c:v>
                </c:pt>
                <c:pt idx="25">
                  <c:v>1.2055555555555555</c:v>
                </c:pt>
                <c:pt idx="26">
                  <c:v>1.2055555555555555</c:v>
                </c:pt>
                <c:pt idx="27">
                  <c:v>1.2055555555555555</c:v>
                </c:pt>
                <c:pt idx="28">
                  <c:v>1.2055555555555555</c:v>
                </c:pt>
                <c:pt idx="29">
                  <c:v>1.2055555555555555</c:v>
                </c:pt>
                <c:pt idx="30">
                  <c:v>1.2055555555555555</c:v>
                </c:pt>
                <c:pt idx="31">
                  <c:v>1.2055555555555555</c:v>
                </c:pt>
                <c:pt idx="32">
                  <c:v>1.2055555555555555</c:v>
                </c:pt>
                <c:pt idx="33">
                  <c:v>1.2055555555555555</c:v>
                </c:pt>
                <c:pt idx="34">
                  <c:v>1.2055555555555555</c:v>
                </c:pt>
                <c:pt idx="35">
                  <c:v>1.2055555555555555</c:v>
                </c:pt>
                <c:pt idx="36">
                  <c:v>1.2055555555555555</c:v>
                </c:pt>
                <c:pt idx="37">
                  <c:v>1.2055555555555555</c:v>
                </c:pt>
                <c:pt idx="38">
                  <c:v>1.2055555555555555</c:v>
                </c:pt>
                <c:pt idx="39">
                  <c:v>1.2055555555555555</c:v>
                </c:pt>
                <c:pt idx="40">
                  <c:v>1.2055555555555555</c:v>
                </c:pt>
                <c:pt idx="41">
                  <c:v>1.2055555555555555</c:v>
                </c:pt>
                <c:pt idx="42">
                  <c:v>1.2055555555555555</c:v>
                </c:pt>
                <c:pt idx="43">
                  <c:v>1.2055555555555555</c:v>
                </c:pt>
                <c:pt idx="44">
                  <c:v>1.2055555555555555</c:v>
                </c:pt>
                <c:pt idx="45">
                  <c:v>1.2055555555555555</c:v>
                </c:pt>
                <c:pt idx="46">
                  <c:v>1.2055555555555555</c:v>
                </c:pt>
                <c:pt idx="47">
                  <c:v>1.2055555555555555</c:v>
                </c:pt>
                <c:pt idx="48">
                  <c:v>1.2055555555555555</c:v>
                </c:pt>
                <c:pt idx="49">
                  <c:v>1.2055555555555555</c:v>
                </c:pt>
                <c:pt idx="50">
                  <c:v>1.2055555555555555</c:v>
                </c:pt>
                <c:pt idx="51">
                  <c:v>1.2055555555555555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1.3055555555555556</c:v>
                </c:pt>
                <c:pt idx="1">
                  <c:v>1.3055555555555556</c:v>
                </c:pt>
                <c:pt idx="2">
                  <c:v>1.3055555555555556</c:v>
                </c:pt>
                <c:pt idx="3">
                  <c:v>1.3055555555555556</c:v>
                </c:pt>
                <c:pt idx="4">
                  <c:v>1.3055555555555556</c:v>
                </c:pt>
                <c:pt idx="5">
                  <c:v>1.3055555555555556</c:v>
                </c:pt>
                <c:pt idx="6">
                  <c:v>1.3055555555555556</c:v>
                </c:pt>
                <c:pt idx="7">
                  <c:v>1.3055555555555556</c:v>
                </c:pt>
                <c:pt idx="8">
                  <c:v>1.3055555555555556</c:v>
                </c:pt>
                <c:pt idx="9">
                  <c:v>1.3055555555555556</c:v>
                </c:pt>
                <c:pt idx="10">
                  <c:v>1.3055555555555556</c:v>
                </c:pt>
                <c:pt idx="11">
                  <c:v>1.3055555555555556</c:v>
                </c:pt>
                <c:pt idx="12">
                  <c:v>1.3055555555555556</c:v>
                </c:pt>
                <c:pt idx="13">
                  <c:v>1.3055555555555556</c:v>
                </c:pt>
                <c:pt idx="14">
                  <c:v>1.3055555555555556</c:v>
                </c:pt>
                <c:pt idx="15">
                  <c:v>1.3055555555555556</c:v>
                </c:pt>
                <c:pt idx="16">
                  <c:v>1.3055555555555556</c:v>
                </c:pt>
                <c:pt idx="17">
                  <c:v>1.3055555555555556</c:v>
                </c:pt>
                <c:pt idx="18">
                  <c:v>1.3055555555555556</c:v>
                </c:pt>
                <c:pt idx="19">
                  <c:v>1.3055555555555556</c:v>
                </c:pt>
                <c:pt idx="20">
                  <c:v>1.3055555555555556</c:v>
                </c:pt>
                <c:pt idx="21">
                  <c:v>1.3055555555555556</c:v>
                </c:pt>
                <c:pt idx="22">
                  <c:v>1.3055555555555556</c:v>
                </c:pt>
                <c:pt idx="23">
                  <c:v>1.3055555555555556</c:v>
                </c:pt>
                <c:pt idx="24">
                  <c:v>1.3055555555555556</c:v>
                </c:pt>
                <c:pt idx="25">
                  <c:v>1.3055555555555556</c:v>
                </c:pt>
                <c:pt idx="26">
                  <c:v>1.3055555555555556</c:v>
                </c:pt>
                <c:pt idx="27">
                  <c:v>1.3055555555555556</c:v>
                </c:pt>
                <c:pt idx="28">
                  <c:v>1.3055555555555556</c:v>
                </c:pt>
                <c:pt idx="29">
                  <c:v>1.3055555555555556</c:v>
                </c:pt>
                <c:pt idx="30">
                  <c:v>1.3055555555555556</c:v>
                </c:pt>
                <c:pt idx="31">
                  <c:v>1.3055555555555556</c:v>
                </c:pt>
                <c:pt idx="32">
                  <c:v>1.3055555555555556</c:v>
                </c:pt>
                <c:pt idx="33">
                  <c:v>1.3055555555555556</c:v>
                </c:pt>
                <c:pt idx="34">
                  <c:v>1.3055555555555556</c:v>
                </c:pt>
                <c:pt idx="35">
                  <c:v>1.3055555555555556</c:v>
                </c:pt>
                <c:pt idx="36">
                  <c:v>1.3055555555555556</c:v>
                </c:pt>
                <c:pt idx="37">
                  <c:v>1.3055555555555556</c:v>
                </c:pt>
                <c:pt idx="38">
                  <c:v>1.3055555555555556</c:v>
                </c:pt>
                <c:pt idx="39">
                  <c:v>1.3055555555555556</c:v>
                </c:pt>
                <c:pt idx="40">
                  <c:v>1.3055555555555556</c:v>
                </c:pt>
                <c:pt idx="41">
                  <c:v>1.3055555555555556</c:v>
                </c:pt>
                <c:pt idx="42">
                  <c:v>1.3055555555555556</c:v>
                </c:pt>
                <c:pt idx="43">
                  <c:v>1.3055555555555556</c:v>
                </c:pt>
                <c:pt idx="44">
                  <c:v>1.3055555555555556</c:v>
                </c:pt>
                <c:pt idx="45">
                  <c:v>1.3055555555555556</c:v>
                </c:pt>
                <c:pt idx="46">
                  <c:v>1.3055555555555556</c:v>
                </c:pt>
                <c:pt idx="47">
                  <c:v>1.3055555555555556</c:v>
                </c:pt>
                <c:pt idx="48">
                  <c:v>1.3055555555555556</c:v>
                </c:pt>
                <c:pt idx="49">
                  <c:v>1.3055555555555556</c:v>
                </c:pt>
                <c:pt idx="50">
                  <c:v>1.3055555555555556</c:v>
                </c:pt>
                <c:pt idx="51">
                  <c:v>1.3055555555555556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1.05</c:v>
                </c:pt>
                <c:pt idx="1">
                  <c:v>0.96</c:v>
                </c:pt>
                <c:pt idx="2">
                  <c:v>0.98</c:v>
                </c:pt>
                <c:pt idx="3">
                  <c:v>0.99</c:v>
                </c:pt>
                <c:pt idx="4">
                  <c:v>0.96</c:v>
                </c:pt>
                <c:pt idx="5">
                  <c:v>1.06</c:v>
                </c:pt>
                <c:pt idx="6">
                  <c:v>1.05</c:v>
                </c:pt>
                <c:pt idx="7">
                  <c:v>1.05</c:v>
                </c:pt>
                <c:pt idx="8">
                  <c:v>1.01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1.02</c:v>
                </c:pt>
                <c:pt idx="16">
                  <c:v>1.1200000000000001</c:v>
                </c:pt>
                <c:pt idx="17">
                  <c:v>1.02</c:v>
                </c:pt>
                <c:pt idx="18">
                  <c:v>1.1000000000000001</c:v>
                </c:pt>
                <c:pt idx="19">
                  <c:v>0.96</c:v>
                </c:pt>
                <c:pt idx="20">
                  <c:v>0.99</c:v>
                </c:pt>
                <c:pt idx="21">
                  <c:v>0.97</c:v>
                </c:pt>
                <c:pt idx="22">
                  <c:v>1.01</c:v>
                </c:pt>
                <c:pt idx="23">
                  <c:v>1.1100000000000001</c:v>
                </c:pt>
                <c:pt idx="24">
                  <c:v>1.05</c:v>
                </c:pt>
                <c:pt idx="25">
                  <c:v>0.99</c:v>
                </c:pt>
                <c:pt idx="26">
                  <c:v>0.95</c:v>
                </c:pt>
                <c:pt idx="27">
                  <c:v>0.97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1.01</c:v>
                </c:pt>
                <c:pt idx="36">
                  <c:v>0.94</c:v>
                </c:pt>
                <c:pt idx="37">
                  <c:v>0.99</c:v>
                </c:pt>
                <c:pt idx="38">
                  <c:v>0.93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1.01</c:v>
                </c:pt>
                <c:pt idx="50">
                  <c:v>0.94</c:v>
                </c:pt>
                <c:pt idx="51">
                  <c:v>0.98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0.98</c:v>
                </c:pt>
                <c:pt idx="13">
                  <c:v>0.98</c:v>
                </c:pt>
                <c:pt idx="14">
                  <c:v>0.99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0.98</c:v>
                </c:pt>
                <c:pt idx="29">
                  <c:v>0.95</c:v>
                </c:pt>
                <c:pt idx="30">
                  <c:v>0.97</c:v>
                </c:pt>
                <c:pt idx="31">
                  <c:v>1</c:v>
                </c:pt>
                <c:pt idx="32">
                  <c:v>0.98</c:v>
                </c:pt>
                <c:pt idx="33">
                  <c:v>0.99</c:v>
                </c:pt>
                <c:pt idx="34">
                  <c:v>0.98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0.95</c:v>
                </c:pt>
                <c:pt idx="40">
                  <c:v>0.93</c:v>
                </c:pt>
                <c:pt idx="41">
                  <c:v>0.94</c:v>
                </c:pt>
                <c:pt idx="42">
                  <c:v>0.99</c:v>
                </c:pt>
                <c:pt idx="43">
                  <c:v>0.95</c:v>
                </c:pt>
                <c:pt idx="44">
                  <c:v>0.96</c:v>
                </c:pt>
                <c:pt idx="45">
                  <c:v>0.95</c:v>
                </c:pt>
                <c:pt idx="46">
                  <c:v>0.98</c:v>
                </c:pt>
                <c:pt idx="47">
                  <c:v>0.95</c:v>
                </c:pt>
                <c:pt idx="48">
                  <c:v>0.97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355555555555556"/>
          <c:min val="0.6755555555555554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1.3105156470990063E-2"/>
          <c:y val="6.8595679012345673E-2"/>
          <c:w val="0.90834678158428273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3.3233333333333328</c:v>
                </c:pt>
                <c:pt idx="1">
                  <c:v>3.3233333333333328</c:v>
                </c:pt>
                <c:pt idx="2">
                  <c:v>3.3233333333333328</c:v>
                </c:pt>
                <c:pt idx="3">
                  <c:v>3.3233333333333328</c:v>
                </c:pt>
                <c:pt idx="4">
                  <c:v>3.3233333333333328</c:v>
                </c:pt>
                <c:pt idx="5">
                  <c:v>3.3233333333333328</c:v>
                </c:pt>
                <c:pt idx="6">
                  <c:v>3.3233333333333328</c:v>
                </c:pt>
                <c:pt idx="7">
                  <c:v>3.3233333333333328</c:v>
                </c:pt>
                <c:pt idx="8">
                  <c:v>3.3233333333333328</c:v>
                </c:pt>
                <c:pt idx="9">
                  <c:v>3.3233333333333328</c:v>
                </c:pt>
                <c:pt idx="10">
                  <c:v>3.3233333333333328</c:v>
                </c:pt>
                <c:pt idx="11">
                  <c:v>3.3233333333333328</c:v>
                </c:pt>
                <c:pt idx="12">
                  <c:v>3.3233333333333328</c:v>
                </c:pt>
                <c:pt idx="13">
                  <c:v>3.3233333333333328</c:v>
                </c:pt>
                <c:pt idx="14">
                  <c:v>3.3233333333333328</c:v>
                </c:pt>
                <c:pt idx="15">
                  <c:v>3.3233333333333328</c:v>
                </c:pt>
                <c:pt idx="16">
                  <c:v>3.3233333333333328</c:v>
                </c:pt>
                <c:pt idx="17">
                  <c:v>3.3233333333333328</c:v>
                </c:pt>
                <c:pt idx="18">
                  <c:v>3.3233333333333328</c:v>
                </c:pt>
                <c:pt idx="19">
                  <c:v>3.3233333333333328</c:v>
                </c:pt>
                <c:pt idx="20">
                  <c:v>3.3233333333333328</c:v>
                </c:pt>
                <c:pt idx="21">
                  <c:v>3.3233333333333328</c:v>
                </c:pt>
                <c:pt idx="22">
                  <c:v>3.3233333333333328</c:v>
                </c:pt>
                <c:pt idx="23">
                  <c:v>3.3233333333333328</c:v>
                </c:pt>
                <c:pt idx="24">
                  <c:v>3.3233333333333328</c:v>
                </c:pt>
                <c:pt idx="25">
                  <c:v>3.3233333333333328</c:v>
                </c:pt>
                <c:pt idx="26">
                  <c:v>3.3233333333333328</c:v>
                </c:pt>
                <c:pt idx="27">
                  <c:v>3.3233333333333328</c:v>
                </c:pt>
                <c:pt idx="28">
                  <c:v>3.3233333333333328</c:v>
                </c:pt>
                <c:pt idx="29">
                  <c:v>3.3233333333333328</c:v>
                </c:pt>
                <c:pt idx="30">
                  <c:v>3.3233333333333328</c:v>
                </c:pt>
                <c:pt idx="31">
                  <c:v>3.3233333333333328</c:v>
                </c:pt>
                <c:pt idx="32">
                  <c:v>3.3233333333333328</c:v>
                </c:pt>
                <c:pt idx="33">
                  <c:v>3.3233333333333328</c:v>
                </c:pt>
                <c:pt idx="34">
                  <c:v>3.3233333333333328</c:v>
                </c:pt>
                <c:pt idx="35">
                  <c:v>3.3233333333333328</c:v>
                </c:pt>
                <c:pt idx="36">
                  <c:v>3.3233333333333328</c:v>
                </c:pt>
                <c:pt idx="37">
                  <c:v>3.3233333333333328</c:v>
                </c:pt>
                <c:pt idx="38">
                  <c:v>3.3233333333333328</c:v>
                </c:pt>
                <c:pt idx="39">
                  <c:v>3.3233333333333328</c:v>
                </c:pt>
                <c:pt idx="40">
                  <c:v>3.3233333333333328</c:v>
                </c:pt>
                <c:pt idx="41">
                  <c:v>3.3233333333333328</c:v>
                </c:pt>
                <c:pt idx="42">
                  <c:v>3.3233333333333328</c:v>
                </c:pt>
                <c:pt idx="43">
                  <c:v>3.3233333333333328</c:v>
                </c:pt>
                <c:pt idx="44">
                  <c:v>3.3233333333333328</c:v>
                </c:pt>
                <c:pt idx="45">
                  <c:v>3.3233333333333328</c:v>
                </c:pt>
                <c:pt idx="46">
                  <c:v>3.3233333333333328</c:v>
                </c:pt>
                <c:pt idx="47">
                  <c:v>3.3233333333333328</c:v>
                </c:pt>
                <c:pt idx="48">
                  <c:v>3.3233333333333328</c:v>
                </c:pt>
                <c:pt idx="49">
                  <c:v>3.3233333333333328</c:v>
                </c:pt>
                <c:pt idx="50">
                  <c:v>3.3233333333333328</c:v>
                </c:pt>
                <c:pt idx="51">
                  <c:v>3.3233333333333328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3.503333333333333</c:v>
                </c:pt>
                <c:pt idx="1">
                  <c:v>3.503333333333333</c:v>
                </c:pt>
                <c:pt idx="2">
                  <c:v>3.503333333333333</c:v>
                </c:pt>
                <c:pt idx="3">
                  <c:v>3.503333333333333</c:v>
                </c:pt>
                <c:pt idx="4">
                  <c:v>3.503333333333333</c:v>
                </c:pt>
                <c:pt idx="5">
                  <c:v>3.503333333333333</c:v>
                </c:pt>
                <c:pt idx="6">
                  <c:v>3.503333333333333</c:v>
                </c:pt>
                <c:pt idx="7">
                  <c:v>3.503333333333333</c:v>
                </c:pt>
                <c:pt idx="8">
                  <c:v>3.503333333333333</c:v>
                </c:pt>
                <c:pt idx="9">
                  <c:v>3.503333333333333</c:v>
                </c:pt>
                <c:pt idx="10">
                  <c:v>3.503333333333333</c:v>
                </c:pt>
                <c:pt idx="11">
                  <c:v>3.503333333333333</c:v>
                </c:pt>
                <c:pt idx="12">
                  <c:v>3.503333333333333</c:v>
                </c:pt>
                <c:pt idx="13">
                  <c:v>3.503333333333333</c:v>
                </c:pt>
                <c:pt idx="14">
                  <c:v>3.503333333333333</c:v>
                </c:pt>
                <c:pt idx="15">
                  <c:v>3.503333333333333</c:v>
                </c:pt>
                <c:pt idx="16">
                  <c:v>3.503333333333333</c:v>
                </c:pt>
                <c:pt idx="17">
                  <c:v>3.503333333333333</c:v>
                </c:pt>
                <c:pt idx="18">
                  <c:v>3.503333333333333</c:v>
                </c:pt>
                <c:pt idx="19">
                  <c:v>3.503333333333333</c:v>
                </c:pt>
                <c:pt idx="20">
                  <c:v>3.503333333333333</c:v>
                </c:pt>
                <c:pt idx="21">
                  <c:v>3.503333333333333</c:v>
                </c:pt>
                <c:pt idx="22">
                  <c:v>3.503333333333333</c:v>
                </c:pt>
                <c:pt idx="23">
                  <c:v>3.503333333333333</c:v>
                </c:pt>
                <c:pt idx="24">
                  <c:v>3.503333333333333</c:v>
                </c:pt>
                <c:pt idx="25">
                  <c:v>3.503333333333333</c:v>
                </c:pt>
                <c:pt idx="26">
                  <c:v>3.503333333333333</c:v>
                </c:pt>
                <c:pt idx="27">
                  <c:v>3.503333333333333</c:v>
                </c:pt>
                <c:pt idx="28">
                  <c:v>3.503333333333333</c:v>
                </c:pt>
                <c:pt idx="29">
                  <c:v>3.503333333333333</c:v>
                </c:pt>
                <c:pt idx="30">
                  <c:v>3.503333333333333</c:v>
                </c:pt>
                <c:pt idx="31">
                  <c:v>3.503333333333333</c:v>
                </c:pt>
                <c:pt idx="32">
                  <c:v>3.503333333333333</c:v>
                </c:pt>
                <c:pt idx="33">
                  <c:v>3.503333333333333</c:v>
                </c:pt>
                <c:pt idx="34">
                  <c:v>3.503333333333333</c:v>
                </c:pt>
                <c:pt idx="35">
                  <c:v>3.503333333333333</c:v>
                </c:pt>
                <c:pt idx="36">
                  <c:v>3.503333333333333</c:v>
                </c:pt>
                <c:pt idx="37">
                  <c:v>3.503333333333333</c:v>
                </c:pt>
                <c:pt idx="38">
                  <c:v>3.503333333333333</c:v>
                </c:pt>
                <c:pt idx="39">
                  <c:v>3.503333333333333</c:v>
                </c:pt>
                <c:pt idx="40">
                  <c:v>3.503333333333333</c:v>
                </c:pt>
                <c:pt idx="41">
                  <c:v>3.503333333333333</c:v>
                </c:pt>
                <c:pt idx="42">
                  <c:v>3.503333333333333</c:v>
                </c:pt>
                <c:pt idx="43">
                  <c:v>3.503333333333333</c:v>
                </c:pt>
                <c:pt idx="44">
                  <c:v>3.503333333333333</c:v>
                </c:pt>
                <c:pt idx="45">
                  <c:v>3.503333333333333</c:v>
                </c:pt>
                <c:pt idx="46">
                  <c:v>3.503333333333333</c:v>
                </c:pt>
                <c:pt idx="47">
                  <c:v>3.503333333333333</c:v>
                </c:pt>
                <c:pt idx="48">
                  <c:v>3.503333333333333</c:v>
                </c:pt>
                <c:pt idx="49">
                  <c:v>3.503333333333333</c:v>
                </c:pt>
                <c:pt idx="50">
                  <c:v>3.503333333333333</c:v>
                </c:pt>
                <c:pt idx="51">
                  <c:v>3.503333333333333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3.6833333333333327</c:v>
                </c:pt>
                <c:pt idx="1">
                  <c:v>3.6833333333333327</c:v>
                </c:pt>
                <c:pt idx="2">
                  <c:v>3.6833333333333327</c:v>
                </c:pt>
                <c:pt idx="3">
                  <c:v>3.6833333333333327</c:v>
                </c:pt>
                <c:pt idx="4">
                  <c:v>3.6833333333333327</c:v>
                </c:pt>
                <c:pt idx="5">
                  <c:v>3.6833333333333327</c:v>
                </c:pt>
                <c:pt idx="6">
                  <c:v>3.6833333333333327</c:v>
                </c:pt>
                <c:pt idx="7">
                  <c:v>3.6833333333333327</c:v>
                </c:pt>
                <c:pt idx="8">
                  <c:v>3.6833333333333327</c:v>
                </c:pt>
                <c:pt idx="9">
                  <c:v>3.6833333333333327</c:v>
                </c:pt>
                <c:pt idx="10">
                  <c:v>3.6833333333333327</c:v>
                </c:pt>
                <c:pt idx="11">
                  <c:v>3.6833333333333327</c:v>
                </c:pt>
                <c:pt idx="12">
                  <c:v>3.6833333333333327</c:v>
                </c:pt>
                <c:pt idx="13">
                  <c:v>3.6833333333333327</c:v>
                </c:pt>
                <c:pt idx="14">
                  <c:v>3.6833333333333327</c:v>
                </c:pt>
                <c:pt idx="15">
                  <c:v>3.6833333333333327</c:v>
                </c:pt>
                <c:pt idx="16">
                  <c:v>3.6833333333333327</c:v>
                </c:pt>
                <c:pt idx="17">
                  <c:v>3.6833333333333327</c:v>
                </c:pt>
                <c:pt idx="18">
                  <c:v>3.6833333333333327</c:v>
                </c:pt>
                <c:pt idx="19">
                  <c:v>3.6833333333333327</c:v>
                </c:pt>
                <c:pt idx="20">
                  <c:v>3.6833333333333327</c:v>
                </c:pt>
                <c:pt idx="21">
                  <c:v>3.6833333333333327</c:v>
                </c:pt>
                <c:pt idx="22">
                  <c:v>3.6833333333333327</c:v>
                </c:pt>
                <c:pt idx="23">
                  <c:v>3.6833333333333327</c:v>
                </c:pt>
                <c:pt idx="24">
                  <c:v>3.6833333333333327</c:v>
                </c:pt>
                <c:pt idx="25">
                  <c:v>3.6833333333333327</c:v>
                </c:pt>
                <c:pt idx="26">
                  <c:v>3.6833333333333327</c:v>
                </c:pt>
                <c:pt idx="27">
                  <c:v>3.6833333333333327</c:v>
                </c:pt>
                <c:pt idx="28">
                  <c:v>3.6833333333333327</c:v>
                </c:pt>
                <c:pt idx="29">
                  <c:v>3.6833333333333327</c:v>
                </c:pt>
                <c:pt idx="30">
                  <c:v>3.6833333333333327</c:v>
                </c:pt>
                <c:pt idx="31">
                  <c:v>3.6833333333333327</c:v>
                </c:pt>
                <c:pt idx="32">
                  <c:v>3.6833333333333327</c:v>
                </c:pt>
                <c:pt idx="33">
                  <c:v>3.6833333333333327</c:v>
                </c:pt>
                <c:pt idx="34">
                  <c:v>3.6833333333333327</c:v>
                </c:pt>
                <c:pt idx="35">
                  <c:v>3.6833333333333327</c:v>
                </c:pt>
                <c:pt idx="36">
                  <c:v>3.6833333333333327</c:v>
                </c:pt>
                <c:pt idx="37">
                  <c:v>3.6833333333333327</c:v>
                </c:pt>
                <c:pt idx="38">
                  <c:v>3.6833333333333327</c:v>
                </c:pt>
                <c:pt idx="39">
                  <c:v>3.6833333333333327</c:v>
                </c:pt>
                <c:pt idx="40">
                  <c:v>3.6833333333333327</c:v>
                </c:pt>
                <c:pt idx="41">
                  <c:v>3.6833333333333327</c:v>
                </c:pt>
                <c:pt idx="42">
                  <c:v>3.6833333333333327</c:v>
                </c:pt>
                <c:pt idx="43">
                  <c:v>3.6833333333333327</c:v>
                </c:pt>
                <c:pt idx="44">
                  <c:v>3.6833333333333327</c:v>
                </c:pt>
                <c:pt idx="45">
                  <c:v>3.6833333333333327</c:v>
                </c:pt>
                <c:pt idx="46">
                  <c:v>3.6833333333333327</c:v>
                </c:pt>
                <c:pt idx="47">
                  <c:v>3.6833333333333327</c:v>
                </c:pt>
                <c:pt idx="48">
                  <c:v>3.6833333333333327</c:v>
                </c:pt>
                <c:pt idx="49">
                  <c:v>3.6833333333333327</c:v>
                </c:pt>
                <c:pt idx="50">
                  <c:v>3.6833333333333327</c:v>
                </c:pt>
                <c:pt idx="51">
                  <c:v>3.6833333333333327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3.8633333333333328</c:v>
                </c:pt>
                <c:pt idx="1">
                  <c:v>3.8633333333333328</c:v>
                </c:pt>
                <c:pt idx="2">
                  <c:v>3.8633333333333328</c:v>
                </c:pt>
                <c:pt idx="3">
                  <c:v>3.8633333333333328</c:v>
                </c:pt>
                <c:pt idx="4">
                  <c:v>3.8633333333333328</c:v>
                </c:pt>
                <c:pt idx="5">
                  <c:v>3.8633333333333328</c:v>
                </c:pt>
                <c:pt idx="6">
                  <c:v>3.8633333333333328</c:v>
                </c:pt>
                <c:pt idx="7">
                  <c:v>3.8633333333333328</c:v>
                </c:pt>
                <c:pt idx="8">
                  <c:v>3.8633333333333328</c:v>
                </c:pt>
                <c:pt idx="9">
                  <c:v>3.8633333333333328</c:v>
                </c:pt>
                <c:pt idx="10">
                  <c:v>3.8633333333333328</c:v>
                </c:pt>
                <c:pt idx="11">
                  <c:v>3.8633333333333328</c:v>
                </c:pt>
                <c:pt idx="12">
                  <c:v>3.8633333333333328</c:v>
                </c:pt>
                <c:pt idx="13">
                  <c:v>3.8633333333333328</c:v>
                </c:pt>
                <c:pt idx="14">
                  <c:v>3.8633333333333328</c:v>
                </c:pt>
                <c:pt idx="15">
                  <c:v>3.8633333333333328</c:v>
                </c:pt>
                <c:pt idx="16">
                  <c:v>3.8633333333333328</c:v>
                </c:pt>
                <c:pt idx="17">
                  <c:v>3.8633333333333328</c:v>
                </c:pt>
                <c:pt idx="18">
                  <c:v>3.8633333333333328</c:v>
                </c:pt>
                <c:pt idx="19">
                  <c:v>3.8633333333333328</c:v>
                </c:pt>
                <c:pt idx="20">
                  <c:v>3.8633333333333328</c:v>
                </c:pt>
                <c:pt idx="21">
                  <c:v>3.8633333333333328</c:v>
                </c:pt>
                <c:pt idx="22">
                  <c:v>3.8633333333333328</c:v>
                </c:pt>
                <c:pt idx="23">
                  <c:v>3.8633333333333328</c:v>
                </c:pt>
                <c:pt idx="24">
                  <c:v>3.8633333333333328</c:v>
                </c:pt>
                <c:pt idx="25">
                  <c:v>3.8633333333333328</c:v>
                </c:pt>
                <c:pt idx="26">
                  <c:v>3.8633333333333328</c:v>
                </c:pt>
                <c:pt idx="27">
                  <c:v>3.8633333333333328</c:v>
                </c:pt>
                <c:pt idx="28">
                  <c:v>3.8633333333333328</c:v>
                </c:pt>
                <c:pt idx="29">
                  <c:v>3.8633333333333328</c:v>
                </c:pt>
                <c:pt idx="30">
                  <c:v>3.8633333333333328</c:v>
                </c:pt>
                <c:pt idx="31">
                  <c:v>3.8633333333333328</c:v>
                </c:pt>
                <c:pt idx="32">
                  <c:v>3.8633333333333328</c:v>
                </c:pt>
                <c:pt idx="33">
                  <c:v>3.8633333333333328</c:v>
                </c:pt>
                <c:pt idx="34">
                  <c:v>3.8633333333333328</c:v>
                </c:pt>
                <c:pt idx="35">
                  <c:v>3.8633333333333328</c:v>
                </c:pt>
                <c:pt idx="36">
                  <c:v>3.8633333333333328</c:v>
                </c:pt>
                <c:pt idx="37">
                  <c:v>3.8633333333333328</c:v>
                </c:pt>
                <c:pt idx="38">
                  <c:v>3.8633333333333328</c:v>
                </c:pt>
                <c:pt idx="39">
                  <c:v>3.8633333333333328</c:v>
                </c:pt>
                <c:pt idx="40">
                  <c:v>3.8633333333333328</c:v>
                </c:pt>
                <c:pt idx="41">
                  <c:v>3.8633333333333328</c:v>
                </c:pt>
                <c:pt idx="42">
                  <c:v>3.8633333333333328</c:v>
                </c:pt>
                <c:pt idx="43">
                  <c:v>3.8633333333333328</c:v>
                </c:pt>
                <c:pt idx="44">
                  <c:v>3.8633333333333328</c:v>
                </c:pt>
                <c:pt idx="45">
                  <c:v>3.8633333333333328</c:v>
                </c:pt>
                <c:pt idx="46">
                  <c:v>3.8633333333333328</c:v>
                </c:pt>
                <c:pt idx="47">
                  <c:v>3.8633333333333328</c:v>
                </c:pt>
                <c:pt idx="48">
                  <c:v>3.8633333333333328</c:v>
                </c:pt>
                <c:pt idx="49">
                  <c:v>3.8633333333333328</c:v>
                </c:pt>
                <c:pt idx="50">
                  <c:v>3.8633333333333328</c:v>
                </c:pt>
                <c:pt idx="51">
                  <c:v>3.8633333333333328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4.043333333333333</c:v>
                </c:pt>
                <c:pt idx="1">
                  <c:v>4.043333333333333</c:v>
                </c:pt>
                <c:pt idx="2">
                  <c:v>4.043333333333333</c:v>
                </c:pt>
                <c:pt idx="3">
                  <c:v>4.043333333333333</c:v>
                </c:pt>
                <c:pt idx="4">
                  <c:v>4.043333333333333</c:v>
                </c:pt>
                <c:pt idx="5">
                  <c:v>4.043333333333333</c:v>
                </c:pt>
                <c:pt idx="6">
                  <c:v>4.043333333333333</c:v>
                </c:pt>
                <c:pt idx="7">
                  <c:v>4.043333333333333</c:v>
                </c:pt>
                <c:pt idx="8">
                  <c:v>4.043333333333333</c:v>
                </c:pt>
                <c:pt idx="9">
                  <c:v>4.043333333333333</c:v>
                </c:pt>
                <c:pt idx="10">
                  <c:v>4.043333333333333</c:v>
                </c:pt>
                <c:pt idx="11">
                  <c:v>4.043333333333333</c:v>
                </c:pt>
                <c:pt idx="12">
                  <c:v>4.043333333333333</c:v>
                </c:pt>
                <c:pt idx="13">
                  <c:v>4.043333333333333</c:v>
                </c:pt>
                <c:pt idx="14">
                  <c:v>4.043333333333333</c:v>
                </c:pt>
                <c:pt idx="15">
                  <c:v>4.043333333333333</c:v>
                </c:pt>
                <c:pt idx="16">
                  <c:v>4.043333333333333</c:v>
                </c:pt>
                <c:pt idx="17">
                  <c:v>4.043333333333333</c:v>
                </c:pt>
                <c:pt idx="18">
                  <c:v>4.043333333333333</c:v>
                </c:pt>
                <c:pt idx="19">
                  <c:v>4.043333333333333</c:v>
                </c:pt>
                <c:pt idx="20">
                  <c:v>4.043333333333333</c:v>
                </c:pt>
                <c:pt idx="21">
                  <c:v>4.043333333333333</c:v>
                </c:pt>
                <c:pt idx="22">
                  <c:v>4.043333333333333</c:v>
                </c:pt>
                <c:pt idx="23">
                  <c:v>4.043333333333333</c:v>
                </c:pt>
                <c:pt idx="24">
                  <c:v>4.043333333333333</c:v>
                </c:pt>
                <c:pt idx="25">
                  <c:v>4.043333333333333</c:v>
                </c:pt>
                <c:pt idx="26">
                  <c:v>4.043333333333333</c:v>
                </c:pt>
                <c:pt idx="27">
                  <c:v>4.043333333333333</c:v>
                </c:pt>
                <c:pt idx="28">
                  <c:v>4.043333333333333</c:v>
                </c:pt>
                <c:pt idx="29">
                  <c:v>4.043333333333333</c:v>
                </c:pt>
                <c:pt idx="30">
                  <c:v>4.043333333333333</c:v>
                </c:pt>
                <c:pt idx="31">
                  <c:v>4.043333333333333</c:v>
                </c:pt>
                <c:pt idx="32">
                  <c:v>4.043333333333333</c:v>
                </c:pt>
                <c:pt idx="33">
                  <c:v>4.043333333333333</c:v>
                </c:pt>
                <c:pt idx="34">
                  <c:v>4.043333333333333</c:v>
                </c:pt>
                <c:pt idx="35">
                  <c:v>4.043333333333333</c:v>
                </c:pt>
                <c:pt idx="36">
                  <c:v>4.043333333333333</c:v>
                </c:pt>
                <c:pt idx="37">
                  <c:v>4.043333333333333</c:v>
                </c:pt>
                <c:pt idx="38">
                  <c:v>4.043333333333333</c:v>
                </c:pt>
                <c:pt idx="39">
                  <c:v>4.043333333333333</c:v>
                </c:pt>
                <c:pt idx="40">
                  <c:v>4.043333333333333</c:v>
                </c:pt>
                <c:pt idx="41">
                  <c:v>4.043333333333333</c:v>
                </c:pt>
                <c:pt idx="42">
                  <c:v>4.043333333333333</c:v>
                </c:pt>
                <c:pt idx="43">
                  <c:v>4.043333333333333</c:v>
                </c:pt>
                <c:pt idx="44">
                  <c:v>4.043333333333333</c:v>
                </c:pt>
                <c:pt idx="45">
                  <c:v>4.043333333333333</c:v>
                </c:pt>
                <c:pt idx="46">
                  <c:v>4.043333333333333</c:v>
                </c:pt>
                <c:pt idx="47">
                  <c:v>4.043333333333333</c:v>
                </c:pt>
                <c:pt idx="48">
                  <c:v>4.043333333333333</c:v>
                </c:pt>
                <c:pt idx="49">
                  <c:v>4.043333333333333</c:v>
                </c:pt>
                <c:pt idx="50">
                  <c:v>4.043333333333333</c:v>
                </c:pt>
                <c:pt idx="51">
                  <c:v>4.043333333333333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4.2233333333333327</c:v>
                </c:pt>
                <c:pt idx="1">
                  <c:v>4.2233333333333327</c:v>
                </c:pt>
                <c:pt idx="2">
                  <c:v>4.2233333333333327</c:v>
                </c:pt>
                <c:pt idx="3">
                  <c:v>4.2233333333333327</c:v>
                </c:pt>
                <c:pt idx="4">
                  <c:v>4.2233333333333327</c:v>
                </c:pt>
                <c:pt idx="5">
                  <c:v>4.2233333333333327</c:v>
                </c:pt>
                <c:pt idx="6">
                  <c:v>4.2233333333333327</c:v>
                </c:pt>
                <c:pt idx="7">
                  <c:v>4.2233333333333327</c:v>
                </c:pt>
                <c:pt idx="8">
                  <c:v>4.2233333333333327</c:v>
                </c:pt>
                <c:pt idx="9">
                  <c:v>4.2233333333333327</c:v>
                </c:pt>
                <c:pt idx="10">
                  <c:v>4.2233333333333327</c:v>
                </c:pt>
                <c:pt idx="11">
                  <c:v>4.2233333333333327</c:v>
                </c:pt>
                <c:pt idx="12">
                  <c:v>4.2233333333333327</c:v>
                </c:pt>
                <c:pt idx="13">
                  <c:v>4.2233333333333327</c:v>
                </c:pt>
                <c:pt idx="14">
                  <c:v>4.2233333333333327</c:v>
                </c:pt>
                <c:pt idx="15">
                  <c:v>4.2233333333333327</c:v>
                </c:pt>
                <c:pt idx="16">
                  <c:v>4.2233333333333327</c:v>
                </c:pt>
                <c:pt idx="17">
                  <c:v>4.2233333333333327</c:v>
                </c:pt>
                <c:pt idx="18">
                  <c:v>4.2233333333333327</c:v>
                </c:pt>
                <c:pt idx="19">
                  <c:v>4.2233333333333327</c:v>
                </c:pt>
                <c:pt idx="20">
                  <c:v>4.2233333333333327</c:v>
                </c:pt>
                <c:pt idx="21">
                  <c:v>4.2233333333333327</c:v>
                </c:pt>
                <c:pt idx="22">
                  <c:v>4.2233333333333327</c:v>
                </c:pt>
                <c:pt idx="23">
                  <c:v>4.2233333333333327</c:v>
                </c:pt>
                <c:pt idx="24">
                  <c:v>4.2233333333333327</c:v>
                </c:pt>
                <c:pt idx="25">
                  <c:v>4.2233333333333327</c:v>
                </c:pt>
                <c:pt idx="26">
                  <c:v>4.2233333333333327</c:v>
                </c:pt>
                <c:pt idx="27">
                  <c:v>4.2233333333333327</c:v>
                </c:pt>
                <c:pt idx="28">
                  <c:v>4.2233333333333327</c:v>
                </c:pt>
                <c:pt idx="29">
                  <c:v>4.2233333333333327</c:v>
                </c:pt>
                <c:pt idx="30">
                  <c:v>4.2233333333333327</c:v>
                </c:pt>
                <c:pt idx="31">
                  <c:v>4.2233333333333327</c:v>
                </c:pt>
                <c:pt idx="32">
                  <c:v>4.2233333333333327</c:v>
                </c:pt>
                <c:pt idx="33">
                  <c:v>4.2233333333333327</c:v>
                </c:pt>
                <c:pt idx="34">
                  <c:v>4.2233333333333327</c:v>
                </c:pt>
                <c:pt idx="35">
                  <c:v>4.2233333333333327</c:v>
                </c:pt>
                <c:pt idx="36">
                  <c:v>4.2233333333333327</c:v>
                </c:pt>
                <c:pt idx="37">
                  <c:v>4.2233333333333327</c:v>
                </c:pt>
                <c:pt idx="38">
                  <c:v>4.2233333333333327</c:v>
                </c:pt>
                <c:pt idx="39">
                  <c:v>4.2233333333333327</c:v>
                </c:pt>
                <c:pt idx="40">
                  <c:v>4.2233333333333327</c:v>
                </c:pt>
                <c:pt idx="41">
                  <c:v>4.2233333333333327</c:v>
                </c:pt>
                <c:pt idx="42">
                  <c:v>4.2233333333333327</c:v>
                </c:pt>
                <c:pt idx="43">
                  <c:v>4.2233333333333327</c:v>
                </c:pt>
                <c:pt idx="44">
                  <c:v>4.2233333333333327</c:v>
                </c:pt>
                <c:pt idx="45">
                  <c:v>4.2233333333333327</c:v>
                </c:pt>
                <c:pt idx="46">
                  <c:v>4.2233333333333327</c:v>
                </c:pt>
                <c:pt idx="47">
                  <c:v>4.2233333333333327</c:v>
                </c:pt>
                <c:pt idx="48">
                  <c:v>4.2233333333333327</c:v>
                </c:pt>
                <c:pt idx="49">
                  <c:v>4.2233333333333327</c:v>
                </c:pt>
                <c:pt idx="50">
                  <c:v>4.2233333333333327</c:v>
                </c:pt>
                <c:pt idx="51">
                  <c:v>4.2233333333333327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4.4033333333333324</c:v>
                </c:pt>
                <c:pt idx="1">
                  <c:v>4.4033333333333324</c:v>
                </c:pt>
                <c:pt idx="2">
                  <c:v>4.4033333333333324</c:v>
                </c:pt>
                <c:pt idx="3">
                  <c:v>4.4033333333333324</c:v>
                </c:pt>
                <c:pt idx="4">
                  <c:v>4.4033333333333324</c:v>
                </c:pt>
                <c:pt idx="5">
                  <c:v>4.4033333333333324</c:v>
                </c:pt>
                <c:pt idx="6">
                  <c:v>4.4033333333333324</c:v>
                </c:pt>
                <c:pt idx="7">
                  <c:v>4.4033333333333324</c:v>
                </c:pt>
                <c:pt idx="8">
                  <c:v>4.4033333333333324</c:v>
                </c:pt>
                <c:pt idx="9">
                  <c:v>4.4033333333333324</c:v>
                </c:pt>
                <c:pt idx="10">
                  <c:v>4.4033333333333324</c:v>
                </c:pt>
                <c:pt idx="11">
                  <c:v>4.4033333333333324</c:v>
                </c:pt>
                <c:pt idx="12">
                  <c:v>4.4033333333333324</c:v>
                </c:pt>
                <c:pt idx="13">
                  <c:v>4.4033333333333324</c:v>
                </c:pt>
                <c:pt idx="14">
                  <c:v>4.4033333333333324</c:v>
                </c:pt>
                <c:pt idx="15">
                  <c:v>4.4033333333333324</c:v>
                </c:pt>
                <c:pt idx="16">
                  <c:v>4.4033333333333324</c:v>
                </c:pt>
                <c:pt idx="17">
                  <c:v>4.4033333333333324</c:v>
                </c:pt>
                <c:pt idx="18">
                  <c:v>4.4033333333333324</c:v>
                </c:pt>
                <c:pt idx="19">
                  <c:v>4.4033333333333324</c:v>
                </c:pt>
                <c:pt idx="20">
                  <c:v>4.4033333333333324</c:v>
                </c:pt>
                <c:pt idx="21">
                  <c:v>4.4033333333333324</c:v>
                </c:pt>
                <c:pt idx="22">
                  <c:v>4.4033333333333324</c:v>
                </c:pt>
                <c:pt idx="23">
                  <c:v>4.4033333333333324</c:v>
                </c:pt>
                <c:pt idx="24">
                  <c:v>4.4033333333333324</c:v>
                </c:pt>
                <c:pt idx="25">
                  <c:v>4.4033333333333324</c:v>
                </c:pt>
                <c:pt idx="26">
                  <c:v>4.4033333333333324</c:v>
                </c:pt>
                <c:pt idx="27">
                  <c:v>4.4033333333333324</c:v>
                </c:pt>
                <c:pt idx="28">
                  <c:v>4.4033333333333324</c:v>
                </c:pt>
                <c:pt idx="29">
                  <c:v>4.4033333333333324</c:v>
                </c:pt>
                <c:pt idx="30">
                  <c:v>4.4033333333333324</c:v>
                </c:pt>
                <c:pt idx="31">
                  <c:v>4.4033333333333324</c:v>
                </c:pt>
                <c:pt idx="32">
                  <c:v>4.4033333333333324</c:v>
                </c:pt>
                <c:pt idx="33">
                  <c:v>4.4033333333333324</c:v>
                </c:pt>
                <c:pt idx="34">
                  <c:v>4.4033333333333324</c:v>
                </c:pt>
                <c:pt idx="35">
                  <c:v>4.4033333333333324</c:v>
                </c:pt>
                <c:pt idx="36">
                  <c:v>4.4033333333333324</c:v>
                </c:pt>
                <c:pt idx="37">
                  <c:v>4.4033333333333324</c:v>
                </c:pt>
                <c:pt idx="38">
                  <c:v>4.4033333333333324</c:v>
                </c:pt>
                <c:pt idx="39">
                  <c:v>4.4033333333333324</c:v>
                </c:pt>
                <c:pt idx="40">
                  <c:v>4.4033333333333324</c:v>
                </c:pt>
                <c:pt idx="41">
                  <c:v>4.4033333333333324</c:v>
                </c:pt>
                <c:pt idx="42">
                  <c:v>4.4033333333333324</c:v>
                </c:pt>
                <c:pt idx="43">
                  <c:v>4.4033333333333324</c:v>
                </c:pt>
                <c:pt idx="44">
                  <c:v>4.4033333333333324</c:v>
                </c:pt>
                <c:pt idx="45">
                  <c:v>4.4033333333333324</c:v>
                </c:pt>
                <c:pt idx="46">
                  <c:v>4.4033333333333324</c:v>
                </c:pt>
                <c:pt idx="47">
                  <c:v>4.4033333333333324</c:v>
                </c:pt>
                <c:pt idx="48">
                  <c:v>4.4033333333333324</c:v>
                </c:pt>
                <c:pt idx="49">
                  <c:v>4.4033333333333324</c:v>
                </c:pt>
                <c:pt idx="50">
                  <c:v>4.4033333333333324</c:v>
                </c:pt>
                <c:pt idx="51">
                  <c:v>4.4033333333333324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3.85</c:v>
                </c:pt>
                <c:pt idx="1">
                  <c:v>3.51</c:v>
                </c:pt>
                <c:pt idx="2">
                  <c:v>3.41</c:v>
                </c:pt>
                <c:pt idx="3">
                  <c:v>3.91</c:v>
                </c:pt>
                <c:pt idx="4">
                  <c:v>3.53</c:v>
                </c:pt>
                <c:pt idx="5">
                  <c:v>3.65</c:v>
                </c:pt>
                <c:pt idx="6">
                  <c:v>3.7</c:v>
                </c:pt>
                <c:pt idx="7">
                  <c:v>3.8</c:v>
                </c:pt>
                <c:pt idx="8">
                  <c:v>3.84</c:v>
                </c:pt>
                <c:pt idx="9">
                  <c:v>3.64</c:v>
                </c:pt>
                <c:pt idx="10">
                  <c:v>3.67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3.58</c:v>
                </c:pt>
                <c:pt idx="12">
                  <c:v>3.56</c:v>
                </c:pt>
                <c:pt idx="13">
                  <c:v>3.62</c:v>
                </c:pt>
                <c:pt idx="14">
                  <c:v>3.65</c:v>
                </c:pt>
                <c:pt idx="15">
                  <c:v>3.57</c:v>
                </c:pt>
                <c:pt idx="16">
                  <c:v>3.58</c:v>
                </c:pt>
                <c:pt idx="17">
                  <c:v>3.6</c:v>
                </c:pt>
                <c:pt idx="18">
                  <c:v>3.61</c:v>
                </c:pt>
                <c:pt idx="19">
                  <c:v>3.56</c:v>
                </c:pt>
                <c:pt idx="20">
                  <c:v>3.5</c:v>
                </c:pt>
                <c:pt idx="21">
                  <c:v>3.47</c:v>
                </c:pt>
                <c:pt idx="22">
                  <c:v>3.56</c:v>
                </c:pt>
                <c:pt idx="23">
                  <c:v>3.6</c:v>
                </c:pt>
                <c:pt idx="24">
                  <c:v>3.59</c:v>
                </c:pt>
                <c:pt idx="25">
                  <c:v>3.59</c:v>
                </c:pt>
                <c:pt idx="26">
                  <c:v>3.65</c:v>
                </c:pt>
                <c:pt idx="27">
                  <c:v>3.61</c:v>
                </c:pt>
                <c:pt idx="28">
                  <c:v>3.56</c:v>
                </c:pt>
                <c:pt idx="29">
                  <c:v>3.6</c:v>
                </c:pt>
                <c:pt idx="30">
                  <c:v>3.6</c:v>
                </c:pt>
                <c:pt idx="31">
                  <c:v>3.56</c:v>
                </c:pt>
                <c:pt idx="32">
                  <c:v>3.63</c:v>
                </c:pt>
                <c:pt idx="33">
                  <c:v>3.65</c:v>
                </c:pt>
                <c:pt idx="34">
                  <c:v>3.57</c:v>
                </c:pt>
                <c:pt idx="35">
                  <c:v>3.6</c:v>
                </c:pt>
                <c:pt idx="36">
                  <c:v>3.52</c:v>
                </c:pt>
                <c:pt idx="37">
                  <c:v>3.53</c:v>
                </c:pt>
                <c:pt idx="38">
                  <c:v>3.57</c:v>
                </c:pt>
                <c:pt idx="39">
                  <c:v>3.49</c:v>
                </c:pt>
                <c:pt idx="40">
                  <c:v>3.6</c:v>
                </c:pt>
                <c:pt idx="41">
                  <c:v>3.6</c:v>
                </c:pt>
                <c:pt idx="42">
                  <c:v>3.52</c:v>
                </c:pt>
                <c:pt idx="43">
                  <c:v>3.53</c:v>
                </c:pt>
                <c:pt idx="44">
                  <c:v>3.57</c:v>
                </c:pt>
                <c:pt idx="45">
                  <c:v>3.57</c:v>
                </c:pt>
                <c:pt idx="46">
                  <c:v>3.59</c:v>
                </c:pt>
                <c:pt idx="47">
                  <c:v>3.63</c:v>
                </c:pt>
                <c:pt idx="48">
                  <c:v>3.58</c:v>
                </c:pt>
                <c:pt idx="49">
                  <c:v>3.74</c:v>
                </c:pt>
                <c:pt idx="50">
                  <c:v>3.65</c:v>
                </c:pt>
                <c:pt idx="51">
                  <c:v>3.62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54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573333333333327"/>
          <c:min val="3.26933333333333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93163756511520535"/>
          <c:y val="4.2297453703703705E-2"/>
          <c:w val="5.259182563997862E-2"/>
          <c:h val="0.8860069444444445"/>
        </c:manualLayout>
      </c:layout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Unacceptable por survey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EQA.CAP_Resumo!$F$4</c:f>
              <c:strCache>
                <c:ptCount val="1"/>
                <c:pt idx="0">
                  <c:v>Unacceptable</c:v>
                </c:pt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EQA.CAP_Resumo!$A$5:$A$12</c:f>
              <c:strCache>
                <c:ptCount val="6"/>
                <c:pt idx="0">
                  <c:v>C-A 2025</c:v>
                </c:pt>
                <c:pt idx="1">
                  <c:v>C-B 2025</c:v>
                </c:pt>
                <c:pt idx="2">
                  <c:v>C-C 2025</c:v>
                </c:pt>
                <c:pt idx="3">
                  <c:v>A</c:v>
                </c:pt>
                <c:pt idx="4">
                  <c:v>B</c:v>
                </c:pt>
                <c:pt idx="5">
                  <c:v>C</c:v>
                </c:pt>
              </c:strCache>
            </c:strRef>
          </c:cat>
          <c:val>
            <c:numRef>
              <c:f>EQA.CAP_Resumo!$F$5:$F$12</c:f>
              <c:numCache>
                <c:formatCode>General</c:formatCode>
                <c:ptCount val="8"/>
                <c:pt idx="0">
                  <c:v>2</c:v>
                </c:pt>
                <c:pt idx="1">
                  <c:v>12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Resultados com desvio por rodada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42621894045945E-2"/>
          <c:y val="6.360845321728531E-2"/>
          <c:w val="0.94583098921706521"/>
          <c:h val="0.8530904054870901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EQA.Controllab_Resumo!$A$12</c:f>
              <c:strCache>
                <c:ptCount val="1"/>
              </c:strCache>
            </c:strRef>
          </c:tx>
          <c:spPr>
            <a:solidFill>
              <a:srgbClr val="B42318"/>
            </a:solidFill>
            <a:ln w="76200">
              <a:noFill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EQA.Controllab_Resumo!$F$4:$F$12</c:f>
              <c:strCache>
                <c:ptCount val="1"/>
                <c:pt idx="0">
                  <c:v>Com desvio</c:v>
                </c:pt>
              </c:strCache>
            </c:strRef>
          </c:cat>
          <c:val>
            <c:numRef>
              <c:f>EQA.Controllab_Resumo!$F$12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6D-4C61-981E-B0E6ADEA6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477445152"/>
        <c:axId val="1477446112"/>
      </c:barChart>
      <c:catAx>
        <c:axId val="14774451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7446112"/>
        <c:crossesAt val="0"/>
        <c:auto val="1"/>
        <c:lblAlgn val="ctr"/>
        <c:lblOffset val="100"/>
        <c:noMultiLvlLbl val="0"/>
      </c:catAx>
      <c:valAx>
        <c:axId val="1477446112"/>
        <c:scaling>
          <c:orientation val="minMax"/>
          <c:max val="3.5"/>
          <c:min val="-3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1477445152"/>
        <c:crosses val="autoZero"/>
        <c:crossBetween val="between"/>
      </c:valAx>
      <c:spPr>
        <a:solidFill>
          <a:srgbClr val="EEECE1">
            <a:lumMod val="90000"/>
          </a:srgbClr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3500"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27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checked="Checked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104902</xdr:rowOff>
    </xdr:from>
    <xdr:ext cx="16015855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1</xdr:colOff>
      <xdr:row>23</xdr:row>
      <xdr:rowOff>0</xdr:rowOff>
    </xdr:from>
    <xdr:ext cx="16023769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22860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45720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22860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45720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9287C25C-7E63-7FF3-CF95-F7CAB1994FAE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598940-FA9D-9884-FAB3-4AEFC3D9E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196850</xdr:colOff>
      <xdr:row>0</xdr:row>
      <xdr:rowOff>76200</xdr:rowOff>
    </xdr:from>
    <xdr:to>
      <xdr:col>10</xdr:col>
      <xdr:colOff>1016000</xdr:colOff>
      <xdr:row>1</xdr:row>
      <xdr:rowOff>50800</xdr:rowOff>
    </xdr:to>
    <xdr:sp macro="AtualizarEQAB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CC17123-A9F2-6E9C-3778-61EA9E37FAD2}"/>
            </a:ext>
          </a:extLst>
        </xdr:cNvPr>
        <xdr:cNvSpPr/>
      </xdr:nvSpPr>
      <xdr:spPr>
        <a:xfrm>
          <a:off x="8890000" y="76200"/>
          <a:ext cx="2540000" cy="330200"/>
        </a:xfrm>
        <a:prstGeom prst="roundRect">
          <a:avLst/>
        </a:prstGeom>
        <a:solidFill>
          <a:srgbClr val="263B4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/>
            <a:t>Consolidar na EQA_Base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3</xdr:row>
      <xdr:rowOff>273050</xdr:rowOff>
    </xdr:from>
    <xdr:to>
      <xdr:col>13</xdr:col>
      <xdr:colOff>444500</xdr:colOff>
      <xdr:row>19</xdr:row>
      <xdr:rowOff>107950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9E4689-FFBB-47EF-C430-E89331838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A8CE48-B02D-48F0-A061-E4BFF75D7B9E}" name="tblPlanoQC_Sigma" displayName="tblPlanoQC_Sigma" ref="A3:P8" totalsRowShown="0" headerRowDxfId="39">
  <autoFilter ref="A3:P8" xr:uid="{4DA8CE48-B02D-48F0-A061-E4BFF75D7B9E}"/>
  <tableColumns count="16">
    <tableColumn id="1" xr3:uid="{FD592623-CD46-4800-93C1-86CB74714572}" name="Sigma_Min"/>
    <tableColumn id="2" xr3:uid="{68ADB699-81A2-4E49-AB95-FBEB16631E5C}" name="Sigma_Max"/>
    <tableColumn id="3" xr3:uid="{5C69E203-8182-4059-A096-E22D62DBD0E0}" name="Classificacao"/>
    <tableColumn id="4" xr3:uid="{BD253674-6CEC-43AE-84C3-B70B264BC6A1}" name="Regras"/>
    <tableColumn id="5" xr3:uid="{A07B5C16-C43E-4F92-B08B-DB20177B2ED8}" name="N_Controle"/>
    <tableColumn id="6" xr3:uid="{3A92A736-F213-4F0A-8722-D217A9F17C26}" name="RunSize_Max"/>
    <tableColumn id="7" xr3:uid="{2809B305-1AEC-446D-B480-E3BFA1EA65F6}" name="Frequencia"/>
    <tableColumn id="8" xr3:uid="{01E8F0B4-78C0-4A55-B09E-1608DC2F41FA}" name="Referencia"/>
    <tableColumn id="9" xr3:uid="{A64CC6D5-C23B-46C8-939E-791A4E099DAB}" name="Status_Plano_QC"/>
    <tableColumn id="10" xr3:uid="{029288DB-C293-48EC-AF12-91AD16077883}" name="1-3S"/>
    <tableColumn id="11" xr3:uid="{EA54D9D6-3465-47FB-8D1B-6EDBCC231FB5}" name="2-2S"/>
    <tableColumn id="12" xr3:uid="{52FA7F90-718A-4A31-B231-B420D187BBD2}" name="R4S"/>
    <tableColumn id="13" xr3:uid="{41CC2223-0B86-4D31-A9A4-291A3BD24677}" name="4-1S"/>
    <tableColumn id="14" xr3:uid="{E7A4B333-5287-4060-AD74-073F3F43EA7F}" name="6x"/>
    <tableColumn id="15" xr3:uid="{4D0F3644-F8FE-41BC-B93A-15FCAF081345}" name="8X"/>
    <tableColumn id="16" xr3:uid="{72587876-D4C5-4203-AF0F-00F4A6852DF7}" name="10x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770913-1BFF-41FE-AA98-E0FDA63C9144}" name="tblEQA_CAP_Dados" displayName="tblEQA_CAP_Dados" ref="A1:X546" totalsRowShown="0" headerRowDxfId="36">
  <autoFilter ref="A1:X546" xr:uid="{22770913-1BFF-41FE-AA98-E0FDA63C9144}"/>
  <tableColumns count="24">
    <tableColumn id="1" xr3:uid="{1762C389-FDAF-4AA7-85EF-745A4F0C23E2}" name="Provedor"/>
    <tableColumn id="2" xr3:uid="{9976194D-95AB-4776-B886-0E9D8B08CAE9}" name="Survey / Rodada"/>
    <tableColumn id="3" xr3:uid="{099F178C-A0F8-454E-9134-F4CF0041883B}" name="Ano" dataDxfId="35"/>
    <tableColumn id="4" xr3:uid="{2F09E8A3-AA51-4569-BF6C-BA26E1A85E33}" name="Analito"/>
    <tableColumn id="5" xr3:uid="{426064E7-9967-41C9-B917-C6D6887AF78B}" name="Amostra"/>
    <tableColumn id="6" xr3:uid="{BF822BEA-FDDD-4FC4-B899-3449BB933327}" name="Seu Resultado" dataDxfId="34"/>
    <tableColumn id="7" xr3:uid="{B5443819-85E6-4D9F-B28C-935FC48DAD5E}" name="Média / Valor-alvo" dataDxfId="33"/>
    <tableColumn id="8" xr3:uid="{A6657194-F7CC-47EF-BC27-6C810F51CE65}" name="SD" dataDxfId="32"/>
    <tableColumn id="9" xr3:uid="{596AC75B-FAA7-46B5-B380-4365E70629C5}" name="SDI" dataDxfId="31"/>
    <tableColumn id="10" xr3:uid="{D66143EA-F447-4DBF-8E14-D30D7DC3B35C}" name="Limite Inferior" dataDxfId="30"/>
    <tableColumn id="11" xr3:uid="{A96D81ED-0348-439D-9FBC-98833CACCE16}" name="Limite Superior" dataDxfId="29"/>
    <tableColumn id="12" xr3:uid="{0D7A1913-E4C7-4AD8-8FDD-DC9572F7B7AC}" name="Avaliação"/>
    <tableColumn id="13" xr3:uid="{C367B19C-616C-432B-BCC0-5CD1B6C7BCEE}" name="Nº Laboratórios" dataDxfId="28"/>
    <tableColumn id="14" xr3:uid="{5368E93D-B01E-43D5-BB94-7340E32432EB}" name="Unidade"/>
    <tableColumn id="15" xr3:uid="{6F736B7C-9DAC-4450-A419-D23D096B1CD3}" name="Bias (%)" dataDxfId="27">
      <calculatedColumnFormula>IFERROR((F2-G2)/G2*100,"")</calculatedColumnFormula>
    </tableColumn>
    <tableColumn id="16" xr3:uid="{C42F9D4F-FA86-4FF6-B997-10830806330E}" name="|Bias| (%)" dataDxfId="26">
      <calculatedColumnFormula>IF(O2="","",ABS(O2))</calculatedColumnFormula>
    </tableColumn>
    <tableColumn id="17" xr3:uid="{D51016CD-DF40-4804-915D-A18AD886C48B}" name="Página Fonte" dataDxfId="25"/>
    <tableColumn id="18" xr3:uid="{69B2D2E2-7249-4922-BBC6-A1895B07D3D6}" name="Arquivo Fonte"/>
    <tableColumn id="19" xr3:uid="{B697AAEA-F56E-435D-8F4E-81763D36148F}" name="ordem_desvio">
      <calculatedColumnFormula>IF($W2&lt;&gt;"NAO ACEITO","",COUNTIFS($W$2:$W2,"NAO ACEITO"))</calculatedColumnFormula>
    </tableColumn>
    <tableColumn id="20" xr3:uid="{CA33B151-2431-4BD4-BAAA-47C6C996E0E6}" name="ordem_rodada">
      <calculatedColumnFormula>IF($B2="","",IF(COUNTIF($B$2:$B2,$B2)=1,MAX($T$1:$T1)+1,""))</calculatedColumnFormula>
    </tableColumn>
    <tableColumn id="21" xr3:uid="{91651273-B309-4D8C-A0FC-C64D2C65FEF9}" name="ordem_analito">
      <calculatedColumnFormula>IF($D2="","",IF(COUNTIF($D$2:$D2,$D2)=1,MAX($U$1:$U1)+1,""))</calculatedColumnFormula>
    </tableColumn>
    <tableColumn id="22" xr3:uid="{BDEE3429-4A7E-42C5-A503-7F5F86908A78}" name="par_rodada_analito">
      <calculatedColumnFormula>IF($D2="","",IF(COUNTIFS($B$2:$B2,$B2,$D$2:$D2,$D2)=1,1,0))</calculatedColumnFormula>
    </tableColumn>
    <tableColumn id="23" xr3:uid="{94769C19-E41F-4DF6-A549-7EAD61BCDD0E}" name="status_padronizado">
      <calculatedColumnFormula>IF($D2="","",mEQA.PadronizarStatus($L2))</calculatedColumnFormula>
    </tableColumn>
    <tableColumn id="24" xr3:uid="{7CFCE296-5681-4393-9ABB-601BEED45DB7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4EE500-F400-41DC-A8C4-157851094820}" name="tblEQA_Controllab_Dados" displayName="tblEQA_Controllab_Dados" ref="A1:X2" totalsRowShown="0" headerRowDxfId="22">
  <autoFilter ref="A1:X2" xr:uid="{4E4EE500-F400-41DC-A8C4-157851094820}"/>
  <tableColumns count="24">
    <tableColumn id="1" xr3:uid="{6ECC9851-73BE-4333-A1C8-38240E9D8FC6}" name="Provedor"/>
    <tableColumn id="2" xr3:uid="{70EA5BAF-6175-486E-AF82-BD5E0A761CC5}" name="Survey / Rodada"/>
    <tableColumn id="3" xr3:uid="{EED5E300-47E2-4762-9A83-FE0560219859}" name="Ano" dataDxfId="21"/>
    <tableColumn id="4" xr3:uid="{185B5933-C2DD-4839-9004-5D5B9C05CAEE}" name="Analito"/>
    <tableColumn id="5" xr3:uid="{2C8EEE98-043E-470B-A2B9-21473FCD14B7}" name="Amostra"/>
    <tableColumn id="6" xr3:uid="{D5221D80-B0A5-4B89-B051-F0C2AEFE1281}" name="Seu Resultado" dataDxfId="20"/>
    <tableColumn id="7" xr3:uid="{5646589E-35F3-4695-B39F-D54CB9E2265E}" name="Média / Valor-alvo" dataDxfId="19"/>
    <tableColumn id="8" xr3:uid="{AA9C7866-86E3-4B46-BCEB-0F69172D03FE}" name="SD" dataDxfId="18"/>
    <tableColumn id="9" xr3:uid="{0D364887-E614-4989-BA78-BCA0A0CAA0D2}" name="SDI" dataDxfId="17"/>
    <tableColumn id="10" xr3:uid="{7ABDA41F-CD92-40B4-B9F7-A19ADBEC6A16}" name="Limite Inferior" dataDxfId="16"/>
    <tableColumn id="11" xr3:uid="{47F9F0B3-FAC3-473F-982C-EDF9CD5991FE}" name="Limite Superior" dataDxfId="15"/>
    <tableColumn id="12" xr3:uid="{A9B5C076-DEDE-427F-B7D1-A72717ABA563}" name="Avaliação"/>
    <tableColumn id="13" xr3:uid="{B519E452-BBD1-4EA1-9351-9E39849AAFD2}" name="Nº Laboratórios" dataDxfId="14"/>
    <tableColumn id="14" xr3:uid="{3AF4133D-AD01-44C0-9BA4-77423A2E45A8}" name="Unidade"/>
    <tableColumn id="15" xr3:uid="{F0AF0F60-BDC3-4CF3-BCA2-1B9F4E133EB7}" name="Bias (%)" dataDxfId="13">
      <calculatedColumnFormula>IFERROR((F2-G2)/G2*100,"")</calculatedColumnFormula>
    </tableColumn>
    <tableColumn id="16" xr3:uid="{69F336E6-2757-4EAD-8B27-DBC84D2B0550}" name="|Bias| (%)" dataDxfId="12">
      <calculatedColumnFormula>IF(O2="","",ABS(O2))</calculatedColumnFormula>
    </tableColumn>
    <tableColumn id="17" xr3:uid="{8C852A12-82F1-4436-A6C6-CFA816B1B248}" name="Página Fonte" dataDxfId="11"/>
    <tableColumn id="18" xr3:uid="{E15B80E3-C324-443A-8F63-4D4F249AC3A2}" name="Arquivo Fonte"/>
    <tableColumn id="19" xr3:uid="{A7502A39-A0FA-462B-B4DA-5F5E776C7D89}" name="ordem_desvio">
      <calculatedColumnFormula>IF($W2&lt;&gt;"NAO ACEITO","",COUNTIFS($W$2:$W2,"NAO ACEITO"))</calculatedColumnFormula>
    </tableColumn>
    <tableColumn id="20" xr3:uid="{4A65A5E3-042B-454D-95E9-9B451F975FAB}" name="ordem_rodada">
      <calculatedColumnFormula>IF($B2="","",IF(COUNTIF($B$2:$B2,$B2)=1,MAX($T$1:$T1)+1,""))</calculatedColumnFormula>
    </tableColumn>
    <tableColumn id="21" xr3:uid="{565337FB-BB26-4405-B773-89A7F154C4C1}" name="ordem_analito">
      <calculatedColumnFormula>IF($D2="","",IF(COUNTIF($D$2:$D2,$D2)=1,MAX($U$1:$U1)+1,""))</calculatedColumnFormula>
    </tableColumn>
    <tableColumn id="22" xr3:uid="{9E67640E-F26E-4012-B32D-B7A443C8114E}" name="par_rodada_analito">
      <calculatedColumnFormula>IF($D2="","",IF(COUNTIFS($B$2:$B2,$B2,$D$2:$D2,$D2)=1,1,0))</calculatedColumnFormula>
    </tableColumn>
    <tableColumn id="23" xr3:uid="{51F2C4E0-A092-4DF1-AF5A-EABDC0B1CBFA}" name="status_padronizado">
      <calculatedColumnFormula>IF($D2="","",mEQA.PadronizarStatus($L2))</calculatedColumnFormula>
    </tableColumn>
    <tableColumn id="24" xr3:uid="{9B7A37EB-E474-410B-A321-226C5CE826DC}" name="analito_com_desvio">
      <calculatedColumnFormula>IF(OR($D2="",$W2&lt;&gt;"NAO ACEITO"),"",IF(COUNTIFS($D$2:$D2,$D2,$W$2:$W2,"NAO ACEITO")=1,1,0))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BA8-84E3-4627-9C79-07D7816F3B40}" name="tblEQA_Base" displayName="tblEQA_Base" ref="A1:U546" totalsRowShown="0" headerRowDxfId="10">
  <autoFilter ref="A1:U546" xr:uid="{B66C5BA8-84E3-4627-9C79-07D7816F3B40}"/>
  <tableColumns count="21">
    <tableColumn id="1" xr3:uid="{BC3A8026-E462-4112-B7FF-9C7EA8F5CD33}" name="Provedor"/>
    <tableColumn id="2" xr3:uid="{3D850BA5-D193-4111-BC88-193B21A9E6DD}" name="Ano" dataDxfId="9"/>
    <tableColumn id="3" xr3:uid="{BA93EB8F-8745-4747-9181-A1591D5CE686}" name="Rodada"/>
    <tableColumn id="4" xr3:uid="{4F7D36BB-49B9-4187-A95F-32A0FD025A46}" name="Analito"/>
    <tableColumn id="5" xr3:uid="{690CC68B-A5A3-4B41-B397-92582E1393A5}" name="Analito_Canonico"/>
    <tableColumn id="6" xr3:uid="{9442815F-7057-47E5-BE42-B251E27C70C5}" name="Amostra"/>
    <tableColumn id="7" xr3:uid="{BD80380B-77C5-4257-BD39-15C1803FF110}" name="Resultado" dataDxfId="8"/>
    <tableColumn id="8" xr3:uid="{95229B7F-9466-459D-A79E-30A7437163BC}" name="Valor_Alvo" dataDxfId="7"/>
    <tableColumn id="9" xr3:uid="{388D6F10-F2AA-4CA3-929D-48DE0733EBE5}" name="SD" dataDxfId="6"/>
    <tableColumn id="10" xr3:uid="{3226F260-EBC6-4654-AA42-3C83FFB66D78}" name="SDI" dataDxfId="5"/>
    <tableColumn id="11" xr3:uid="{25D00A69-7389-41C6-BBAF-060326AE20B2}" name="Limite_Inferior" dataDxfId="4"/>
    <tableColumn id="12" xr3:uid="{9E2C7B37-3DF0-45D2-8F47-426A909EB9E6}" name="Limite_Superior" dataDxfId="3"/>
    <tableColumn id="13" xr3:uid="{B5896449-1529-4A0F-AF7F-9512F6E58646}" name="Avaliacao_Original"/>
    <tableColumn id="14" xr3:uid="{9A5C6066-7BD1-41EE-A9B2-06CE29D07CC6}" name="Status_Padronizado"/>
    <tableColumn id="15" xr3:uid="{85F55336-5CC3-48BB-B751-5EDF9D8C587E}" name="Unidade"/>
    <tableColumn id="16" xr3:uid="{F19D9E13-DD05-4837-B657-6519739DA935}" name="Bias" dataDxfId="2"/>
    <tableColumn id="17" xr3:uid="{CC0CE357-ABDE-41A8-9832-5182273C89C9}" name="Bias_Abs" dataDxfId="1"/>
    <tableColumn id="18" xr3:uid="{EBBC2C36-0907-4180-96B7-8A4DA52FA03F}" name="Pagina_Fonte" dataDxfId="0"/>
    <tableColumn id="19" xr3:uid="{19237C01-845E-4340-830E-D4BA139F4AD9}" name="Arquivo_Fonte"/>
    <tableColumn id="20" xr3:uid="{9D495371-8503-4F01-A9F3-8EBCD4916543}" name="Uso_Analitico"/>
    <tableColumn id="21" xr3:uid="{0188BAAE-AC87-44E3-83C2-0FE34AFAFC63}" name="Chav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hyperlink" Target="https://doi.org/10.1002/jcla.23665" TargetMode="External"/><Relationship Id="rId7" Type="http://schemas.openxmlformats.org/officeDocument/2006/relationships/ctrlProp" Target="../ctrlProps/ctrlProp3.xml"/><Relationship Id="rId2" Type="http://schemas.openxmlformats.org/officeDocument/2006/relationships/hyperlink" Target="https://doi.org/10.1093/ajcp/aqy158" TargetMode="External"/><Relationship Id="rId1" Type="http://schemas.openxmlformats.org/officeDocument/2006/relationships/hyperlink" Target="https://doi.org/10.11613/BM.2018.020502" TargetMode="Externa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7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6.xml"/><Relationship Id="rId4" Type="http://schemas.openxmlformats.org/officeDocument/2006/relationships/hyperlink" Target="https://clsi.org/standards/products/method-evaluation/documents/c24/" TargetMode="External"/><Relationship Id="rId9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ColWidth="8.88671875"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205" t="s">
        <v>0</v>
      </c>
      <c r="B1" s="201"/>
      <c r="C1" s="201"/>
      <c r="D1" s="201"/>
      <c r="E1" s="201"/>
      <c r="F1" s="201"/>
      <c r="G1" s="201"/>
      <c r="H1" s="201"/>
    </row>
    <row r="2" spans="1:8" ht="19.95" customHeight="1" x14ac:dyDescent="0.3">
      <c r="A2" s="206" t="s">
        <v>1</v>
      </c>
      <c r="B2" s="201"/>
      <c r="C2" s="201"/>
      <c r="D2" s="201"/>
      <c r="E2" s="201"/>
      <c r="F2" s="201"/>
      <c r="G2" s="201"/>
      <c r="H2" s="201"/>
    </row>
    <row r="4" spans="1:8" ht="15.6" x14ac:dyDescent="0.3">
      <c r="B4" s="44" t="s">
        <v>2</v>
      </c>
    </row>
    <row r="5" spans="1:8" x14ac:dyDescent="0.3">
      <c r="B5" s="45" t="s">
        <v>3</v>
      </c>
      <c r="C5" s="46" t="s">
        <v>4</v>
      </c>
    </row>
    <row r="6" spans="1:8" x14ac:dyDescent="0.3">
      <c r="B6" s="45" t="s">
        <v>5</v>
      </c>
      <c r="C6" s="46" t="s">
        <v>6</v>
      </c>
    </row>
    <row r="7" spans="1:8" x14ac:dyDescent="0.3">
      <c r="B7" s="45" t="s">
        <v>7</v>
      </c>
      <c r="C7" s="46" t="s">
        <v>8</v>
      </c>
    </row>
    <row r="8" spans="1:8" x14ac:dyDescent="0.3">
      <c r="B8" s="45" t="s">
        <v>9</v>
      </c>
      <c r="C8" s="46" t="s">
        <v>10</v>
      </c>
    </row>
    <row r="9" spans="1:8" x14ac:dyDescent="0.3">
      <c r="B9" s="45" t="s">
        <v>11</v>
      </c>
      <c r="C9" s="46" t="s">
        <v>12</v>
      </c>
    </row>
    <row r="11" spans="1:8" ht="15.6" x14ac:dyDescent="0.3">
      <c r="B11" s="44" t="s">
        <v>13</v>
      </c>
    </row>
    <row r="12" spans="1:8" x14ac:dyDescent="0.3">
      <c r="B12" s="47" t="s">
        <v>14</v>
      </c>
      <c r="C12" s="202" t="s">
        <v>15</v>
      </c>
      <c r="D12" s="203"/>
      <c r="E12" s="203"/>
      <c r="F12" s="203"/>
      <c r="G12" s="204"/>
    </row>
    <row r="13" spans="1:8" x14ac:dyDescent="0.3">
      <c r="B13" s="47" t="s">
        <v>16</v>
      </c>
      <c r="C13" s="202" t="s">
        <v>17</v>
      </c>
      <c r="D13" s="203"/>
      <c r="E13" s="203"/>
      <c r="F13" s="203"/>
      <c r="G13" s="204"/>
    </row>
    <row r="14" spans="1:8" x14ac:dyDescent="0.3">
      <c r="B14" s="47" t="s">
        <v>18</v>
      </c>
      <c r="C14" s="202" t="s">
        <v>19</v>
      </c>
      <c r="D14" s="203"/>
      <c r="E14" s="203"/>
      <c r="F14" s="203"/>
      <c r="G14" s="204"/>
    </row>
    <row r="15" spans="1:8" x14ac:dyDescent="0.3">
      <c r="B15" s="47" t="s">
        <v>20</v>
      </c>
      <c r="C15" s="202" t="s">
        <v>21</v>
      </c>
      <c r="D15" s="203"/>
      <c r="E15" s="203"/>
      <c r="F15" s="203"/>
      <c r="G15" s="204"/>
    </row>
    <row r="16" spans="1:8" x14ac:dyDescent="0.3">
      <c r="B16" s="47" t="s">
        <v>22</v>
      </c>
      <c r="C16" s="202" t="s">
        <v>23</v>
      </c>
      <c r="D16" s="203"/>
      <c r="E16" s="203"/>
      <c r="F16" s="203"/>
      <c r="G16" s="204"/>
    </row>
    <row r="17" spans="2:7" x14ac:dyDescent="0.3">
      <c r="B17" s="47" t="s">
        <v>24</v>
      </c>
      <c r="C17" s="202" t="s">
        <v>25</v>
      </c>
      <c r="D17" s="203"/>
      <c r="E17" s="203"/>
      <c r="F17" s="203"/>
      <c r="G17" s="204"/>
    </row>
    <row r="18" spans="2:7" x14ac:dyDescent="0.3">
      <c r="B18" s="47" t="s">
        <v>26</v>
      </c>
      <c r="C18" s="202" t="s">
        <v>27</v>
      </c>
      <c r="D18" s="203"/>
      <c r="E18" s="203"/>
      <c r="F18" s="203"/>
      <c r="G18" s="204"/>
    </row>
    <row r="19" spans="2:7" x14ac:dyDescent="0.3">
      <c r="B19" s="47" t="s">
        <v>28</v>
      </c>
      <c r="C19" s="202" t="s">
        <v>29</v>
      </c>
      <c r="D19" s="203"/>
      <c r="E19" s="203"/>
      <c r="F19" s="203"/>
      <c r="G19" s="204"/>
    </row>
    <row r="20" spans="2:7" x14ac:dyDescent="0.3">
      <c r="B20" s="47" t="s">
        <v>30</v>
      </c>
      <c r="C20" s="202" t="s">
        <v>31</v>
      </c>
      <c r="D20" s="203"/>
      <c r="E20" s="203"/>
      <c r="F20" s="203"/>
      <c r="G20" s="204"/>
    </row>
    <row r="22" spans="2:7" ht="15.6" x14ac:dyDescent="0.3">
      <c r="B22" s="44" t="s">
        <v>32</v>
      </c>
    </row>
    <row r="23" spans="2:7" x14ac:dyDescent="0.3">
      <c r="B23" s="200" t="s">
        <v>33</v>
      </c>
      <c r="C23" s="201"/>
      <c r="D23" s="201"/>
      <c r="E23" s="201"/>
      <c r="F23" s="201"/>
      <c r="G23" s="201"/>
    </row>
    <row r="24" spans="2:7" x14ac:dyDescent="0.3">
      <c r="B24" s="200" t="s">
        <v>34</v>
      </c>
      <c r="C24" s="201"/>
      <c r="D24" s="201"/>
      <c r="E24" s="201"/>
      <c r="F24" s="201"/>
      <c r="G24" s="201"/>
    </row>
    <row r="25" spans="2:7" x14ac:dyDescent="0.3">
      <c r="B25" s="200" t="s">
        <v>35</v>
      </c>
      <c r="C25" s="201"/>
      <c r="D25" s="201"/>
      <c r="E25" s="201"/>
      <c r="F25" s="201"/>
      <c r="G25" s="201"/>
    </row>
    <row r="26" spans="2:7" x14ac:dyDescent="0.3">
      <c r="B26" s="200" t="s">
        <v>36</v>
      </c>
      <c r="C26" s="201"/>
      <c r="D26" s="201"/>
      <c r="E26" s="201"/>
      <c r="F26" s="201"/>
      <c r="G26" s="201"/>
    </row>
  </sheetData>
  <sheetProtection algorithmName="SHA-512" hashValue="wPO48cEDO89G0dxCB2TSnOhcWrtIEiIN0MSLU4JUB4NUNh6NNeHSfj3IALTFgtgODbgeiP0n3RDVDXweOgU0RQ==" saltValue="fDs1FcA+pDgZtshfT6+R4g==" spinCount="100000" sheet="1" scenarios="1"/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ColWidth="8.88671875"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205" t="s">
        <v>37</v>
      </c>
      <c r="B1" s="201"/>
      <c r="C1" s="201"/>
      <c r="D1" s="201"/>
      <c r="E1" s="201"/>
      <c r="F1" s="48" t="s">
        <v>38</v>
      </c>
      <c r="G1" s="49" t="s">
        <v>355</v>
      </c>
    </row>
    <row r="4" spans="1:7" ht="15.6" x14ac:dyDescent="0.3">
      <c r="B4" s="44" t="s">
        <v>39</v>
      </c>
    </row>
    <row r="5" spans="1:7" x14ac:dyDescent="0.3">
      <c r="B5" s="50" t="s">
        <v>40</v>
      </c>
      <c r="C5" s="2" t="s">
        <v>4</v>
      </c>
    </row>
    <row r="6" spans="1:7" x14ac:dyDescent="0.3">
      <c r="B6" s="50" t="s">
        <v>5</v>
      </c>
      <c r="C6" s="2" t="s">
        <v>6</v>
      </c>
    </row>
    <row r="7" spans="1:7" x14ac:dyDescent="0.3">
      <c r="B7" s="50" t="s">
        <v>41</v>
      </c>
      <c r="C7" s="2" t="s">
        <v>12</v>
      </c>
    </row>
    <row r="8" spans="1:7" x14ac:dyDescent="0.3">
      <c r="B8" s="50" t="s">
        <v>42</v>
      </c>
      <c r="C8" s="2" t="s">
        <v>43</v>
      </c>
    </row>
    <row r="9" spans="1:7" x14ac:dyDescent="0.3">
      <c r="B9" s="50" t="s">
        <v>7</v>
      </c>
      <c r="C9" s="2" t="s">
        <v>8</v>
      </c>
    </row>
    <row r="10" spans="1:7" x14ac:dyDescent="0.3">
      <c r="B10" s="50" t="s">
        <v>44</v>
      </c>
      <c r="C10" s="2" t="s">
        <v>45</v>
      </c>
    </row>
    <row r="11" spans="1:7" x14ac:dyDescent="0.3">
      <c r="B11" s="50" t="s">
        <v>46</v>
      </c>
      <c r="C11" s="2" t="s">
        <v>10</v>
      </c>
    </row>
    <row r="12" spans="1:7" x14ac:dyDescent="0.3">
      <c r="B12" s="50" t="s">
        <v>47</v>
      </c>
      <c r="C12" s="2" t="s">
        <v>48</v>
      </c>
    </row>
    <row r="14" spans="1:7" ht="15.6" x14ac:dyDescent="0.3">
      <c r="B14" s="44" t="s">
        <v>49</v>
      </c>
    </row>
    <row r="15" spans="1:7" x14ac:dyDescent="0.3">
      <c r="B15" s="50" t="s">
        <v>50</v>
      </c>
      <c r="C15" s="2">
        <v>1.65</v>
      </c>
    </row>
    <row r="16" spans="1:7" x14ac:dyDescent="0.3">
      <c r="B16" s="50" t="s">
        <v>51</v>
      </c>
      <c r="C16" s="2">
        <v>20</v>
      </c>
    </row>
    <row r="18" spans="2:4" ht="15.6" x14ac:dyDescent="0.3">
      <c r="B18" s="44" t="s">
        <v>52</v>
      </c>
    </row>
    <row r="19" spans="2:4" x14ac:dyDescent="0.3">
      <c r="B19" s="207" t="s">
        <v>53</v>
      </c>
      <c r="C19" s="201"/>
      <c r="D19" s="201"/>
    </row>
    <row r="20" spans="2:4" ht="17.399999999999999" x14ac:dyDescent="0.3">
      <c r="B20" s="50" t="s">
        <v>54</v>
      </c>
      <c r="C20" s="3" t="s">
        <v>355</v>
      </c>
    </row>
    <row r="21" spans="2:4" ht="15.6" x14ac:dyDescent="0.3">
      <c r="B21" s="50" t="s">
        <v>55</v>
      </c>
      <c r="C21" s="52">
        <f>IFERROR(INDEX(Configuração!$D$26:$D$50,MATCH($C$20,Configuração!$C$26:$C$50,0)),"")</f>
        <v>46203</v>
      </c>
    </row>
    <row r="23" spans="2:4" ht="15.6" x14ac:dyDescent="0.3">
      <c r="B23" s="44" t="s">
        <v>56</v>
      </c>
    </row>
    <row r="24" spans="2:4" x14ac:dyDescent="0.3">
      <c r="B24" s="207" t="s">
        <v>57</v>
      </c>
      <c r="C24" s="201"/>
      <c r="D24" s="201"/>
    </row>
    <row r="25" spans="2:4" x14ac:dyDescent="0.3">
      <c r="C25" s="53" t="s">
        <v>58</v>
      </c>
      <c r="D25" s="53" t="s">
        <v>59</v>
      </c>
    </row>
    <row r="26" spans="2:4" x14ac:dyDescent="0.3">
      <c r="B26" s="54" t="s">
        <v>60</v>
      </c>
      <c r="C26" s="4" t="s">
        <v>355</v>
      </c>
      <c r="D26" s="5">
        <v>46203</v>
      </c>
    </row>
    <row r="27" spans="2:4" x14ac:dyDescent="0.3">
      <c r="B27" s="54" t="s">
        <v>61</v>
      </c>
      <c r="C27" s="4"/>
      <c r="D27" s="5"/>
    </row>
    <row r="28" spans="2:4" x14ac:dyDescent="0.3">
      <c r="B28" s="54" t="s">
        <v>62</v>
      </c>
      <c r="C28" s="4"/>
      <c r="D28" s="5"/>
    </row>
    <row r="29" spans="2:4" x14ac:dyDescent="0.3">
      <c r="B29" s="54" t="s">
        <v>63</v>
      </c>
      <c r="C29" s="4"/>
      <c r="D29" s="5"/>
    </row>
    <row r="30" spans="2:4" x14ac:dyDescent="0.3">
      <c r="B30" s="54" t="s">
        <v>64</v>
      </c>
      <c r="C30" s="4"/>
      <c r="D30" s="5"/>
    </row>
    <row r="31" spans="2:4" x14ac:dyDescent="0.3">
      <c r="B31" s="54" t="s">
        <v>65</v>
      </c>
      <c r="C31" s="4"/>
      <c r="D31" s="5"/>
    </row>
    <row r="32" spans="2:4" x14ac:dyDescent="0.3">
      <c r="B32" s="54" t="s">
        <v>66</v>
      </c>
      <c r="C32" s="4"/>
      <c r="D32" s="5"/>
    </row>
    <row r="33" spans="2:4" x14ac:dyDescent="0.3">
      <c r="B33" s="54" t="s">
        <v>67</v>
      </c>
      <c r="C33" s="4"/>
      <c r="D33" s="5"/>
    </row>
    <row r="34" spans="2:4" x14ac:dyDescent="0.3">
      <c r="B34" s="54" t="s">
        <v>68</v>
      </c>
      <c r="C34" s="4"/>
      <c r="D34" s="5"/>
    </row>
    <row r="35" spans="2:4" x14ac:dyDescent="0.3">
      <c r="B35" s="54" t="s">
        <v>69</v>
      </c>
      <c r="C35" s="4"/>
      <c r="D35" s="5"/>
    </row>
    <row r="36" spans="2:4" x14ac:dyDescent="0.3">
      <c r="B36" s="54" t="s">
        <v>70</v>
      </c>
      <c r="C36" s="4"/>
      <c r="D36" s="5"/>
    </row>
    <row r="37" spans="2:4" x14ac:dyDescent="0.3">
      <c r="B37" s="54" t="s">
        <v>71</v>
      </c>
      <c r="C37" s="4"/>
      <c r="D37" s="5"/>
    </row>
    <row r="38" spans="2:4" x14ac:dyDescent="0.3">
      <c r="B38" s="54" t="s">
        <v>72</v>
      </c>
      <c r="C38" s="4"/>
      <c r="D38" s="5"/>
    </row>
    <row r="39" spans="2:4" x14ac:dyDescent="0.3">
      <c r="B39" s="54" t="s">
        <v>73</v>
      </c>
      <c r="C39" s="4"/>
      <c r="D39" s="5"/>
    </row>
    <row r="40" spans="2:4" x14ac:dyDescent="0.3">
      <c r="B40" s="54" t="s">
        <v>74</v>
      </c>
      <c r="C40" s="4"/>
      <c r="D40" s="5"/>
    </row>
    <row r="41" spans="2:4" x14ac:dyDescent="0.3">
      <c r="B41" s="54" t="s">
        <v>75</v>
      </c>
      <c r="C41" s="4"/>
      <c r="D41" s="5"/>
    </row>
    <row r="42" spans="2:4" x14ac:dyDescent="0.3">
      <c r="B42" s="54" t="s">
        <v>76</v>
      </c>
      <c r="C42" s="4"/>
      <c r="D42" s="5"/>
    </row>
    <row r="43" spans="2:4" x14ac:dyDescent="0.3">
      <c r="B43" s="54" t="s">
        <v>77</v>
      </c>
      <c r="C43" s="4"/>
      <c r="D43" s="5"/>
    </row>
    <row r="44" spans="2:4" x14ac:dyDescent="0.3">
      <c r="B44" s="54" t="s">
        <v>78</v>
      </c>
      <c r="C44" s="4"/>
      <c r="D44" s="5"/>
    </row>
    <row r="45" spans="2:4" x14ac:dyDescent="0.3">
      <c r="B45" s="54" t="s">
        <v>79</v>
      </c>
      <c r="C45" s="4"/>
      <c r="D45" s="5"/>
    </row>
    <row r="46" spans="2:4" x14ac:dyDescent="0.3">
      <c r="B46" s="54" t="s">
        <v>80</v>
      </c>
      <c r="C46" s="4"/>
      <c r="D46" s="5"/>
    </row>
    <row r="47" spans="2:4" x14ac:dyDescent="0.3">
      <c r="B47" s="54" t="s">
        <v>81</v>
      </c>
      <c r="C47" s="4"/>
      <c r="D47" s="5"/>
    </row>
    <row r="48" spans="2:4" x14ac:dyDescent="0.3">
      <c r="B48" s="54" t="s">
        <v>82</v>
      </c>
      <c r="C48" s="4"/>
      <c r="D48" s="5"/>
    </row>
    <row r="49" spans="2:4" x14ac:dyDescent="0.3">
      <c r="B49" s="54" t="s">
        <v>83</v>
      </c>
      <c r="C49" s="4"/>
      <c r="D49" s="5"/>
    </row>
    <row r="50" spans="2:4" x14ac:dyDescent="0.3">
      <c r="B50" s="54" t="s">
        <v>84</v>
      </c>
      <c r="C50" s="4"/>
      <c r="D50" s="5"/>
    </row>
  </sheetData>
  <sheetProtection algorithmName="SHA-512" hashValue="zL3XebPCInYpZE+tdwWMyaqbSCC/tpvIbYY/t4c1FRV5XTbqB7zk51+uTO+PPcp1/7TXFb2LAnTcPhST3sOJEw==" saltValue="Aq0gxwh9LODqg15keLS03w==" spinCount="100000" sheet="1" scenarios="1"/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ColWidth="8.88671875" defaultRowHeight="14.4" x14ac:dyDescent="0.3"/>
  <cols>
    <col min="1" max="1" width="22.6640625" style="1" customWidth="1"/>
    <col min="2" max="24" width="10.7773437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205" t="s">
        <v>85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</row>
    <row r="2" spans="1:34" ht="19.95" customHeight="1" x14ac:dyDescent="0.3">
      <c r="A2" s="208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55" t="s">
        <v>379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" customHeight="1" x14ac:dyDescent="0.3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389</v>
      </c>
      <c r="L3" s="57" t="s">
        <v>390</v>
      </c>
      <c r="M3" s="57" t="s">
        <v>391</v>
      </c>
      <c r="N3" s="57" t="s">
        <v>392</v>
      </c>
      <c r="O3" s="57" t="s">
        <v>98</v>
      </c>
      <c r="P3" s="57" t="s">
        <v>99</v>
      </c>
      <c r="Q3" s="57" t="s">
        <v>100</v>
      </c>
      <c r="R3" s="57" t="s">
        <v>375</v>
      </c>
      <c r="S3" s="57" t="s">
        <v>400</v>
      </c>
      <c r="T3" s="57" t="s">
        <v>376</v>
      </c>
      <c r="U3" s="57" t="s">
        <v>377</v>
      </c>
      <c r="V3" s="58" t="s">
        <v>101</v>
      </c>
      <c r="W3" s="58" t="s">
        <v>102</v>
      </c>
      <c r="X3" s="58" t="s">
        <v>100</v>
      </c>
      <c r="Y3" s="58" t="s">
        <v>354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">
      <c r="A4" s="40" t="s">
        <v>339</v>
      </c>
      <c r="B4" s="8" t="s">
        <v>340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354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">
      <c r="A7" s="40" t="s">
        <v>341</v>
      </c>
      <c r="B7" s="8" t="s">
        <v>340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354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">
      <c r="A10" s="40" t="s">
        <v>342</v>
      </c>
      <c r="B10" s="8" t="s">
        <v>340</v>
      </c>
      <c r="C10" s="8" t="s">
        <v>343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">
      <c r="A14" s="40" t="s">
        <v>344</v>
      </c>
      <c r="B14" s="8" t="s">
        <v>340</v>
      </c>
      <c r="C14" s="8" t="s">
        <v>343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">
      <c r="A17" s="40" t="s">
        <v>345</v>
      </c>
      <c r="B17" s="8" t="s">
        <v>340</v>
      </c>
      <c r="C17" s="8" t="s">
        <v>346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">
      <c r="A18" s="40" t="s">
        <v>347</v>
      </c>
      <c r="B18" s="8" t="s">
        <v>340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">
      <c r="A23" s="40" t="s">
        <v>348</v>
      </c>
      <c r="B23" s="8" t="s">
        <v>340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">
      <c r="A26" s="40" t="s">
        <v>349</v>
      </c>
      <c r="B26" s="8" t="s">
        <v>340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">
      <c r="A27" s="40" t="s">
        <v>350</v>
      </c>
      <c r="B27" s="8" t="s">
        <v>340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354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">
      <c r="A30" s="40" t="s">
        <v>351</v>
      </c>
      <c r="B30" s="8" t="s">
        <v>340</v>
      </c>
      <c r="C30" s="8" t="s">
        <v>352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354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">
      <c r="A31" s="40" t="s">
        <v>353</v>
      </c>
      <c r="B31" s="8" t="s">
        <v>340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"/>
    <row r="46" spans="1:42" s="30" customFormat="1" x14ac:dyDescent="0.3">
      <c r="A46" s="63" t="s">
        <v>383</v>
      </c>
      <c r="B46" s="63">
        <v>2025</v>
      </c>
    </row>
    <row r="47" spans="1:42" s="65" customFormat="1" ht="60" customHeight="1" x14ac:dyDescent="0.3">
      <c r="A47" s="64" t="s">
        <v>380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">
      <c r="A48" s="63" t="s">
        <v>387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">
      <c r="A49" s="63" t="s">
        <v>386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">
      <c r="A50" s="63" t="s">
        <v>381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">
      <c r="A51" s="63" t="s">
        <v>382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">
      <c r="A52" s="63" t="s">
        <v>385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">
      <c r="A53" s="63" t="s">
        <v>384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"/>
    <row r="55" spans="1:42" s="30" customFormat="1" x14ac:dyDescent="0.3">
      <c r="A55" s="63" t="s">
        <v>383</v>
      </c>
      <c r="B55" s="63">
        <v>2026</v>
      </c>
    </row>
    <row r="56" spans="1:42" s="66" customFormat="1" ht="60" customHeight="1" x14ac:dyDescent="0.3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">
      <c r="A57" s="63" t="s">
        <v>387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">
      <c r="A58" s="63" t="s">
        <v>386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">
      <c r="A59" s="63" t="s">
        <v>381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">
      <c r="A60" s="63" t="s">
        <v>382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">
      <c r="A61" s="63" t="s">
        <v>385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">
      <c r="A62" s="63" t="s">
        <v>384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"/>
    <row r="64" spans="1:42" s="30" customFormat="1" x14ac:dyDescent="0.3">
      <c r="A64" s="63" t="s">
        <v>383</v>
      </c>
      <c r="B64" s="63" t="s">
        <v>388</v>
      </c>
    </row>
    <row r="65" spans="1:42" s="66" customFormat="1" ht="60" customHeight="1" x14ac:dyDescent="0.3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">
      <c r="A66" s="63" t="s">
        <v>387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">
      <c r="A67" s="63" t="s">
        <v>386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">
      <c r="A68" s="63" t="s">
        <v>381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">
      <c r="A69" s="63" t="s">
        <v>382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">
      <c r="A70" s="63" t="s">
        <v>385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">
      <c r="A71" s="63" t="s">
        <v>384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"/>
    <row r="73" spans="1:42" s="30" customFormat="1" x14ac:dyDescent="0.3">
      <c r="A73" s="63" t="s">
        <v>383</v>
      </c>
      <c r="B73" s="63" t="s">
        <v>388</v>
      </c>
    </row>
    <row r="74" spans="1:42" s="66" customFormat="1" ht="60" customHeight="1" x14ac:dyDescent="0.3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">
      <c r="A75" s="63" t="s">
        <v>387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">
      <c r="A76" s="63" t="s">
        <v>386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">
      <c r="A77" s="63" t="s">
        <v>381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">
      <c r="A78" s="63" t="s">
        <v>382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">
      <c r="A79" s="63" t="s">
        <v>385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">
      <c r="A80" s="63" t="s">
        <v>384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"/>
    <row r="82" spans="1:42" s="30" customFormat="1" x14ac:dyDescent="0.3">
      <c r="A82" s="63" t="s">
        <v>383</v>
      </c>
      <c r="B82" s="63" t="s">
        <v>388</v>
      </c>
    </row>
    <row r="83" spans="1:42" s="66" customFormat="1" ht="60" customHeight="1" x14ac:dyDescent="0.3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">
      <c r="A84" s="63" t="s">
        <v>387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">
      <c r="A85" s="63" t="s">
        <v>386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">
      <c r="A86" s="63" t="s">
        <v>381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">
      <c r="A87" s="63" t="s">
        <v>382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">
      <c r="A88" s="63" t="s">
        <v>385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">
      <c r="A89" s="63" t="s">
        <v>384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sheetProtection algorithmName="SHA-512" hashValue="0oy9+yXNFePtyZqW7LouxDFvzz2crYTM773eVN3hBdbJf63b2WD2X0lzxIq+3NNRV98oOCjVfKhds3AvthZJcg==" saltValue="1AMxIwpo2XSr2f7GOaQivA==" spinCount="100000" sheet="1" scenarios="1"/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ColWidth="8.88671875" defaultRowHeight="14.4" x14ac:dyDescent="0.3"/>
  <cols>
    <col min="1" max="16384" width="8.88671875" style="1"/>
  </cols>
  <sheetData>
    <row r="1" spans="1:14" x14ac:dyDescent="0.3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">
      <c r="A2" s="68" t="s">
        <v>355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">
      <c r="A3" s="68" t="s">
        <v>355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">
      <c r="A4" s="68" t="s">
        <v>355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">
      <c r="A5" s="68" t="s">
        <v>355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">
      <c r="A6" s="68" t="s">
        <v>355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">
      <c r="A7" s="68" t="s">
        <v>355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">
      <c r="A8" s="68" t="s">
        <v>355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">
      <c r="A9" s="68" t="s">
        <v>355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">
      <c r="A10" s="68" t="s">
        <v>355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">
      <c r="A11" s="68" t="s">
        <v>355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">
      <c r="A12" s="68" t="s">
        <v>355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">
      <c r="A13" s="68" t="s">
        <v>355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">
      <c r="A14" s="68" t="s">
        <v>355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">
      <c r="A15" s="68" t="s">
        <v>355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">
      <c r="A16" s="68" t="s">
        <v>355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">
      <c r="A17" s="68" t="s">
        <v>355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">
      <c r="A18" s="68" t="s">
        <v>355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">
      <c r="A19" s="68" t="s">
        <v>355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">
      <c r="A20" s="68" t="s">
        <v>355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">
      <c r="A21" s="68" t="s">
        <v>355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">
      <c r="A22" s="68" t="s">
        <v>355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">
      <c r="A23" s="68" t="s">
        <v>355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">
      <c r="A24" s="68" t="s">
        <v>355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">
      <c r="A25" s="68" t="s">
        <v>355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">
      <c r="A26" s="68" t="s">
        <v>355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">
      <c r="A27" s="68" t="s">
        <v>355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">
      <c r="A28" s="68" t="s">
        <v>355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">
      <c r="A29" s="68" t="s">
        <v>355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">
      <c r="A30" s="68" t="s">
        <v>355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">
      <c r="A31" s="68" t="s">
        <v>355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">
      <c r="A32" s="68" t="s">
        <v>355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">
      <c r="A33" s="68" t="s">
        <v>355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">
      <c r="A34" s="68" t="s">
        <v>355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">
      <c r="A35" s="68" t="s">
        <v>355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">
      <c r="A36" s="68" t="s">
        <v>355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">
      <c r="A37" s="68" t="s">
        <v>355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">
      <c r="A38" s="68" t="s">
        <v>355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">
      <c r="A39" s="68" t="s">
        <v>355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">
      <c r="A40" s="68" t="s">
        <v>355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">
      <c r="A41" s="68" t="s">
        <v>355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sheetProtection algorithmName="SHA-512" hashValue="hblTjHiQTXLFDiDVWme0QekvsrLR0Az3RPSmKVDqzqPG97JZ1v3n9MaS2JQRfT9DPxXUmsfNye7Our6EsMpUKw==" saltValue="LCV/P+QOpgOc87wnlimKzw==" spinCount="100000" sheet="1" scenarios="1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ColWidth="8.88671875"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210" t="s">
        <v>152</v>
      </c>
      <c r="B1" s="210"/>
      <c r="C1" s="210"/>
      <c r="D1" s="210"/>
      <c r="E1" s="210"/>
      <c r="F1" s="210"/>
      <c r="G1" s="210"/>
      <c r="H1" s="71"/>
      <c r="BD1" s="72" t="s">
        <v>153</v>
      </c>
    </row>
    <row r="2" spans="1:56" ht="19.95" customHeight="1" x14ac:dyDescent="0.3">
      <c r="A2" s="211" t="s">
        <v>154</v>
      </c>
      <c r="B2" s="211"/>
      <c r="C2" s="211"/>
      <c r="D2" s="211"/>
      <c r="E2" s="211"/>
      <c r="F2" s="211"/>
      <c r="G2" s="211"/>
      <c r="H2" s="209" t="s">
        <v>155</v>
      </c>
      <c r="I2" s="201"/>
      <c r="J2" s="201"/>
      <c r="BD2" s="48" t="str">
        <f>IF(Configuração!$C$26="","",("QC-"&amp;Configuração!$C$26&amp;TEXT(1,"00")))</f>
        <v>QC-897401</v>
      </c>
    </row>
    <row r="3" spans="1:56" ht="28.2" customHeight="1" x14ac:dyDescent="0.3">
      <c r="A3" s="57" t="s">
        <v>294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295</v>
      </c>
      <c r="G3" s="57" t="s">
        <v>221</v>
      </c>
      <c r="BA3" s="72" t="s">
        <v>159</v>
      </c>
      <c r="BB3" s="72" t="s">
        <v>160</v>
      </c>
      <c r="BC3" s="1" t="s">
        <v>296</v>
      </c>
      <c r="BD3" s="48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356</v>
      </c>
      <c r="E4" s="6" t="s">
        <v>339</v>
      </c>
      <c r="F4" s="10">
        <v>4.66</v>
      </c>
      <c r="G4" s="23" t="s">
        <v>293</v>
      </c>
      <c r="H4" s="25"/>
      <c r="BA4" s="73" t="s">
        <v>355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356</v>
      </c>
      <c r="E5" s="6" t="s">
        <v>118</v>
      </c>
      <c r="F5" s="10">
        <v>4.4000000000000004</v>
      </c>
      <c r="G5" s="23" t="s">
        <v>293</v>
      </c>
      <c r="H5" s="25"/>
      <c r="BA5" s="73" t="s">
        <v>355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356</v>
      </c>
      <c r="E6" s="6" t="s">
        <v>130</v>
      </c>
      <c r="F6" s="10">
        <v>3.83</v>
      </c>
      <c r="G6" s="23" t="s">
        <v>293</v>
      </c>
      <c r="H6" s="25"/>
      <c r="BA6" s="73" t="s">
        <v>355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356</v>
      </c>
      <c r="E7" s="6" t="s">
        <v>341</v>
      </c>
      <c r="F7" s="10">
        <v>0.314</v>
      </c>
      <c r="G7" s="23" t="s">
        <v>293</v>
      </c>
      <c r="H7" s="25"/>
      <c r="BA7" s="73" t="s">
        <v>355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356</v>
      </c>
      <c r="E8" s="6" t="s">
        <v>127</v>
      </c>
      <c r="F8" s="10">
        <v>1.21</v>
      </c>
      <c r="G8" s="23" t="s">
        <v>293</v>
      </c>
      <c r="H8" s="25"/>
      <c r="BA8" s="73" t="s">
        <v>355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356</v>
      </c>
      <c r="E9" s="6" t="s">
        <v>131</v>
      </c>
      <c r="F9" s="10">
        <v>9</v>
      </c>
      <c r="G9" s="23" t="s">
        <v>293</v>
      </c>
      <c r="H9" s="25"/>
      <c r="BA9" s="73" t="s">
        <v>355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356</v>
      </c>
      <c r="E10" s="6" t="s">
        <v>342</v>
      </c>
      <c r="F10" s="10">
        <v>348</v>
      </c>
      <c r="G10" s="23" t="s">
        <v>293</v>
      </c>
      <c r="H10" s="25"/>
      <c r="BA10" s="73" t="s">
        <v>355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356</v>
      </c>
      <c r="E11" s="6" t="s">
        <v>119</v>
      </c>
      <c r="F11" s="10">
        <v>237</v>
      </c>
      <c r="G11" s="23" t="s">
        <v>293</v>
      </c>
      <c r="H11" s="25"/>
      <c r="BA11" s="73" t="s">
        <v>355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356</v>
      </c>
      <c r="E12" s="6" t="s">
        <v>120</v>
      </c>
      <c r="F12" s="10">
        <v>77</v>
      </c>
      <c r="G12" s="23" t="s">
        <v>293</v>
      </c>
      <c r="H12" s="25"/>
      <c r="BA12" s="73" t="s">
        <v>355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356</v>
      </c>
      <c r="E13" s="6" t="s">
        <v>117</v>
      </c>
      <c r="F13" s="10">
        <v>2.58</v>
      </c>
      <c r="G13" s="23" t="s">
        <v>293</v>
      </c>
      <c r="H13" s="25"/>
      <c r="BA13" s="73" t="s">
        <v>355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356</v>
      </c>
      <c r="E14" s="6" t="s">
        <v>344</v>
      </c>
      <c r="F14" s="10">
        <v>231</v>
      </c>
      <c r="G14" s="23" t="s">
        <v>293</v>
      </c>
      <c r="H14" s="25"/>
      <c r="BA14" s="73" t="s">
        <v>355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356</v>
      </c>
      <c r="E15" s="6" t="s">
        <v>132</v>
      </c>
      <c r="F15" s="10">
        <v>3.45</v>
      </c>
      <c r="G15" s="23" t="s">
        <v>293</v>
      </c>
      <c r="H15" s="25"/>
      <c r="BA15" s="73" t="s">
        <v>355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356</v>
      </c>
      <c r="E16" s="6" t="s">
        <v>111</v>
      </c>
      <c r="F16" s="10">
        <v>89</v>
      </c>
      <c r="G16" s="23" t="s">
        <v>293</v>
      </c>
      <c r="H16" s="25"/>
      <c r="BA16" s="73" t="s">
        <v>355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356</v>
      </c>
      <c r="E17" s="6" t="s">
        <v>345</v>
      </c>
      <c r="F17" s="10">
        <v>5.0999999999999996</v>
      </c>
      <c r="G17" s="23" t="s">
        <v>293</v>
      </c>
      <c r="H17" s="25"/>
      <c r="BA17" s="73" t="s">
        <v>355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356</v>
      </c>
      <c r="E18" s="6" t="s">
        <v>347</v>
      </c>
      <c r="F18" s="10">
        <v>2.15</v>
      </c>
      <c r="G18" s="23" t="s">
        <v>293</v>
      </c>
      <c r="H18" s="25"/>
      <c r="BA18" s="73" t="s">
        <v>355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356</v>
      </c>
      <c r="E19" s="6" t="s">
        <v>128</v>
      </c>
      <c r="F19" s="10">
        <v>7.1</v>
      </c>
      <c r="G19" s="23" t="s">
        <v>293</v>
      </c>
      <c r="H19" s="25"/>
      <c r="BA19" s="73" t="s">
        <v>355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356</v>
      </c>
      <c r="E20" s="6" t="s">
        <v>121</v>
      </c>
      <c r="F20" s="10">
        <v>163</v>
      </c>
      <c r="G20" s="23" t="s">
        <v>293</v>
      </c>
      <c r="H20" s="25"/>
      <c r="BA20" s="73" t="s">
        <v>355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356</v>
      </c>
      <c r="E21" s="6" t="s">
        <v>115</v>
      </c>
      <c r="F21" s="10">
        <v>34</v>
      </c>
      <c r="G21" s="23" t="s">
        <v>293</v>
      </c>
      <c r="H21" s="25"/>
      <c r="BA21" s="73" t="s">
        <v>355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356</v>
      </c>
      <c r="E22" s="6" t="s">
        <v>137</v>
      </c>
      <c r="F22" s="10">
        <v>72</v>
      </c>
      <c r="G22" s="23" t="s">
        <v>293</v>
      </c>
      <c r="H22" s="25"/>
      <c r="BA22" s="73" t="s">
        <v>355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356</v>
      </c>
      <c r="E23" s="6" t="s">
        <v>348</v>
      </c>
      <c r="F23" s="10">
        <v>150</v>
      </c>
      <c r="G23" s="23" t="s">
        <v>293</v>
      </c>
      <c r="H23" s="25"/>
      <c r="BA23" s="73" t="s">
        <v>355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356</v>
      </c>
      <c r="E24" s="6" t="s">
        <v>125</v>
      </c>
      <c r="F24" s="10">
        <v>116</v>
      </c>
      <c r="G24" s="23" t="s">
        <v>293</v>
      </c>
      <c r="H24" s="25"/>
      <c r="BA24" s="73" t="s">
        <v>355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356</v>
      </c>
      <c r="E25" s="6" t="s">
        <v>126</v>
      </c>
      <c r="F25" s="10">
        <v>81</v>
      </c>
      <c r="G25" s="23" t="s">
        <v>293</v>
      </c>
      <c r="H25" s="25"/>
      <c r="BA25" s="73" t="s">
        <v>355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356</v>
      </c>
      <c r="E26" s="6" t="s">
        <v>349</v>
      </c>
      <c r="F26" s="10">
        <v>149</v>
      </c>
      <c r="G26" s="23" t="s">
        <v>293</v>
      </c>
      <c r="H26" s="25"/>
      <c r="BA26" s="73" t="s">
        <v>355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356</v>
      </c>
      <c r="E27" s="6" t="s">
        <v>350</v>
      </c>
      <c r="F27" s="10">
        <v>59</v>
      </c>
      <c r="G27" s="23" t="s">
        <v>293</v>
      </c>
      <c r="H27" s="25"/>
      <c r="BA27" s="73" t="s">
        <v>355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356</v>
      </c>
      <c r="E28" s="6" t="s">
        <v>122</v>
      </c>
      <c r="F28" s="10">
        <v>45</v>
      </c>
      <c r="G28" s="23" t="s">
        <v>293</v>
      </c>
      <c r="H28" s="25"/>
      <c r="BA28" s="73" t="s">
        <v>355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356</v>
      </c>
      <c r="E29" s="6" t="s">
        <v>124</v>
      </c>
      <c r="F29" s="10">
        <v>36</v>
      </c>
      <c r="G29" s="23" t="s">
        <v>293</v>
      </c>
      <c r="H29" s="25"/>
      <c r="BA29" s="73" t="s">
        <v>355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356</v>
      </c>
      <c r="E30" s="6" t="s">
        <v>351</v>
      </c>
      <c r="F30" s="10">
        <v>1.05</v>
      </c>
      <c r="G30" s="23" t="s">
        <v>293</v>
      </c>
      <c r="H30" s="25"/>
      <c r="BA30" s="73" t="s">
        <v>355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356</v>
      </c>
      <c r="E31" s="6" t="s">
        <v>353</v>
      </c>
      <c r="F31" s="10">
        <v>34.1</v>
      </c>
      <c r="G31" s="23" t="s">
        <v>293</v>
      </c>
      <c r="H31" s="25"/>
      <c r="BA31" s="73" t="s">
        <v>355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356</v>
      </c>
      <c r="E32" s="6" t="s">
        <v>133</v>
      </c>
      <c r="F32" s="10">
        <v>142</v>
      </c>
      <c r="G32" s="23" t="s">
        <v>293</v>
      </c>
      <c r="H32" s="25"/>
      <c r="BA32" s="73" t="s">
        <v>355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356</v>
      </c>
      <c r="E33" s="6" t="s">
        <v>135</v>
      </c>
      <c r="F33" s="10">
        <v>3.6</v>
      </c>
      <c r="G33" s="23" t="s">
        <v>293</v>
      </c>
      <c r="H33" s="25"/>
      <c r="BA33" s="73" t="s">
        <v>355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356</v>
      </c>
      <c r="E34" s="6" t="s">
        <v>136</v>
      </c>
      <c r="F34" s="10">
        <v>121</v>
      </c>
      <c r="G34" s="23" t="s">
        <v>293</v>
      </c>
      <c r="H34" s="25"/>
      <c r="BA34" s="73" t="s">
        <v>355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356</v>
      </c>
      <c r="E35" s="6" t="s">
        <v>339</v>
      </c>
      <c r="F35" s="10">
        <v>4.91</v>
      </c>
      <c r="G35" s="23" t="s">
        <v>293</v>
      </c>
      <c r="H35" s="25"/>
      <c r="BA35" s="73" t="s">
        <v>355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356</v>
      </c>
      <c r="E36" s="6" t="s">
        <v>118</v>
      </c>
      <c r="F36" s="10">
        <v>4.7</v>
      </c>
      <c r="G36" s="23" t="s">
        <v>293</v>
      </c>
      <c r="H36" s="25"/>
      <c r="BA36" s="73" t="s">
        <v>355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356</v>
      </c>
      <c r="E37" s="6" t="s">
        <v>130</v>
      </c>
      <c r="F37" s="10">
        <v>3.92</v>
      </c>
      <c r="G37" s="23" t="s">
        <v>293</v>
      </c>
      <c r="H37" s="25"/>
      <c r="BA37" s="73" t="s">
        <v>355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356</v>
      </c>
      <c r="E38" s="6" t="s">
        <v>341</v>
      </c>
      <c r="F38" s="10">
        <v>0.311</v>
      </c>
      <c r="G38" s="23" t="s">
        <v>293</v>
      </c>
      <c r="H38" s="25"/>
      <c r="BA38" s="73" t="s">
        <v>355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356</v>
      </c>
      <c r="E39" s="6" t="s">
        <v>127</v>
      </c>
      <c r="F39" s="10">
        <v>1.2150000000000001</v>
      </c>
      <c r="G39" s="23" t="s">
        <v>293</v>
      </c>
      <c r="H39" s="25"/>
      <c r="BA39" s="73" t="s">
        <v>355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356</v>
      </c>
      <c r="E40" s="6" t="s">
        <v>131</v>
      </c>
      <c r="F40" s="10">
        <v>9.1</v>
      </c>
      <c r="G40" s="23" t="s">
        <v>293</v>
      </c>
      <c r="H40" s="25"/>
      <c r="BA40" s="73" t="s">
        <v>355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356</v>
      </c>
      <c r="E41" s="6" t="s">
        <v>342</v>
      </c>
      <c r="F41" s="10">
        <v>316</v>
      </c>
      <c r="G41" s="23" t="s">
        <v>293</v>
      </c>
      <c r="H41" s="25"/>
      <c r="BA41" s="73" t="s">
        <v>355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356</v>
      </c>
      <c r="E42" s="6" t="s">
        <v>119</v>
      </c>
      <c r="F42" s="10">
        <v>231</v>
      </c>
      <c r="G42" s="23" t="s">
        <v>293</v>
      </c>
      <c r="H42" s="25"/>
      <c r="BA42" s="73" t="s">
        <v>355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356</v>
      </c>
      <c r="E43" s="6" t="s">
        <v>120</v>
      </c>
      <c r="F43" s="10">
        <v>79</v>
      </c>
      <c r="G43" s="23" t="s">
        <v>293</v>
      </c>
      <c r="H43" s="25"/>
      <c r="BA43" s="73" t="s">
        <v>355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356</v>
      </c>
      <c r="E44" s="6" t="s">
        <v>117</v>
      </c>
      <c r="F44" s="10">
        <v>2.72</v>
      </c>
      <c r="G44" s="23" t="s">
        <v>293</v>
      </c>
      <c r="H44" s="25"/>
      <c r="BA44" s="73" t="s">
        <v>355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356</v>
      </c>
      <c r="E45" s="6" t="s">
        <v>344</v>
      </c>
      <c r="F45" s="10">
        <v>233</v>
      </c>
      <c r="G45" s="23" t="s">
        <v>293</v>
      </c>
      <c r="H45" s="25"/>
      <c r="BA45" s="73" t="s">
        <v>355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356</v>
      </c>
      <c r="E46" s="6" t="s">
        <v>132</v>
      </c>
      <c r="F46" s="10">
        <v>3.65</v>
      </c>
      <c r="G46" s="23" t="s">
        <v>293</v>
      </c>
      <c r="H46" s="25"/>
      <c r="BA46" s="73" t="s">
        <v>355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356</v>
      </c>
      <c r="E47" s="6" t="s">
        <v>111</v>
      </c>
      <c r="F47" s="10">
        <v>89</v>
      </c>
      <c r="G47" s="23" t="s">
        <v>293</v>
      </c>
      <c r="H47" s="25"/>
      <c r="BA47" s="73" t="s">
        <v>355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356</v>
      </c>
      <c r="E48" s="6" t="s">
        <v>345</v>
      </c>
      <c r="F48" s="10">
        <v>5.28</v>
      </c>
      <c r="G48" s="23" t="s">
        <v>293</v>
      </c>
      <c r="H48" s="25"/>
      <c r="BA48" s="73" t="s">
        <v>355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356</v>
      </c>
      <c r="E49" s="6" t="s">
        <v>347</v>
      </c>
      <c r="F49" s="10">
        <v>2.2000000000000002</v>
      </c>
      <c r="G49" s="23" t="s">
        <v>293</v>
      </c>
      <c r="H49" s="25"/>
      <c r="BA49" s="73" t="s">
        <v>355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356</v>
      </c>
      <c r="E50" s="6" t="s">
        <v>128</v>
      </c>
      <c r="F50" s="10">
        <v>6.8</v>
      </c>
      <c r="G50" s="23" t="s">
        <v>293</v>
      </c>
      <c r="H50" s="25"/>
      <c r="BA50" s="73" t="s">
        <v>355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356</v>
      </c>
      <c r="E51" s="6" t="s">
        <v>121</v>
      </c>
      <c r="F51" s="10">
        <v>159</v>
      </c>
      <c r="G51" s="23" t="s">
        <v>293</v>
      </c>
      <c r="H51" s="25"/>
      <c r="BA51" s="73" t="s">
        <v>355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356</v>
      </c>
      <c r="E52" s="6" t="s">
        <v>115</v>
      </c>
      <c r="F52" s="10">
        <v>33</v>
      </c>
      <c r="G52" s="23" t="s">
        <v>293</v>
      </c>
      <c r="H52" s="25"/>
      <c r="BA52" s="73" t="s">
        <v>355</v>
      </c>
      <c r="BB52" s="48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356</v>
      </c>
      <c r="E53" s="6" t="s">
        <v>137</v>
      </c>
      <c r="F53" s="10">
        <v>75</v>
      </c>
      <c r="G53" s="23" t="s">
        <v>293</v>
      </c>
      <c r="H53" s="25"/>
      <c r="BA53" s="73" t="s">
        <v>355</v>
      </c>
      <c r="BB53" s="48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356</v>
      </c>
      <c r="E54" s="6" t="s">
        <v>348</v>
      </c>
      <c r="F54" s="10">
        <v>144</v>
      </c>
      <c r="G54" s="23" t="s">
        <v>293</v>
      </c>
      <c r="H54" s="25"/>
      <c r="BA54" s="73" t="s">
        <v>355</v>
      </c>
      <c r="BB54" s="48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356</v>
      </c>
      <c r="E55" s="6" t="s">
        <v>125</v>
      </c>
      <c r="F55" s="10">
        <v>104</v>
      </c>
      <c r="G55" s="23" t="s">
        <v>293</v>
      </c>
      <c r="H55" s="25"/>
      <c r="BA55" s="73" t="s">
        <v>355</v>
      </c>
      <c r="BB55" s="48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356</v>
      </c>
      <c r="E56" s="6" t="s">
        <v>126</v>
      </c>
      <c r="F56" s="10">
        <v>80</v>
      </c>
      <c r="G56" s="23" t="s">
        <v>293</v>
      </c>
      <c r="H56" s="25"/>
      <c r="BA56" s="73" t="s">
        <v>355</v>
      </c>
      <c r="BB56" s="48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356</v>
      </c>
      <c r="E57" s="6" t="s">
        <v>349</v>
      </c>
      <c r="F57" s="10">
        <v>159</v>
      </c>
      <c r="G57" s="23" t="s">
        <v>293</v>
      </c>
      <c r="H57" s="25"/>
      <c r="BA57" s="73" t="s">
        <v>355</v>
      </c>
      <c r="BB57" s="48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356</v>
      </c>
      <c r="E58" s="6" t="s">
        <v>350</v>
      </c>
      <c r="F58" s="10">
        <v>61</v>
      </c>
      <c r="G58" s="23" t="s">
        <v>293</v>
      </c>
      <c r="H58" s="25"/>
      <c r="BA58" s="73" t="s">
        <v>355</v>
      </c>
      <c r="BB58" s="48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356</v>
      </c>
      <c r="E59" s="6" t="s">
        <v>122</v>
      </c>
      <c r="F59" s="10">
        <v>48</v>
      </c>
      <c r="G59" s="23" t="s">
        <v>293</v>
      </c>
      <c r="H59" s="25"/>
      <c r="BA59" s="73" t="s">
        <v>355</v>
      </c>
      <c r="BB59" s="48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356</v>
      </c>
      <c r="E60" s="6" t="s">
        <v>124</v>
      </c>
      <c r="F60" s="10">
        <v>32</v>
      </c>
      <c r="G60" s="23" t="s">
        <v>293</v>
      </c>
      <c r="H60" s="25"/>
      <c r="BA60" s="73" t="s">
        <v>355</v>
      </c>
      <c r="BB60" s="48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356</v>
      </c>
      <c r="E61" s="6" t="s">
        <v>351</v>
      </c>
      <c r="F61" s="10">
        <v>0.96</v>
      </c>
      <c r="G61" s="23" t="s">
        <v>293</v>
      </c>
      <c r="H61" s="25"/>
      <c r="BA61" s="73" t="s">
        <v>355</v>
      </c>
      <c r="BB61" s="48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356</v>
      </c>
      <c r="E62" s="6" t="s">
        <v>353</v>
      </c>
      <c r="F62" s="10">
        <v>42</v>
      </c>
      <c r="G62" s="23" t="s">
        <v>293</v>
      </c>
      <c r="H62" s="25"/>
      <c r="BA62" s="73" t="s">
        <v>355</v>
      </c>
      <c r="BB62" s="48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356</v>
      </c>
      <c r="E63" s="6" t="s">
        <v>133</v>
      </c>
      <c r="F63" s="10">
        <v>146</v>
      </c>
      <c r="G63" s="23" t="s">
        <v>293</v>
      </c>
      <c r="H63" s="25"/>
      <c r="BA63" s="73" t="s">
        <v>355</v>
      </c>
      <c r="BB63" s="48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356</v>
      </c>
      <c r="E64" s="6" t="s">
        <v>135</v>
      </c>
      <c r="F64" s="10">
        <v>3.7</v>
      </c>
      <c r="G64" s="23" t="s">
        <v>293</v>
      </c>
      <c r="H64" s="25"/>
      <c r="BA64" s="73" t="s">
        <v>355</v>
      </c>
      <c r="BB64" s="48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356</v>
      </c>
      <c r="E65" s="6" t="s">
        <v>136</v>
      </c>
      <c r="F65" s="10">
        <v>116</v>
      </c>
      <c r="G65" s="23" t="s">
        <v>293</v>
      </c>
      <c r="H65" s="25"/>
      <c r="BA65" s="73" t="s">
        <v>355</v>
      </c>
      <c r="BB65" s="48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356</v>
      </c>
      <c r="E66" s="6" t="s">
        <v>339</v>
      </c>
      <c r="F66" s="10">
        <v>4.67</v>
      </c>
      <c r="G66" s="23" t="s">
        <v>293</v>
      </c>
      <c r="H66" s="25"/>
      <c r="BA66" s="73" t="s">
        <v>355</v>
      </c>
      <c r="BB66" s="48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356</v>
      </c>
      <c r="E67" s="6" t="s">
        <v>118</v>
      </c>
      <c r="F67" s="10">
        <v>4.8</v>
      </c>
      <c r="G67" s="23" t="s">
        <v>293</v>
      </c>
      <c r="H67" s="25"/>
      <c r="BA67" s="73" t="s">
        <v>355</v>
      </c>
      <c r="BB67" s="48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356</v>
      </c>
      <c r="E68" s="6" t="s">
        <v>130</v>
      </c>
      <c r="F68" s="10">
        <v>3.96</v>
      </c>
      <c r="G68" s="23" t="s">
        <v>293</v>
      </c>
      <c r="H68" s="25"/>
      <c r="BA68" s="73" t="s">
        <v>355</v>
      </c>
      <c r="BB68" s="48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356</v>
      </c>
      <c r="E69" s="6" t="s">
        <v>341</v>
      </c>
      <c r="F69" s="10">
        <v>0.316</v>
      </c>
      <c r="G69" s="23" t="s">
        <v>293</v>
      </c>
      <c r="H69" s="25"/>
      <c r="BA69" s="73" t="s">
        <v>355</v>
      </c>
      <c r="BB69" s="48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356</v>
      </c>
      <c r="E70" s="6" t="s">
        <v>127</v>
      </c>
      <c r="F70" s="10">
        <v>1.196</v>
      </c>
      <c r="G70" s="23" t="s">
        <v>293</v>
      </c>
      <c r="H70" s="25"/>
      <c r="BA70" s="73" t="s">
        <v>355</v>
      </c>
      <c r="BB70" s="48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356</v>
      </c>
      <c r="E71" s="6" t="s">
        <v>131</v>
      </c>
      <c r="F71" s="10">
        <v>8.8000000000000007</v>
      </c>
      <c r="G71" s="23" t="s">
        <v>293</v>
      </c>
      <c r="H71" s="25"/>
      <c r="BA71" s="73" t="s">
        <v>355</v>
      </c>
      <c r="BB71" s="48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356</v>
      </c>
      <c r="E72" s="6" t="s">
        <v>342</v>
      </c>
      <c r="F72" s="10">
        <v>325</v>
      </c>
      <c r="G72" s="23" t="s">
        <v>293</v>
      </c>
      <c r="H72" s="25"/>
      <c r="BA72" s="73" t="s">
        <v>355</v>
      </c>
      <c r="BB72" s="48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356</v>
      </c>
      <c r="E73" s="6" t="s">
        <v>119</v>
      </c>
      <c r="F73" s="10">
        <v>238</v>
      </c>
      <c r="G73" s="23" t="s">
        <v>293</v>
      </c>
      <c r="H73" s="25"/>
      <c r="BA73" s="73" t="s">
        <v>355</v>
      </c>
      <c r="BB73" s="48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356</v>
      </c>
      <c r="E74" s="6" t="s">
        <v>120</v>
      </c>
      <c r="F74" s="10">
        <v>80</v>
      </c>
      <c r="G74" s="23" t="s">
        <v>293</v>
      </c>
      <c r="H74" s="25"/>
      <c r="BA74" s="73" t="s">
        <v>355</v>
      </c>
      <c r="BB74" s="48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356</v>
      </c>
      <c r="E75" s="6" t="s">
        <v>117</v>
      </c>
      <c r="F75" s="10">
        <v>2.78</v>
      </c>
      <c r="G75" s="23" t="s">
        <v>293</v>
      </c>
      <c r="H75" s="25"/>
      <c r="BA75" s="73" t="s">
        <v>355</v>
      </c>
      <c r="BB75" s="48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356</v>
      </c>
      <c r="E76" s="6" t="s">
        <v>344</v>
      </c>
      <c r="F76" s="10">
        <v>234</v>
      </c>
      <c r="G76" s="23" t="s">
        <v>293</v>
      </c>
      <c r="H76" s="25"/>
      <c r="BA76" s="73" t="s">
        <v>355</v>
      </c>
      <c r="BB76" s="48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356</v>
      </c>
      <c r="E77" s="6" t="s">
        <v>132</v>
      </c>
      <c r="F77" s="10">
        <v>3.61</v>
      </c>
      <c r="G77" s="23" t="s">
        <v>293</v>
      </c>
      <c r="H77" s="25"/>
      <c r="BA77" s="73" t="s">
        <v>355</v>
      </c>
      <c r="BB77" s="48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356</v>
      </c>
      <c r="E78" s="6" t="s">
        <v>111</v>
      </c>
      <c r="F78" s="10">
        <v>90</v>
      </c>
      <c r="G78" s="23" t="s">
        <v>293</v>
      </c>
      <c r="H78" s="25"/>
      <c r="BA78" s="73" t="s">
        <v>355</v>
      </c>
      <c r="BB78" s="48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356</v>
      </c>
      <c r="E79" s="6" t="s">
        <v>345</v>
      </c>
      <c r="F79" s="10">
        <v>5.19</v>
      </c>
      <c r="G79" s="23" t="s">
        <v>293</v>
      </c>
      <c r="H79" s="25"/>
      <c r="BA79" s="73" t="s">
        <v>355</v>
      </c>
      <c r="BB79" s="48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356</v>
      </c>
      <c r="E80" s="6" t="s">
        <v>347</v>
      </c>
      <c r="F80" s="10">
        <v>2.2000000000000002</v>
      </c>
      <c r="G80" s="23" t="s">
        <v>293</v>
      </c>
      <c r="H80" s="25"/>
      <c r="BA80" s="73" t="s">
        <v>355</v>
      </c>
      <c r="BB80" s="48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356</v>
      </c>
      <c r="E81" s="6" t="s">
        <v>128</v>
      </c>
      <c r="F81" s="10">
        <v>6.7</v>
      </c>
      <c r="G81" s="23" t="s">
        <v>293</v>
      </c>
      <c r="H81" s="25"/>
      <c r="BA81" s="73" t="s">
        <v>355</v>
      </c>
      <c r="BB81" s="48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356</v>
      </c>
      <c r="E82" s="6" t="s">
        <v>121</v>
      </c>
      <c r="F82" s="10">
        <v>158</v>
      </c>
      <c r="G82" s="23" t="s">
        <v>293</v>
      </c>
      <c r="H82" s="25"/>
      <c r="BA82" s="73" t="s">
        <v>355</v>
      </c>
      <c r="BB82" s="48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356</v>
      </c>
      <c r="E83" s="6" t="s">
        <v>115</v>
      </c>
      <c r="F83" s="10">
        <v>32</v>
      </c>
      <c r="G83" s="23" t="s">
        <v>293</v>
      </c>
      <c r="H83" s="25"/>
      <c r="BA83" s="73" t="s">
        <v>355</v>
      </c>
      <c r="BB83" s="48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356</v>
      </c>
      <c r="E84" s="6" t="s">
        <v>137</v>
      </c>
      <c r="F84" s="10">
        <v>74</v>
      </c>
      <c r="G84" s="23" t="s">
        <v>293</v>
      </c>
      <c r="H84" s="25"/>
      <c r="BA84" s="73" t="s">
        <v>355</v>
      </c>
      <c r="BB84" s="48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356</v>
      </c>
      <c r="E85" s="6" t="s">
        <v>348</v>
      </c>
      <c r="F85" s="10">
        <v>148</v>
      </c>
      <c r="G85" s="23" t="s">
        <v>293</v>
      </c>
      <c r="H85" s="25"/>
      <c r="BA85" s="73" t="s">
        <v>355</v>
      </c>
      <c r="BB85" s="48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356</v>
      </c>
      <c r="E86" s="6" t="s">
        <v>125</v>
      </c>
      <c r="F86" s="10">
        <v>106</v>
      </c>
      <c r="G86" s="23" t="s">
        <v>293</v>
      </c>
      <c r="H86" s="25"/>
      <c r="BA86" s="73" t="s">
        <v>355</v>
      </c>
      <c r="BB86" s="48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356</v>
      </c>
      <c r="E87" s="6" t="s">
        <v>126</v>
      </c>
      <c r="F87" s="10">
        <v>76</v>
      </c>
      <c r="G87" s="23" t="s">
        <v>293</v>
      </c>
      <c r="H87" s="25"/>
      <c r="BA87" s="73" t="s">
        <v>355</v>
      </c>
      <c r="BB87" s="48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356</v>
      </c>
      <c r="E88" s="6" t="s">
        <v>349</v>
      </c>
      <c r="F88" s="10">
        <v>150</v>
      </c>
      <c r="G88" s="23" t="s">
        <v>293</v>
      </c>
      <c r="H88" s="25"/>
      <c r="BA88" s="73" t="s">
        <v>355</v>
      </c>
      <c r="BB88" s="48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356</v>
      </c>
      <c r="E89" s="6" t="s">
        <v>350</v>
      </c>
      <c r="F89" s="10">
        <v>60</v>
      </c>
      <c r="G89" s="23" t="s">
        <v>293</v>
      </c>
      <c r="H89" s="25"/>
      <c r="BA89" s="73" t="s">
        <v>355</v>
      </c>
      <c r="BB89" s="48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356</v>
      </c>
      <c r="E90" s="6" t="s">
        <v>122</v>
      </c>
      <c r="F90" s="10">
        <v>46</v>
      </c>
      <c r="G90" s="23" t="s">
        <v>293</v>
      </c>
      <c r="H90" s="25"/>
      <c r="BA90" s="73" t="s">
        <v>355</v>
      </c>
      <c r="BB90" s="48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356</v>
      </c>
      <c r="E91" s="6" t="s">
        <v>124</v>
      </c>
      <c r="F91" s="10">
        <v>31</v>
      </c>
      <c r="G91" s="23" t="s">
        <v>293</v>
      </c>
      <c r="H91" s="25"/>
      <c r="BA91" s="73" t="s">
        <v>355</v>
      </c>
      <c r="BB91" s="48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356</v>
      </c>
      <c r="E92" s="6" t="s">
        <v>351</v>
      </c>
      <c r="F92" s="10">
        <v>0.98</v>
      </c>
      <c r="G92" s="23" t="s">
        <v>293</v>
      </c>
      <c r="H92" s="25"/>
      <c r="BA92" s="73" t="s">
        <v>355</v>
      </c>
      <c r="BB92" s="48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356</v>
      </c>
      <c r="E93" s="6" t="s">
        <v>353</v>
      </c>
      <c r="F93" s="10">
        <v>35.299999999999997</v>
      </c>
      <c r="G93" s="23" t="s">
        <v>293</v>
      </c>
      <c r="H93" s="25"/>
      <c r="BA93" s="73" t="s">
        <v>355</v>
      </c>
      <c r="BB93" s="48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356</v>
      </c>
      <c r="E94" s="6" t="s">
        <v>133</v>
      </c>
      <c r="F94" s="10">
        <v>145</v>
      </c>
      <c r="G94" s="23" t="s">
        <v>293</v>
      </c>
      <c r="H94" s="25"/>
      <c r="BA94" s="73" t="s">
        <v>355</v>
      </c>
      <c r="BB94" s="48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356</v>
      </c>
      <c r="E95" s="6" t="s">
        <v>135</v>
      </c>
      <c r="F95" s="10">
        <v>3.7</v>
      </c>
      <c r="G95" s="23" t="s">
        <v>293</v>
      </c>
      <c r="H95" s="25"/>
      <c r="BA95" s="73" t="s">
        <v>355</v>
      </c>
      <c r="BB95" s="48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356</v>
      </c>
      <c r="E96" s="6" t="s">
        <v>136</v>
      </c>
      <c r="F96" s="10">
        <v>119</v>
      </c>
      <c r="G96" s="23" t="s">
        <v>293</v>
      </c>
      <c r="H96" s="25"/>
      <c r="BA96" s="73" t="s">
        <v>355</v>
      </c>
      <c r="BB96" s="48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356</v>
      </c>
      <c r="E97" s="6" t="s">
        <v>339</v>
      </c>
      <c r="F97" s="10">
        <v>4.49</v>
      </c>
      <c r="G97" s="23" t="s">
        <v>293</v>
      </c>
      <c r="H97" s="25"/>
      <c r="BA97" s="73" t="s">
        <v>355</v>
      </c>
      <c r="BB97" s="48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356</v>
      </c>
      <c r="E98" s="6" t="s">
        <v>118</v>
      </c>
      <c r="F98" s="10">
        <v>4.5999999999999996</v>
      </c>
      <c r="G98" s="23" t="s">
        <v>293</v>
      </c>
      <c r="H98" s="25"/>
      <c r="BA98" s="73" t="s">
        <v>355</v>
      </c>
      <c r="BB98" s="48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356</v>
      </c>
      <c r="E99" s="6" t="s">
        <v>130</v>
      </c>
      <c r="F99" s="10">
        <v>3.92</v>
      </c>
      <c r="G99" s="23" t="s">
        <v>293</v>
      </c>
      <c r="H99" s="25"/>
      <c r="BA99" s="73" t="s">
        <v>355</v>
      </c>
      <c r="BB99" s="48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356</v>
      </c>
      <c r="E100" s="6" t="s">
        <v>341</v>
      </c>
      <c r="F100" s="10">
        <v>0.31</v>
      </c>
      <c r="G100" s="23" t="s">
        <v>293</v>
      </c>
      <c r="H100" s="25"/>
      <c r="BA100" s="73" t="s">
        <v>355</v>
      </c>
      <c r="BB100" s="48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356</v>
      </c>
      <c r="E101" s="6" t="s">
        <v>127</v>
      </c>
      <c r="F101" s="10">
        <v>1.1779999999999999</v>
      </c>
      <c r="G101" s="23" t="s">
        <v>293</v>
      </c>
      <c r="H101" s="25"/>
      <c r="BA101" s="73" t="s">
        <v>355</v>
      </c>
      <c r="BB101" s="48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356</v>
      </c>
      <c r="E102" s="6" t="s">
        <v>131</v>
      </c>
      <c r="F102" s="10">
        <v>8.9</v>
      </c>
      <c r="G102" s="23" t="s">
        <v>293</v>
      </c>
      <c r="H102" s="25"/>
      <c r="BA102" s="73" t="s">
        <v>355</v>
      </c>
      <c r="BB102" s="48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356</v>
      </c>
      <c r="E103" s="6" t="s">
        <v>342</v>
      </c>
      <c r="F103" s="10">
        <v>332</v>
      </c>
      <c r="G103" s="23" t="s">
        <v>293</v>
      </c>
      <c r="H103" s="25"/>
      <c r="BA103" s="73" t="s">
        <v>355</v>
      </c>
      <c r="BB103" s="48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356</v>
      </c>
      <c r="E104" s="6" t="s">
        <v>119</v>
      </c>
      <c r="F104" s="10">
        <v>236</v>
      </c>
      <c r="G104" s="23" t="s">
        <v>293</v>
      </c>
      <c r="H104" s="25"/>
      <c r="BA104" s="73" t="s">
        <v>355</v>
      </c>
      <c r="BB104" s="48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356</v>
      </c>
      <c r="E105" s="6" t="s">
        <v>120</v>
      </c>
      <c r="F105" s="10">
        <v>79</v>
      </c>
      <c r="G105" s="23" t="s">
        <v>293</v>
      </c>
      <c r="H105" s="25"/>
      <c r="BA105" s="73" t="s">
        <v>355</v>
      </c>
      <c r="BB105" s="48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356</v>
      </c>
      <c r="E106" s="6" t="s">
        <v>117</v>
      </c>
      <c r="F106" s="10">
        <v>2.57</v>
      </c>
      <c r="G106" s="23" t="s">
        <v>293</v>
      </c>
      <c r="H106" s="25"/>
      <c r="BA106" s="73" t="s">
        <v>355</v>
      </c>
      <c r="BB106" s="48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356</v>
      </c>
      <c r="E107" s="6" t="s">
        <v>344</v>
      </c>
      <c r="F107" s="10">
        <v>229</v>
      </c>
      <c r="G107" s="23" t="s">
        <v>293</v>
      </c>
      <c r="H107" s="25"/>
      <c r="BA107" s="73" t="s">
        <v>355</v>
      </c>
      <c r="BB107" s="48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356</v>
      </c>
      <c r="E108" s="6" t="s">
        <v>132</v>
      </c>
      <c r="F108" s="10">
        <v>3.51</v>
      </c>
      <c r="G108" s="23" t="s">
        <v>293</v>
      </c>
      <c r="H108" s="25"/>
      <c r="BA108" s="73" t="s">
        <v>355</v>
      </c>
      <c r="BB108" s="48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356</v>
      </c>
      <c r="E109" s="6" t="s">
        <v>111</v>
      </c>
      <c r="F109" s="10">
        <v>87</v>
      </c>
      <c r="G109" s="23" t="s">
        <v>293</v>
      </c>
      <c r="H109" s="25"/>
      <c r="BA109" s="73" t="s">
        <v>355</v>
      </c>
      <c r="BB109" s="48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356</v>
      </c>
      <c r="E110" s="6" t="s">
        <v>345</v>
      </c>
      <c r="F110" s="10">
        <v>5.18</v>
      </c>
      <c r="G110" s="23" t="s">
        <v>293</v>
      </c>
      <c r="H110" s="25"/>
      <c r="BA110" s="73" t="s">
        <v>355</v>
      </c>
      <c r="BB110" s="48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356</v>
      </c>
      <c r="E111" s="6" t="s">
        <v>347</v>
      </c>
      <c r="F111" s="10">
        <v>2.2000000000000002</v>
      </c>
      <c r="G111" s="23" t="s">
        <v>293</v>
      </c>
      <c r="H111" s="25"/>
      <c r="BA111" s="73" t="s">
        <v>355</v>
      </c>
      <c r="BB111" s="48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356</v>
      </c>
      <c r="E112" s="6" t="s">
        <v>128</v>
      </c>
      <c r="F112" s="10">
        <v>6.9</v>
      </c>
      <c r="G112" s="23" t="s">
        <v>293</v>
      </c>
      <c r="H112" s="25"/>
      <c r="BA112" s="73" t="s">
        <v>355</v>
      </c>
      <c r="BB112" s="48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356</v>
      </c>
      <c r="E113" s="6" t="s">
        <v>121</v>
      </c>
      <c r="F113" s="10">
        <v>160</v>
      </c>
      <c r="G113" s="23" t="s">
        <v>293</v>
      </c>
      <c r="H113" s="25"/>
      <c r="BA113" s="73" t="s">
        <v>355</v>
      </c>
      <c r="BB113" s="48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356</v>
      </c>
      <c r="E114" s="6" t="s">
        <v>115</v>
      </c>
      <c r="F114" s="10">
        <v>33</v>
      </c>
      <c r="G114" s="23" t="s">
        <v>293</v>
      </c>
      <c r="H114" s="25"/>
      <c r="BA114" s="73" t="s">
        <v>355</v>
      </c>
      <c r="BB114" s="48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356</v>
      </c>
      <c r="E115" s="6" t="s">
        <v>137</v>
      </c>
      <c r="F115" s="10">
        <v>74</v>
      </c>
      <c r="G115" s="23" t="s">
        <v>293</v>
      </c>
      <c r="H115" s="25"/>
      <c r="BA115" s="73" t="s">
        <v>355</v>
      </c>
      <c r="BB115" s="48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356</v>
      </c>
      <c r="E116" s="6" t="s">
        <v>348</v>
      </c>
      <c r="F116" s="10">
        <v>150</v>
      </c>
      <c r="G116" s="23" t="s">
        <v>293</v>
      </c>
      <c r="H116" s="25"/>
      <c r="BA116" s="73" t="s">
        <v>355</v>
      </c>
      <c r="BB116" s="48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356</v>
      </c>
      <c r="E117" s="6" t="s">
        <v>125</v>
      </c>
      <c r="F117" s="10">
        <v>116</v>
      </c>
      <c r="G117" s="23" t="s">
        <v>293</v>
      </c>
      <c r="H117" s="25"/>
      <c r="BA117" s="73" t="s">
        <v>355</v>
      </c>
      <c r="BB117" s="48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356</v>
      </c>
      <c r="E118" s="6" t="s">
        <v>126</v>
      </c>
      <c r="F118" s="10">
        <v>78</v>
      </c>
      <c r="G118" s="23" t="s">
        <v>293</v>
      </c>
      <c r="H118" s="25"/>
      <c r="BA118" s="73" t="s">
        <v>355</v>
      </c>
      <c r="BB118" s="48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356</v>
      </c>
      <c r="E119" s="6" t="s">
        <v>349</v>
      </c>
      <c r="F119" s="10">
        <v>156</v>
      </c>
      <c r="G119" s="23" t="s">
        <v>293</v>
      </c>
      <c r="H119" s="25"/>
      <c r="BA119" s="73" t="s">
        <v>355</v>
      </c>
      <c r="BB119" s="48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356</v>
      </c>
      <c r="E120" s="6" t="s">
        <v>350</v>
      </c>
      <c r="F120" s="10">
        <v>58</v>
      </c>
      <c r="G120" s="23" t="s">
        <v>293</v>
      </c>
      <c r="H120" s="25"/>
      <c r="BA120" s="73" t="s">
        <v>355</v>
      </c>
      <c r="BB120" s="48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356</v>
      </c>
      <c r="E121" s="6" t="s">
        <v>122</v>
      </c>
      <c r="F121" s="10">
        <v>45</v>
      </c>
      <c r="G121" s="23" t="s">
        <v>293</v>
      </c>
      <c r="H121" s="25"/>
      <c r="BA121" s="73" t="s">
        <v>355</v>
      </c>
      <c r="BB121" s="48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356</v>
      </c>
      <c r="E122" s="6" t="s">
        <v>124</v>
      </c>
      <c r="F122" s="10">
        <v>31</v>
      </c>
      <c r="G122" s="23" t="s">
        <v>293</v>
      </c>
      <c r="H122" s="25"/>
      <c r="BA122" s="73" t="s">
        <v>355</v>
      </c>
      <c r="BB122" s="48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356</v>
      </c>
      <c r="E123" s="6" t="s">
        <v>351</v>
      </c>
      <c r="F123" s="10">
        <v>0.99</v>
      </c>
      <c r="G123" s="23" t="s">
        <v>293</v>
      </c>
      <c r="H123" s="25"/>
      <c r="BA123" s="73" t="s">
        <v>355</v>
      </c>
      <c r="BB123" s="48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356</v>
      </c>
      <c r="E124" s="6" t="s">
        <v>353</v>
      </c>
      <c r="F124" s="10">
        <v>34</v>
      </c>
      <c r="G124" s="23" t="s">
        <v>293</v>
      </c>
      <c r="H124" s="25"/>
      <c r="BA124" s="73" t="s">
        <v>355</v>
      </c>
      <c r="BB124" s="48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356</v>
      </c>
      <c r="E125" s="6" t="s">
        <v>133</v>
      </c>
      <c r="F125" s="10">
        <v>144</v>
      </c>
      <c r="G125" s="23" t="s">
        <v>293</v>
      </c>
      <c r="H125" s="25"/>
      <c r="BA125" s="73" t="s">
        <v>355</v>
      </c>
      <c r="BB125" s="48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356</v>
      </c>
      <c r="E126" s="6" t="s">
        <v>135</v>
      </c>
      <c r="F126" s="10">
        <v>3.8</v>
      </c>
      <c r="G126" s="23" t="s">
        <v>293</v>
      </c>
      <c r="H126" s="25"/>
      <c r="BA126" s="73" t="s">
        <v>355</v>
      </c>
      <c r="BB126" s="48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356</v>
      </c>
      <c r="E127" s="6" t="s">
        <v>136</v>
      </c>
      <c r="F127" s="10">
        <v>118</v>
      </c>
      <c r="G127" s="23" t="s">
        <v>293</v>
      </c>
      <c r="H127" s="25"/>
      <c r="BA127" s="73" t="s">
        <v>355</v>
      </c>
      <c r="BB127" s="48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356</v>
      </c>
      <c r="E128" s="6" t="s">
        <v>339</v>
      </c>
      <c r="F128" s="10">
        <v>4.45</v>
      </c>
      <c r="G128" s="23" t="s">
        <v>293</v>
      </c>
      <c r="H128" s="25"/>
      <c r="BA128" s="73" t="s">
        <v>355</v>
      </c>
      <c r="BB128" s="48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356</v>
      </c>
      <c r="E129" s="6" t="s">
        <v>118</v>
      </c>
      <c r="F129" s="10">
        <v>4.7</v>
      </c>
      <c r="G129" s="23" t="s">
        <v>293</v>
      </c>
      <c r="H129" s="25"/>
      <c r="BA129" s="73" t="s">
        <v>355</v>
      </c>
      <c r="BB129" s="48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356</v>
      </c>
      <c r="E130" s="6" t="s">
        <v>130</v>
      </c>
      <c r="F130" s="10">
        <v>4.016</v>
      </c>
      <c r="G130" s="23" t="s">
        <v>293</v>
      </c>
      <c r="H130" s="25"/>
      <c r="BA130" s="73" t="s">
        <v>355</v>
      </c>
      <c r="BB130" s="48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356</v>
      </c>
      <c r="E131" s="6" t="s">
        <v>341</v>
      </c>
      <c r="F131" s="10">
        <v>0.3</v>
      </c>
      <c r="G131" s="23" t="s">
        <v>293</v>
      </c>
      <c r="H131" s="25"/>
      <c r="BA131" s="73" t="s">
        <v>355</v>
      </c>
      <c r="BB131" s="48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356</v>
      </c>
      <c r="E132" s="6" t="s">
        <v>127</v>
      </c>
      <c r="F132" s="10">
        <v>1.177</v>
      </c>
      <c r="G132" s="23" t="s">
        <v>293</v>
      </c>
      <c r="H132" s="25"/>
      <c r="BA132" s="73" t="s">
        <v>355</v>
      </c>
      <c r="BB132" s="48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356</v>
      </c>
      <c r="E133" s="6" t="s">
        <v>131</v>
      </c>
      <c r="F133" s="10">
        <v>8.4</v>
      </c>
      <c r="G133" s="23" t="s">
        <v>293</v>
      </c>
      <c r="H133" s="25"/>
      <c r="BA133" s="73" t="s">
        <v>355</v>
      </c>
      <c r="BB133" s="48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356</v>
      </c>
      <c r="E134" s="6" t="s">
        <v>342</v>
      </c>
      <c r="F134" s="10">
        <v>321</v>
      </c>
      <c r="G134" s="23" t="s">
        <v>293</v>
      </c>
      <c r="H134" s="25"/>
      <c r="BA134" s="73" t="s">
        <v>355</v>
      </c>
      <c r="BB134" s="48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356</v>
      </c>
      <c r="E135" s="6" t="s">
        <v>119</v>
      </c>
      <c r="F135" s="10">
        <v>237</v>
      </c>
      <c r="G135" s="23" t="s">
        <v>293</v>
      </c>
      <c r="H135" s="25"/>
      <c r="BA135" s="73" t="s">
        <v>355</v>
      </c>
      <c r="BB135" s="48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356</v>
      </c>
      <c r="E136" s="6" t="s">
        <v>120</v>
      </c>
      <c r="F136" s="10">
        <v>80</v>
      </c>
      <c r="G136" s="23" t="s">
        <v>293</v>
      </c>
      <c r="H136" s="25"/>
      <c r="BA136" s="73" t="s">
        <v>355</v>
      </c>
      <c r="BB136" s="48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356</v>
      </c>
      <c r="E137" s="6" t="s">
        <v>117</v>
      </c>
      <c r="F137" s="10">
        <v>2.63</v>
      </c>
      <c r="G137" s="23" t="s">
        <v>293</v>
      </c>
      <c r="H137" s="25"/>
      <c r="BA137" s="73" t="s">
        <v>355</v>
      </c>
      <c r="BB137" s="48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356</v>
      </c>
      <c r="E138" s="6" t="s">
        <v>344</v>
      </c>
      <c r="F138" s="10">
        <v>232</v>
      </c>
      <c r="G138" s="23" t="s">
        <v>293</v>
      </c>
      <c r="H138" s="25"/>
      <c r="BA138" s="73" t="s">
        <v>355</v>
      </c>
      <c r="BB138" s="48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356</v>
      </c>
      <c r="E139" s="6" t="s">
        <v>132</v>
      </c>
      <c r="F139" s="10">
        <v>3.61</v>
      </c>
      <c r="G139" s="23" t="s">
        <v>293</v>
      </c>
      <c r="H139" s="25"/>
      <c r="BA139" s="73" t="s">
        <v>355</v>
      </c>
      <c r="BB139" s="48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356</v>
      </c>
      <c r="E140" s="6" t="s">
        <v>111</v>
      </c>
      <c r="F140" s="10">
        <v>87</v>
      </c>
      <c r="G140" s="23" t="s">
        <v>293</v>
      </c>
      <c r="H140" s="25"/>
      <c r="BA140" s="73" t="s">
        <v>355</v>
      </c>
      <c r="BB140" s="48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356</v>
      </c>
      <c r="E141" s="6" t="s">
        <v>345</v>
      </c>
      <c r="F141" s="10">
        <v>5.2</v>
      </c>
      <c r="G141" s="23" t="s">
        <v>293</v>
      </c>
      <c r="H141" s="25"/>
      <c r="BA141" s="73" t="s">
        <v>355</v>
      </c>
      <c r="BB141" s="48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356</v>
      </c>
      <c r="E142" s="6" t="s">
        <v>347</v>
      </c>
      <c r="F142" s="10">
        <v>1.99</v>
      </c>
      <c r="G142" s="23" t="s">
        <v>293</v>
      </c>
      <c r="H142" s="25"/>
      <c r="BA142" s="73" t="s">
        <v>355</v>
      </c>
      <c r="BB142" s="48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356</v>
      </c>
      <c r="E143" s="6" t="s">
        <v>128</v>
      </c>
      <c r="F143" s="10">
        <v>7</v>
      </c>
      <c r="G143" s="23" t="s">
        <v>293</v>
      </c>
      <c r="H143" s="25"/>
      <c r="BA143" s="73" t="s">
        <v>355</v>
      </c>
      <c r="BB143" s="48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356</v>
      </c>
      <c r="E144" s="6" t="s">
        <v>121</v>
      </c>
      <c r="F144" s="10">
        <v>162</v>
      </c>
      <c r="G144" s="23" t="s">
        <v>293</v>
      </c>
      <c r="H144" s="25"/>
      <c r="BA144" s="73" t="s">
        <v>355</v>
      </c>
      <c r="BB144" s="48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356</v>
      </c>
      <c r="E145" s="6" t="s">
        <v>115</v>
      </c>
      <c r="F145" s="10">
        <v>30</v>
      </c>
      <c r="G145" s="23" t="s">
        <v>293</v>
      </c>
      <c r="H145" s="25"/>
      <c r="BA145" s="73" t="s">
        <v>355</v>
      </c>
      <c r="BB145" s="48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356</v>
      </c>
      <c r="E146" s="6" t="s">
        <v>137</v>
      </c>
      <c r="F146" s="10">
        <v>74</v>
      </c>
      <c r="G146" s="23" t="s">
        <v>293</v>
      </c>
      <c r="H146" s="25"/>
      <c r="BA146" s="73" t="s">
        <v>355</v>
      </c>
      <c r="BB146" s="48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356</v>
      </c>
      <c r="E147" s="6" t="s">
        <v>348</v>
      </c>
      <c r="F147" s="10">
        <v>144</v>
      </c>
      <c r="G147" s="23" t="s">
        <v>293</v>
      </c>
      <c r="H147" s="25"/>
      <c r="BA147" s="73" t="s">
        <v>355</v>
      </c>
      <c r="BB147" s="48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356</v>
      </c>
      <c r="E148" s="6" t="s">
        <v>125</v>
      </c>
      <c r="F148" s="10">
        <v>118</v>
      </c>
      <c r="G148" s="23" t="s">
        <v>293</v>
      </c>
      <c r="H148" s="25"/>
      <c r="BA148" s="73" t="s">
        <v>355</v>
      </c>
      <c r="BB148" s="48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356</v>
      </c>
      <c r="E149" s="6" t="s">
        <v>126</v>
      </c>
      <c r="F149" s="10">
        <v>79</v>
      </c>
      <c r="G149" s="23" t="s">
        <v>293</v>
      </c>
      <c r="H149" s="25"/>
      <c r="BA149" s="73" t="s">
        <v>355</v>
      </c>
      <c r="BB149" s="48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356</v>
      </c>
      <c r="E150" s="6" t="s">
        <v>349</v>
      </c>
      <c r="F150" s="10">
        <v>160</v>
      </c>
      <c r="G150" s="23" t="s">
        <v>293</v>
      </c>
      <c r="H150" s="25"/>
      <c r="BA150" s="73" t="s">
        <v>355</v>
      </c>
      <c r="BB150" s="48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356</v>
      </c>
      <c r="E151" s="6" t="s">
        <v>350</v>
      </c>
      <c r="F151" s="10">
        <v>60</v>
      </c>
      <c r="G151" s="23" t="s">
        <v>293</v>
      </c>
      <c r="H151" s="25"/>
      <c r="BA151" s="73" t="s">
        <v>355</v>
      </c>
      <c r="BB151" s="48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356</v>
      </c>
      <c r="E152" s="6" t="s">
        <v>122</v>
      </c>
      <c r="F152" s="10">
        <v>49</v>
      </c>
      <c r="G152" s="23" t="s">
        <v>293</v>
      </c>
      <c r="H152" s="25"/>
      <c r="BA152" s="73" t="s">
        <v>355</v>
      </c>
      <c r="BB152" s="48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356</v>
      </c>
      <c r="E153" s="6" t="s">
        <v>124</v>
      </c>
      <c r="F153" s="10">
        <v>32</v>
      </c>
      <c r="G153" s="23" t="s">
        <v>293</v>
      </c>
      <c r="H153" s="25"/>
      <c r="BA153" s="73" t="s">
        <v>355</v>
      </c>
      <c r="BB153" s="48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356</v>
      </c>
      <c r="E154" s="6" t="s">
        <v>351</v>
      </c>
      <c r="F154" s="10">
        <v>0.96</v>
      </c>
      <c r="G154" s="23" t="s">
        <v>293</v>
      </c>
      <c r="H154" s="25"/>
      <c r="BA154" s="73" t="s">
        <v>355</v>
      </c>
      <c r="BB154" s="48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356</v>
      </c>
      <c r="E155" s="6" t="s">
        <v>353</v>
      </c>
      <c r="F155" s="10">
        <v>33.299999999999997</v>
      </c>
      <c r="G155" s="23" t="s">
        <v>293</v>
      </c>
      <c r="H155" s="25"/>
      <c r="BA155" s="73" t="s">
        <v>355</v>
      </c>
      <c r="BB155" s="48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356</v>
      </c>
      <c r="E156" s="6" t="s">
        <v>133</v>
      </c>
      <c r="F156" s="10">
        <v>145</v>
      </c>
      <c r="G156" s="23" t="s">
        <v>293</v>
      </c>
      <c r="H156" s="25"/>
      <c r="BA156" s="73" t="s">
        <v>355</v>
      </c>
      <c r="BB156" s="48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356</v>
      </c>
      <c r="E157" s="6" t="s">
        <v>135</v>
      </c>
      <c r="F157" s="10">
        <v>3.8</v>
      </c>
      <c r="G157" s="23" t="s">
        <v>293</v>
      </c>
      <c r="H157" s="25"/>
      <c r="BA157" s="73" t="s">
        <v>355</v>
      </c>
      <c r="BB157" s="48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356</v>
      </c>
      <c r="E158" s="6" t="s">
        <v>136</v>
      </c>
      <c r="F158" s="10">
        <v>117</v>
      </c>
      <c r="G158" s="23" t="s">
        <v>293</v>
      </c>
      <c r="H158" s="25"/>
      <c r="BA158" s="73" t="s">
        <v>355</v>
      </c>
      <c r="BB158" s="48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356</v>
      </c>
      <c r="E159" s="6" t="s">
        <v>339</v>
      </c>
      <c r="F159" s="10">
        <v>4.45</v>
      </c>
      <c r="G159" s="23" t="s">
        <v>293</v>
      </c>
      <c r="H159" s="25"/>
      <c r="BA159" s="73" t="s">
        <v>355</v>
      </c>
      <c r="BB159" s="48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356</v>
      </c>
      <c r="E160" s="6" t="s">
        <v>118</v>
      </c>
      <c r="F160" s="10">
        <v>4.7</v>
      </c>
      <c r="G160" s="23" t="s">
        <v>293</v>
      </c>
      <c r="H160" s="25"/>
      <c r="BA160" s="73" t="s">
        <v>355</v>
      </c>
      <c r="BB160" s="48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356</v>
      </c>
      <c r="E161" s="6" t="s">
        <v>130</v>
      </c>
      <c r="F161" s="10">
        <v>4.1029999999999998</v>
      </c>
      <c r="G161" s="23" t="s">
        <v>293</v>
      </c>
      <c r="H161" s="25"/>
      <c r="BA161" s="73" t="s">
        <v>355</v>
      </c>
      <c r="BB161" s="48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356</v>
      </c>
      <c r="E162" s="6" t="s">
        <v>341</v>
      </c>
      <c r="F162" s="10">
        <v>0.30299999999999999</v>
      </c>
      <c r="G162" s="23" t="s">
        <v>293</v>
      </c>
      <c r="H162" s="25"/>
      <c r="BA162" s="73" t="s">
        <v>355</v>
      </c>
      <c r="BB162" s="48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356</v>
      </c>
      <c r="E163" s="6" t="s">
        <v>127</v>
      </c>
      <c r="F163" s="10">
        <v>1.1879999999999999</v>
      </c>
      <c r="G163" s="23" t="s">
        <v>293</v>
      </c>
      <c r="H163" s="25"/>
      <c r="BA163" s="73" t="s">
        <v>355</v>
      </c>
      <c r="BB163" s="48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356</v>
      </c>
      <c r="E164" s="6" t="s">
        <v>131</v>
      </c>
      <c r="F164" s="10">
        <v>8.6999999999999993</v>
      </c>
      <c r="G164" s="23" t="s">
        <v>293</v>
      </c>
      <c r="H164" s="25"/>
      <c r="BA164" s="73" t="s">
        <v>355</v>
      </c>
      <c r="BB164" s="48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356</v>
      </c>
      <c r="E165" s="6" t="s">
        <v>342</v>
      </c>
      <c r="F165" s="10">
        <v>335</v>
      </c>
      <c r="G165" s="23" t="s">
        <v>293</v>
      </c>
      <c r="H165" s="25"/>
      <c r="BA165" s="73" t="s">
        <v>355</v>
      </c>
      <c r="BB165" s="48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356</v>
      </c>
      <c r="E166" s="6" t="s">
        <v>119</v>
      </c>
      <c r="F166" s="10">
        <v>237</v>
      </c>
      <c r="G166" s="23" t="s">
        <v>293</v>
      </c>
      <c r="H166" s="25"/>
      <c r="BA166" s="73" t="s">
        <v>355</v>
      </c>
      <c r="BB166" s="48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356</v>
      </c>
      <c r="E167" s="6" t="s">
        <v>120</v>
      </c>
      <c r="F167" s="10">
        <v>79</v>
      </c>
      <c r="G167" s="23" t="s">
        <v>293</v>
      </c>
      <c r="H167" s="25"/>
      <c r="BA167" s="73" t="s">
        <v>355</v>
      </c>
      <c r="BB167" s="48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356</v>
      </c>
      <c r="E168" s="6" t="s">
        <v>117</v>
      </c>
      <c r="F168" s="10">
        <v>2.64</v>
      </c>
      <c r="G168" s="23" t="s">
        <v>293</v>
      </c>
      <c r="H168" s="25"/>
      <c r="BA168" s="73" t="s">
        <v>355</v>
      </c>
      <c r="BB168" s="48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356</v>
      </c>
      <c r="E169" s="6" t="s">
        <v>344</v>
      </c>
      <c r="F169" s="10">
        <v>230</v>
      </c>
      <c r="G169" s="23" t="s">
        <v>293</v>
      </c>
      <c r="H169" s="25"/>
      <c r="BA169" s="73" t="s">
        <v>355</v>
      </c>
      <c r="BB169" s="48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356</v>
      </c>
      <c r="E170" s="6" t="s">
        <v>132</v>
      </c>
      <c r="F170" s="10">
        <v>3.57</v>
      </c>
      <c r="G170" s="23" t="s">
        <v>293</v>
      </c>
      <c r="H170" s="25"/>
      <c r="BA170" s="73" t="s">
        <v>355</v>
      </c>
      <c r="BB170" s="48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356</v>
      </c>
      <c r="E171" s="6" t="s">
        <v>111</v>
      </c>
      <c r="F171" s="10">
        <v>87</v>
      </c>
      <c r="G171" s="23" t="s">
        <v>293</v>
      </c>
      <c r="H171" s="25"/>
      <c r="BA171" s="73" t="s">
        <v>355</v>
      </c>
      <c r="BB171" s="48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356</v>
      </c>
      <c r="E172" s="6" t="s">
        <v>345</v>
      </c>
      <c r="F172" s="10">
        <v>5.1100000000000003</v>
      </c>
      <c r="G172" s="23" t="s">
        <v>293</v>
      </c>
      <c r="H172" s="25"/>
      <c r="BA172" s="73" t="s">
        <v>355</v>
      </c>
      <c r="BB172" s="48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356</v>
      </c>
      <c r="E173" s="6" t="s">
        <v>347</v>
      </c>
      <c r="F173" s="10">
        <v>2.13</v>
      </c>
      <c r="G173" s="23" t="s">
        <v>293</v>
      </c>
      <c r="H173" s="25"/>
      <c r="BA173" s="73" t="s">
        <v>355</v>
      </c>
      <c r="BB173" s="48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356</v>
      </c>
      <c r="E174" s="6" t="s">
        <v>128</v>
      </c>
      <c r="F174" s="10">
        <v>7</v>
      </c>
      <c r="G174" s="23" t="s">
        <v>293</v>
      </c>
      <c r="H174" s="25"/>
      <c r="BA174" s="73" t="s">
        <v>355</v>
      </c>
      <c r="BB174" s="48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356</v>
      </c>
      <c r="E175" s="6" t="s">
        <v>121</v>
      </c>
      <c r="F175" s="10">
        <v>160</v>
      </c>
      <c r="G175" s="23" t="s">
        <v>293</v>
      </c>
      <c r="H175" s="25"/>
      <c r="BA175" s="73" t="s">
        <v>355</v>
      </c>
      <c r="BB175" s="48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356</v>
      </c>
      <c r="E176" s="6" t="s">
        <v>115</v>
      </c>
      <c r="F176" s="10">
        <v>34</v>
      </c>
      <c r="G176" s="23" t="s">
        <v>293</v>
      </c>
      <c r="H176" s="25"/>
      <c r="BA176" s="73" t="s">
        <v>355</v>
      </c>
      <c r="BB176" s="48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356</v>
      </c>
      <c r="E177" s="6" t="s">
        <v>137</v>
      </c>
      <c r="F177" s="10">
        <v>75</v>
      </c>
      <c r="G177" s="23" t="s">
        <v>293</v>
      </c>
      <c r="H177" s="25"/>
      <c r="BA177" s="73" t="s">
        <v>355</v>
      </c>
      <c r="BB177" s="48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356</v>
      </c>
      <c r="E178" s="6" t="s">
        <v>348</v>
      </c>
      <c r="F178" s="10">
        <v>143</v>
      </c>
      <c r="G178" s="23" t="s">
        <v>293</v>
      </c>
      <c r="H178" s="25"/>
      <c r="BA178" s="73" t="s">
        <v>355</v>
      </c>
      <c r="BB178" s="48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356</v>
      </c>
      <c r="E179" s="6" t="s">
        <v>125</v>
      </c>
      <c r="F179" s="10">
        <v>107</v>
      </c>
      <c r="G179" s="23" t="s">
        <v>293</v>
      </c>
      <c r="H179" s="25"/>
      <c r="BA179" s="73" t="s">
        <v>355</v>
      </c>
      <c r="BB179" s="48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356</v>
      </c>
      <c r="E180" s="6" t="s">
        <v>126</v>
      </c>
      <c r="F180" s="10">
        <v>78</v>
      </c>
      <c r="G180" s="23" t="s">
        <v>293</v>
      </c>
      <c r="H180" s="25"/>
      <c r="BA180" s="73" t="s">
        <v>355</v>
      </c>
      <c r="BB180" s="48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356</v>
      </c>
      <c r="E181" s="6" t="s">
        <v>349</v>
      </c>
      <c r="F181" s="10">
        <v>170</v>
      </c>
      <c r="G181" s="23" t="s">
        <v>293</v>
      </c>
      <c r="H181" s="25"/>
      <c r="BA181" s="73" t="s">
        <v>355</v>
      </c>
      <c r="BB181" s="48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356</v>
      </c>
      <c r="E182" s="6" t="s">
        <v>350</v>
      </c>
      <c r="F182" s="10">
        <v>61</v>
      </c>
      <c r="G182" s="23" t="s">
        <v>293</v>
      </c>
      <c r="H182" s="25"/>
      <c r="BA182" s="73" t="s">
        <v>355</v>
      </c>
      <c r="BB182" s="48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356</v>
      </c>
      <c r="E183" s="6" t="s">
        <v>122</v>
      </c>
      <c r="F183" s="10">
        <v>49</v>
      </c>
      <c r="G183" s="23" t="s">
        <v>293</v>
      </c>
      <c r="H183" s="25"/>
      <c r="BA183" s="73" t="s">
        <v>355</v>
      </c>
      <c r="BB183" s="48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356</v>
      </c>
      <c r="E184" s="6" t="s">
        <v>124</v>
      </c>
      <c r="F184" s="10">
        <v>32</v>
      </c>
      <c r="G184" s="23" t="s">
        <v>293</v>
      </c>
      <c r="H184" s="25"/>
      <c r="BA184" s="73" t="s">
        <v>355</v>
      </c>
      <c r="BB184" s="48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356</v>
      </c>
      <c r="E185" s="6" t="s">
        <v>351</v>
      </c>
      <c r="F185" s="10">
        <v>1.06</v>
      </c>
      <c r="G185" s="23" t="s">
        <v>293</v>
      </c>
      <c r="H185" s="25"/>
      <c r="BA185" s="73" t="s">
        <v>355</v>
      </c>
      <c r="BB185" s="48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356</v>
      </c>
      <c r="E186" s="6" t="s">
        <v>353</v>
      </c>
      <c r="F186" s="10">
        <v>32.6</v>
      </c>
      <c r="G186" s="23" t="s">
        <v>293</v>
      </c>
      <c r="H186" s="25"/>
      <c r="BA186" s="73" t="s">
        <v>355</v>
      </c>
      <c r="BB186" s="48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356</v>
      </c>
      <c r="E187" s="6" t="s">
        <v>133</v>
      </c>
      <c r="F187" s="10">
        <v>143</v>
      </c>
      <c r="G187" s="23" t="s">
        <v>293</v>
      </c>
      <c r="H187" s="25"/>
      <c r="BA187" s="73" t="s">
        <v>355</v>
      </c>
      <c r="BB187" s="48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356</v>
      </c>
      <c r="E188" s="6" t="s">
        <v>135</v>
      </c>
      <c r="F188" s="10">
        <v>3.6</v>
      </c>
      <c r="G188" s="23" t="s">
        <v>293</v>
      </c>
      <c r="H188" s="25"/>
      <c r="BA188" s="73" t="s">
        <v>355</v>
      </c>
      <c r="BB188" s="48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356</v>
      </c>
      <c r="E189" s="6" t="s">
        <v>136</v>
      </c>
      <c r="F189" s="10">
        <v>116</v>
      </c>
      <c r="G189" s="23" t="s">
        <v>293</v>
      </c>
      <c r="H189" s="25"/>
      <c r="BA189" s="73" t="s">
        <v>355</v>
      </c>
      <c r="BB189" s="48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356</v>
      </c>
      <c r="E190" s="6" t="s">
        <v>339</v>
      </c>
      <c r="F190" s="10">
        <v>4.5</v>
      </c>
      <c r="G190" s="23" t="s">
        <v>293</v>
      </c>
      <c r="H190" s="25"/>
      <c r="BA190" s="73" t="s">
        <v>355</v>
      </c>
      <c r="BB190" s="48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356</v>
      </c>
      <c r="E191" s="6" t="s">
        <v>118</v>
      </c>
      <c r="F191" s="10">
        <v>4.7</v>
      </c>
      <c r="G191" s="23" t="s">
        <v>293</v>
      </c>
      <c r="H191" s="25"/>
      <c r="BA191" s="73" t="s">
        <v>355</v>
      </c>
      <c r="BB191" s="48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356</v>
      </c>
      <c r="E192" s="6" t="s">
        <v>130</v>
      </c>
      <c r="F192" s="10">
        <v>4.1189999999999998</v>
      </c>
      <c r="G192" s="23" t="s">
        <v>293</v>
      </c>
      <c r="H192" s="25"/>
      <c r="BA192" s="73" t="s">
        <v>355</v>
      </c>
      <c r="BB192" s="48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356</v>
      </c>
      <c r="E193" s="6" t="s">
        <v>341</v>
      </c>
      <c r="F193" s="10">
        <v>0.309</v>
      </c>
      <c r="G193" s="23" t="s">
        <v>293</v>
      </c>
      <c r="H193" s="25"/>
      <c r="BA193" s="73" t="s">
        <v>355</v>
      </c>
      <c r="BB193" s="48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356</v>
      </c>
      <c r="E194" s="6" t="s">
        <v>127</v>
      </c>
      <c r="F194" s="10">
        <v>1.1759999999999999</v>
      </c>
      <c r="G194" s="23" t="s">
        <v>293</v>
      </c>
      <c r="H194" s="25"/>
      <c r="BA194" s="73" t="s">
        <v>355</v>
      </c>
      <c r="BB194" s="48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356</v>
      </c>
      <c r="E195" s="6" t="s">
        <v>131</v>
      </c>
      <c r="F195" s="10">
        <v>8.6</v>
      </c>
      <c r="G195" s="23" t="s">
        <v>293</v>
      </c>
      <c r="H195" s="25"/>
      <c r="BA195" s="73" t="s">
        <v>355</v>
      </c>
      <c r="BB195" s="48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356</v>
      </c>
      <c r="E196" s="6" t="s">
        <v>342</v>
      </c>
      <c r="F196" s="10">
        <v>331</v>
      </c>
      <c r="G196" s="23" t="s">
        <v>293</v>
      </c>
      <c r="H196" s="25"/>
      <c r="BA196" s="73" t="s">
        <v>355</v>
      </c>
      <c r="BB196" s="48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356</v>
      </c>
      <c r="E197" s="6" t="s">
        <v>119</v>
      </c>
      <c r="F197" s="10">
        <v>237</v>
      </c>
      <c r="G197" s="23" t="s">
        <v>293</v>
      </c>
      <c r="H197" s="25"/>
      <c r="BA197" s="73" t="s">
        <v>355</v>
      </c>
      <c r="BB197" s="48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356</v>
      </c>
      <c r="E198" s="6" t="s">
        <v>120</v>
      </c>
      <c r="F198" s="10">
        <v>79</v>
      </c>
      <c r="G198" s="23" t="s">
        <v>293</v>
      </c>
      <c r="H198" s="25"/>
      <c r="BA198" s="73" t="s">
        <v>355</v>
      </c>
      <c r="BB198" s="48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356</v>
      </c>
      <c r="E199" s="6" t="s">
        <v>117</v>
      </c>
      <c r="F199" s="10">
        <v>2.63</v>
      </c>
      <c r="G199" s="23" t="s">
        <v>293</v>
      </c>
      <c r="H199" s="25"/>
      <c r="BA199" s="73" t="s">
        <v>355</v>
      </c>
      <c r="BB199" s="48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356</v>
      </c>
      <c r="E200" s="6" t="s">
        <v>344</v>
      </c>
      <c r="F200" s="10">
        <v>231</v>
      </c>
      <c r="G200" s="23" t="s">
        <v>293</v>
      </c>
      <c r="H200" s="25"/>
      <c r="BA200" s="73" t="s">
        <v>355</v>
      </c>
      <c r="BB200" s="48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356</v>
      </c>
      <c r="E201" s="6" t="s">
        <v>132</v>
      </c>
      <c r="F201" s="10">
        <v>3.84</v>
      </c>
      <c r="G201" s="23" t="s">
        <v>293</v>
      </c>
      <c r="H201" s="25"/>
      <c r="BA201" s="73" t="s">
        <v>355</v>
      </c>
      <c r="BB201" s="48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356</v>
      </c>
      <c r="E202" s="6" t="s">
        <v>111</v>
      </c>
      <c r="F202" s="10">
        <v>88</v>
      </c>
      <c r="G202" s="23" t="s">
        <v>293</v>
      </c>
      <c r="H202" s="25"/>
      <c r="BA202" s="73" t="s">
        <v>355</v>
      </c>
      <c r="BB202" s="48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356</v>
      </c>
      <c r="E203" s="6" t="s">
        <v>345</v>
      </c>
      <c r="F203" s="10">
        <v>5.24</v>
      </c>
      <c r="G203" s="23" t="s">
        <v>293</v>
      </c>
      <c r="H203" s="25"/>
      <c r="BA203" s="73" t="s">
        <v>355</v>
      </c>
      <c r="BB203" s="48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356</v>
      </c>
      <c r="E204" s="6" t="s">
        <v>347</v>
      </c>
      <c r="F204" s="10">
        <v>2.02</v>
      </c>
      <c r="G204" s="23" t="s">
        <v>293</v>
      </c>
      <c r="H204" s="25"/>
      <c r="BA204" s="73" t="s">
        <v>355</v>
      </c>
      <c r="BB204" s="48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356</v>
      </c>
      <c r="E205" s="6" t="s">
        <v>128</v>
      </c>
      <c r="F205" s="10">
        <v>6.9</v>
      </c>
      <c r="G205" s="23" t="s">
        <v>293</v>
      </c>
      <c r="H205" s="25"/>
      <c r="BA205" s="73" t="s">
        <v>355</v>
      </c>
      <c r="BB205" s="48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356</v>
      </c>
      <c r="E206" s="6" t="s">
        <v>121</v>
      </c>
      <c r="F206" s="10">
        <v>161</v>
      </c>
      <c r="G206" s="23" t="s">
        <v>293</v>
      </c>
      <c r="H206" s="25"/>
      <c r="BA206" s="73" t="s">
        <v>355</v>
      </c>
      <c r="BB206" s="48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356</v>
      </c>
      <c r="E207" s="6" t="s">
        <v>115</v>
      </c>
      <c r="F207" s="10">
        <v>33</v>
      </c>
      <c r="G207" s="23" t="s">
        <v>293</v>
      </c>
      <c r="H207" s="25"/>
      <c r="BA207" s="73" t="s">
        <v>355</v>
      </c>
      <c r="BB207" s="48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356</v>
      </c>
      <c r="E208" s="6" t="s">
        <v>137</v>
      </c>
      <c r="F208" s="10">
        <v>75</v>
      </c>
      <c r="G208" s="23" t="s">
        <v>293</v>
      </c>
      <c r="H208" s="25"/>
      <c r="BA208" s="73" t="s">
        <v>355</v>
      </c>
      <c r="BB208" s="48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356</v>
      </c>
      <c r="E209" s="6" t="s">
        <v>348</v>
      </c>
      <c r="F209" s="10">
        <v>143</v>
      </c>
      <c r="G209" s="23" t="s">
        <v>293</v>
      </c>
      <c r="H209" s="25"/>
      <c r="BA209" s="73" t="s">
        <v>355</v>
      </c>
      <c r="BB209" s="48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356</v>
      </c>
      <c r="E210" s="6" t="s">
        <v>125</v>
      </c>
      <c r="F210" s="10">
        <v>108</v>
      </c>
      <c r="G210" s="23" t="s">
        <v>293</v>
      </c>
      <c r="H210" s="25"/>
      <c r="BA210" s="73" t="s">
        <v>355</v>
      </c>
      <c r="BB210" s="48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356</v>
      </c>
      <c r="E211" s="6" t="s">
        <v>126</v>
      </c>
      <c r="F211" s="10">
        <v>77</v>
      </c>
      <c r="G211" s="23" t="s">
        <v>293</v>
      </c>
      <c r="H211" s="25"/>
      <c r="BA211" s="73" t="s">
        <v>355</v>
      </c>
      <c r="BB211" s="48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356</v>
      </c>
      <c r="E212" s="6" t="s">
        <v>349</v>
      </c>
      <c r="F212" s="10">
        <v>163</v>
      </c>
      <c r="G212" s="23" t="s">
        <v>293</v>
      </c>
      <c r="H212" s="25"/>
      <c r="BA212" s="73" t="s">
        <v>355</v>
      </c>
      <c r="BB212" s="48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356</v>
      </c>
      <c r="E213" s="6" t="s">
        <v>350</v>
      </c>
      <c r="F213" s="10">
        <v>60</v>
      </c>
      <c r="G213" s="23" t="s">
        <v>293</v>
      </c>
      <c r="H213" s="25"/>
      <c r="BA213" s="73" t="s">
        <v>355</v>
      </c>
      <c r="BB213" s="48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356</v>
      </c>
      <c r="E214" s="6" t="s">
        <v>122</v>
      </c>
      <c r="F214" s="10">
        <v>47</v>
      </c>
      <c r="G214" s="23" t="s">
        <v>293</v>
      </c>
      <c r="H214" s="25"/>
      <c r="BA214" s="73" t="s">
        <v>355</v>
      </c>
      <c r="BB214" s="48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356</v>
      </c>
      <c r="E215" s="6" t="s">
        <v>124</v>
      </c>
      <c r="F215" s="10">
        <v>30</v>
      </c>
      <c r="G215" s="23" t="s">
        <v>293</v>
      </c>
      <c r="H215" s="25"/>
      <c r="BA215" s="73" t="s">
        <v>355</v>
      </c>
      <c r="BB215" s="48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356</v>
      </c>
      <c r="E216" s="6" t="s">
        <v>351</v>
      </c>
      <c r="F216" s="10">
        <v>1.05</v>
      </c>
      <c r="G216" s="23" t="s">
        <v>293</v>
      </c>
      <c r="H216" s="25"/>
      <c r="BA216" s="73" t="s">
        <v>355</v>
      </c>
      <c r="BB216" s="48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356</v>
      </c>
      <c r="E217" s="6" t="s">
        <v>353</v>
      </c>
      <c r="F217" s="10">
        <v>36.299999999999997</v>
      </c>
      <c r="G217" s="23" t="s">
        <v>293</v>
      </c>
      <c r="H217" s="25"/>
      <c r="BA217" s="73" t="s">
        <v>355</v>
      </c>
      <c r="BB217" s="48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356</v>
      </c>
      <c r="E218" s="6" t="s">
        <v>133</v>
      </c>
      <c r="F218" s="10">
        <v>142</v>
      </c>
      <c r="G218" s="23" t="s">
        <v>293</v>
      </c>
      <c r="H218" s="25"/>
      <c r="BA218" s="73" t="s">
        <v>355</v>
      </c>
      <c r="BB218" s="48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356</v>
      </c>
      <c r="E219" s="6" t="s">
        <v>135</v>
      </c>
      <c r="F219" s="10">
        <v>3.6</v>
      </c>
      <c r="G219" s="23" t="s">
        <v>293</v>
      </c>
      <c r="H219" s="25"/>
      <c r="BA219" s="73" t="s">
        <v>355</v>
      </c>
      <c r="BB219" s="48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356</v>
      </c>
      <c r="E220" s="6" t="s">
        <v>136</v>
      </c>
      <c r="F220" s="10">
        <v>118</v>
      </c>
      <c r="G220" s="23" t="s">
        <v>293</v>
      </c>
      <c r="H220" s="25"/>
      <c r="BA220" s="73" t="s">
        <v>355</v>
      </c>
      <c r="BB220" s="48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356</v>
      </c>
      <c r="E221" s="6" t="s">
        <v>339</v>
      </c>
      <c r="F221" s="10">
        <v>4.5999999999999996</v>
      </c>
      <c r="G221" s="23" t="s">
        <v>293</v>
      </c>
      <c r="H221" s="25"/>
      <c r="BA221" s="73" t="s">
        <v>355</v>
      </c>
      <c r="BB221" s="48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356</v>
      </c>
      <c r="E222" s="6" t="s">
        <v>118</v>
      </c>
      <c r="F222" s="10">
        <v>4.8</v>
      </c>
      <c r="G222" s="23" t="s">
        <v>293</v>
      </c>
      <c r="H222" s="25"/>
      <c r="BA222" s="73" t="s">
        <v>355</v>
      </c>
      <c r="BB222" s="48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356</v>
      </c>
      <c r="E223" s="6" t="s">
        <v>130</v>
      </c>
      <c r="F223" s="10">
        <v>4.03</v>
      </c>
      <c r="G223" s="23" t="s">
        <v>293</v>
      </c>
      <c r="H223" s="25"/>
      <c r="BA223" s="73" t="s">
        <v>355</v>
      </c>
      <c r="BB223" s="48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356</v>
      </c>
      <c r="E224" s="6" t="s">
        <v>341</v>
      </c>
      <c r="F224" s="10">
        <v>0.315</v>
      </c>
      <c r="G224" s="23" t="s">
        <v>293</v>
      </c>
      <c r="H224" s="25"/>
      <c r="BA224" s="73" t="s">
        <v>355</v>
      </c>
      <c r="BB224" s="48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356</v>
      </c>
      <c r="E225" s="6" t="s">
        <v>127</v>
      </c>
      <c r="F225" s="10">
        <v>1.17</v>
      </c>
      <c r="G225" s="23" t="s">
        <v>293</v>
      </c>
      <c r="H225" s="25"/>
      <c r="BA225" s="73" t="s">
        <v>355</v>
      </c>
      <c r="BB225" s="48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356</v>
      </c>
      <c r="E226" s="6" t="s">
        <v>131</v>
      </c>
      <c r="F226" s="10">
        <v>8.6999999999999993</v>
      </c>
      <c r="G226" s="23" t="s">
        <v>293</v>
      </c>
      <c r="H226" s="25"/>
      <c r="BA226" s="73" t="s">
        <v>355</v>
      </c>
      <c r="BB226" s="48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356</v>
      </c>
      <c r="E227" s="6" t="s">
        <v>342</v>
      </c>
      <c r="F227" s="10">
        <v>323</v>
      </c>
      <c r="G227" s="23" t="s">
        <v>293</v>
      </c>
      <c r="H227" s="25"/>
      <c r="BA227" s="73" t="s">
        <v>355</v>
      </c>
      <c r="BB227" s="48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356</v>
      </c>
      <c r="E228" s="6" t="s">
        <v>119</v>
      </c>
      <c r="F228" s="10">
        <v>238</v>
      </c>
      <c r="G228" s="23" t="s">
        <v>293</v>
      </c>
      <c r="H228" s="25"/>
      <c r="BA228" s="73" t="s">
        <v>355</v>
      </c>
      <c r="BB228" s="48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356</v>
      </c>
      <c r="E229" s="6" t="s">
        <v>120</v>
      </c>
      <c r="F229" s="10">
        <v>80</v>
      </c>
      <c r="G229" s="23" t="s">
        <v>293</v>
      </c>
      <c r="H229" s="25"/>
      <c r="BA229" s="73" t="s">
        <v>355</v>
      </c>
      <c r="BB229" s="48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356</v>
      </c>
      <c r="E230" s="6" t="s">
        <v>117</v>
      </c>
      <c r="F230" s="10">
        <v>2.59</v>
      </c>
      <c r="G230" s="23" t="s">
        <v>293</v>
      </c>
      <c r="H230" s="25"/>
      <c r="BA230" s="73" t="s">
        <v>355</v>
      </c>
      <c r="BB230" s="48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356</v>
      </c>
      <c r="E231" s="6" t="s">
        <v>344</v>
      </c>
      <c r="F231" s="10">
        <v>229</v>
      </c>
      <c r="G231" s="23" t="s">
        <v>293</v>
      </c>
      <c r="H231" s="25"/>
      <c r="BA231" s="73" t="s">
        <v>355</v>
      </c>
      <c r="BB231" s="48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356</v>
      </c>
      <c r="E232" s="6" t="s">
        <v>132</v>
      </c>
      <c r="F232" s="10">
        <v>3.6</v>
      </c>
      <c r="G232" s="23" t="s">
        <v>293</v>
      </c>
      <c r="H232" s="25"/>
      <c r="BA232" s="73" t="s">
        <v>355</v>
      </c>
      <c r="BB232" s="48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356</v>
      </c>
      <c r="E233" s="6" t="s">
        <v>111</v>
      </c>
      <c r="F233" s="10">
        <v>86</v>
      </c>
      <c r="G233" s="23" t="s">
        <v>293</v>
      </c>
      <c r="H233" s="25"/>
      <c r="BA233" s="73" t="s">
        <v>355</v>
      </c>
      <c r="BB233" s="48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356</v>
      </c>
      <c r="E234" s="6" t="s">
        <v>345</v>
      </c>
      <c r="F234" s="10">
        <v>5.36</v>
      </c>
      <c r="G234" s="23" t="s">
        <v>293</v>
      </c>
      <c r="H234" s="25"/>
      <c r="BA234" s="73" t="s">
        <v>355</v>
      </c>
      <c r="BB234" s="48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356</v>
      </c>
      <c r="E235" s="6" t="s">
        <v>347</v>
      </c>
      <c r="F235" s="10">
        <v>1.98</v>
      </c>
      <c r="G235" s="23" t="s">
        <v>293</v>
      </c>
      <c r="H235" s="25"/>
      <c r="BA235" s="73" t="s">
        <v>355</v>
      </c>
      <c r="BB235" s="48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356</v>
      </c>
      <c r="E236" s="6" t="s">
        <v>128</v>
      </c>
      <c r="F236" s="10">
        <v>7</v>
      </c>
      <c r="G236" s="23" t="s">
        <v>293</v>
      </c>
      <c r="H236" s="25"/>
      <c r="BA236" s="73" t="s">
        <v>355</v>
      </c>
      <c r="BB236" s="48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356</v>
      </c>
      <c r="E237" s="6" t="s">
        <v>121</v>
      </c>
      <c r="F237" s="10">
        <v>158</v>
      </c>
      <c r="G237" s="23" t="s">
        <v>293</v>
      </c>
      <c r="H237" s="25"/>
      <c r="BA237" s="73" t="s">
        <v>355</v>
      </c>
      <c r="BB237" s="48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356</v>
      </c>
      <c r="E238" s="6" t="s">
        <v>115</v>
      </c>
      <c r="F238" s="10">
        <v>34</v>
      </c>
      <c r="G238" s="23" t="s">
        <v>293</v>
      </c>
      <c r="H238" s="25"/>
      <c r="BA238" s="73" t="s">
        <v>355</v>
      </c>
      <c r="BB238" s="48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356</v>
      </c>
      <c r="E239" s="6" t="s">
        <v>137</v>
      </c>
      <c r="F239" s="10">
        <v>74</v>
      </c>
      <c r="G239" s="23" t="s">
        <v>293</v>
      </c>
      <c r="H239" s="25"/>
      <c r="BA239" s="73" t="s">
        <v>355</v>
      </c>
      <c r="BB239" s="48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356</v>
      </c>
      <c r="E240" s="6" t="s">
        <v>348</v>
      </c>
      <c r="F240" s="10">
        <v>143</v>
      </c>
      <c r="G240" s="23" t="s">
        <v>293</v>
      </c>
      <c r="H240" s="25"/>
      <c r="BA240" s="73" t="s">
        <v>355</v>
      </c>
      <c r="BB240" s="48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356</v>
      </c>
      <c r="E241" s="6" t="s">
        <v>125</v>
      </c>
      <c r="F241" s="10">
        <v>105</v>
      </c>
      <c r="G241" s="23" t="s">
        <v>293</v>
      </c>
      <c r="H241" s="25"/>
      <c r="BA241" s="73" t="s">
        <v>355</v>
      </c>
      <c r="BB241" s="48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356</v>
      </c>
      <c r="E242" s="6" t="s">
        <v>126</v>
      </c>
      <c r="F242" s="10">
        <v>80</v>
      </c>
      <c r="G242" s="23" t="s">
        <v>293</v>
      </c>
      <c r="H242" s="25"/>
      <c r="BA242" s="73" t="s">
        <v>355</v>
      </c>
      <c r="BB242" s="48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356</v>
      </c>
      <c r="E243" s="6" t="s">
        <v>349</v>
      </c>
      <c r="F243" s="10">
        <v>152</v>
      </c>
      <c r="G243" s="23" t="s">
        <v>293</v>
      </c>
      <c r="H243" s="25"/>
      <c r="BA243" s="73" t="s">
        <v>355</v>
      </c>
      <c r="BB243" s="48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356</v>
      </c>
      <c r="E244" s="6" t="s">
        <v>350</v>
      </c>
      <c r="F244" s="10">
        <v>61</v>
      </c>
      <c r="G244" s="23" t="s">
        <v>293</v>
      </c>
      <c r="H244" s="25"/>
      <c r="BA244" s="73" t="s">
        <v>355</v>
      </c>
      <c r="BB244" s="48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356</v>
      </c>
      <c r="E245" s="6" t="s">
        <v>122</v>
      </c>
      <c r="F245" s="10">
        <v>48</v>
      </c>
      <c r="G245" s="23" t="s">
        <v>293</v>
      </c>
      <c r="H245" s="25"/>
      <c r="BA245" s="73" t="s">
        <v>355</v>
      </c>
      <c r="BB245" s="48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356</v>
      </c>
      <c r="E246" s="6" t="s">
        <v>124</v>
      </c>
      <c r="F246" s="10">
        <v>30</v>
      </c>
      <c r="G246" s="23" t="s">
        <v>293</v>
      </c>
      <c r="H246" s="25"/>
      <c r="BA246" s="73" t="s">
        <v>355</v>
      </c>
      <c r="BB246" s="48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356</v>
      </c>
      <c r="E247" s="6" t="s">
        <v>351</v>
      </c>
      <c r="F247" s="10">
        <v>1.05</v>
      </c>
      <c r="G247" s="23" t="s">
        <v>293</v>
      </c>
      <c r="H247" s="25"/>
      <c r="BA247" s="73" t="s">
        <v>355</v>
      </c>
      <c r="BB247" s="48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356</v>
      </c>
      <c r="E248" s="6" t="s">
        <v>353</v>
      </c>
      <c r="F248" s="10">
        <v>35.200000000000003</v>
      </c>
      <c r="G248" s="23" t="s">
        <v>293</v>
      </c>
      <c r="H248" s="25"/>
      <c r="BA248" s="73" t="s">
        <v>355</v>
      </c>
      <c r="BB248" s="48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356</v>
      </c>
      <c r="E249" s="6" t="s">
        <v>133</v>
      </c>
      <c r="F249" s="10">
        <v>140</v>
      </c>
      <c r="G249" s="23" t="s">
        <v>293</v>
      </c>
      <c r="H249" s="25"/>
      <c r="BA249" s="73" t="s">
        <v>355</v>
      </c>
      <c r="BB249" s="48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356</v>
      </c>
      <c r="E250" s="6" t="s">
        <v>135</v>
      </c>
      <c r="F250" s="10">
        <v>3.6</v>
      </c>
      <c r="G250" s="23" t="s">
        <v>293</v>
      </c>
      <c r="H250" s="25"/>
      <c r="BA250" s="73" t="s">
        <v>355</v>
      </c>
      <c r="BB250" s="48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356</v>
      </c>
      <c r="E251" s="6" t="s">
        <v>136</v>
      </c>
      <c r="F251" s="10">
        <v>116</v>
      </c>
      <c r="G251" s="23" t="s">
        <v>293</v>
      </c>
      <c r="H251" s="25"/>
      <c r="BA251" s="73" t="s">
        <v>355</v>
      </c>
      <c r="BB251" s="48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356</v>
      </c>
      <c r="E252" s="6" t="s">
        <v>339</v>
      </c>
      <c r="F252" s="10">
        <v>4.57</v>
      </c>
      <c r="G252" s="23" t="s">
        <v>293</v>
      </c>
      <c r="H252" s="25"/>
      <c r="BA252" s="73" t="s">
        <v>355</v>
      </c>
      <c r="BB252" s="48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356</v>
      </c>
      <c r="E253" s="6" t="s">
        <v>118</v>
      </c>
      <c r="F253" s="10">
        <v>4.7</v>
      </c>
      <c r="G253" s="23" t="s">
        <v>293</v>
      </c>
      <c r="H253" s="25"/>
      <c r="BA253" s="73" t="s">
        <v>355</v>
      </c>
      <c r="BB253" s="48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356</v>
      </c>
      <c r="E254" s="6" t="s">
        <v>130</v>
      </c>
      <c r="F254" s="10">
        <v>4.0650000000000004</v>
      </c>
      <c r="G254" s="23" t="s">
        <v>293</v>
      </c>
      <c r="H254" s="25"/>
      <c r="BA254" s="73" t="s">
        <v>355</v>
      </c>
      <c r="BB254" s="48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356</v>
      </c>
      <c r="E255" s="6" t="s">
        <v>341</v>
      </c>
      <c r="F255" s="10">
        <v>0.313</v>
      </c>
      <c r="G255" s="23" t="s">
        <v>293</v>
      </c>
      <c r="H255" s="25"/>
      <c r="BA255" s="73" t="s">
        <v>355</v>
      </c>
      <c r="BB255" s="48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356</v>
      </c>
      <c r="E256" s="6" t="s">
        <v>127</v>
      </c>
      <c r="F256" s="10">
        <v>1.145</v>
      </c>
      <c r="G256" s="23" t="s">
        <v>293</v>
      </c>
      <c r="H256" s="25"/>
      <c r="BA256" s="73" t="s">
        <v>355</v>
      </c>
      <c r="BB256" s="48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356</v>
      </c>
      <c r="E257" s="6" t="s">
        <v>131</v>
      </c>
      <c r="F257" s="10">
        <v>8.5</v>
      </c>
      <c r="G257" s="23" t="s">
        <v>293</v>
      </c>
      <c r="H257" s="25"/>
      <c r="BA257" s="73" t="s">
        <v>355</v>
      </c>
      <c r="BB257" s="48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356</v>
      </c>
      <c r="E258" s="6" t="s">
        <v>342</v>
      </c>
      <c r="F258" s="10">
        <v>325</v>
      </c>
      <c r="G258" s="23" t="s">
        <v>293</v>
      </c>
      <c r="H258" s="25"/>
      <c r="BA258" s="73" t="s">
        <v>355</v>
      </c>
      <c r="BB258" s="48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356</v>
      </c>
      <c r="E259" s="6" t="s">
        <v>119</v>
      </c>
      <c r="F259" s="10">
        <v>227</v>
      </c>
      <c r="G259" s="23" t="s">
        <v>293</v>
      </c>
      <c r="H259" s="25"/>
      <c r="BA259" s="73" t="s">
        <v>355</v>
      </c>
      <c r="BB259" s="48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356</v>
      </c>
      <c r="E260" s="6" t="s">
        <v>120</v>
      </c>
      <c r="F260" s="10">
        <v>77</v>
      </c>
      <c r="G260" s="23" t="s">
        <v>293</v>
      </c>
      <c r="H260" s="25"/>
      <c r="BA260" s="73" t="s">
        <v>355</v>
      </c>
      <c r="BB260" s="48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356</v>
      </c>
      <c r="E261" s="6" t="s">
        <v>117</v>
      </c>
      <c r="F261" s="10">
        <v>2.59</v>
      </c>
      <c r="G261" s="23" t="s">
        <v>293</v>
      </c>
      <c r="H261" s="25"/>
      <c r="BA261" s="73" t="s">
        <v>355</v>
      </c>
      <c r="BB261" s="48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356</v>
      </c>
      <c r="E262" s="6" t="s">
        <v>344</v>
      </c>
      <c r="F262" s="10">
        <v>231</v>
      </c>
      <c r="G262" s="23" t="s">
        <v>293</v>
      </c>
      <c r="H262" s="25"/>
      <c r="BA262" s="73" t="s">
        <v>355</v>
      </c>
      <c r="BB262" s="48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356</v>
      </c>
      <c r="E263" s="6" t="s">
        <v>132</v>
      </c>
      <c r="F263" s="10">
        <v>3.56</v>
      </c>
      <c r="G263" s="23" t="s">
        <v>293</v>
      </c>
      <c r="H263" s="25"/>
      <c r="BA263" s="73" t="s">
        <v>355</v>
      </c>
      <c r="BB263" s="48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356</v>
      </c>
      <c r="E264" s="6" t="s">
        <v>111</v>
      </c>
      <c r="F264" s="10">
        <v>88</v>
      </c>
      <c r="G264" s="23" t="s">
        <v>293</v>
      </c>
      <c r="H264" s="25"/>
      <c r="BA264" s="73" t="s">
        <v>355</v>
      </c>
      <c r="BB264" s="48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356</v>
      </c>
      <c r="E265" s="6" t="s">
        <v>345</v>
      </c>
      <c r="F265" s="10">
        <v>5.22</v>
      </c>
      <c r="G265" s="23" t="s">
        <v>293</v>
      </c>
      <c r="H265" s="25"/>
      <c r="BA265" s="73" t="s">
        <v>355</v>
      </c>
      <c r="BB265" s="48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356</v>
      </c>
      <c r="E266" s="6" t="s">
        <v>347</v>
      </c>
      <c r="F266" s="10">
        <v>2.09</v>
      </c>
      <c r="G266" s="23" t="s">
        <v>293</v>
      </c>
      <c r="H266" s="25"/>
      <c r="BA266" s="73" t="s">
        <v>355</v>
      </c>
      <c r="BB266" s="48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356</v>
      </c>
      <c r="E267" s="6" t="s">
        <v>128</v>
      </c>
      <c r="F267" s="10">
        <v>6.9</v>
      </c>
      <c r="G267" s="23" t="s">
        <v>293</v>
      </c>
      <c r="H267" s="25"/>
      <c r="BA267" s="73" t="s">
        <v>355</v>
      </c>
      <c r="BB267" s="48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356</v>
      </c>
      <c r="E268" s="6" t="s">
        <v>121</v>
      </c>
      <c r="F268" s="10">
        <v>163</v>
      </c>
      <c r="G268" s="23" t="s">
        <v>293</v>
      </c>
      <c r="H268" s="25"/>
      <c r="BA268" s="73" t="s">
        <v>355</v>
      </c>
      <c r="BB268" s="48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356</v>
      </c>
      <c r="E269" s="6" t="s">
        <v>115</v>
      </c>
      <c r="F269" s="10">
        <v>35</v>
      </c>
      <c r="G269" s="23" t="s">
        <v>293</v>
      </c>
      <c r="H269" s="25"/>
      <c r="BA269" s="73" t="s">
        <v>355</v>
      </c>
      <c r="BB269" s="48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356</v>
      </c>
      <c r="E270" s="6" t="s">
        <v>137</v>
      </c>
      <c r="F270" s="10">
        <v>74</v>
      </c>
      <c r="G270" s="23" t="s">
        <v>293</v>
      </c>
      <c r="H270" s="25"/>
      <c r="BA270" s="73" t="s">
        <v>355</v>
      </c>
      <c r="BB270" s="48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356</v>
      </c>
      <c r="E271" s="6" t="s">
        <v>348</v>
      </c>
      <c r="F271" s="10">
        <v>140</v>
      </c>
      <c r="G271" s="23" t="s">
        <v>293</v>
      </c>
      <c r="H271" s="25"/>
      <c r="BA271" s="73" t="s">
        <v>355</v>
      </c>
      <c r="BB271" s="48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356</v>
      </c>
      <c r="E272" s="6" t="s">
        <v>125</v>
      </c>
      <c r="F272" s="10">
        <v>114</v>
      </c>
      <c r="G272" s="23" t="s">
        <v>293</v>
      </c>
      <c r="H272" s="25"/>
      <c r="BA272" s="73" t="s">
        <v>355</v>
      </c>
      <c r="BB272" s="48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356</v>
      </c>
      <c r="E273" s="6" t="s">
        <v>126</v>
      </c>
      <c r="F273" s="10">
        <v>78</v>
      </c>
      <c r="G273" s="23" t="s">
        <v>293</v>
      </c>
      <c r="H273" s="25"/>
      <c r="BA273" s="73" t="s">
        <v>355</v>
      </c>
      <c r="BB273" s="48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356</v>
      </c>
      <c r="E274" s="6" t="s">
        <v>349</v>
      </c>
      <c r="F274" s="10">
        <v>146</v>
      </c>
      <c r="G274" s="23" t="s">
        <v>293</v>
      </c>
      <c r="H274" s="25"/>
      <c r="BA274" s="73" t="s">
        <v>355</v>
      </c>
      <c r="BB274" s="48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356</v>
      </c>
      <c r="E275" s="6" t="s">
        <v>350</v>
      </c>
      <c r="F275" s="10">
        <v>59</v>
      </c>
      <c r="G275" s="23" t="s">
        <v>293</v>
      </c>
      <c r="H275" s="25"/>
      <c r="BA275" s="73" t="s">
        <v>355</v>
      </c>
      <c r="BB275" s="48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356</v>
      </c>
      <c r="E276" s="6" t="s">
        <v>122</v>
      </c>
      <c r="F276" s="10">
        <v>45</v>
      </c>
      <c r="G276" s="23" t="s">
        <v>293</v>
      </c>
      <c r="H276" s="25"/>
      <c r="BA276" s="73" t="s">
        <v>355</v>
      </c>
      <c r="BB276" s="48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356</v>
      </c>
      <c r="E277" s="6" t="s">
        <v>124</v>
      </c>
      <c r="F277" s="10">
        <v>30</v>
      </c>
      <c r="G277" s="23" t="s">
        <v>293</v>
      </c>
      <c r="H277" s="25"/>
      <c r="BA277" s="73" t="s">
        <v>355</v>
      </c>
      <c r="BB277" s="48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356</v>
      </c>
      <c r="E278" s="6" t="s">
        <v>351</v>
      </c>
      <c r="F278" s="10">
        <v>1.01</v>
      </c>
      <c r="G278" s="23" t="s">
        <v>293</v>
      </c>
      <c r="H278" s="25"/>
      <c r="BA278" s="73" t="s">
        <v>355</v>
      </c>
      <c r="BB278" s="48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356</v>
      </c>
      <c r="E279" s="6" t="s">
        <v>353</v>
      </c>
      <c r="F279" s="10">
        <v>32.9</v>
      </c>
      <c r="G279" s="23" t="s">
        <v>293</v>
      </c>
      <c r="H279" s="25"/>
      <c r="BA279" s="73" t="s">
        <v>355</v>
      </c>
      <c r="BB279" s="48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356</v>
      </c>
      <c r="E280" s="6" t="s">
        <v>133</v>
      </c>
      <c r="F280" s="10">
        <v>145</v>
      </c>
      <c r="G280" s="23" t="s">
        <v>293</v>
      </c>
      <c r="H280" s="25"/>
      <c r="BA280" s="73" t="s">
        <v>355</v>
      </c>
      <c r="BB280" s="48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356</v>
      </c>
      <c r="E281" s="6" t="s">
        <v>135</v>
      </c>
      <c r="F281" s="10">
        <v>3.7</v>
      </c>
      <c r="G281" s="23" t="s">
        <v>293</v>
      </c>
      <c r="H281" s="25"/>
      <c r="BA281" s="73" t="s">
        <v>355</v>
      </c>
      <c r="BB281" s="48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356</v>
      </c>
      <c r="E282" s="6" t="s">
        <v>136</v>
      </c>
      <c r="F282" s="10">
        <v>119</v>
      </c>
      <c r="G282" s="23" t="s">
        <v>293</v>
      </c>
      <c r="H282" s="25"/>
      <c r="BA282" s="73" t="s">
        <v>355</v>
      </c>
      <c r="BB282" s="48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356</v>
      </c>
      <c r="E283" s="6" t="s">
        <v>339</v>
      </c>
      <c r="F283" s="10">
        <v>4.59</v>
      </c>
      <c r="G283" s="23" t="s">
        <v>293</v>
      </c>
      <c r="H283" s="25"/>
      <c r="BA283" s="73" t="s">
        <v>355</v>
      </c>
      <c r="BB283" s="48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356</v>
      </c>
      <c r="E284" s="6" t="s">
        <v>118</v>
      </c>
      <c r="F284" s="10">
        <v>4.5999999999999996</v>
      </c>
      <c r="G284" s="23" t="s">
        <v>293</v>
      </c>
      <c r="H284" s="25"/>
      <c r="BA284" s="73" t="s">
        <v>355</v>
      </c>
      <c r="BB284" s="48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356</v>
      </c>
      <c r="E285" s="6" t="s">
        <v>130</v>
      </c>
      <c r="F285" s="10">
        <v>4.0330000000000004</v>
      </c>
      <c r="G285" s="23" t="s">
        <v>293</v>
      </c>
      <c r="H285" s="25"/>
      <c r="BA285" s="73" t="s">
        <v>355</v>
      </c>
      <c r="BB285" s="48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356</v>
      </c>
      <c r="E286" s="6" t="s">
        <v>341</v>
      </c>
      <c r="F286" s="10">
        <v>0.28999999999999998</v>
      </c>
      <c r="G286" s="23" t="s">
        <v>293</v>
      </c>
      <c r="H286" s="25"/>
      <c r="BA286" s="73" t="s">
        <v>355</v>
      </c>
      <c r="BB286" s="48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356</v>
      </c>
      <c r="E287" s="6" t="s">
        <v>127</v>
      </c>
      <c r="F287" s="10">
        <v>1.1180000000000001</v>
      </c>
      <c r="G287" s="23" t="s">
        <v>293</v>
      </c>
      <c r="H287" s="25"/>
      <c r="BA287" s="73" t="s">
        <v>355</v>
      </c>
      <c r="BB287" s="48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356</v>
      </c>
      <c r="E288" s="6" t="s">
        <v>131</v>
      </c>
      <c r="F288" s="10">
        <v>8.6</v>
      </c>
      <c r="G288" s="23" t="s">
        <v>293</v>
      </c>
      <c r="H288" s="25"/>
      <c r="BA288" s="73" t="s">
        <v>355</v>
      </c>
      <c r="BB288" s="48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356</v>
      </c>
      <c r="E289" s="6" t="s">
        <v>342</v>
      </c>
      <c r="F289" s="10">
        <v>324</v>
      </c>
      <c r="G289" s="23" t="s">
        <v>293</v>
      </c>
      <c r="H289" s="25"/>
      <c r="BA289" s="73" t="s">
        <v>355</v>
      </c>
      <c r="BB289" s="48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356</v>
      </c>
      <c r="E290" s="6" t="s">
        <v>119</v>
      </c>
      <c r="F290" s="10">
        <v>233</v>
      </c>
      <c r="G290" s="23" t="s">
        <v>293</v>
      </c>
      <c r="H290" s="25"/>
      <c r="BA290" s="73" t="s">
        <v>355</v>
      </c>
      <c r="BB290" s="48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356</v>
      </c>
      <c r="E291" s="6" t="s">
        <v>120</v>
      </c>
      <c r="F291" s="10">
        <v>78</v>
      </c>
      <c r="G291" s="23" t="s">
        <v>293</v>
      </c>
      <c r="H291" s="25"/>
      <c r="BA291" s="73" t="s">
        <v>355</v>
      </c>
      <c r="BB291" s="48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356</v>
      </c>
      <c r="E292" s="6" t="s">
        <v>117</v>
      </c>
      <c r="F292" s="10">
        <v>2.58</v>
      </c>
      <c r="G292" s="23" t="s">
        <v>293</v>
      </c>
      <c r="H292" s="25"/>
      <c r="BA292" s="73" t="s">
        <v>355</v>
      </c>
      <c r="BB292" s="48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356</v>
      </c>
      <c r="E293" s="6" t="s">
        <v>344</v>
      </c>
      <c r="F293" s="10">
        <v>229</v>
      </c>
      <c r="G293" s="23" t="s">
        <v>293</v>
      </c>
      <c r="H293" s="25"/>
      <c r="BA293" s="73" t="s">
        <v>355</v>
      </c>
      <c r="BB293" s="48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356</v>
      </c>
      <c r="E294" s="6" t="s">
        <v>132</v>
      </c>
      <c r="F294" s="10">
        <v>3.58</v>
      </c>
      <c r="G294" s="23" t="s">
        <v>293</v>
      </c>
      <c r="H294" s="25"/>
      <c r="BA294" s="73" t="s">
        <v>355</v>
      </c>
      <c r="BB294" s="48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356</v>
      </c>
      <c r="E295" s="6" t="s">
        <v>111</v>
      </c>
      <c r="F295" s="10">
        <v>87</v>
      </c>
      <c r="G295" s="23" t="s">
        <v>293</v>
      </c>
      <c r="H295" s="25"/>
      <c r="BA295" s="73" t="s">
        <v>355</v>
      </c>
      <c r="BB295" s="48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356</v>
      </c>
      <c r="E296" s="6" t="s">
        <v>345</v>
      </c>
      <c r="F296" s="10">
        <v>5.24</v>
      </c>
      <c r="G296" s="23" t="s">
        <v>293</v>
      </c>
      <c r="H296" s="25"/>
      <c r="BA296" s="73" t="s">
        <v>355</v>
      </c>
      <c r="BB296" s="48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356</v>
      </c>
      <c r="E297" s="6" t="s">
        <v>347</v>
      </c>
      <c r="F297" s="10">
        <v>2.1</v>
      </c>
      <c r="G297" s="23" t="s">
        <v>293</v>
      </c>
      <c r="H297" s="25"/>
      <c r="BA297" s="73" t="s">
        <v>355</v>
      </c>
      <c r="BB297" s="48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356</v>
      </c>
      <c r="E298" s="6" t="s">
        <v>128</v>
      </c>
      <c r="F298" s="10">
        <v>6.9</v>
      </c>
      <c r="G298" s="23" t="s">
        <v>293</v>
      </c>
      <c r="H298" s="25"/>
      <c r="BA298" s="73" t="s">
        <v>355</v>
      </c>
      <c r="BB298" s="48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356</v>
      </c>
      <c r="E299" s="6" t="s">
        <v>121</v>
      </c>
      <c r="F299" s="10">
        <v>160</v>
      </c>
      <c r="G299" s="23" t="s">
        <v>293</v>
      </c>
      <c r="H299" s="25"/>
      <c r="BA299" s="73" t="s">
        <v>355</v>
      </c>
      <c r="BB299" s="48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356</v>
      </c>
      <c r="E300" s="6" t="s">
        <v>115</v>
      </c>
      <c r="F300" s="10">
        <v>34</v>
      </c>
      <c r="G300" s="23" t="s">
        <v>293</v>
      </c>
      <c r="H300" s="25"/>
      <c r="BA300" s="73" t="s">
        <v>355</v>
      </c>
      <c r="BB300" s="48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356</v>
      </c>
      <c r="E301" s="6" t="s">
        <v>137</v>
      </c>
      <c r="F301" s="10">
        <v>74</v>
      </c>
      <c r="G301" s="23" t="s">
        <v>293</v>
      </c>
      <c r="H301" s="25"/>
      <c r="BA301" s="73" t="s">
        <v>355</v>
      </c>
      <c r="BB301" s="48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356</v>
      </c>
      <c r="E302" s="6" t="s">
        <v>348</v>
      </c>
      <c r="F302" s="10">
        <v>141</v>
      </c>
      <c r="G302" s="23" t="s">
        <v>293</v>
      </c>
      <c r="H302" s="25"/>
      <c r="BA302" s="73" t="s">
        <v>355</v>
      </c>
      <c r="BB302" s="48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356</v>
      </c>
      <c r="E303" s="6" t="s">
        <v>125</v>
      </c>
      <c r="F303" s="10">
        <v>111</v>
      </c>
      <c r="G303" s="23" t="s">
        <v>293</v>
      </c>
      <c r="H303" s="25"/>
      <c r="BA303" s="73" t="s">
        <v>355</v>
      </c>
      <c r="BB303" s="48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356</v>
      </c>
      <c r="E304" s="6" t="s">
        <v>126</v>
      </c>
      <c r="F304" s="10">
        <v>79</v>
      </c>
      <c r="G304" s="23" t="s">
        <v>293</v>
      </c>
      <c r="H304" s="25"/>
      <c r="BA304" s="73" t="s">
        <v>355</v>
      </c>
      <c r="BB304" s="48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356</v>
      </c>
      <c r="E305" s="6" t="s">
        <v>349</v>
      </c>
      <c r="F305" s="10">
        <v>160</v>
      </c>
      <c r="G305" s="23" t="s">
        <v>293</v>
      </c>
      <c r="H305" s="25"/>
      <c r="BA305" s="73" t="s">
        <v>355</v>
      </c>
      <c r="BB305" s="48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356</v>
      </c>
      <c r="E306" s="6" t="s">
        <v>350</v>
      </c>
      <c r="F306" s="10">
        <v>60</v>
      </c>
      <c r="G306" s="23" t="s">
        <v>293</v>
      </c>
      <c r="H306" s="25"/>
      <c r="BA306" s="73" t="s">
        <v>355</v>
      </c>
      <c r="BB306" s="48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356</v>
      </c>
      <c r="E307" s="6" t="s">
        <v>122</v>
      </c>
      <c r="F307" s="10">
        <v>48</v>
      </c>
      <c r="G307" s="23" t="s">
        <v>293</v>
      </c>
      <c r="H307" s="25"/>
      <c r="BA307" s="73" t="s">
        <v>355</v>
      </c>
      <c r="BB307" s="48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356</v>
      </c>
      <c r="E308" s="6" t="s">
        <v>124</v>
      </c>
      <c r="F308" s="10">
        <v>31</v>
      </c>
      <c r="G308" s="23" t="s">
        <v>293</v>
      </c>
      <c r="H308" s="25"/>
      <c r="BA308" s="73" t="s">
        <v>355</v>
      </c>
      <c r="BB308" s="48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356</v>
      </c>
      <c r="E309" s="6" t="s">
        <v>351</v>
      </c>
      <c r="F309" s="10">
        <v>1</v>
      </c>
      <c r="G309" s="23" t="s">
        <v>293</v>
      </c>
      <c r="H309" s="25"/>
      <c r="BA309" s="73" t="s">
        <v>355</v>
      </c>
      <c r="BB309" s="48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356</v>
      </c>
      <c r="E310" s="6" t="s">
        <v>353</v>
      </c>
      <c r="F310" s="10">
        <v>33.700000000000003</v>
      </c>
      <c r="G310" s="23" t="s">
        <v>293</v>
      </c>
      <c r="H310" s="25"/>
      <c r="BA310" s="73" t="s">
        <v>355</v>
      </c>
      <c r="BB310" s="48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356</v>
      </c>
      <c r="E311" s="6" t="s">
        <v>133</v>
      </c>
      <c r="F311" s="10">
        <v>140</v>
      </c>
      <c r="G311" s="23" t="s">
        <v>293</v>
      </c>
      <c r="H311" s="25"/>
      <c r="BA311" s="73" t="s">
        <v>355</v>
      </c>
      <c r="BB311" s="48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356</v>
      </c>
      <c r="E312" s="6" t="s">
        <v>135</v>
      </c>
      <c r="F312" s="10">
        <v>3.8</v>
      </c>
      <c r="G312" s="23" t="s">
        <v>293</v>
      </c>
      <c r="H312" s="25"/>
      <c r="BA312" s="73" t="s">
        <v>355</v>
      </c>
      <c r="BB312" s="48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356</v>
      </c>
      <c r="E313" s="6" t="s">
        <v>136</v>
      </c>
      <c r="F313" s="10">
        <v>120</v>
      </c>
      <c r="G313" s="23" t="s">
        <v>293</v>
      </c>
      <c r="H313" s="25"/>
      <c r="BA313" s="73" t="s">
        <v>355</v>
      </c>
      <c r="BB313" s="48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356</v>
      </c>
      <c r="E314" s="6" t="s">
        <v>339</v>
      </c>
      <c r="F314" s="10">
        <v>4.6399999999999997</v>
      </c>
      <c r="G314" s="23" t="s">
        <v>293</v>
      </c>
      <c r="H314" s="25"/>
      <c r="BA314" s="73" t="s">
        <v>355</v>
      </c>
      <c r="BB314" s="48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356</v>
      </c>
      <c r="E315" s="6" t="s">
        <v>118</v>
      </c>
      <c r="F315" s="10">
        <v>4.5999999999999996</v>
      </c>
      <c r="G315" s="23" t="s">
        <v>293</v>
      </c>
      <c r="H315" s="25"/>
      <c r="BA315" s="73" t="s">
        <v>355</v>
      </c>
      <c r="BB315" s="48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356</v>
      </c>
      <c r="E316" s="6" t="s">
        <v>130</v>
      </c>
      <c r="F316" s="10">
        <v>4.0430000000000001</v>
      </c>
      <c r="G316" s="23" t="s">
        <v>293</v>
      </c>
      <c r="H316" s="25"/>
      <c r="BA316" s="73" t="s">
        <v>355</v>
      </c>
      <c r="BB316" s="48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356</v>
      </c>
      <c r="E317" s="6" t="s">
        <v>341</v>
      </c>
      <c r="F317" s="10">
        <v>0.27500000000000002</v>
      </c>
      <c r="G317" s="23" t="s">
        <v>293</v>
      </c>
      <c r="H317" s="25"/>
      <c r="BA317" s="73" t="s">
        <v>355</v>
      </c>
      <c r="BB317" s="48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356</v>
      </c>
      <c r="E318" s="6" t="s">
        <v>127</v>
      </c>
      <c r="F318" s="10">
        <v>1.169</v>
      </c>
      <c r="G318" s="23" t="s">
        <v>293</v>
      </c>
      <c r="H318" s="25"/>
      <c r="BA318" s="73" t="s">
        <v>355</v>
      </c>
      <c r="BB318" s="48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356</v>
      </c>
      <c r="E319" s="6" t="s">
        <v>131</v>
      </c>
      <c r="F319" s="10">
        <v>8.6999999999999993</v>
      </c>
      <c r="G319" s="23" t="s">
        <v>293</v>
      </c>
      <c r="H319" s="25"/>
      <c r="BA319" s="73" t="s">
        <v>355</v>
      </c>
      <c r="BB319" s="48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356</v>
      </c>
      <c r="E320" s="6" t="s">
        <v>342</v>
      </c>
      <c r="F320" s="10">
        <v>330</v>
      </c>
      <c r="G320" s="23" t="s">
        <v>293</v>
      </c>
      <c r="H320" s="25"/>
      <c r="BA320" s="73" t="s">
        <v>355</v>
      </c>
      <c r="BB320" s="48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356</v>
      </c>
      <c r="E321" s="6" t="s">
        <v>119</v>
      </c>
      <c r="F321" s="10">
        <v>231</v>
      </c>
      <c r="G321" s="23" t="s">
        <v>293</v>
      </c>
      <c r="H321" s="25"/>
      <c r="BA321" s="73" t="s">
        <v>355</v>
      </c>
      <c r="BB321" s="48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356</v>
      </c>
      <c r="E322" s="6" t="s">
        <v>120</v>
      </c>
      <c r="F322" s="10">
        <v>77</v>
      </c>
      <c r="G322" s="23" t="s">
        <v>293</v>
      </c>
      <c r="H322" s="25"/>
      <c r="BA322" s="73" t="s">
        <v>355</v>
      </c>
      <c r="BB322" s="48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356</v>
      </c>
      <c r="E323" s="6" t="s">
        <v>117</v>
      </c>
      <c r="F323" s="10">
        <v>2.84</v>
      </c>
      <c r="G323" s="23" t="s">
        <v>293</v>
      </c>
      <c r="H323" s="25"/>
      <c r="BA323" s="73" t="s">
        <v>355</v>
      </c>
      <c r="BB323" s="48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356</v>
      </c>
      <c r="E324" s="6" t="s">
        <v>344</v>
      </c>
      <c r="F324" s="10">
        <v>235</v>
      </c>
      <c r="G324" s="23" t="s">
        <v>293</v>
      </c>
      <c r="H324" s="25"/>
      <c r="BA324" s="73" t="s">
        <v>355</v>
      </c>
      <c r="BB324" s="48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356</v>
      </c>
      <c r="E325" s="6" t="s">
        <v>132</v>
      </c>
      <c r="F325" s="10">
        <v>3.5</v>
      </c>
      <c r="G325" s="23" t="s">
        <v>293</v>
      </c>
      <c r="H325" s="25"/>
      <c r="BA325" s="73" t="s">
        <v>355</v>
      </c>
      <c r="BB325" s="48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356</v>
      </c>
      <c r="E326" s="6" t="s">
        <v>111</v>
      </c>
      <c r="F326" s="10">
        <v>89</v>
      </c>
      <c r="G326" s="23" t="s">
        <v>293</v>
      </c>
      <c r="H326" s="25"/>
      <c r="BA326" s="73" t="s">
        <v>355</v>
      </c>
      <c r="BB326" s="48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356</v>
      </c>
      <c r="E327" s="6" t="s">
        <v>345</v>
      </c>
      <c r="F327" s="10">
        <v>5.27</v>
      </c>
      <c r="G327" s="23" t="s">
        <v>293</v>
      </c>
      <c r="H327" s="25"/>
      <c r="BA327" s="73" t="s">
        <v>355</v>
      </c>
      <c r="BB327" s="48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356</v>
      </c>
      <c r="E328" s="6" t="s">
        <v>347</v>
      </c>
      <c r="F328" s="10">
        <v>2.09</v>
      </c>
      <c r="G328" s="23" t="s">
        <v>293</v>
      </c>
      <c r="H328" s="25"/>
      <c r="BA328" s="73" t="s">
        <v>355</v>
      </c>
      <c r="BB328" s="48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356</v>
      </c>
      <c r="E329" s="6" t="s">
        <v>128</v>
      </c>
      <c r="F329" s="10">
        <v>7.1</v>
      </c>
      <c r="G329" s="23" t="s">
        <v>293</v>
      </c>
      <c r="H329" s="25"/>
      <c r="BA329" s="73" t="s">
        <v>355</v>
      </c>
      <c r="BB329" s="48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356</v>
      </c>
      <c r="E330" s="6" t="s">
        <v>121</v>
      </c>
      <c r="F330" s="10">
        <v>161</v>
      </c>
      <c r="G330" s="23" t="s">
        <v>293</v>
      </c>
      <c r="H330" s="25"/>
      <c r="BA330" s="73" t="s">
        <v>355</v>
      </c>
      <c r="BB330" s="48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356</v>
      </c>
      <c r="E331" s="6" t="s">
        <v>115</v>
      </c>
      <c r="F331" s="10">
        <v>36</v>
      </c>
      <c r="G331" s="23" t="s">
        <v>293</v>
      </c>
      <c r="H331" s="25"/>
      <c r="BA331" s="73" t="s">
        <v>355</v>
      </c>
      <c r="BB331" s="48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356</v>
      </c>
      <c r="E332" s="6" t="s">
        <v>137</v>
      </c>
      <c r="F332" s="10">
        <v>75</v>
      </c>
      <c r="G332" s="23" t="s">
        <v>293</v>
      </c>
      <c r="H332" s="25"/>
      <c r="BA332" s="73" t="s">
        <v>355</v>
      </c>
      <c r="BB332" s="48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356</v>
      </c>
      <c r="E333" s="6" t="s">
        <v>348</v>
      </c>
      <c r="F333" s="10">
        <v>140</v>
      </c>
      <c r="G333" s="23" t="s">
        <v>293</v>
      </c>
      <c r="H333" s="25"/>
      <c r="BA333" s="73" t="s">
        <v>355</v>
      </c>
      <c r="BB333" s="48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356</v>
      </c>
      <c r="E334" s="6" t="s">
        <v>125</v>
      </c>
      <c r="F334" s="10">
        <v>125</v>
      </c>
      <c r="G334" s="23" t="s">
        <v>293</v>
      </c>
      <c r="H334" s="25"/>
      <c r="BA334" s="73" t="s">
        <v>355</v>
      </c>
      <c r="BB334" s="48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356</v>
      </c>
      <c r="E335" s="6" t="s">
        <v>126</v>
      </c>
      <c r="F335" s="10">
        <v>80</v>
      </c>
      <c r="G335" s="23" t="s">
        <v>293</v>
      </c>
      <c r="H335" s="25"/>
      <c r="BA335" s="73" t="s">
        <v>355</v>
      </c>
      <c r="BB335" s="48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356</v>
      </c>
      <c r="E336" s="6" t="s">
        <v>349</v>
      </c>
      <c r="F336" s="10">
        <v>167</v>
      </c>
      <c r="G336" s="23" t="s">
        <v>293</v>
      </c>
      <c r="H336" s="25"/>
      <c r="BA336" s="73" t="s">
        <v>355</v>
      </c>
      <c r="BB336" s="48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356</v>
      </c>
      <c r="E337" s="6" t="s">
        <v>350</v>
      </c>
      <c r="F337" s="10">
        <v>58</v>
      </c>
      <c r="G337" s="23" t="s">
        <v>293</v>
      </c>
      <c r="H337" s="25"/>
      <c r="BA337" s="73" t="s">
        <v>355</v>
      </c>
      <c r="BB337" s="48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356</v>
      </c>
      <c r="E338" s="6" t="s">
        <v>122</v>
      </c>
      <c r="F338" s="10">
        <v>48</v>
      </c>
      <c r="G338" s="23" t="s">
        <v>293</v>
      </c>
      <c r="H338" s="25"/>
      <c r="BA338" s="73" t="s">
        <v>355</v>
      </c>
      <c r="BB338" s="48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356</v>
      </c>
      <c r="E339" s="6" t="s">
        <v>124</v>
      </c>
      <c r="F339" s="10">
        <v>30</v>
      </c>
      <c r="G339" s="23" t="s">
        <v>293</v>
      </c>
      <c r="H339" s="25"/>
      <c r="BA339" s="73" t="s">
        <v>355</v>
      </c>
      <c r="BB339" s="48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356</v>
      </c>
      <c r="E340" s="6" t="s">
        <v>351</v>
      </c>
      <c r="F340" s="10">
        <v>1</v>
      </c>
      <c r="G340" s="23" t="s">
        <v>293</v>
      </c>
      <c r="H340" s="25"/>
      <c r="BA340" s="73" t="s">
        <v>355</v>
      </c>
      <c r="BB340" s="48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356</v>
      </c>
      <c r="E341" s="6" t="s">
        <v>353</v>
      </c>
      <c r="F341" s="10">
        <v>32.1</v>
      </c>
      <c r="G341" s="23" t="s">
        <v>293</v>
      </c>
      <c r="H341" s="25"/>
      <c r="BA341" s="73" t="s">
        <v>355</v>
      </c>
      <c r="BB341" s="48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356</v>
      </c>
      <c r="E342" s="6" t="s">
        <v>339</v>
      </c>
      <c r="F342" s="10">
        <v>4.67</v>
      </c>
      <c r="G342" s="23" t="s">
        <v>293</v>
      </c>
      <c r="H342" s="25"/>
      <c r="BA342" s="73" t="s">
        <v>355</v>
      </c>
      <c r="BB342" s="48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356</v>
      </c>
      <c r="E343" s="6" t="s">
        <v>118</v>
      </c>
      <c r="F343" s="10">
        <v>4.8</v>
      </c>
      <c r="G343" s="23" t="s">
        <v>293</v>
      </c>
      <c r="H343" s="25"/>
      <c r="BA343" s="73" t="s">
        <v>355</v>
      </c>
      <c r="BB343" s="48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356</v>
      </c>
      <c r="E344" s="6" t="s">
        <v>130</v>
      </c>
      <c r="F344" s="10">
        <v>4.0439999999999996</v>
      </c>
      <c r="G344" s="23" t="s">
        <v>293</v>
      </c>
      <c r="H344" s="25"/>
      <c r="BA344" s="73" t="s">
        <v>355</v>
      </c>
      <c r="BB344" s="48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356</v>
      </c>
      <c r="E345" s="6" t="s">
        <v>341</v>
      </c>
      <c r="F345" s="10">
        <v>0.29499999999999998</v>
      </c>
      <c r="G345" s="23" t="s">
        <v>293</v>
      </c>
      <c r="H345" s="25"/>
      <c r="BA345" s="73" t="s">
        <v>355</v>
      </c>
      <c r="BB345" s="48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356</v>
      </c>
      <c r="E346" s="6" t="s">
        <v>127</v>
      </c>
      <c r="F346" s="10">
        <v>1.167</v>
      </c>
      <c r="G346" s="23" t="s">
        <v>293</v>
      </c>
      <c r="H346" s="25"/>
      <c r="BA346" s="73" t="s">
        <v>355</v>
      </c>
      <c r="BB346" s="48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356</v>
      </c>
      <c r="E347" s="6" t="s">
        <v>131</v>
      </c>
      <c r="F347" s="10">
        <v>8.5</v>
      </c>
      <c r="G347" s="23" t="s">
        <v>293</v>
      </c>
      <c r="H347" s="25"/>
      <c r="BA347" s="73" t="s">
        <v>355</v>
      </c>
      <c r="BB347" s="48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356</v>
      </c>
      <c r="E348" s="6" t="s">
        <v>342</v>
      </c>
      <c r="F348" s="10">
        <v>327</v>
      </c>
      <c r="G348" s="23" t="s">
        <v>293</v>
      </c>
      <c r="H348" s="25"/>
      <c r="BA348" s="73" t="s">
        <v>355</v>
      </c>
      <c r="BB348" s="48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356</v>
      </c>
      <c r="E349" s="6" t="s">
        <v>119</v>
      </c>
      <c r="F349" s="10">
        <v>239</v>
      </c>
      <c r="G349" s="23" t="s">
        <v>293</v>
      </c>
      <c r="H349" s="25"/>
      <c r="BA349" s="73" t="s">
        <v>355</v>
      </c>
      <c r="BB349" s="48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356</v>
      </c>
      <c r="E350" s="6" t="s">
        <v>120</v>
      </c>
      <c r="F350" s="10">
        <v>79</v>
      </c>
      <c r="G350" s="23" t="s">
        <v>293</v>
      </c>
      <c r="H350" s="25"/>
      <c r="BA350" s="73" t="s">
        <v>355</v>
      </c>
      <c r="BB350" s="48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356</v>
      </c>
      <c r="E351" s="6" t="s">
        <v>117</v>
      </c>
      <c r="F351" s="10">
        <v>2.64</v>
      </c>
      <c r="G351" s="23" t="s">
        <v>293</v>
      </c>
      <c r="H351" s="25"/>
      <c r="BA351" s="73" t="s">
        <v>355</v>
      </c>
      <c r="BB351" s="48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356</v>
      </c>
      <c r="E352" s="6" t="s">
        <v>344</v>
      </c>
      <c r="F352" s="10">
        <v>230</v>
      </c>
      <c r="G352" s="23" t="s">
        <v>293</v>
      </c>
      <c r="H352" s="25"/>
      <c r="BA352" s="73" t="s">
        <v>355</v>
      </c>
      <c r="BB352" s="48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356</v>
      </c>
      <c r="E353" s="6" t="s">
        <v>132</v>
      </c>
      <c r="F353" s="10">
        <v>3.57</v>
      </c>
      <c r="G353" s="23" t="s">
        <v>293</v>
      </c>
      <c r="H353" s="25"/>
      <c r="BA353" s="73" t="s">
        <v>355</v>
      </c>
      <c r="BB353" s="48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356</v>
      </c>
      <c r="E354" s="6" t="s">
        <v>111</v>
      </c>
      <c r="F354" s="10">
        <v>87</v>
      </c>
      <c r="G354" s="23" t="s">
        <v>293</v>
      </c>
      <c r="H354" s="25"/>
      <c r="BA354" s="73" t="s">
        <v>355</v>
      </c>
      <c r="BB354" s="48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356</v>
      </c>
      <c r="E355" s="6" t="s">
        <v>345</v>
      </c>
      <c r="F355" s="10">
        <v>5.35</v>
      </c>
      <c r="G355" s="23" t="s">
        <v>293</v>
      </c>
      <c r="H355" s="25"/>
      <c r="BA355" s="73" t="s">
        <v>355</v>
      </c>
      <c r="BB355" s="48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356</v>
      </c>
      <c r="E356" s="6" t="s">
        <v>347</v>
      </c>
      <c r="F356" s="10">
        <v>2.17</v>
      </c>
      <c r="G356" s="23" t="s">
        <v>293</v>
      </c>
      <c r="H356" s="25"/>
      <c r="BA356" s="73" t="s">
        <v>355</v>
      </c>
      <c r="BB356" s="48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356</v>
      </c>
      <c r="E357" s="6" t="s">
        <v>128</v>
      </c>
      <c r="F357" s="10">
        <v>7</v>
      </c>
      <c r="G357" s="23" t="s">
        <v>293</v>
      </c>
      <c r="H357" s="25"/>
      <c r="BA357" s="73" t="s">
        <v>355</v>
      </c>
      <c r="BB357" s="48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356</v>
      </c>
      <c r="E358" s="6" t="s">
        <v>121</v>
      </c>
      <c r="F358" s="10">
        <v>159</v>
      </c>
      <c r="G358" s="23" t="s">
        <v>293</v>
      </c>
      <c r="H358" s="25"/>
      <c r="BA358" s="73" t="s">
        <v>355</v>
      </c>
      <c r="BB358" s="48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356</v>
      </c>
      <c r="E359" s="6" t="s">
        <v>115</v>
      </c>
      <c r="F359" s="10">
        <v>34</v>
      </c>
      <c r="G359" s="23" t="s">
        <v>293</v>
      </c>
      <c r="H359" s="25"/>
      <c r="BA359" s="73" t="s">
        <v>355</v>
      </c>
      <c r="BB359" s="48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356</v>
      </c>
      <c r="E360" s="6" t="s">
        <v>137</v>
      </c>
      <c r="F360" s="10">
        <v>75</v>
      </c>
      <c r="G360" s="23" t="s">
        <v>293</v>
      </c>
      <c r="H360" s="25"/>
      <c r="BA360" s="73" t="s">
        <v>355</v>
      </c>
      <c r="BB360" s="48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356</v>
      </c>
      <c r="E361" s="6" t="s">
        <v>348</v>
      </c>
      <c r="F361" s="10">
        <v>141</v>
      </c>
      <c r="G361" s="23" t="s">
        <v>293</v>
      </c>
      <c r="H361" s="25"/>
      <c r="BA361" s="73" t="s">
        <v>355</v>
      </c>
      <c r="BB361" s="48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356</v>
      </c>
      <c r="E362" s="6" t="s">
        <v>125</v>
      </c>
      <c r="F362" s="10">
        <v>112</v>
      </c>
      <c r="G362" s="23" t="s">
        <v>293</v>
      </c>
      <c r="H362" s="25"/>
      <c r="BA362" s="73" t="s">
        <v>355</v>
      </c>
      <c r="BB362" s="48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356</v>
      </c>
      <c r="E363" s="6" t="s">
        <v>126</v>
      </c>
      <c r="F363" s="10">
        <v>80</v>
      </c>
      <c r="G363" s="23" t="s">
        <v>293</v>
      </c>
      <c r="H363" s="25"/>
      <c r="BA363" s="73" t="s">
        <v>355</v>
      </c>
      <c r="BB363" s="48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356</v>
      </c>
      <c r="E364" s="6" t="s">
        <v>349</v>
      </c>
      <c r="F364" s="10">
        <v>157</v>
      </c>
      <c r="G364" s="23" t="s">
        <v>293</v>
      </c>
      <c r="H364" s="25"/>
      <c r="BA364" s="73" t="s">
        <v>355</v>
      </c>
      <c r="BB364" s="48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356</v>
      </c>
      <c r="E365" s="6" t="s">
        <v>350</v>
      </c>
      <c r="F365" s="10">
        <v>56</v>
      </c>
      <c r="G365" s="23" t="s">
        <v>293</v>
      </c>
      <c r="H365" s="25"/>
      <c r="BA365" s="73" t="s">
        <v>355</v>
      </c>
      <c r="BB365" s="48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356</v>
      </c>
      <c r="E366" s="6" t="s">
        <v>122</v>
      </c>
      <c r="F366" s="10">
        <v>48</v>
      </c>
      <c r="G366" s="23" t="s">
        <v>293</v>
      </c>
      <c r="H366" s="25"/>
      <c r="BA366" s="73" t="s">
        <v>355</v>
      </c>
      <c r="BB366" s="48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356</v>
      </c>
      <c r="E367" s="6" t="s">
        <v>124</v>
      </c>
      <c r="F367" s="10">
        <v>30</v>
      </c>
      <c r="G367" s="23" t="s">
        <v>293</v>
      </c>
      <c r="H367" s="25"/>
      <c r="BA367" s="73" t="s">
        <v>355</v>
      </c>
      <c r="BB367" s="48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356</v>
      </c>
      <c r="E368" s="6" t="s">
        <v>351</v>
      </c>
      <c r="F368" s="10">
        <v>1</v>
      </c>
      <c r="G368" s="23" t="s">
        <v>293</v>
      </c>
      <c r="H368" s="25"/>
      <c r="BA368" s="73" t="s">
        <v>355</v>
      </c>
      <c r="BB368" s="48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356</v>
      </c>
      <c r="E369" s="6" t="s">
        <v>353</v>
      </c>
      <c r="F369" s="10">
        <v>35.299999999999997</v>
      </c>
      <c r="G369" s="23" t="s">
        <v>293</v>
      </c>
      <c r="H369" s="25"/>
      <c r="BA369" s="73" t="s">
        <v>355</v>
      </c>
      <c r="BB369" s="48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356</v>
      </c>
      <c r="E370" s="6" t="s">
        <v>133</v>
      </c>
      <c r="F370" s="10">
        <v>145</v>
      </c>
      <c r="G370" s="23" t="s">
        <v>293</v>
      </c>
      <c r="H370" s="25"/>
      <c r="BA370" s="73" t="s">
        <v>355</v>
      </c>
      <c r="BB370" s="48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356</v>
      </c>
      <c r="E371" s="6" t="s">
        <v>135</v>
      </c>
      <c r="F371" s="10">
        <v>3.7</v>
      </c>
      <c r="G371" s="23" t="s">
        <v>293</v>
      </c>
      <c r="H371" s="25"/>
      <c r="BA371" s="73" t="s">
        <v>355</v>
      </c>
      <c r="BB371" s="48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356</v>
      </c>
      <c r="E372" s="6" t="s">
        <v>136</v>
      </c>
      <c r="F372" s="10">
        <v>120</v>
      </c>
      <c r="G372" s="23" t="s">
        <v>293</v>
      </c>
      <c r="H372" s="25"/>
      <c r="BA372" s="73" t="s">
        <v>355</v>
      </c>
      <c r="BB372" s="48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356</v>
      </c>
      <c r="E373" s="6" t="s">
        <v>339</v>
      </c>
      <c r="F373" s="10">
        <v>4.68</v>
      </c>
      <c r="G373" s="23" t="s">
        <v>293</v>
      </c>
      <c r="H373" s="25"/>
      <c r="BA373" s="73" t="s">
        <v>355</v>
      </c>
      <c r="BB373" s="48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356</v>
      </c>
      <c r="E374" s="6" t="s">
        <v>118</v>
      </c>
      <c r="F374" s="10">
        <v>4.8</v>
      </c>
      <c r="G374" s="23" t="s">
        <v>293</v>
      </c>
      <c r="H374" s="25"/>
      <c r="BA374" s="73" t="s">
        <v>355</v>
      </c>
      <c r="BB374" s="48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356</v>
      </c>
      <c r="E375" s="6" t="s">
        <v>130</v>
      </c>
      <c r="F375" s="10">
        <v>4.1070000000000002</v>
      </c>
      <c r="G375" s="23" t="s">
        <v>293</v>
      </c>
      <c r="H375" s="25"/>
      <c r="BA375" s="73" t="s">
        <v>355</v>
      </c>
      <c r="BB375" s="48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356</v>
      </c>
      <c r="E376" s="6" t="s">
        <v>341</v>
      </c>
      <c r="F376" s="10">
        <v>0.28999999999999998</v>
      </c>
      <c r="G376" s="23" t="s">
        <v>293</v>
      </c>
      <c r="H376" s="25"/>
      <c r="BA376" s="73" t="s">
        <v>355</v>
      </c>
      <c r="BB376" s="48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356</v>
      </c>
      <c r="E377" s="6" t="s">
        <v>127</v>
      </c>
      <c r="F377" s="10">
        <v>1.1459999999999999</v>
      </c>
      <c r="G377" s="23" t="s">
        <v>293</v>
      </c>
      <c r="H377" s="25"/>
      <c r="BA377" s="73" t="s">
        <v>355</v>
      </c>
      <c r="BB377" s="48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356</v>
      </c>
      <c r="E378" s="6" t="s">
        <v>131</v>
      </c>
      <c r="F378" s="10">
        <v>8.5</v>
      </c>
      <c r="G378" s="23" t="s">
        <v>293</v>
      </c>
      <c r="H378" s="25"/>
      <c r="BA378" s="73" t="s">
        <v>355</v>
      </c>
      <c r="BB378" s="48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356</v>
      </c>
      <c r="E379" s="6" t="s">
        <v>342</v>
      </c>
      <c r="F379" s="10">
        <v>330</v>
      </c>
      <c r="G379" s="23" t="s">
        <v>293</v>
      </c>
      <c r="H379" s="25"/>
      <c r="BA379" s="73" t="s">
        <v>355</v>
      </c>
      <c r="BB379" s="48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356</v>
      </c>
      <c r="E380" s="6" t="s">
        <v>119</v>
      </c>
      <c r="F380" s="10">
        <v>235</v>
      </c>
      <c r="G380" s="23" t="s">
        <v>293</v>
      </c>
      <c r="H380" s="25"/>
      <c r="BA380" s="73" t="s">
        <v>355</v>
      </c>
      <c r="BB380" s="48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356</v>
      </c>
      <c r="E381" s="6" t="s">
        <v>120</v>
      </c>
      <c r="F381" s="10">
        <v>77</v>
      </c>
      <c r="G381" s="23" t="s">
        <v>293</v>
      </c>
      <c r="H381" s="25"/>
      <c r="BA381" s="73" t="s">
        <v>355</v>
      </c>
      <c r="BB381" s="48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356</v>
      </c>
      <c r="E382" s="6" t="s">
        <v>117</v>
      </c>
      <c r="F382" s="10">
        <v>2.64</v>
      </c>
      <c r="G382" s="23" t="s">
        <v>293</v>
      </c>
      <c r="H382" s="25"/>
      <c r="BA382" s="73" t="s">
        <v>355</v>
      </c>
      <c r="BB382" s="48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356</v>
      </c>
      <c r="E383" s="6" t="s">
        <v>344</v>
      </c>
      <c r="F383" s="10">
        <v>229</v>
      </c>
      <c r="G383" s="23" t="s">
        <v>293</v>
      </c>
      <c r="H383" s="25"/>
      <c r="BA383" s="73" t="s">
        <v>355</v>
      </c>
      <c r="BB383" s="48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356</v>
      </c>
      <c r="E384" s="6" t="s">
        <v>132</v>
      </c>
      <c r="F384" s="10">
        <v>3.64</v>
      </c>
      <c r="G384" s="23" t="s">
        <v>293</v>
      </c>
      <c r="H384" s="25"/>
      <c r="BA384" s="73" t="s">
        <v>355</v>
      </c>
      <c r="BB384" s="48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356</v>
      </c>
      <c r="E385" s="6" t="s">
        <v>111</v>
      </c>
      <c r="F385" s="10">
        <v>88</v>
      </c>
      <c r="G385" s="23" t="s">
        <v>293</v>
      </c>
      <c r="H385" s="25"/>
      <c r="BA385" s="73" t="s">
        <v>355</v>
      </c>
      <c r="BB385" s="48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356</v>
      </c>
      <c r="E386" s="6" t="s">
        <v>345</v>
      </c>
      <c r="F386" s="10">
        <v>5.28</v>
      </c>
      <c r="G386" s="23" t="s">
        <v>293</v>
      </c>
      <c r="H386" s="25"/>
      <c r="BA386" s="73" t="s">
        <v>355</v>
      </c>
      <c r="BB386" s="48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356</v>
      </c>
      <c r="E387" s="6" t="s">
        <v>347</v>
      </c>
      <c r="F387" s="10">
        <v>2.2200000000000002</v>
      </c>
      <c r="G387" s="23" t="s">
        <v>293</v>
      </c>
      <c r="H387" s="25"/>
      <c r="BA387" s="73" t="s">
        <v>355</v>
      </c>
      <c r="BB387" s="48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356</v>
      </c>
      <c r="E388" s="6" t="s">
        <v>128</v>
      </c>
      <c r="F388" s="10">
        <v>6.9</v>
      </c>
      <c r="G388" s="23" t="s">
        <v>293</v>
      </c>
      <c r="H388" s="25"/>
      <c r="BA388" s="73" t="s">
        <v>355</v>
      </c>
      <c r="BB388" s="48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356</v>
      </c>
      <c r="E389" s="6" t="s">
        <v>121</v>
      </c>
      <c r="F389" s="10">
        <v>160</v>
      </c>
      <c r="G389" s="23" t="s">
        <v>293</v>
      </c>
      <c r="H389" s="25"/>
      <c r="BA389" s="73" t="s">
        <v>355</v>
      </c>
      <c r="BB389" s="48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356</v>
      </c>
      <c r="E390" s="6" t="s">
        <v>115</v>
      </c>
      <c r="F390" s="10">
        <v>34</v>
      </c>
      <c r="G390" s="23" t="s">
        <v>293</v>
      </c>
      <c r="H390" s="25"/>
      <c r="BA390" s="73" t="s">
        <v>355</v>
      </c>
      <c r="BB390" s="48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356</v>
      </c>
      <c r="E391" s="6" t="s">
        <v>137</v>
      </c>
      <c r="F391" s="10">
        <v>75</v>
      </c>
      <c r="G391" s="23" t="s">
        <v>293</v>
      </c>
      <c r="H391" s="25"/>
      <c r="BA391" s="73" t="s">
        <v>355</v>
      </c>
      <c r="BB391" s="48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356</v>
      </c>
      <c r="E392" s="6" t="s">
        <v>348</v>
      </c>
      <c r="F392" s="10">
        <v>140</v>
      </c>
      <c r="G392" s="23" t="s">
        <v>293</v>
      </c>
      <c r="H392" s="25"/>
      <c r="BA392" s="73" t="s">
        <v>355</v>
      </c>
      <c r="BB392" s="48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356</v>
      </c>
      <c r="E393" s="6" t="s">
        <v>125</v>
      </c>
      <c r="F393" s="10">
        <v>111</v>
      </c>
      <c r="G393" s="23" t="s">
        <v>293</v>
      </c>
      <c r="H393" s="25"/>
      <c r="BA393" s="73" t="s">
        <v>355</v>
      </c>
      <c r="BB393" s="48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356</v>
      </c>
      <c r="E394" s="6" t="s">
        <v>126</v>
      </c>
      <c r="F394" s="10">
        <v>76</v>
      </c>
      <c r="G394" s="23" t="s">
        <v>293</v>
      </c>
      <c r="H394" s="25"/>
      <c r="BA394" s="73" t="s">
        <v>355</v>
      </c>
      <c r="BB394" s="48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356</v>
      </c>
      <c r="E395" s="6" t="s">
        <v>349</v>
      </c>
      <c r="F395" s="10">
        <v>160</v>
      </c>
      <c r="G395" s="23" t="s">
        <v>293</v>
      </c>
      <c r="H395" s="25"/>
      <c r="BA395" s="73" t="s">
        <v>355</v>
      </c>
      <c r="BB395" s="48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356</v>
      </c>
      <c r="E396" s="6" t="s">
        <v>350</v>
      </c>
      <c r="F396" s="10">
        <v>60</v>
      </c>
      <c r="G396" s="23" t="s">
        <v>293</v>
      </c>
      <c r="H396" s="25"/>
      <c r="BA396" s="73" t="s">
        <v>355</v>
      </c>
      <c r="BB396" s="48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356</v>
      </c>
      <c r="E397" s="6" t="s">
        <v>122</v>
      </c>
      <c r="F397" s="10">
        <v>47</v>
      </c>
      <c r="G397" s="23" t="s">
        <v>293</v>
      </c>
      <c r="H397" s="25"/>
      <c r="BA397" s="73" t="s">
        <v>355</v>
      </c>
      <c r="BB397" s="48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356</v>
      </c>
      <c r="E398" s="6" t="s">
        <v>124</v>
      </c>
      <c r="F398" s="10">
        <v>29</v>
      </c>
      <c r="G398" s="23" t="s">
        <v>293</v>
      </c>
      <c r="H398" s="25"/>
      <c r="BA398" s="73" t="s">
        <v>355</v>
      </c>
      <c r="BB398" s="48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356</v>
      </c>
      <c r="E399" s="6" t="s">
        <v>351</v>
      </c>
      <c r="F399" s="10">
        <v>0.98</v>
      </c>
      <c r="G399" s="23" t="s">
        <v>293</v>
      </c>
      <c r="H399" s="25"/>
      <c r="BA399" s="73" t="s">
        <v>355</v>
      </c>
      <c r="BB399" s="48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356</v>
      </c>
      <c r="E400" s="6" t="s">
        <v>353</v>
      </c>
      <c r="F400" s="10">
        <v>11.7</v>
      </c>
      <c r="G400" s="23" t="s">
        <v>293</v>
      </c>
      <c r="H400" s="25"/>
      <c r="BA400" s="73" t="s">
        <v>355</v>
      </c>
      <c r="BB400" s="48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356</v>
      </c>
      <c r="E401" s="6" t="s">
        <v>133</v>
      </c>
      <c r="F401" s="10">
        <v>146</v>
      </c>
      <c r="G401" s="23" t="s">
        <v>293</v>
      </c>
      <c r="H401" s="25"/>
      <c r="BA401" s="73" t="s">
        <v>355</v>
      </c>
      <c r="BB401" s="48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356</v>
      </c>
      <c r="E402" s="6" t="s">
        <v>135</v>
      </c>
      <c r="F402" s="10">
        <v>3.8</v>
      </c>
      <c r="G402" s="23" t="s">
        <v>293</v>
      </c>
      <c r="H402" s="25"/>
      <c r="BA402" s="73" t="s">
        <v>355</v>
      </c>
      <c r="BB402" s="48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356</v>
      </c>
      <c r="E403" s="6" t="s">
        <v>136</v>
      </c>
      <c r="F403" s="10">
        <v>119</v>
      </c>
      <c r="G403" s="23" t="s">
        <v>293</v>
      </c>
      <c r="H403" s="25"/>
      <c r="BA403" s="73" t="s">
        <v>355</v>
      </c>
      <c r="BB403" s="48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356</v>
      </c>
      <c r="E404" s="6" t="s">
        <v>339</v>
      </c>
      <c r="F404" s="10">
        <v>4.72</v>
      </c>
      <c r="G404" s="23" t="s">
        <v>293</v>
      </c>
      <c r="H404" s="25"/>
      <c r="BA404" s="73" t="s">
        <v>355</v>
      </c>
      <c r="BB404" s="48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356</v>
      </c>
      <c r="E405" s="6" t="s">
        <v>118</v>
      </c>
      <c r="F405" s="10">
        <v>4.5999999999999996</v>
      </c>
      <c r="G405" s="23" t="s">
        <v>293</v>
      </c>
      <c r="H405" s="25"/>
      <c r="BA405" s="73" t="s">
        <v>355</v>
      </c>
      <c r="BB405" s="48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356</v>
      </c>
      <c r="E406" s="6" t="s">
        <v>130</v>
      </c>
      <c r="F406" s="10">
        <v>4.0919999999999996</v>
      </c>
      <c r="G406" s="23" t="s">
        <v>293</v>
      </c>
      <c r="H406" s="25"/>
      <c r="BA406" s="73" t="s">
        <v>355</v>
      </c>
      <c r="BB406" s="48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356</v>
      </c>
      <c r="E407" s="6" t="s">
        <v>341</v>
      </c>
      <c r="F407" s="10">
        <v>0.27500000000000002</v>
      </c>
      <c r="G407" s="23" t="s">
        <v>293</v>
      </c>
      <c r="H407" s="25"/>
      <c r="BA407" s="73" t="s">
        <v>355</v>
      </c>
      <c r="BB407" s="48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356</v>
      </c>
      <c r="E408" s="6" t="s">
        <v>127</v>
      </c>
      <c r="F408" s="10">
        <v>1.173</v>
      </c>
      <c r="G408" s="23" t="s">
        <v>293</v>
      </c>
      <c r="H408" s="25"/>
      <c r="BA408" s="73" t="s">
        <v>355</v>
      </c>
      <c r="BB408" s="48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356</v>
      </c>
      <c r="E409" s="6" t="s">
        <v>131</v>
      </c>
      <c r="F409" s="10">
        <v>8.6999999999999993</v>
      </c>
      <c r="G409" s="23" t="s">
        <v>293</v>
      </c>
      <c r="H409" s="25"/>
      <c r="BA409" s="73" t="s">
        <v>355</v>
      </c>
      <c r="BB409" s="48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356</v>
      </c>
      <c r="E410" s="6" t="s">
        <v>342</v>
      </c>
      <c r="F410" s="10">
        <v>329</v>
      </c>
      <c r="G410" s="23" t="s">
        <v>293</v>
      </c>
      <c r="H410" s="25"/>
      <c r="BA410" s="73" t="s">
        <v>355</v>
      </c>
      <c r="BB410" s="48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356</v>
      </c>
      <c r="E411" s="6" t="s">
        <v>119</v>
      </c>
      <c r="F411" s="10">
        <v>235</v>
      </c>
      <c r="G411" s="23" t="s">
        <v>293</v>
      </c>
      <c r="H411" s="25"/>
      <c r="BA411" s="73" t="s">
        <v>355</v>
      </c>
      <c r="BB411" s="48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356</v>
      </c>
      <c r="E412" s="6" t="s">
        <v>120</v>
      </c>
      <c r="F412" s="10">
        <v>77</v>
      </c>
      <c r="G412" s="23" t="s">
        <v>293</v>
      </c>
      <c r="H412" s="25"/>
      <c r="BA412" s="73" t="s">
        <v>355</v>
      </c>
      <c r="BB412" s="48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356</v>
      </c>
      <c r="E413" s="6" t="s">
        <v>117</v>
      </c>
      <c r="F413" s="10">
        <v>2.64</v>
      </c>
      <c r="G413" s="23" t="s">
        <v>293</v>
      </c>
      <c r="H413" s="25"/>
      <c r="BA413" s="73" t="s">
        <v>355</v>
      </c>
      <c r="BB413" s="48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356</v>
      </c>
      <c r="E414" s="6" t="s">
        <v>344</v>
      </c>
      <c r="F414" s="10">
        <v>231</v>
      </c>
      <c r="G414" s="23" t="s">
        <v>293</v>
      </c>
      <c r="H414" s="25"/>
      <c r="BA414" s="73" t="s">
        <v>355</v>
      </c>
      <c r="BB414" s="48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356</v>
      </c>
      <c r="E415" s="6" t="s">
        <v>132</v>
      </c>
      <c r="F415" s="10">
        <v>3.55</v>
      </c>
      <c r="G415" s="23" t="s">
        <v>293</v>
      </c>
      <c r="H415" s="25"/>
      <c r="BA415" s="73" t="s">
        <v>355</v>
      </c>
      <c r="BB415" s="48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356</v>
      </c>
      <c r="E416" s="6" t="s">
        <v>111</v>
      </c>
      <c r="F416" s="10">
        <v>88</v>
      </c>
      <c r="G416" s="23" t="s">
        <v>293</v>
      </c>
      <c r="H416" s="25"/>
      <c r="BA416" s="73" t="s">
        <v>355</v>
      </c>
      <c r="BB416" s="48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356</v>
      </c>
      <c r="E417" s="6" t="s">
        <v>345</v>
      </c>
      <c r="F417" s="10">
        <v>4.99</v>
      </c>
      <c r="G417" s="23" t="s">
        <v>293</v>
      </c>
      <c r="H417" s="25"/>
      <c r="BA417" s="73" t="s">
        <v>355</v>
      </c>
      <c r="BB417" s="48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356</v>
      </c>
      <c r="E418" s="6" t="s">
        <v>347</v>
      </c>
      <c r="F418" s="10">
        <v>2.2000000000000002</v>
      </c>
      <c r="G418" s="23" t="s">
        <v>293</v>
      </c>
      <c r="H418" s="25"/>
      <c r="BA418" s="73" t="s">
        <v>355</v>
      </c>
      <c r="BB418" s="48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356</v>
      </c>
      <c r="E419" s="6" t="s">
        <v>128</v>
      </c>
      <c r="F419" s="10">
        <v>6.9</v>
      </c>
      <c r="G419" s="23" t="s">
        <v>293</v>
      </c>
      <c r="H419" s="25"/>
      <c r="BA419" s="73" t="s">
        <v>355</v>
      </c>
      <c r="BB419" s="48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356</v>
      </c>
      <c r="E420" s="6" t="s">
        <v>121</v>
      </c>
      <c r="F420" s="10">
        <v>161</v>
      </c>
      <c r="G420" s="23" t="s">
        <v>293</v>
      </c>
      <c r="H420" s="25"/>
      <c r="BA420" s="73" t="s">
        <v>355</v>
      </c>
      <c r="BB420" s="48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356</v>
      </c>
      <c r="E421" s="6" t="s">
        <v>115</v>
      </c>
      <c r="F421" s="10">
        <v>31</v>
      </c>
      <c r="G421" s="23" t="s">
        <v>293</v>
      </c>
      <c r="H421" s="25"/>
      <c r="BA421" s="73" t="s">
        <v>355</v>
      </c>
      <c r="BB421" s="48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356</v>
      </c>
      <c r="E422" s="6" t="s">
        <v>137</v>
      </c>
      <c r="F422" s="10">
        <v>75</v>
      </c>
      <c r="G422" s="23" t="s">
        <v>293</v>
      </c>
      <c r="H422" s="25"/>
      <c r="BA422" s="73" t="s">
        <v>355</v>
      </c>
      <c r="BB422" s="48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356</v>
      </c>
      <c r="E423" s="6" t="s">
        <v>348</v>
      </c>
      <c r="F423" s="10">
        <v>140</v>
      </c>
      <c r="G423" s="23" t="s">
        <v>293</v>
      </c>
      <c r="H423" s="25"/>
      <c r="BA423" s="73" t="s">
        <v>355</v>
      </c>
      <c r="BB423" s="48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356</v>
      </c>
      <c r="E424" s="6" t="s">
        <v>125</v>
      </c>
      <c r="F424" s="10">
        <v>124</v>
      </c>
      <c r="G424" s="23" t="s">
        <v>293</v>
      </c>
      <c r="H424" s="25"/>
      <c r="BA424" s="73" t="s">
        <v>355</v>
      </c>
      <c r="BB424" s="48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356</v>
      </c>
      <c r="E425" s="6" t="s">
        <v>126</v>
      </c>
      <c r="F425" s="10">
        <v>79</v>
      </c>
      <c r="G425" s="23" t="s">
        <v>293</v>
      </c>
      <c r="H425" s="25"/>
      <c r="BA425" s="73" t="s">
        <v>355</v>
      </c>
      <c r="BB425" s="48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356</v>
      </c>
      <c r="E426" s="6" t="s">
        <v>349</v>
      </c>
      <c r="F426" s="10">
        <v>167</v>
      </c>
      <c r="G426" s="23" t="s">
        <v>293</v>
      </c>
      <c r="H426" s="25"/>
      <c r="BA426" s="73" t="s">
        <v>355</v>
      </c>
      <c r="BB426" s="48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356</v>
      </c>
      <c r="E427" s="6" t="s">
        <v>350</v>
      </c>
      <c r="F427" s="10">
        <v>56</v>
      </c>
      <c r="G427" s="23" t="s">
        <v>293</v>
      </c>
      <c r="H427" s="25"/>
      <c r="BA427" s="73" t="s">
        <v>355</v>
      </c>
      <c r="BB427" s="48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356</v>
      </c>
      <c r="E428" s="6" t="s">
        <v>122</v>
      </c>
      <c r="F428" s="10">
        <v>46</v>
      </c>
      <c r="G428" s="23" t="s">
        <v>293</v>
      </c>
      <c r="H428" s="25"/>
      <c r="BA428" s="73" t="s">
        <v>355</v>
      </c>
      <c r="BB428" s="48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356</v>
      </c>
      <c r="E429" s="6" t="s">
        <v>124</v>
      </c>
      <c r="F429" s="10">
        <v>28</v>
      </c>
      <c r="G429" s="23" t="s">
        <v>293</v>
      </c>
      <c r="H429" s="25"/>
      <c r="BA429" s="73" t="s">
        <v>355</v>
      </c>
      <c r="BB429" s="48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356</v>
      </c>
      <c r="E430" s="6" t="s">
        <v>351</v>
      </c>
      <c r="F430" s="10">
        <v>0.98</v>
      </c>
      <c r="G430" s="23" t="s">
        <v>293</v>
      </c>
      <c r="H430" s="25"/>
      <c r="BA430" s="73" t="s">
        <v>355</v>
      </c>
      <c r="BB430" s="48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356</v>
      </c>
      <c r="E431" s="6" t="s">
        <v>353</v>
      </c>
      <c r="F431" s="10">
        <v>33.4</v>
      </c>
      <c r="G431" s="23" t="s">
        <v>293</v>
      </c>
      <c r="H431" s="25"/>
      <c r="BA431" s="73" t="s">
        <v>355</v>
      </c>
      <c r="BB431" s="48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356</v>
      </c>
      <c r="E432" s="6" t="s">
        <v>133</v>
      </c>
      <c r="F432" s="10">
        <v>146</v>
      </c>
      <c r="G432" s="23" t="s">
        <v>293</v>
      </c>
      <c r="H432" s="25"/>
      <c r="BA432" s="73" t="s">
        <v>355</v>
      </c>
      <c r="BB432" s="48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356</v>
      </c>
      <c r="E433" s="6" t="s">
        <v>135</v>
      </c>
      <c r="F433" s="10">
        <v>3.7</v>
      </c>
      <c r="G433" s="23" t="s">
        <v>293</v>
      </c>
      <c r="H433" s="25"/>
      <c r="BA433" s="73" t="s">
        <v>355</v>
      </c>
      <c r="BB433" s="48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356</v>
      </c>
      <c r="E434" s="6" t="s">
        <v>136</v>
      </c>
      <c r="F434" s="10">
        <v>115</v>
      </c>
      <c r="G434" s="23" t="s">
        <v>293</v>
      </c>
      <c r="H434" s="25"/>
      <c r="BA434" s="73" t="s">
        <v>355</v>
      </c>
      <c r="BB434" s="48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356</v>
      </c>
      <c r="E435" s="6" t="s">
        <v>339</v>
      </c>
      <c r="F435" s="10">
        <v>4.6399999999999997</v>
      </c>
      <c r="G435" s="23" t="s">
        <v>293</v>
      </c>
      <c r="H435" s="25"/>
      <c r="BA435" s="73" t="s">
        <v>355</v>
      </c>
      <c r="BB435" s="48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356</v>
      </c>
      <c r="E436" s="6" t="s">
        <v>118</v>
      </c>
      <c r="F436" s="10">
        <v>4.5999999999999996</v>
      </c>
      <c r="G436" s="23" t="s">
        <v>293</v>
      </c>
      <c r="H436" s="25"/>
      <c r="BA436" s="73" t="s">
        <v>355</v>
      </c>
      <c r="BB436" s="48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356</v>
      </c>
      <c r="E437" s="6" t="s">
        <v>130</v>
      </c>
      <c r="F437" s="10">
        <v>4.0949999999999998</v>
      </c>
      <c r="G437" s="23" t="s">
        <v>293</v>
      </c>
      <c r="H437" s="25"/>
      <c r="BA437" s="73" t="s">
        <v>355</v>
      </c>
      <c r="BB437" s="48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356</v>
      </c>
      <c r="E438" s="6" t="s">
        <v>341</v>
      </c>
      <c r="F438" s="10">
        <v>0.28699999999999998</v>
      </c>
      <c r="G438" s="23" t="s">
        <v>293</v>
      </c>
      <c r="H438" s="25"/>
      <c r="BA438" s="73" t="s">
        <v>355</v>
      </c>
      <c r="BB438" s="48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356</v>
      </c>
      <c r="E439" s="6" t="s">
        <v>127</v>
      </c>
      <c r="F439" s="10">
        <v>1.1379999999999999</v>
      </c>
      <c r="G439" s="23" t="s">
        <v>293</v>
      </c>
      <c r="H439" s="25"/>
      <c r="BA439" s="73" t="s">
        <v>355</v>
      </c>
      <c r="BB439" s="48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356</v>
      </c>
      <c r="E440" s="6" t="s">
        <v>131</v>
      </c>
      <c r="F440" s="10">
        <v>8.3000000000000007</v>
      </c>
      <c r="G440" s="23" t="s">
        <v>293</v>
      </c>
      <c r="H440" s="25"/>
      <c r="BA440" s="73" t="s">
        <v>355</v>
      </c>
      <c r="BB440" s="48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356</v>
      </c>
      <c r="E441" s="6" t="s">
        <v>342</v>
      </c>
      <c r="F441" s="10">
        <v>322</v>
      </c>
      <c r="G441" s="23" t="s">
        <v>293</v>
      </c>
      <c r="H441" s="25"/>
      <c r="BA441" s="73" t="s">
        <v>355</v>
      </c>
      <c r="BB441" s="48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356</v>
      </c>
      <c r="E442" s="6" t="s">
        <v>119</v>
      </c>
      <c r="F442" s="10">
        <v>235</v>
      </c>
      <c r="G442" s="23" t="s">
        <v>293</v>
      </c>
      <c r="H442" s="25"/>
      <c r="BA442" s="73" t="s">
        <v>355</v>
      </c>
      <c r="BB442" s="48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356</v>
      </c>
      <c r="E443" s="6" t="s">
        <v>120</v>
      </c>
      <c r="F443" s="10">
        <v>77</v>
      </c>
      <c r="G443" s="23" t="s">
        <v>293</v>
      </c>
      <c r="H443" s="25"/>
      <c r="BA443" s="73" t="s">
        <v>355</v>
      </c>
      <c r="BB443" s="48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356</v>
      </c>
      <c r="E444" s="6" t="s">
        <v>117</v>
      </c>
      <c r="F444" s="10">
        <v>2.57</v>
      </c>
      <c r="G444" s="23" t="s">
        <v>293</v>
      </c>
      <c r="H444" s="25"/>
      <c r="BA444" s="73" t="s">
        <v>355</v>
      </c>
      <c r="BB444" s="48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356</v>
      </c>
      <c r="E445" s="6" t="s">
        <v>344</v>
      </c>
      <c r="F445" s="10">
        <v>227</v>
      </c>
      <c r="G445" s="23" t="s">
        <v>293</v>
      </c>
      <c r="H445" s="25"/>
      <c r="BA445" s="73" t="s">
        <v>355</v>
      </c>
      <c r="BB445" s="48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356</v>
      </c>
      <c r="E446" s="6" t="s">
        <v>132</v>
      </c>
      <c r="F446" s="10">
        <v>3.55</v>
      </c>
      <c r="G446" s="23" t="s">
        <v>293</v>
      </c>
      <c r="H446" s="25"/>
      <c r="BA446" s="73" t="s">
        <v>355</v>
      </c>
      <c r="BB446" s="48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356</v>
      </c>
      <c r="E447" s="6" t="s">
        <v>111</v>
      </c>
      <c r="F447" s="10">
        <v>88</v>
      </c>
      <c r="G447" s="23" t="s">
        <v>293</v>
      </c>
      <c r="H447" s="25"/>
      <c r="BA447" s="73" t="s">
        <v>355</v>
      </c>
      <c r="BB447" s="48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356</v>
      </c>
      <c r="E448" s="6" t="s">
        <v>345</v>
      </c>
      <c r="F448" s="10">
        <v>5.2</v>
      </c>
      <c r="G448" s="23" t="s">
        <v>293</v>
      </c>
      <c r="H448" s="25"/>
      <c r="BA448" s="73" t="s">
        <v>355</v>
      </c>
      <c r="BB448" s="48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356</v>
      </c>
      <c r="E449" s="6" t="s">
        <v>347</v>
      </c>
      <c r="F449" s="10">
        <v>1.97</v>
      </c>
      <c r="G449" s="23" t="s">
        <v>293</v>
      </c>
      <c r="H449" s="25"/>
      <c r="BA449" s="73" t="s">
        <v>355</v>
      </c>
      <c r="BB449" s="48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356</v>
      </c>
      <c r="E450" s="6" t="s">
        <v>128</v>
      </c>
      <c r="F450" s="10">
        <v>6.9</v>
      </c>
      <c r="G450" s="23" t="s">
        <v>293</v>
      </c>
      <c r="H450" s="25"/>
      <c r="BA450" s="73" t="s">
        <v>355</v>
      </c>
      <c r="BB450" s="48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356</v>
      </c>
      <c r="E451" s="6" t="s">
        <v>121</v>
      </c>
      <c r="F451" s="10">
        <v>157</v>
      </c>
      <c r="G451" s="23" t="s">
        <v>293</v>
      </c>
      <c r="H451" s="25"/>
      <c r="BA451" s="73" t="s">
        <v>355</v>
      </c>
      <c r="BB451" s="48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356</v>
      </c>
      <c r="E452" s="6" t="s">
        <v>115</v>
      </c>
      <c r="F452" s="10">
        <v>34</v>
      </c>
      <c r="G452" s="23" t="s">
        <v>293</v>
      </c>
      <c r="H452" s="25"/>
      <c r="BA452" s="73" t="s">
        <v>355</v>
      </c>
      <c r="BB452" s="48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356</v>
      </c>
      <c r="E453" s="6" t="s">
        <v>137</v>
      </c>
      <c r="F453" s="10">
        <v>75</v>
      </c>
      <c r="G453" s="23" t="s">
        <v>293</v>
      </c>
      <c r="H453" s="25"/>
      <c r="BA453" s="73" t="s">
        <v>355</v>
      </c>
      <c r="BB453" s="48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356</v>
      </c>
      <c r="E454" s="6" t="s">
        <v>348</v>
      </c>
      <c r="F454" s="10">
        <v>142</v>
      </c>
      <c r="G454" s="23" t="s">
        <v>293</v>
      </c>
      <c r="H454" s="25"/>
      <c r="BA454" s="73" t="s">
        <v>355</v>
      </c>
      <c r="BB454" s="48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356</v>
      </c>
      <c r="E455" s="6" t="s">
        <v>125</v>
      </c>
      <c r="F455" s="10">
        <v>110</v>
      </c>
      <c r="G455" s="23" t="s">
        <v>293</v>
      </c>
      <c r="H455" s="25"/>
      <c r="BA455" s="73" t="s">
        <v>355</v>
      </c>
      <c r="BB455" s="48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356</v>
      </c>
      <c r="E456" s="6" t="s">
        <v>126</v>
      </c>
      <c r="F456" s="10">
        <v>78</v>
      </c>
      <c r="G456" s="23" t="s">
        <v>293</v>
      </c>
      <c r="H456" s="25"/>
      <c r="BA456" s="73" t="s">
        <v>355</v>
      </c>
      <c r="BB456" s="48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356</v>
      </c>
      <c r="E457" s="6" t="s">
        <v>349</v>
      </c>
      <c r="F457" s="10">
        <v>160</v>
      </c>
      <c r="G457" s="23" t="s">
        <v>293</v>
      </c>
      <c r="H457" s="25"/>
      <c r="BA457" s="73" t="s">
        <v>355</v>
      </c>
      <c r="BB457" s="48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356</v>
      </c>
      <c r="E458" s="6" t="s">
        <v>350</v>
      </c>
      <c r="F458" s="10">
        <v>60</v>
      </c>
      <c r="G458" s="23" t="s">
        <v>293</v>
      </c>
      <c r="H458" s="25"/>
      <c r="BA458" s="73" t="s">
        <v>355</v>
      </c>
      <c r="BB458" s="48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356</v>
      </c>
      <c r="E459" s="6" t="s">
        <v>122</v>
      </c>
      <c r="F459" s="10">
        <v>49</v>
      </c>
      <c r="G459" s="23" t="s">
        <v>293</v>
      </c>
      <c r="H459" s="25"/>
      <c r="BA459" s="73" t="s">
        <v>355</v>
      </c>
      <c r="BB459" s="48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356</v>
      </c>
      <c r="E460" s="6" t="s">
        <v>124</v>
      </c>
      <c r="F460" s="10">
        <v>30</v>
      </c>
      <c r="G460" s="23" t="s">
        <v>293</v>
      </c>
      <c r="H460" s="25"/>
      <c r="BA460" s="73" t="s">
        <v>355</v>
      </c>
      <c r="BB460" s="48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356</v>
      </c>
      <c r="E461" s="6" t="s">
        <v>351</v>
      </c>
      <c r="F461" s="10">
        <v>0.99</v>
      </c>
      <c r="G461" s="23" t="s">
        <v>293</v>
      </c>
      <c r="H461" s="25"/>
      <c r="BA461" s="73" t="s">
        <v>355</v>
      </c>
      <c r="BB461" s="48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356</v>
      </c>
      <c r="E462" s="6" t="s">
        <v>353</v>
      </c>
      <c r="F462" s="10">
        <v>38.4</v>
      </c>
      <c r="G462" s="23" t="s">
        <v>293</v>
      </c>
      <c r="H462" s="25"/>
      <c r="BA462" s="73" t="s">
        <v>355</v>
      </c>
      <c r="BB462" s="48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356</v>
      </c>
      <c r="E463" s="6" t="s">
        <v>133</v>
      </c>
      <c r="F463" s="10">
        <v>144</v>
      </c>
      <c r="G463" s="23" t="s">
        <v>293</v>
      </c>
      <c r="H463" s="25"/>
      <c r="BA463" s="73" t="s">
        <v>355</v>
      </c>
      <c r="BB463" s="48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356</v>
      </c>
      <c r="E464" s="6" t="s">
        <v>135</v>
      </c>
      <c r="F464" s="10">
        <v>3.7</v>
      </c>
      <c r="G464" s="23" t="s">
        <v>293</v>
      </c>
      <c r="H464" s="25"/>
      <c r="BA464" s="73" t="s">
        <v>355</v>
      </c>
      <c r="BB464" s="48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356</v>
      </c>
      <c r="E465" s="6" t="s">
        <v>136</v>
      </c>
      <c r="F465" s="10">
        <v>116</v>
      </c>
      <c r="G465" s="23" t="s">
        <v>293</v>
      </c>
      <c r="H465" s="25"/>
      <c r="BA465" s="73" t="s">
        <v>355</v>
      </c>
      <c r="BB465" s="48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356</v>
      </c>
      <c r="E466" s="6" t="s">
        <v>339</v>
      </c>
      <c r="F466" s="10">
        <v>4.6399999999999997</v>
      </c>
      <c r="G466" s="23" t="s">
        <v>293</v>
      </c>
      <c r="H466" s="25"/>
      <c r="BA466" s="73" t="s">
        <v>355</v>
      </c>
      <c r="BB466" s="48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356</v>
      </c>
      <c r="E467" s="6" t="s">
        <v>118</v>
      </c>
      <c r="F467" s="10">
        <v>4.8</v>
      </c>
      <c r="G467" s="23" t="s">
        <v>293</v>
      </c>
      <c r="H467" s="25"/>
      <c r="BA467" s="73" t="s">
        <v>355</v>
      </c>
      <c r="BB467" s="48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356</v>
      </c>
      <c r="E468" s="6" t="s">
        <v>130</v>
      </c>
      <c r="F468" s="10">
        <v>3.7829999999999999</v>
      </c>
      <c r="G468" s="23" t="s">
        <v>293</v>
      </c>
      <c r="H468" s="25"/>
      <c r="BA468" s="73" t="s">
        <v>355</v>
      </c>
      <c r="BB468" s="48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356</v>
      </c>
      <c r="E469" s="6" t="s">
        <v>341</v>
      </c>
      <c r="F469" s="10">
        <v>0.29799999999999999</v>
      </c>
      <c r="G469" s="23" t="s">
        <v>293</v>
      </c>
      <c r="H469" s="25"/>
      <c r="BA469" s="73" t="s">
        <v>355</v>
      </c>
      <c r="BB469" s="48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356</v>
      </c>
      <c r="E470" s="6" t="s">
        <v>127</v>
      </c>
      <c r="F470" s="10">
        <v>1.135</v>
      </c>
      <c r="G470" s="23" t="s">
        <v>293</v>
      </c>
      <c r="H470" s="25"/>
      <c r="BA470" s="73" t="s">
        <v>355</v>
      </c>
      <c r="BB470" s="48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356</v>
      </c>
      <c r="E471" s="6" t="s">
        <v>131</v>
      </c>
      <c r="F471" s="10">
        <v>8.6</v>
      </c>
      <c r="G471" s="23" t="s">
        <v>293</v>
      </c>
      <c r="H471" s="25"/>
      <c r="BA471" s="73" t="s">
        <v>355</v>
      </c>
      <c r="BB471" s="48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356</v>
      </c>
      <c r="E472" s="6" t="s">
        <v>342</v>
      </c>
      <c r="F472" s="10">
        <v>321</v>
      </c>
      <c r="G472" s="23" t="s">
        <v>293</v>
      </c>
      <c r="H472" s="25"/>
      <c r="BA472" s="73" t="s">
        <v>355</v>
      </c>
      <c r="BB472" s="48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356</v>
      </c>
      <c r="E473" s="6" t="s">
        <v>119</v>
      </c>
      <c r="F473" s="10">
        <v>233</v>
      </c>
      <c r="G473" s="23" t="s">
        <v>293</v>
      </c>
      <c r="H473" s="25"/>
      <c r="BA473" s="73" t="s">
        <v>355</v>
      </c>
      <c r="BB473" s="48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356</v>
      </c>
      <c r="E474" s="6" t="s">
        <v>120</v>
      </c>
      <c r="F474" s="10">
        <v>76</v>
      </c>
      <c r="G474" s="23" t="s">
        <v>293</v>
      </c>
      <c r="H474" s="25"/>
      <c r="BA474" s="73" t="s">
        <v>355</v>
      </c>
      <c r="BB474" s="48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356</v>
      </c>
      <c r="E475" s="6" t="s">
        <v>117</v>
      </c>
      <c r="F475" s="10">
        <v>2.6</v>
      </c>
      <c r="G475" s="23" t="s">
        <v>293</v>
      </c>
      <c r="H475" s="25"/>
      <c r="BA475" s="73" t="s">
        <v>355</v>
      </c>
      <c r="BB475" s="48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356</v>
      </c>
      <c r="E476" s="6" t="s">
        <v>344</v>
      </c>
      <c r="F476" s="10">
        <v>227</v>
      </c>
      <c r="G476" s="23" t="s">
        <v>293</v>
      </c>
      <c r="H476" s="25"/>
      <c r="BA476" s="73" t="s">
        <v>355</v>
      </c>
      <c r="BB476" s="48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356</v>
      </c>
      <c r="E477" s="6" t="s">
        <v>132</v>
      </c>
      <c r="F477" s="10">
        <v>3.57</v>
      </c>
      <c r="G477" s="23" t="s">
        <v>293</v>
      </c>
      <c r="H477" s="25"/>
      <c r="BA477" s="73" t="s">
        <v>355</v>
      </c>
      <c r="BB477" s="48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356</v>
      </c>
      <c r="E478" s="6" t="s">
        <v>111</v>
      </c>
      <c r="F478" s="10">
        <v>88</v>
      </c>
      <c r="G478" s="23" t="s">
        <v>293</v>
      </c>
      <c r="H478" s="25"/>
      <c r="BA478" s="73" t="s">
        <v>355</v>
      </c>
      <c r="BB478" s="48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356</v>
      </c>
      <c r="E479" s="6" t="s">
        <v>345</v>
      </c>
      <c r="F479" s="10">
        <v>5.28</v>
      </c>
      <c r="G479" s="23" t="s">
        <v>293</v>
      </c>
      <c r="H479" s="25"/>
      <c r="BA479" s="73" t="s">
        <v>355</v>
      </c>
      <c r="BB479" s="48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356</v>
      </c>
      <c r="E480" s="6" t="s">
        <v>347</v>
      </c>
      <c r="F480" s="10">
        <v>1.99</v>
      </c>
      <c r="G480" s="23" t="s">
        <v>293</v>
      </c>
      <c r="H480" s="25"/>
      <c r="BA480" s="73" t="s">
        <v>355</v>
      </c>
      <c r="BB480" s="48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356</v>
      </c>
      <c r="E481" s="6" t="s">
        <v>128</v>
      </c>
      <c r="F481" s="10">
        <v>6.9</v>
      </c>
      <c r="G481" s="23" t="s">
        <v>293</v>
      </c>
      <c r="H481" s="25"/>
      <c r="BA481" s="73" t="s">
        <v>355</v>
      </c>
      <c r="BB481" s="48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356</v>
      </c>
      <c r="E482" s="6" t="s">
        <v>121</v>
      </c>
      <c r="F482" s="10">
        <v>157</v>
      </c>
      <c r="G482" s="23" t="s">
        <v>293</v>
      </c>
      <c r="H482" s="25"/>
      <c r="BA482" s="73" t="s">
        <v>355</v>
      </c>
      <c r="BB482" s="48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356</v>
      </c>
      <c r="E483" s="6" t="s">
        <v>115</v>
      </c>
      <c r="F483" s="10">
        <v>33</v>
      </c>
      <c r="G483" s="23" t="s">
        <v>293</v>
      </c>
      <c r="H483" s="25"/>
      <c r="BA483" s="73" t="s">
        <v>355</v>
      </c>
      <c r="BB483" s="48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356</v>
      </c>
      <c r="E484" s="6" t="s">
        <v>137</v>
      </c>
      <c r="F484" s="10">
        <v>75</v>
      </c>
      <c r="G484" s="23" t="s">
        <v>293</v>
      </c>
      <c r="H484" s="25"/>
      <c r="BA484" s="73" t="s">
        <v>355</v>
      </c>
      <c r="BB484" s="48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356</v>
      </c>
      <c r="E485" s="6" t="s">
        <v>348</v>
      </c>
      <c r="F485" s="10">
        <v>140</v>
      </c>
      <c r="G485" s="23" t="s">
        <v>293</v>
      </c>
      <c r="H485" s="25"/>
      <c r="BA485" s="73" t="s">
        <v>355</v>
      </c>
      <c r="BB485" s="48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356</v>
      </c>
      <c r="E486" s="6" t="s">
        <v>125</v>
      </c>
      <c r="F486" s="10">
        <v>118</v>
      </c>
      <c r="G486" s="23" t="s">
        <v>293</v>
      </c>
      <c r="H486" s="25"/>
      <c r="BA486" s="73" t="s">
        <v>355</v>
      </c>
      <c r="BB486" s="48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356</v>
      </c>
      <c r="E487" s="6" t="s">
        <v>126</v>
      </c>
      <c r="F487" s="10">
        <v>75</v>
      </c>
      <c r="G487" s="23" t="s">
        <v>293</v>
      </c>
      <c r="H487" s="25"/>
      <c r="BA487" s="73" t="s">
        <v>355</v>
      </c>
      <c r="BB487" s="48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356</v>
      </c>
      <c r="E488" s="6" t="s">
        <v>349</v>
      </c>
      <c r="F488" s="10">
        <v>159</v>
      </c>
      <c r="G488" s="23" t="s">
        <v>293</v>
      </c>
      <c r="H488" s="25"/>
      <c r="BA488" s="73" t="s">
        <v>355</v>
      </c>
      <c r="BB488" s="48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356</v>
      </c>
      <c r="E489" s="6" t="s">
        <v>350</v>
      </c>
      <c r="F489" s="10">
        <v>57</v>
      </c>
      <c r="G489" s="23" t="s">
        <v>293</v>
      </c>
      <c r="H489" s="25"/>
      <c r="BA489" s="73" t="s">
        <v>355</v>
      </c>
      <c r="BB489" s="48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356</v>
      </c>
      <c r="E490" s="6" t="s">
        <v>122</v>
      </c>
      <c r="F490" s="10">
        <v>46</v>
      </c>
      <c r="G490" s="23" t="s">
        <v>293</v>
      </c>
      <c r="H490" s="25"/>
      <c r="BA490" s="73" t="s">
        <v>355</v>
      </c>
      <c r="BB490" s="48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356</v>
      </c>
      <c r="E491" s="6" t="s">
        <v>124</v>
      </c>
      <c r="F491" s="10">
        <v>31</v>
      </c>
      <c r="G491" s="23" t="s">
        <v>293</v>
      </c>
      <c r="H491" s="25"/>
      <c r="BA491" s="73" t="s">
        <v>355</v>
      </c>
      <c r="BB491" s="48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356</v>
      </c>
      <c r="E492" s="6" t="s">
        <v>351</v>
      </c>
      <c r="F492" s="10">
        <v>1.02</v>
      </c>
      <c r="G492" s="23" t="s">
        <v>293</v>
      </c>
      <c r="H492" s="25"/>
      <c r="BA492" s="73" t="s">
        <v>355</v>
      </c>
      <c r="BB492" s="48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356</v>
      </c>
      <c r="E493" s="6" t="s">
        <v>353</v>
      </c>
      <c r="F493" s="10">
        <v>34.4</v>
      </c>
      <c r="G493" s="23" t="s">
        <v>293</v>
      </c>
      <c r="H493" s="25"/>
      <c r="BA493" s="73" t="s">
        <v>355</v>
      </c>
      <c r="BB493" s="48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356</v>
      </c>
      <c r="E494" s="6" t="s">
        <v>133</v>
      </c>
      <c r="F494" s="10">
        <v>145</v>
      </c>
      <c r="G494" s="23" t="s">
        <v>293</v>
      </c>
      <c r="H494" s="25"/>
      <c r="BA494" s="73" t="s">
        <v>355</v>
      </c>
      <c r="BB494" s="48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356</v>
      </c>
      <c r="E495" s="6" t="s">
        <v>135</v>
      </c>
      <c r="F495" s="10">
        <v>3.7</v>
      </c>
      <c r="G495" s="23" t="s">
        <v>293</v>
      </c>
      <c r="H495" s="25"/>
      <c r="BA495" s="73" t="s">
        <v>355</v>
      </c>
      <c r="BB495" s="48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356</v>
      </c>
      <c r="E496" s="6" t="s">
        <v>136</v>
      </c>
      <c r="F496" s="10">
        <v>120</v>
      </c>
      <c r="G496" s="23" t="s">
        <v>293</v>
      </c>
      <c r="H496" s="25"/>
      <c r="BA496" s="73" t="s">
        <v>355</v>
      </c>
      <c r="BB496" s="48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356</v>
      </c>
      <c r="E497" s="6" t="s">
        <v>339</v>
      </c>
      <c r="F497" s="10">
        <v>4.57</v>
      </c>
      <c r="G497" s="23" t="s">
        <v>293</v>
      </c>
      <c r="H497" s="25"/>
      <c r="BA497" s="73" t="s">
        <v>355</v>
      </c>
      <c r="BB497" s="48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356</v>
      </c>
      <c r="E498" s="6" t="s">
        <v>118</v>
      </c>
      <c r="F498" s="10">
        <v>4.8</v>
      </c>
      <c r="G498" s="23" t="s">
        <v>293</v>
      </c>
      <c r="H498" s="25"/>
      <c r="BA498" s="73" t="s">
        <v>355</v>
      </c>
      <c r="BB498" s="48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356</v>
      </c>
      <c r="E499" s="6" t="s">
        <v>130</v>
      </c>
      <c r="F499" s="10">
        <v>3.89</v>
      </c>
      <c r="G499" s="23" t="s">
        <v>293</v>
      </c>
      <c r="H499" s="25"/>
      <c r="BA499" s="73" t="s">
        <v>355</v>
      </c>
      <c r="BB499" s="48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356</v>
      </c>
      <c r="E500" s="6" t="s">
        <v>341</v>
      </c>
      <c r="F500" s="10">
        <v>0.28699999999999998</v>
      </c>
      <c r="G500" s="23" t="s">
        <v>293</v>
      </c>
      <c r="H500" s="25"/>
      <c r="BA500" s="73" t="s">
        <v>355</v>
      </c>
      <c r="BB500" s="48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356</v>
      </c>
      <c r="E501" s="6" t="s">
        <v>127</v>
      </c>
      <c r="F501" s="10">
        <v>1.18</v>
      </c>
      <c r="G501" s="23" t="s">
        <v>293</v>
      </c>
      <c r="H501" s="25"/>
      <c r="BA501" s="73" t="s">
        <v>355</v>
      </c>
      <c r="BB501" s="48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356</v>
      </c>
      <c r="E502" s="6" t="s">
        <v>131</v>
      </c>
      <c r="F502" s="10">
        <v>8.6</v>
      </c>
      <c r="G502" s="23" t="s">
        <v>293</v>
      </c>
      <c r="H502" s="25"/>
      <c r="BA502" s="73" t="s">
        <v>355</v>
      </c>
      <c r="BB502" s="48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356</v>
      </c>
      <c r="E503" s="6" t="s">
        <v>342</v>
      </c>
      <c r="F503" s="10">
        <v>331</v>
      </c>
      <c r="G503" s="23" t="s">
        <v>293</v>
      </c>
      <c r="H503" s="25"/>
      <c r="BA503" s="73" t="s">
        <v>355</v>
      </c>
      <c r="BB503" s="48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356</v>
      </c>
      <c r="E504" s="6" t="s">
        <v>119</v>
      </c>
      <c r="F504" s="10">
        <v>226</v>
      </c>
      <c r="G504" s="23" t="s">
        <v>293</v>
      </c>
      <c r="H504" s="25"/>
      <c r="BA504" s="73" t="s">
        <v>355</v>
      </c>
      <c r="BB504" s="48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356</v>
      </c>
      <c r="E505" s="6" t="s">
        <v>120</v>
      </c>
      <c r="F505" s="10">
        <v>76</v>
      </c>
      <c r="G505" s="23" t="s">
        <v>293</v>
      </c>
      <c r="H505" s="25"/>
      <c r="BA505" s="73" t="s">
        <v>355</v>
      </c>
      <c r="BB505" s="48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356</v>
      </c>
      <c r="E506" s="6" t="s">
        <v>117</v>
      </c>
      <c r="F506" s="10">
        <v>2.62</v>
      </c>
      <c r="G506" s="23" t="s">
        <v>293</v>
      </c>
      <c r="H506" s="25"/>
      <c r="BA506" s="73" t="s">
        <v>355</v>
      </c>
      <c r="BB506" s="48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356</v>
      </c>
      <c r="E507" s="6" t="s">
        <v>344</v>
      </c>
      <c r="F507" s="10">
        <v>228</v>
      </c>
      <c r="G507" s="23" t="s">
        <v>293</v>
      </c>
      <c r="H507" s="25"/>
      <c r="BA507" s="73" t="s">
        <v>355</v>
      </c>
      <c r="BB507" s="48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356</v>
      </c>
      <c r="E508" s="6" t="s">
        <v>132</v>
      </c>
      <c r="F508" s="10">
        <v>3.61</v>
      </c>
      <c r="G508" s="23" t="s">
        <v>293</v>
      </c>
      <c r="H508" s="25"/>
      <c r="BA508" s="73" t="s">
        <v>355</v>
      </c>
      <c r="BB508" s="48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356</v>
      </c>
      <c r="E509" s="6" t="s">
        <v>111</v>
      </c>
      <c r="F509" s="10">
        <v>87</v>
      </c>
      <c r="G509" s="23" t="s">
        <v>293</v>
      </c>
      <c r="H509" s="25"/>
      <c r="BA509" s="73" t="s">
        <v>355</v>
      </c>
      <c r="BB509" s="48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356</v>
      </c>
      <c r="E510" s="6" t="s">
        <v>345</v>
      </c>
      <c r="F510" s="10">
        <v>5.12</v>
      </c>
      <c r="G510" s="23" t="s">
        <v>293</v>
      </c>
      <c r="H510" s="25"/>
      <c r="BA510" s="73" t="s">
        <v>355</v>
      </c>
      <c r="BB510" s="48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356</v>
      </c>
      <c r="E511" s="6" t="s">
        <v>347</v>
      </c>
      <c r="F511" s="10">
        <v>2.1</v>
      </c>
      <c r="G511" s="23" t="s">
        <v>293</v>
      </c>
      <c r="H511" s="25"/>
      <c r="BA511" s="73" t="s">
        <v>355</v>
      </c>
      <c r="BB511" s="48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356</v>
      </c>
      <c r="E512" s="6" t="s">
        <v>128</v>
      </c>
      <c r="F512" s="10">
        <v>6.8</v>
      </c>
      <c r="G512" s="23" t="s">
        <v>293</v>
      </c>
      <c r="H512" s="25"/>
      <c r="BA512" s="73" t="s">
        <v>355</v>
      </c>
      <c r="BB512" s="48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356</v>
      </c>
      <c r="E513" s="6" t="s">
        <v>121</v>
      </c>
      <c r="F513" s="10">
        <v>155</v>
      </c>
      <c r="G513" s="23" t="s">
        <v>293</v>
      </c>
      <c r="H513" s="25"/>
      <c r="BA513" s="73" t="s">
        <v>355</v>
      </c>
      <c r="BB513" s="48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356</v>
      </c>
      <c r="E514" s="6" t="s">
        <v>115</v>
      </c>
      <c r="F514" s="10">
        <v>32</v>
      </c>
      <c r="G514" s="23" t="s">
        <v>293</v>
      </c>
      <c r="H514" s="25"/>
      <c r="BA514" s="73" t="s">
        <v>355</v>
      </c>
      <c r="BB514" s="48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356</v>
      </c>
      <c r="E515" s="6" t="s">
        <v>137</v>
      </c>
      <c r="F515" s="10">
        <v>75</v>
      </c>
      <c r="G515" s="23" t="s">
        <v>293</v>
      </c>
      <c r="H515" s="25"/>
      <c r="BA515" s="73" t="s">
        <v>355</v>
      </c>
      <c r="BB515" s="48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356</v>
      </c>
      <c r="E516" s="6" t="s">
        <v>348</v>
      </c>
      <c r="F516" s="10">
        <v>141</v>
      </c>
      <c r="G516" s="23" t="s">
        <v>293</v>
      </c>
      <c r="H516" s="25"/>
      <c r="BA516" s="73" t="s">
        <v>355</v>
      </c>
      <c r="BB516" s="48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356</v>
      </c>
      <c r="E517" s="6" t="s">
        <v>125</v>
      </c>
      <c r="F517" s="10">
        <v>109</v>
      </c>
      <c r="G517" s="23" t="s">
        <v>293</v>
      </c>
      <c r="H517" s="25"/>
      <c r="BA517" s="73" t="s">
        <v>355</v>
      </c>
      <c r="BB517" s="48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356</v>
      </c>
      <c r="E518" s="6" t="s">
        <v>126</v>
      </c>
      <c r="F518" s="10">
        <v>80</v>
      </c>
      <c r="G518" s="23" t="s">
        <v>293</v>
      </c>
      <c r="H518" s="25"/>
      <c r="BA518" s="73" t="s">
        <v>355</v>
      </c>
      <c r="BB518" s="48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356</v>
      </c>
      <c r="E519" s="6" t="s">
        <v>349</v>
      </c>
      <c r="F519" s="10">
        <v>158</v>
      </c>
      <c r="G519" s="23" t="s">
        <v>293</v>
      </c>
      <c r="H519" s="25"/>
      <c r="BA519" s="73" t="s">
        <v>355</v>
      </c>
      <c r="BB519" s="48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356</v>
      </c>
      <c r="E520" s="6" t="s">
        <v>350</v>
      </c>
      <c r="F520" s="10">
        <v>60</v>
      </c>
      <c r="G520" s="23" t="s">
        <v>293</v>
      </c>
      <c r="H520" s="25"/>
      <c r="BA520" s="73" t="s">
        <v>355</v>
      </c>
      <c r="BB520" s="48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356</v>
      </c>
      <c r="E521" s="6" t="s">
        <v>122</v>
      </c>
      <c r="F521" s="10">
        <v>47</v>
      </c>
      <c r="G521" s="23" t="s">
        <v>293</v>
      </c>
      <c r="H521" s="25"/>
      <c r="BA521" s="73" t="s">
        <v>355</v>
      </c>
      <c r="BB521" s="48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356</v>
      </c>
      <c r="E522" s="6" t="s">
        <v>124</v>
      </c>
      <c r="F522" s="10">
        <v>30</v>
      </c>
      <c r="G522" s="23" t="s">
        <v>293</v>
      </c>
      <c r="H522" s="25"/>
      <c r="BA522" s="73" t="s">
        <v>355</v>
      </c>
      <c r="BB522" s="48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356</v>
      </c>
      <c r="E523" s="6" t="s">
        <v>351</v>
      </c>
      <c r="F523" s="10">
        <v>1.1200000000000001</v>
      </c>
      <c r="G523" s="23" t="s">
        <v>293</v>
      </c>
      <c r="H523" s="25"/>
      <c r="BA523" s="73" t="s">
        <v>355</v>
      </c>
      <c r="BB523" s="48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356</v>
      </c>
      <c r="E524" s="6" t="s">
        <v>353</v>
      </c>
      <c r="F524" s="10">
        <v>34.6</v>
      </c>
      <c r="G524" s="23" t="s">
        <v>293</v>
      </c>
      <c r="H524" s="25"/>
      <c r="BA524" s="73" t="s">
        <v>355</v>
      </c>
      <c r="BB524" s="48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356</v>
      </c>
      <c r="E525" s="6" t="s">
        <v>133</v>
      </c>
      <c r="F525" s="10">
        <v>146</v>
      </c>
      <c r="G525" s="23" t="s">
        <v>293</v>
      </c>
      <c r="H525" s="25"/>
      <c r="BA525" s="73" t="s">
        <v>355</v>
      </c>
      <c r="BB525" s="48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356</v>
      </c>
      <c r="E526" s="6" t="s">
        <v>135</v>
      </c>
      <c r="F526" s="10">
        <v>3.7</v>
      </c>
      <c r="G526" s="23" t="s">
        <v>293</v>
      </c>
      <c r="H526" s="25"/>
      <c r="BA526" s="73" t="s">
        <v>355</v>
      </c>
      <c r="BB526" s="48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356</v>
      </c>
      <c r="E527" s="6" t="s">
        <v>136</v>
      </c>
      <c r="F527" s="10">
        <v>116</v>
      </c>
      <c r="G527" s="23" t="s">
        <v>293</v>
      </c>
      <c r="H527" s="25"/>
      <c r="BA527" s="73" t="s">
        <v>355</v>
      </c>
      <c r="BB527" s="48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356</v>
      </c>
      <c r="E528" s="6" t="s">
        <v>339</v>
      </c>
      <c r="F528" s="10">
        <v>4.53</v>
      </c>
      <c r="G528" s="23" t="s">
        <v>293</v>
      </c>
      <c r="H528" s="25"/>
      <c r="BA528" s="73" t="s">
        <v>355</v>
      </c>
      <c r="BB528" s="48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356</v>
      </c>
      <c r="E529" s="6" t="s">
        <v>118</v>
      </c>
      <c r="F529" s="10">
        <v>4.7</v>
      </c>
      <c r="G529" s="23" t="s">
        <v>293</v>
      </c>
      <c r="H529" s="25"/>
      <c r="BA529" s="73" t="s">
        <v>355</v>
      </c>
      <c r="BB529" s="48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356</v>
      </c>
      <c r="E530" s="6" t="s">
        <v>130</v>
      </c>
      <c r="F530" s="10">
        <v>3.8860000000000001</v>
      </c>
      <c r="G530" s="23" t="s">
        <v>293</v>
      </c>
      <c r="H530" s="25"/>
      <c r="BA530" s="73" t="s">
        <v>355</v>
      </c>
      <c r="BB530" s="48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356</v>
      </c>
      <c r="E531" s="6" t="s">
        <v>341</v>
      </c>
      <c r="F531" s="10">
        <v>0.30299999999999999</v>
      </c>
      <c r="G531" s="23" t="s">
        <v>293</v>
      </c>
      <c r="H531" s="25"/>
      <c r="BA531" s="73" t="s">
        <v>355</v>
      </c>
      <c r="BB531" s="48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356</v>
      </c>
      <c r="E532" s="6" t="s">
        <v>127</v>
      </c>
      <c r="F532" s="10">
        <v>1.137</v>
      </c>
      <c r="G532" s="23" t="s">
        <v>293</v>
      </c>
      <c r="H532" s="25"/>
      <c r="BA532" s="73" t="s">
        <v>355</v>
      </c>
      <c r="BB532" s="48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356</v>
      </c>
      <c r="E533" s="6" t="s">
        <v>131</v>
      </c>
      <c r="F533" s="10">
        <v>8.6999999999999993</v>
      </c>
      <c r="G533" s="23" t="s">
        <v>293</v>
      </c>
      <c r="H533" s="25"/>
      <c r="BA533" s="73" t="s">
        <v>355</v>
      </c>
      <c r="BB533" s="48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356</v>
      </c>
      <c r="E534" s="6" t="s">
        <v>342</v>
      </c>
      <c r="F534" s="10">
        <v>323</v>
      </c>
      <c r="G534" s="23" t="s">
        <v>293</v>
      </c>
      <c r="H534" s="25"/>
      <c r="BA534" s="73" t="s">
        <v>355</v>
      </c>
      <c r="BB534" s="48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356</v>
      </c>
      <c r="E535" s="6" t="s">
        <v>119</v>
      </c>
      <c r="F535" s="10">
        <v>238</v>
      </c>
      <c r="G535" s="23" t="s">
        <v>293</v>
      </c>
      <c r="H535" s="25"/>
      <c r="BA535" s="73" t="s">
        <v>355</v>
      </c>
      <c r="BB535" s="48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356</v>
      </c>
      <c r="E536" s="6" t="s">
        <v>120</v>
      </c>
      <c r="F536" s="10">
        <v>78</v>
      </c>
      <c r="G536" s="23" t="s">
        <v>293</v>
      </c>
      <c r="H536" s="25"/>
      <c r="BA536" s="73" t="s">
        <v>355</v>
      </c>
      <c r="BB536" s="48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356</v>
      </c>
      <c r="E537" s="6" t="s">
        <v>117</v>
      </c>
      <c r="F537" s="10">
        <v>2.69</v>
      </c>
      <c r="G537" s="23" t="s">
        <v>293</v>
      </c>
      <c r="H537" s="25"/>
      <c r="BA537" s="73" t="s">
        <v>355</v>
      </c>
      <c r="BB537" s="48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356</v>
      </c>
      <c r="E538" s="6" t="s">
        <v>344</v>
      </c>
      <c r="F538" s="10">
        <v>229</v>
      </c>
      <c r="G538" s="23" t="s">
        <v>293</v>
      </c>
      <c r="H538" s="25"/>
      <c r="BA538" s="73" t="s">
        <v>355</v>
      </c>
      <c r="BB538" s="48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356</v>
      </c>
      <c r="E539" s="6" t="s">
        <v>132</v>
      </c>
      <c r="F539" s="10">
        <v>3.52</v>
      </c>
      <c r="G539" s="23" t="s">
        <v>293</v>
      </c>
      <c r="H539" s="25"/>
      <c r="BA539" s="73" t="s">
        <v>355</v>
      </c>
      <c r="BB539" s="48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356</v>
      </c>
      <c r="E540" s="6" t="s">
        <v>111</v>
      </c>
      <c r="F540" s="10">
        <v>87</v>
      </c>
      <c r="G540" s="23" t="s">
        <v>293</v>
      </c>
      <c r="H540" s="25"/>
      <c r="BA540" s="73" t="s">
        <v>355</v>
      </c>
      <c r="BB540" s="48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356</v>
      </c>
      <c r="E541" s="6" t="s">
        <v>345</v>
      </c>
      <c r="F541" s="10">
        <v>5.25</v>
      </c>
      <c r="G541" s="23" t="s">
        <v>293</v>
      </c>
      <c r="H541" s="25"/>
      <c r="BA541" s="73" t="s">
        <v>355</v>
      </c>
      <c r="BB541" s="48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356</v>
      </c>
      <c r="E542" s="6" t="s">
        <v>347</v>
      </c>
      <c r="F542" s="10">
        <v>1.98</v>
      </c>
      <c r="G542" s="23" t="s">
        <v>293</v>
      </c>
      <c r="H542" s="25"/>
      <c r="BA542" s="73" t="s">
        <v>355</v>
      </c>
      <c r="BB542" s="48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356</v>
      </c>
      <c r="E543" s="6" t="s">
        <v>128</v>
      </c>
      <c r="F543" s="10">
        <v>6.8</v>
      </c>
      <c r="G543" s="23" t="s">
        <v>293</v>
      </c>
      <c r="H543" s="25"/>
      <c r="BA543" s="73" t="s">
        <v>355</v>
      </c>
      <c r="BB543" s="48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356</v>
      </c>
      <c r="E544" s="6" t="s">
        <v>121</v>
      </c>
      <c r="F544" s="10">
        <v>158</v>
      </c>
      <c r="G544" s="23" t="s">
        <v>293</v>
      </c>
      <c r="H544" s="25"/>
      <c r="BA544" s="73" t="s">
        <v>355</v>
      </c>
      <c r="BB544" s="48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356</v>
      </c>
      <c r="E545" s="6" t="s">
        <v>115</v>
      </c>
      <c r="F545" s="10">
        <v>33</v>
      </c>
      <c r="G545" s="23" t="s">
        <v>293</v>
      </c>
      <c r="H545" s="25"/>
      <c r="BA545" s="73" t="s">
        <v>355</v>
      </c>
      <c r="BB545" s="48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356</v>
      </c>
      <c r="E546" s="6" t="s">
        <v>137</v>
      </c>
      <c r="F546" s="10">
        <v>76</v>
      </c>
      <c r="G546" s="23" t="s">
        <v>293</v>
      </c>
      <c r="H546" s="25"/>
      <c r="BA546" s="73" t="s">
        <v>355</v>
      </c>
      <c r="BB546" s="48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356</v>
      </c>
      <c r="E547" s="6" t="s">
        <v>348</v>
      </c>
      <c r="F547" s="10">
        <v>140</v>
      </c>
      <c r="G547" s="23" t="s">
        <v>293</v>
      </c>
      <c r="H547" s="25"/>
      <c r="BA547" s="73" t="s">
        <v>355</v>
      </c>
      <c r="BB547" s="48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356</v>
      </c>
      <c r="E548" s="6" t="s">
        <v>125</v>
      </c>
      <c r="F548" s="10">
        <v>112</v>
      </c>
      <c r="G548" s="23" t="s">
        <v>293</v>
      </c>
      <c r="H548" s="25"/>
      <c r="BA548" s="73" t="s">
        <v>355</v>
      </c>
      <c r="BB548" s="48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356</v>
      </c>
      <c r="E549" s="6" t="s">
        <v>126</v>
      </c>
      <c r="F549" s="10">
        <v>79</v>
      </c>
      <c r="G549" s="23" t="s">
        <v>293</v>
      </c>
      <c r="H549" s="25"/>
      <c r="BA549" s="73" t="s">
        <v>355</v>
      </c>
      <c r="BB549" s="48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356</v>
      </c>
      <c r="E550" s="6" t="s">
        <v>349</v>
      </c>
      <c r="F550" s="10">
        <v>154</v>
      </c>
      <c r="G550" s="23" t="s">
        <v>293</v>
      </c>
      <c r="H550" s="25"/>
      <c r="BA550" s="73" t="s">
        <v>355</v>
      </c>
      <c r="BB550" s="48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356</v>
      </c>
      <c r="E551" s="6" t="s">
        <v>350</v>
      </c>
      <c r="F551" s="10">
        <v>60</v>
      </c>
      <c r="G551" s="23" t="s">
        <v>293</v>
      </c>
      <c r="H551" s="25"/>
      <c r="BA551" s="73" t="s">
        <v>355</v>
      </c>
      <c r="BB551" s="48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356</v>
      </c>
      <c r="E552" s="6" t="s">
        <v>122</v>
      </c>
      <c r="F552" s="10">
        <v>47</v>
      </c>
      <c r="G552" s="23" t="s">
        <v>293</v>
      </c>
      <c r="H552" s="25"/>
      <c r="BA552" s="73" t="s">
        <v>355</v>
      </c>
      <c r="BB552" s="48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356</v>
      </c>
      <c r="E553" s="6" t="s">
        <v>124</v>
      </c>
      <c r="F553" s="10">
        <v>30</v>
      </c>
      <c r="G553" s="23" t="s">
        <v>293</v>
      </c>
      <c r="H553" s="25"/>
      <c r="BA553" s="73" t="s">
        <v>355</v>
      </c>
      <c r="BB553" s="48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356</v>
      </c>
      <c r="E554" s="6" t="s">
        <v>351</v>
      </c>
      <c r="F554" s="10">
        <v>1.02</v>
      </c>
      <c r="G554" s="23" t="s">
        <v>293</v>
      </c>
      <c r="H554" s="25"/>
      <c r="BA554" s="73" t="s">
        <v>355</v>
      </c>
      <c r="BB554" s="48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356</v>
      </c>
      <c r="E555" s="6" t="s">
        <v>353</v>
      </c>
      <c r="F555" s="10">
        <v>36</v>
      </c>
      <c r="G555" s="23" t="s">
        <v>293</v>
      </c>
      <c r="H555" s="25"/>
      <c r="BA555" s="73" t="s">
        <v>355</v>
      </c>
      <c r="BB555" s="48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356</v>
      </c>
      <c r="E556" s="6" t="s">
        <v>133</v>
      </c>
      <c r="F556" s="10">
        <v>147</v>
      </c>
      <c r="G556" s="23" t="s">
        <v>293</v>
      </c>
      <c r="H556" s="25"/>
      <c r="BA556" s="73" t="s">
        <v>355</v>
      </c>
      <c r="BB556" s="48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356</v>
      </c>
      <c r="E557" s="6" t="s">
        <v>135</v>
      </c>
      <c r="F557" s="10">
        <v>3.8</v>
      </c>
      <c r="G557" s="23" t="s">
        <v>293</v>
      </c>
      <c r="H557" s="25"/>
      <c r="BA557" s="73" t="s">
        <v>355</v>
      </c>
      <c r="BB557" s="48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356</v>
      </c>
      <c r="E558" s="6" t="s">
        <v>136</v>
      </c>
      <c r="F558" s="10">
        <v>116</v>
      </c>
      <c r="G558" s="23" t="s">
        <v>293</v>
      </c>
      <c r="H558" s="25"/>
      <c r="BA558" s="73" t="s">
        <v>355</v>
      </c>
      <c r="BB558" s="48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357</v>
      </c>
      <c r="E559" s="6" t="s">
        <v>339</v>
      </c>
      <c r="F559" s="10">
        <v>1.24</v>
      </c>
      <c r="G559" s="23" t="s">
        <v>293</v>
      </c>
      <c r="H559" s="25"/>
      <c r="BA559" s="73" t="s">
        <v>355</v>
      </c>
      <c r="BB559" s="48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357</v>
      </c>
      <c r="E560" s="6" t="s">
        <v>118</v>
      </c>
      <c r="F560" s="10">
        <v>9.4</v>
      </c>
      <c r="G560" s="23" t="s">
        <v>293</v>
      </c>
      <c r="H560" s="25"/>
      <c r="BA560" s="73" t="s">
        <v>355</v>
      </c>
      <c r="BB560" s="48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357</v>
      </c>
      <c r="E561" s="6" t="s">
        <v>130</v>
      </c>
      <c r="F561" s="10">
        <v>2.4900000000000002</v>
      </c>
      <c r="G561" s="23" t="s">
        <v>293</v>
      </c>
      <c r="H561" s="25"/>
      <c r="BA561" s="73" t="s">
        <v>355</v>
      </c>
      <c r="BB561" s="48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357</v>
      </c>
      <c r="E562" s="6" t="s">
        <v>341</v>
      </c>
      <c r="F562" s="10">
        <v>1.1299999999999999</v>
      </c>
      <c r="G562" s="23" t="s">
        <v>293</v>
      </c>
      <c r="H562" s="25"/>
      <c r="BA562" s="73" t="s">
        <v>355</v>
      </c>
      <c r="BB562" s="48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357</v>
      </c>
      <c r="E563" s="6" t="s">
        <v>127</v>
      </c>
      <c r="F563" s="10">
        <v>4.6399999999999997</v>
      </c>
      <c r="G563" s="23" t="s">
        <v>293</v>
      </c>
      <c r="H563" s="25"/>
      <c r="BA563" s="73" t="s">
        <v>355</v>
      </c>
      <c r="BB563" s="48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357</v>
      </c>
      <c r="E564" s="6" t="s">
        <v>131</v>
      </c>
      <c r="F564" s="10">
        <v>12.4</v>
      </c>
      <c r="G564" s="23" t="s">
        <v>293</v>
      </c>
      <c r="H564" s="25"/>
      <c r="BA564" s="73" t="s">
        <v>355</v>
      </c>
      <c r="BB564" s="48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357</v>
      </c>
      <c r="E565" s="6" t="s">
        <v>342</v>
      </c>
      <c r="F565" s="10">
        <v>209</v>
      </c>
      <c r="G565" s="23" t="s">
        <v>293</v>
      </c>
      <c r="H565" s="25"/>
      <c r="BA565" s="73" t="s">
        <v>355</v>
      </c>
      <c r="BB565" s="48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357</v>
      </c>
      <c r="E566" s="6" t="s">
        <v>119</v>
      </c>
      <c r="F566" s="10">
        <v>86</v>
      </c>
      <c r="G566" s="23" t="s">
        <v>293</v>
      </c>
      <c r="H566" s="25"/>
      <c r="BA566" s="73" t="s">
        <v>355</v>
      </c>
      <c r="BB566" s="48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357</v>
      </c>
      <c r="E567" s="6" t="s">
        <v>120</v>
      </c>
      <c r="F567" s="10">
        <v>26</v>
      </c>
      <c r="G567" s="23" t="s">
        <v>293</v>
      </c>
      <c r="H567" s="25"/>
      <c r="BA567" s="73" t="s">
        <v>355</v>
      </c>
      <c r="BB567" s="48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357</v>
      </c>
      <c r="E568" s="6" t="s">
        <v>117</v>
      </c>
      <c r="F568" s="10">
        <v>6.26</v>
      </c>
      <c r="G568" s="23" t="s">
        <v>293</v>
      </c>
      <c r="H568" s="25"/>
      <c r="BA568" s="73" t="s">
        <v>355</v>
      </c>
      <c r="BB568" s="48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357</v>
      </c>
      <c r="E569" s="6" t="s">
        <v>344</v>
      </c>
      <c r="F569" s="10">
        <v>69</v>
      </c>
      <c r="G569" s="23" t="s">
        <v>293</v>
      </c>
      <c r="H569" s="25"/>
      <c r="BA569" s="73" t="s">
        <v>355</v>
      </c>
      <c r="BB569" s="48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357</v>
      </c>
      <c r="E570" s="6" t="s">
        <v>132</v>
      </c>
      <c r="F570" s="10">
        <v>7.29</v>
      </c>
      <c r="G570" s="23" t="s">
        <v>293</v>
      </c>
      <c r="H570" s="25"/>
      <c r="BA570" s="73" t="s">
        <v>355</v>
      </c>
      <c r="BB570" s="48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357</v>
      </c>
      <c r="E571" s="6" t="s">
        <v>111</v>
      </c>
      <c r="F571" s="10">
        <v>290</v>
      </c>
      <c r="G571" s="23" t="s">
        <v>293</v>
      </c>
      <c r="H571" s="25"/>
      <c r="BA571" s="73" t="s">
        <v>355</v>
      </c>
      <c r="BB571" s="48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357</v>
      </c>
      <c r="E572" s="6" t="s">
        <v>345</v>
      </c>
      <c r="F572" s="10">
        <v>10.1</v>
      </c>
      <c r="G572" s="23" t="s">
        <v>293</v>
      </c>
      <c r="H572" s="25"/>
      <c r="BA572" s="73" t="s">
        <v>355</v>
      </c>
      <c r="BB572" s="48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357</v>
      </c>
      <c r="E573" s="6" t="s">
        <v>347</v>
      </c>
      <c r="F573" s="10">
        <v>4.67</v>
      </c>
      <c r="G573" s="23" t="s">
        <v>293</v>
      </c>
      <c r="H573" s="25"/>
      <c r="BA573" s="73" t="s">
        <v>355</v>
      </c>
      <c r="BB573" s="48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357</v>
      </c>
      <c r="E574" s="6" t="s">
        <v>128</v>
      </c>
      <c r="F574" s="10">
        <v>4.5999999999999996</v>
      </c>
      <c r="G574" s="23" t="s">
        <v>293</v>
      </c>
      <c r="H574" s="25"/>
      <c r="BA574" s="73" t="s">
        <v>355</v>
      </c>
      <c r="BB574" s="48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357</v>
      </c>
      <c r="E575" s="6" t="s">
        <v>121</v>
      </c>
      <c r="F575" s="10">
        <v>82</v>
      </c>
      <c r="G575" s="23" t="s">
        <v>293</v>
      </c>
      <c r="H575" s="25"/>
      <c r="BA575" s="73" t="s">
        <v>355</v>
      </c>
      <c r="BB575" s="48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357</v>
      </c>
      <c r="E576" s="6" t="s">
        <v>115</v>
      </c>
      <c r="F576" s="10">
        <v>100</v>
      </c>
      <c r="G576" s="23" t="s">
        <v>293</v>
      </c>
      <c r="H576" s="25"/>
      <c r="BA576" s="73" t="s">
        <v>355</v>
      </c>
      <c r="BB576" s="48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357</v>
      </c>
      <c r="E577" s="6" t="s">
        <v>137</v>
      </c>
      <c r="F577" s="10">
        <v>470</v>
      </c>
      <c r="G577" s="23" t="s">
        <v>293</v>
      </c>
      <c r="H577" s="25"/>
      <c r="BA577" s="73" t="s">
        <v>355</v>
      </c>
      <c r="BB577" s="48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357</v>
      </c>
      <c r="E578" s="6" t="s">
        <v>348</v>
      </c>
      <c r="F578" s="10">
        <v>419</v>
      </c>
      <c r="G578" s="23" t="s">
        <v>293</v>
      </c>
      <c r="H578" s="25"/>
      <c r="BA578" s="73" t="s">
        <v>355</v>
      </c>
      <c r="BB578" s="48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357</v>
      </c>
      <c r="E579" s="6" t="s">
        <v>125</v>
      </c>
      <c r="F579" s="10">
        <v>434</v>
      </c>
      <c r="G579" s="23" t="s">
        <v>293</v>
      </c>
      <c r="H579" s="25"/>
      <c r="BA579" s="73" t="s">
        <v>355</v>
      </c>
      <c r="BB579" s="48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357</v>
      </c>
      <c r="E580" s="6" t="s">
        <v>126</v>
      </c>
      <c r="F580" s="10">
        <v>154</v>
      </c>
      <c r="G580" s="23" t="s">
        <v>293</v>
      </c>
      <c r="H580" s="25"/>
      <c r="BA580" s="73" t="s">
        <v>355</v>
      </c>
      <c r="BB580" s="48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357</v>
      </c>
      <c r="E581" s="6" t="s">
        <v>349</v>
      </c>
      <c r="F581" s="10">
        <v>380</v>
      </c>
      <c r="G581" s="23" t="s">
        <v>293</v>
      </c>
      <c r="H581" s="25"/>
      <c r="BA581" s="73" t="s">
        <v>355</v>
      </c>
      <c r="BB581" s="48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357</v>
      </c>
      <c r="E582" s="6" t="s">
        <v>350</v>
      </c>
      <c r="F582" s="10">
        <v>86</v>
      </c>
      <c r="G582" s="23" t="s">
        <v>293</v>
      </c>
      <c r="H582" s="25"/>
      <c r="BA582" s="73" t="s">
        <v>355</v>
      </c>
      <c r="BB582" s="48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357</v>
      </c>
      <c r="E583" s="6" t="s">
        <v>122</v>
      </c>
      <c r="F583" s="10">
        <v>213</v>
      </c>
      <c r="G583" s="23" t="s">
        <v>293</v>
      </c>
      <c r="H583" s="25"/>
      <c r="BA583" s="73" t="s">
        <v>355</v>
      </c>
      <c r="BB583" s="48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357</v>
      </c>
      <c r="E584" s="6" t="s">
        <v>124</v>
      </c>
      <c r="F584" s="10">
        <v>108</v>
      </c>
      <c r="G584" s="23" t="s">
        <v>293</v>
      </c>
      <c r="H584" s="25"/>
      <c r="BA584" s="73" t="s">
        <v>355</v>
      </c>
      <c r="BB584" s="48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357</v>
      </c>
      <c r="E585" s="6" t="s">
        <v>351</v>
      </c>
      <c r="F585" s="10">
        <v>3.85</v>
      </c>
      <c r="G585" s="23" t="s">
        <v>293</v>
      </c>
      <c r="H585" s="25"/>
      <c r="BA585" s="73" t="s">
        <v>355</v>
      </c>
      <c r="BB585" s="48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357</v>
      </c>
      <c r="E586" s="6" t="s">
        <v>353</v>
      </c>
      <c r="F586" s="10">
        <v>17.2</v>
      </c>
      <c r="G586" s="23" t="s">
        <v>293</v>
      </c>
      <c r="H586" s="25"/>
      <c r="BA586" s="73" t="s">
        <v>355</v>
      </c>
      <c r="BB586" s="48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357</v>
      </c>
      <c r="E587" s="6" t="s">
        <v>133</v>
      </c>
      <c r="F587" s="10">
        <v>123</v>
      </c>
      <c r="G587" s="23" t="s">
        <v>293</v>
      </c>
      <c r="H587" s="25"/>
      <c r="BA587" s="73" t="s">
        <v>355</v>
      </c>
      <c r="BB587" s="48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357</v>
      </c>
      <c r="E588" s="6" t="s">
        <v>135</v>
      </c>
      <c r="F588" s="10">
        <v>6.2</v>
      </c>
      <c r="G588" s="23" t="s">
        <v>293</v>
      </c>
      <c r="H588" s="25"/>
      <c r="BA588" s="73" t="s">
        <v>355</v>
      </c>
      <c r="BB588" s="48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357</v>
      </c>
      <c r="E589" s="6" t="s">
        <v>136</v>
      </c>
      <c r="F589" s="10">
        <v>96</v>
      </c>
      <c r="G589" s="23" t="s">
        <v>293</v>
      </c>
      <c r="H589" s="25"/>
      <c r="BA589" s="73" t="s">
        <v>355</v>
      </c>
      <c r="BB589" s="48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357</v>
      </c>
      <c r="E590" s="6" t="s">
        <v>339</v>
      </c>
      <c r="F590" s="10">
        <v>1.31</v>
      </c>
      <c r="G590" s="23" t="s">
        <v>293</v>
      </c>
      <c r="H590" s="25"/>
      <c r="BA590" s="73" t="s">
        <v>355</v>
      </c>
      <c r="BB590" s="48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357</v>
      </c>
      <c r="E591" s="6" t="s">
        <v>118</v>
      </c>
      <c r="F591" s="10">
        <v>9.9</v>
      </c>
      <c r="G591" s="23" t="s">
        <v>293</v>
      </c>
      <c r="H591" s="25"/>
      <c r="BA591" s="73" t="s">
        <v>355</v>
      </c>
      <c r="BB591" s="48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357</v>
      </c>
      <c r="E592" s="6" t="s">
        <v>130</v>
      </c>
      <c r="F592" s="10">
        <v>2.4220000000000002</v>
      </c>
      <c r="G592" s="23" t="s">
        <v>293</v>
      </c>
      <c r="H592" s="25"/>
      <c r="BA592" s="73" t="s">
        <v>355</v>
      </c>
      <c r="BB592" s="48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357</v>
      </c>
      <c r="E593" s="6" t="s">
        <v>341</v>
      </c>
      <c r="F593" s="10">
        <v>1.1319999999999999</v>
      </c>
      <c r="G593" s="23" t="s">
        <v>293</v>
      </c>
      <c r="H593" s="25"/>
      <c r="BA593" s="73" t="s">
        <v>355</v>
      </c>
      <c r="BB593" s="48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357</v>
      </c>
      <c r="E594" s="6" t="s">
        <v>127</v>
      </c>
      <c r="F594" s="10">
        <v>4.7190000000000003</v>
      </c>
      <c r="G594" s="23" t="s">
        <v>293</v>
      </c>
      <c r="H594" s="25"/>
      <c r="BA594" s="73" t="s">
        <v>355</v>
      </c>
      <c r="BB594" s="48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357</v>
      </c>
      <c r="E595" s="6" t="s">
        <v>131</v>
      </c>
      <c r="F595" s="10">
        <v>12.6</v>
      </c>
      <c r="G595" s="23" t="s">
        <v>293</v>
      </c>
      <c r="H595" s="25"/>
      <c r="BA595" s="73" t="s">
        <v>355</v>
      </c>
      <c r="BB595" s="48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357</v>
      </c>
      <c r="E596" s="6" t="s">
        <v>342</v>
      </c>
      <c r="F596" s="10">
        <v>195</v>
      </c>
      <c r="G596" s="23" t="s">
        <v>293</v>
      </c>
      <c r="H596" s="25"/>
      <c r="BA596" s="73" t="s">
        <v>355</v>
      </c>
      <c r="BB596" s="48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357</v>
      </c>
      <c r="E597" s="6" t="s">
        <v>119</v>
      </c>
      <c r="F597" s="10">
        <v>84</v>
      </c>
      <c r="G597" s="23" t="s">
        <v>293</v>
      </c>
      <c r="H597" s="25"/>
      <c r="BA597" s="73" t="s">
        <v>355</v>
      </c>
      <c r="BB597" s="48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357</v>
      </c>
      <c r="E598" s="6" t="s">
        <v>120</v>
      </c>
      <c r="F598" s="10">
        <v>26</v>
      </c>
      <c r="G598" s="23" t="s">
        <v>293</v>
      </c>
      <c r="H598" s="25"/>
      <c r="BA598" s="73" t="s">
        <v>355</v>
      </c>
      <c r="BB598" s="48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357</v>
      </c>
      <c r="E599" s="6" t="s">
        <v>117</v>
      </c>
      <c r="F599" s="10">
        <v>6.28</v>
      </c>
      <c r="G599" s="23" t="s">
        <v>293</v>
      </c>
      <c r="H599" s="25"/>
      <c r="BA599" s="73" t="s">
        <v>355</v>
      </c>
      <c r="BB599" s="48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357</v>
      </c>
      <c r="E600" s="6" t="s">
        <v>344</v>
      </c>
      <c r="F600" s="10">
        <v>68</v>
      </c>
      <c r="G600" s="23" t="s">
        <v>293</v>
      </c>
      <c r="H600" s="25"/>
      <c r="BA600" s="73" t="s">
        <v>355</v>
      </c>
      <c r="BB600" s="48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357</v>
      </c>
      <c r="E601" s="6" t="s">
        <v>132</v>
      </c>
      <c r="F601" s="10">
        <v>7.32</v>
      </c>
      <c r="G601" s="23" t="s">
        <v>293</v>
      </c>
      <c r="H601" s="25"/>
      <c r="BA601" s="73" t="s">
        <v>355</v>
      </c>
      <c r="BB601" s="48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357</v>
      </c>
      <c r="E602" s="6" t="s">
        <v>111</v>
      </c>
      <c r="F602" s="10">
        <v>287</v>
      </c>
      <c r="G602" s="23" t="s">
        <v>293</v>
      </c>
      <c r="H602" s="25"/>
      <c r="BA602" s="73" t="s">
        <v>355</v>
      </c>
      <c r="BB602" s="48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357</v>
      </c>
      <c r="E603" s="6" t="s">
        <v>345</v>
      </c>
      <c r="F603" s="10">
        <v>9.84</v>
      </c>
      <c r="G603" s="23" t="s">
        <v>293</v>
      </c>
      <c r="H603" s="25"/>
      <c r="BA603" s="73" t="s">
        <v>355</v>
      </c>
      <c r="BB603" s="48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357</v>
      </c>
      <c r="E604" s="6" t="s">
        <v>347</v>
      </c>
      <c r="F604" s="10">
        <v>4.8</v>
      </c>
      <c r="G604" s="23" t="s">
        <v>293</v>
      </c>
      <c r="H604" s="25"/>
      <c r="BA604" s="73" t="s">
        <v>355</v>
      </c>
      <c r="BB604" s="48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357</v>
      </c>
      <c r="E605" s="6" t="s">
        <v>128</v>
      </c>
      <c r="F605" s="10">
        <v>4.4000000000000004</v>
      </c>
      <c r="G605" s="23" t="s">
        <v>293</v>
      </c>
      <c r="H605" s="25"/>
      <c r="BA605" s="73" t="s">
        <v>355</v>
      </c>
      <c r="BB605" s="48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357</v>
      </c>
      <c r="E606" s="6" t="s">
        <v>121</v>
      </c>
      <c r="F606" s="10">
        <v>77</v>
      </c>
      <c r="G606" s="23" t="s">
        <v>293</v>
      </c>
      <c r="H606" s="25"/>
      <c r="BA606" s="73" t="s">
        <v>355</v>
      </c>
      <c r="BB606" s="48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357</v>
      </c>
      <c r="E607" s="6" t="s">
        <v>115</v>
      </c>
      <c r="F607" s="10">
        <v>94</v>
      </c>
      <c r="G607" s="23" t="s">
        <v>293</v>
      </c>
      <c r="H607" s="25"/>
      <c r="BA607" s="73" t="s">
        <v>355</v>
      </c>
      <c r="BB607" s="48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357</v>
      </c>
      <c r="E608" s="6" t="s">
        <v>137</v>
      </c>
      <c r="F608" s="10">
        <v>480</v>
      </c>
      <c r="G608" s="23" t="s">
        <v>293</v>
      </c>
      <c r="H608" s="25"/>
      <c r="BA608" s="73" t="s">
        <v>355</v>
      </c>
      <c r="BB608" s="48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357</v>
      </c>
      <c r="E609" s="6" t="s">
        <v>348</v>
      </c>
      <c r="F609" s="10">
        <v>434</v>
      </c>
      <c r="G609" s="23" t="s">
        <v>293</v>
      </c>
      <c r="H609" s="25"/>
      <c r="BA609" s="73" t="s">
        <v>355</v>
      </c>
      <c r="BB609" s="48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357</v>
      </c>
      <c r="E610" s="6" t="s">
        <v>125</v>
      </c>
      <c r="F610" s="10">
        <v>428</v>
      </c>
      <c r="G610" s="23" t="s">
        <v>293</v>
      </c>
      <c r="H610" s="25"/>
      <c r="BA610" s="73" t="s">
        <v>355</v>
      </c>
      <c r="BB610" s="48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357</v>
      </c>
      <c r="E611" s="6" t="s">
        <v>126</v>
      </c>
      <c r="F611" s="10">
        <v>152</v>
      </c>
      <c r="G611" s="23" t="s">
        <v>293</v>
      </c>
      <c r="H611" s="25"/>
      <c r="BA611" s="73" t="s">
        <v>355</v>
      </c>
      <c r="BB611" s="48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357</v>
      </c>
      <c r="E612" s="6" t="s">
        <v>349</v>
      </c>
      <c r="F612" s="10">
        <v>367</v>
      </c>
      <c r="G612" s="23" t="s">
        <v>293</v>
      </c>
      <c r="H612" s="25"/>
      <c r="BA612" s="73" t="s">
        <v>355</v>
      </c>
      <c r="BB612" s="48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357</v>
      </c>
      <c r="E613" s="6" t="s">
        <v>350</v>
      </c>
      <c r="F613" s="10">
        <v>85</v>
      </c>
      <c r="G613" s="23" t="s">
        <v>293</v>
      </c>
      <c r="H613" s="25"/>
      <c r="BA613" s="73" t="s">
        <v>355</v>
      </c>
      <c r="BB613" s="48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357</v>
      </c>
      <c r="E614" s="6" t="s">
        <v>122</v>
      </c>
      <c r="F614" s="10">
        <v>221</v>
      </c>
      <c r="G614" s="23" t="s">
        <v>293</v>
      </c>
      <c r="H614" s="25"/>
      <c r="BA614" s="73" t="s">
        <v>355</v>
      </c>
      <c r="BB614" s="48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357</v>
      </c>
      <c r="E615" s="6" t="s">
        <v>124</v>
      </c>
      <c r="F615" s="10">
        <v>110</v>
      </c>
      <c r="G615" s="23" t="s">
        <v>293</v>
      </c>
      <c r="H615" s="25"/>
      <c r="BA615" s="73" t="s">
        <v>355</v>
      </c>
      <c r="BB615" s="48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357</v>
      </c>
      <c r="E616" s="6" t="s">
        <v>351</v>
      </c>
      <c r="F616" s="10">
        <v>3.51</v>
      </c>
      <c r="G616" s="23" t="s">
        <v>293</v>
      </c>
      <c r="H616" s="25"/>
      <c r="BA616" s="73" t="s">
        <v>355</v>
      </c>
      <c r="BB616" s="48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357</v>
      </c>
      <c r="E617" s="6" t="s">
        <v>353</v>
      </c>
      <c r="F617" s="10">
        <v>29.2</v>
      </c>
      <c r="G617" s="23" t="s">
        <v>293</v>
      </c>
      <c r="H617" s="25"/>
      <c r="BA617" s="73" t="s">
        <v>355</v>
      </c>
      <c r="BB617" s="48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357</v>
      </c>
      <c r="E618" s="6" t="s">
        <v>133</v>
      </c>
      <c r="F618" s="10">
        <v>125</v>
      </c>
      <c r="G618" s="23" t="s">
        <v>293</v>
      </c>
      <c r="H618" s="25"/>
      <c r="BA618" s="73" t="s">
        <v>355</v>
      </c>
      <c r="BB618" s="48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357</v>
      </c>
      <c r="E619" s="6" t="s">
        <v>135</v>
      </c>
      <c r="F619" s="10">
        <v>6.4</v>
      </c>
      <c r="G619" s="23" t="s">
        <v>293</v>
      </c>
      <c r="H619" s="25"/>
      <c r="BA619" s="73" t="s">
        <v>355</v>
      </c>
      <c r="BB619" s="48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357</v>
      </c>
      <c r="E620" s="6" t="s">
        <v>136</v>
      </c>
      <c r="F620" s="10">
        <v>95</v>
      </c>
      <c r="G620" s="23" t="s">
        <v>293</v>
      </c>
      <c r="H620" s="25"/>
      <c r="BA620" s="73" t="s">
        <v>355</v>
      </c>
      <c r="BB620" s="48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357</v>
      </c>
      <c r="E621" s="6" t="s">
        <v>339</v>
      </c>
      <c r="F621" s="10">
        <v>1.1599999999999999</v>
      </c>
      <c r="G621" s="23" t="s">
        <v>293</v>
      </c>
      <c r="H621" s="25"/>
      <c r="BA621" s="73" t="s">
        <v>355</v>
      </c>
      <c r="BB621" s="48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357</v>
      </c>
      <c r="E622" s="6" t="s">
        <v>118</v>
      </c>
      <c r="F622" s="10">
        <v>9.9</v>
      </c>
      <c r="G622" s="23" t="s">
        <v>293</v>
      </c>
      <c r="H622" s="25"/>
      <c r="BA622" s="73" t="s">
        <v>355</v>
      </c>
      <c r="BB622" s="48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357</v>
      </c>
      <c r="E623" s="6" t="s">
        <v>130</v>
      </c>
      <c r="F623" s="10">
        <v>2.54</v>
      </c>
      <c r="G623" s="23" t="s">
        <v>293</v>
      </c>
      <c r="H623" s="25"/>
      <c r="BA623" s="73" t="s">
        <v>355</v>
      </c>
      <c r="BB623" s="48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357</v>
      </c>
      <c r="E624" s="6" t="s">
        <v>341</v>
      </c>
      <c r="F624" s="10">
        <v>1.1579999999999999</v>
      </c>
      <c r="G624" s="23" t="s">
        <v>293</v>
      </c>
      <c r="H624" s="25"/>
      <c r="BA624" s="73" t="s">
        <v>355</v>
      </c>
      <c r="BB624" s="48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357</v>
      </c>
      <c r="E625" s="6" t="s">
        <v>127</v>
      </c>
      <c r="F625" s="10">
        <v>4.6989999999999998</v>
      </c>
      <c r="G625" s="23" t="s">
        <v>293</v>
      </c>
      <c r="H625" s="25"/>
      <c r="BA625" s="73" t="s">
        <v>355</v>
      </c>
      <c r="BB625" s="48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357</v>
      </c>
      <c r="E626" s="6" t="s">
        <v>131</v>
      </c>
      <c r="F626" s="10">
        <v>12.4</v>
      </c>
      <c r="G626" s="23" t="s">
        <v>293</v>
      </c>
      <c r="H626" s="25"/>
      <c r="BA626" s="73" t="s">
        <v>355</v>
      </c>
      <c r="BB626" s="48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357</v>
      </c>
      <c r="E627" s="6" t="s">
        <v>342</v>
      </c>
      <c r="F627" s="10">
        <v>199</v>
      </c>
      <c r="G627" s="23" t="s">
        <v>293</v>
      </c>
      <c r="H627" s="25"/>
      <c r="BA627" s="73" t="s">
        <v>355</v>
      </c>
      <c r="BB627" s="48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357</v>
      </c>
      <c r="E628" s="6" t="s">
        <v>119</v>
      </c>
      <c r="F628" s="10">
        <v>88</v>
      </c>
      <c r="G628" s="23" t="s">
        <v>293</v>
      </c>
      <c r="H628" s="25"/>
      <c r="BA628" s="73" t="s">
        <v>355</v>
      </c>
      <c r="BB628" s="48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357</v>
      </c>
      <c r="E629" s="6" t="s">
        <v>120</v>
      </c>
      <c r="F629" s="10">
        <v>26</v>
      </c>
      <c r="G629" s="23" t="s">
        <v>293</v>
      </c>
      <c r="H629" s="25"/>
      <c r="BA629" s="73" t="s">
        <v>355</v>
      </c>
      <c r="BB629" s="48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357</v>
      </c>
      <c r="E630" s="6" t="s">
        <v>117</v>
      </c>
      <c r="F630" s="10">
        <v>6.22</v>
      </c>
      <c r="G630" s="23" t="s">
        <v>293</v>
      </c>
      <c r="H630" s="25"/>
      <c r="BA630" s="73" t="s">
        <v>355</v>
      </c>
      <c r="BB630" s="48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357</v>
      </c>
      <c r="E631" s="6" t="s">
        <v>344</v>
      </c>
      <c r="F631" s="10">
        <v>68</v>
      </c>
      <c r="G631" s="23" t="s">
        <v>293</v>
      </c>
      <c r="H631" s="25"/>
      <c r="BA631" s="73" t="s">
        <v>355</v>
      </c>
      <c r="BB631" s="48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357</v>
      </c>
      <c r="E632" s="6" t="s">
        <v>132</v>
      </c>
      <c r="F632" s="10">
        <v>7.45</v>
      </c>
      <c r="G632" s="23" t="s">
        <v>293</v>
      </c>
      <c r="H632" s="25"/>
      <c r="BA632" s="73" t="s">
        <v>355</v>
      </c>
      <c r="BB632" s="48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357</v>
      </c>
      <c r="E633" s="6" t="s">
        <v>111</v>
      </c>
      <c r="F633" s="10">
        <v>283</v>
      </c>
      <c r="G633" s="23" t="s">
        <v>293</v>
      </c>
      <c r="H633" s="25"/>
      <c r="BA633" s="73" t="s">
        <v>355</v>
      </c>
      <c r="BB633" s="48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357</v>
      </c>
      <c r="E634" s="6" t="s">
        <v>345</v>
      </c>
      <c r="F634" s="10">
        <v>9.82</v>
      </c>
      <c r="G634" s="23" t="s">
        <v>293</v>
      </c>
      <c r="H634" s="25"/>
      <c r="BA634" s="73" t="s">
        <v>355</v>
      </c>
      <c r="BB634" s="48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357</v>
      </c>
      <c r="E635" s="6" t="s">
        <v>347</v>
      </c>
      <c r="F635" s="10">
        <v>4.6500000000000004</v>
      </c>
      <c r="G635" s="23" t="s">
        <v>293</v>
      </c>
      <c r="H635" s="25"/>
      <c r="BA635" s="73" t="s">
        <v>355</v>
      </c>
      <c r="BB635" s="48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357</v>
      </c>
      <c r="E636" s="6" t="s">
        <v>128</v>
      </c>
      <c r="F636" s="10">
        <v>4.4000000000000004</v>
      </c>
      <c r="G636" s="23" t="s">
        <v>293</v>
      </c>
      <c r="H636" s="25"/>
      <c r="BA636" s="73" t="s">
        <v>355</v>
      </c>
      <c r="BB636" s="48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357</v>
      </c>
      <c r="E637" s="6" t="s">
        <v>121</v>
      </c>
      <c r="F637" s="10">
        <v>79</v>
      </c>
      <c r="G637" s="23" t="s">
        <v>293</v>
      </c>
      <c r="H637" s="25"/>
      <c r="BA637" s="73" t="s">
        <v>355</v>
      </c>
      <c r="BB637" s="48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357</v>
      </c>
      <c r="E638" s="6" t="s">
        <v>115</v>
      </c>
      <c r="F638" s="10">
        <v>96</v>
      </c>
      <c r="G638" s="23" t="s">
        <v>293</v>
      </c>
      <c r="H638" s="25"/>
      <c r="BA638" s="73" t="s">
        <v>355</v>
      </c>
      <c r="BB638" s="48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357</v>
      </c>
      <c r="E639" s="6" t="s">
        <v>137</v>
      </c>
      <c r="F639" s="10">
        <v>480</v>
      </c>
      <c r="G639" s="23" t="s">
        <v>293</v>
      </c>
      <c r="H639" s="25"/>
      <c r="BA639" s="73" t="s">
        <v>355</v>
      </c>
      <c r="BB639" s="48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357</v>
      </c>
      <c r="E640" s="6" t="s">
        <v>348</v>
      </c>
      <c r="F640" s="10">
        <v>442</v>
      </c>
      <c r="G640" s="23" t="s">
        <v>293</v>
      </c>
      <c r="H640" s="25"/>
      <c r="BA640" s="73" t="s">
        <v>355</v>
      </c>
      <c r="BB640" s="48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357</v>
      </c>
      <c r="E641" s="6" t="s">
        <v>125</v>
      </c>
      <c r="F641" s="10">
        <v>424</v>
      </c>
      <c r="G641" s="23" t="s">
        <v>293</v>
      </c>
      <c r="H641" s="25"/>
      <c r="BA641" s="73" t="s">
        <v>355</v>
      </c>
      <c r="BB641" s="48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357</v>
      </c>
      <c r="E642" s="6" t="s">
        <v>126</v>
      </c>
      <c r="F642" s="10">
        <v>147</v>
      </c>
      <c r="G642" s="23" t="s">
        <v>293</v>
      </c>
      <c r="H642" s="25"/>
      <c r="BA642" s="73" t="s">
        <v>355</v>
      </c>
      <c r="BB642" s="48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357</v>
      </c>
      <c r="E643" s="6" t="s">
        <v>349</v>
      </c>
      <c r="F643" s="10">
        <v>365</v>
      </c>
      <c r="G643" s="23" t="s">
        <v>293</v>
      </c>
      <c r="H643" s="25"/>
      <c r="BA643" s="73" t="s">
        <v>355</v>
      </c>
      <c r="BB643" s="48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357</v>
      </c>
      <c r="E644" s="6" t="s">
        <v>350</v>
      </c>
      <c r="F644" s="10">
        <v>84</v>
      </c>
      <c r="G644" s="23" t="s">
        <v>293</v>
      </c>
      <c r="H644" s="25"/>
      <c r="BA644" s="73" t="s">
        <v>355</v>
      </c>
      <c r="BB644" s="48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357</v>
      </c>
      <c r="E645" s="6" t="s">
        <v>122</v>
      </c>
      <c r="F645" s="10">
        <v>212</v>
      </c>
      <c r="G645" s="23" t="s">
        <v>293</v>
      </c>
      <c r="H645" s="25"/>
      <c r="BA645" s="73" t="s">
        <v>355</v>
      </c>
      <c r="BB645" s="48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357</v>
      </c>
      <c r="E646" s="6" t="s">
        <v>124</v>
      </c>
      <c r="F646" s="10">
        <v>106</v>
      </c>
      <c r="G646" s="23" t="s">
        <v>293</v>
      </c>
      <c r="H646" s="25"/>
      <c r="BA646" s="73" t="s">
        <v>355</v>
      </c>
      <c r="BB646" s="48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357</v>
      </c>
      <c r="E647" s="6" t="s">
        <v>351</v>
      </c>
      <c r="F647" s="10">
        <v>3.41</v>
      </c>
      <c r="G647" s="23" t="s">
        <v>293</v>
      </c>
      <c r="H647" s="25"/>
      <c r="BA647" s="73" t="s">
        <v>355</v>
      </c>
      <c r="BB647" s="48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357</v>
      </c>
      <c r="E648" s="6" t="s">
        <v>353</v>
      </c>
      <c r="F648" s="10">
        <v>19.600000000000001</v>
      </c>
      <c r="G648" s="23" t="s">
        <v>293</v>
      </c>
      <c r="H648" s="25"/>
      <c r="BA648" s="73" t="s">
        <v>355</v>
      </c>
      <c r="BB648" s="48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357</v>
      </c>
      <c r="E649" s="6" t="s">
        <v>133</v>
      </c>
      <c r="F649" s="10">
        <v>125</v>
      </c>
      <c r="G649" s="23" t="s">
        <v>293</v>
      </c>
      <c r="H649" s="25"/>
      <c r="BA649" s="73" t="s">
        <v>355</v>
      </c>
      <c r="BB649" s="48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357</v>
      </c>
      <c r="E650" s="6" t="s">
        <v>135</v>
      </c>
      <c r="F650" s="10">
        <v>6.3</v>
      </c>
      <c r="G650" s="23" t="s">
        <v>293</v>
      </c>
      <c r="H650" s="25"/>
      <c r="BA650" s="73" t="s">
        <v>355</v>
      </c>
      <c r="BB650" s="48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357</v>
      </c>
      <c r="E651" s="6" t="s">
        <v>136</v>
      </c>
      <c r="F651" s="10">
        <v>97</v>
      </c>
      <c r="G651" s="23" t="s">
        <v>293</v>
      </c>
      <c r="H651" s="25"/>
      <c r="BA651" s="73" t="s">
        <v>355</v>
      </c>
      <c r="BB651" s="48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357</v>
      </c>
      <c r="E652" s="6" t="s">
        <v>339</v>
      </c>
      <c r="F652" s="10">
        <v>1.08</v>
      </c>
      <c r="G652" s="23" t="s">
        <v>293</v>
      </c>
      <c r="H652" s="25"/>
      <c r="BA652" s="73" t="s">
        <v>355</v>
      </c>
      <c r="BB652" s="48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357</v>
      </c>
      <c r="E653" s="6" t="s">
        <v>118</v>
      </c>
      <c r="F653" s="10">
        <v>9.6</v>
      </c>
      <c r="G653" s="23" t="s">
        <v>293</v>
      </c>
      <c r="H653" s="25"/>
      <c r="BA653" s="73" t="s">
        <v>355</v>
      </c>
      <c r="BB653" s="48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357</v>
      </c>
      <c r="E654" s="6" t="s">
        <v>130</v>
      </c>
      <c r="F654" s="10">
        <v>2.4350000000000001</v>
      </c>
      <c r="G654" s="23" t="s">
        <v>293</v>
      </c>
      <c r="H654" s="25"/>
      <c r="BA654" s="73" t="s">
        <v>355</v>
      </c>
      <c r="BB654" s="48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357</v>
      </c>
      <c r="E655" s="6" t="s">
        <v>341</v>
      </c>
      <c r="F655" s="10">
        <v>1.1779999999999999</v>
      </c>
      <c r="G655" s="23" t="s">
        <v>293</v>
      </c>
      <c r="H655" s="25"/>
      <c r="BA655" s="73" t="s">
        <v>355</v>
      </c>
      <c r="BB655" s="48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357</v>
      </c>
      <c r="E656" s="6" t="s">
        <v>127</v>
      </c>
      <c r="F656" s="10">
        <v>4.6529999999999996</v>
      </c>
      <c r="G656" s="23" t="s">
        <v>293</v>
      </c>
      <c r="H656" s="25"/>
      <c r="BA656" s="73" t="s">
        <v>355</v>
      </c>
      <c r="BB656" s="48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357</v>
      </c>
      <c r="E657" s="6" t="s">
        <v>131</v>
      </c>
      <c r="F657" s="10">
        <v>12.3</v>
      </c>
      <c r="G657" s="23" t="s">
        <v>293</v>
      </c>
      <c r="H657" s="25"/>
      <c r="BA657" s="73" t="s">
        <v>355</v>
      </c>
      <c r="BB657" s="48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357</v>
      </c>
      <c r="E658" s="6" t="s">
        <v>342</v>
      </c>
      <c r="F658" s="10">
        <v>190</v>
      </c>
      <c r="G658" s="23" t="s">
        <v>293</v>
      </c>
      <c r="H658" s="25"/>
      <c r="BA658" s="73" t="s">
        <v>355</v>
      </c>
      <c r="BB658" s="48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357</v>
      </c>
      <c r="E659" s="6" t="s">
        <v>119</v>
      </c>
      <c r="F659" s="10">
        <v>84</v>
      </c>
      <c r="G659" s="23" t="s">
        <v>293</v>
      </c>
      <c r="H659" s="25"/>
      <c r="BA659" s="73" t="s">
        <v>355</v>
      </c>
      <c r="BB659" s="48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357</v>
      </c>
      <c r="E660" s="6" t="s">
        <v>120</v>
      </c>
      <c r="F660" s="10">
        <v>26</v>
      </c>
      <c r="G660" s="23" t="s">
        <v>293</v>
      </c>
      <c r="H660" s="25"/>
      <c r="BA660" s="73" t="s">
        <v>355</v>
      </c>
      <c r="BB660" s="48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357</v>
      </c>
      <c r="E661" s="6" t="s">
        <v>117</v>
      </c>
      <c r="F661" s="10">
        <v>6.11</v>
      </c>
      <c r="G661" s="23" t="s">
        <v>293</v>
      </c>
      <c r="H661" s="25"/>
      <c r="BA661" s="73" t="s">
        <v>355</v>
      </c>
      <c r="BB661" s="48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357</v>
      </c>
      <c r="E662" s="6" t="s">
        <v>344</v>
      </c>
      <c r="F662" s="10">
        <v>66</v>
      </c>
      <c r="G662" s="23" t="s">
        <v>293</v>
      </c>
      <c r="H662" s="25"/>
      <c r="BA662" s="73" t="s">
        <v>355</v>
      </c>
      <c r="BB662" s="48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357</v>
      </c>
      <c r="E663" s="6" t="s">
        <v>132</v>
      </c>
      <c r="F663" s="10">
        <v>7.25</v>
      </c>
      <c r="G663" s="23" t="s">
        <v>293</v>
      </c>
      <c r="H663" s="25"/>
      <c r="BA663" s="73" t="s">
        <v>355</v>
      </c>
      <c r="BB663" s="48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357</v>
      </c>
      <c r="E664" s="6" t="s">
        <v>111</v>
      </c>
      <c r="F664" s="10">
        <v>279</v>
      </c>
      <c r="G664" s="23" t="s">
        <v>293</v>
      </c>
      <c r="H664" s="25"/>
      <c r="BA664" s="73" t="s">
        <v>355</v>
      </c>
      <c r="BB664" s="48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357</v>
      </c>
      <c r="E665" s="6" t="s">
        <v>345</v>
      </c>
      <c r="F665" s="10">
        <v>9.8699999999999992</v>
      </c>
      <c r="G665" s="23" t="s">
        <v>293</v>
      </c>
      <c r="H665" s="25"/>
      <c r="BA665" s="73" t="s">
        <v>355</v>
      </c>
      <c r="BB665" s="48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357</v>
      </c>
      <c r="E666" s="6" t="s">
        <v>347</v>
      </c>
      <c r="F666" s="10">
        <v>4.75</v>
      </c>
      <c r="G666" s="23" t="s">
        <v>293</v>
      </c>
      <c r="H666" s="25"/>
      <c r="BA666" s="73" t="s">
        <v>355</v>
      </c>
      <c r="BB666" s="48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357</v>
      </c>
      <c r="E667" s="6" t="s">
        <v>128</v>
      </c>
      <c r="F667" s="10">
        <v>4.43</v>
      </c>
      <c r="G667" s="23" t="s">
        <v>293</v>
      </c>
      <c r="H667" s="25"/>
      <c r="BA667" s="73" t="s">
        <v>355</v>
      </c>
      <c r="BB667" s="48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357</v>
      </c>
      <c r="E668" s="6" t="s">
        <v>121</v>
      </c>
      <c r="F668" s="10">
        <v>80</v>
      </c>
      <c r="G668" s="23" t="s">
        <v>293</v>
      </c>
      <c r="H668" s="25"/>
      <c r="BA668" s="73" t="s">
        <v>355</v>
      </c>
      <c r="BB668" s="48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357</v>
      </c>
      <c r="E669" s="6" t="s">
        <v>115</v>
      </c>
      <c r="F669" s="10">
        <v>98</v>
      </c>
      <c r="G669" s="23" t="s">
        <v>293</v>
      </c>
      <c r="H669" s="25"/>
      <c r="BA669" s="73" t="s">
        <v>355</v>
      </c>
      <c r="BB669" s="48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357</v>
      </c>
      <c r="E670" s="6" t="s">
        <v>137</v>
      </c>
      <c r="F670" s="10">
        <v>478</v>
      </c>
      <c r="G670" s="23" t="s">
        <v>293</v>
      </c>
      <c r="H670" s="25"/>
      <c r="BA670" s="73" t="s">
        <v>355</v>
      </c>
      <c r="BB670" s="48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357</v>
      </c>
      <c r="E671" s="6" t="s">
        <v>348</v>
      </c>
      <c r="F671" s="10">
        <v>430</v>
      </c>
      <c r="G671" s="23" t="s">
        <v>293</v>
      </c>
      <c r="H671" s="25"/>
      <c r="BA671" s="73" t="s">
        <v>355</v>
      </c>
      <c r="BB671" s="48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357</v>
      </c>
      <c r="E672" s="6" t="s">
        <v>125</v>
      </c>
      <c r="F672" s="10">
        <v>431</v>
      </c>
      <c r="G672" s="23" t="s">
        <v>293</v>
      </c>
      <c r="H672" s="25"/>
      <c r="BA672" s="73" t="s">
        <v>355</v>
      </c>
      <c r="BB672" s="48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357</v>
      </c>
      <c r="E673" s="6" t="s">
        <v>126</v>
      </c>
      <c r="F673" s="10">
        <v>150</v>
      </c>
      <c r="G673" s="23" t="s">
        <v>293</v>
      </c>
      <c r="H673" s="25"/>
      <c r="BA673" s="73" t="s">
        <v>355</v>
      </c>
      <c r="BB673" s="48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357</v>
      </c>
      <c r="E674" s="6" t="s">
        <v>349</v>
      </c>
      <c r="F674" s="10">
        <v>380</v>
      </c>
      <c r="G674" s="23" t="s">
        <v>293</v>
      </c>
      <c r="H674" s="25"/>
      <c r="BA674" s="73" t="s">
        <v>355</v>
      </c>
      <c r="BB674" s="48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357</v>
      </c>
      <c r="E675" s="6" t="s">
        <v>350</v>
      </c>
      <c r="F675" s="10">
        <v>86</v>
      </c>
      <c r="G675" s="23" t="s">
        <v>293</v>
      </c>
      <c r="H675" s="25"/>
      <c r="BA675" s="73" t="s">
        <v>355</v>
      </c>
      <c r="BB675" s="48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357</v>
      </c>
      <c r="E676" s="6" t="s">
        <v>122</v>
      </c>
      <c r="F676" s="10">
        <v>211</v>
      </c>
      <c r="G676" s="23" t="s">
        <v>293</v>
      </c>
      <c r="H676" s="25"/>
      <c r="BA676" s="73" t="s">
        <v>355</v>
      </c>
      <c r="BB676" s="48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357</v>
      </c>
      <c r="E677" s="6" t="s">
        <v>124</v>
      </c>
      <c r="F677" s="10">
        <v>104</v>
      </c>
      <c r="G677" s="23" t="s">
        <v>293</v>
      </c>
      <c r="H677" s="25"/>
      <c r="BA677" s="73" t="s">
        <v>355</v>
      </c>
      <c r="BB677" s="48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357</v>
      </c>
      <c r="E678" s="6" t="s">
        <v>351</v>
      </c>
      <c r="F678" s="10">
        <v>3.91</v>
      </c>
      <c r="G678" s="23" t="s">
        <v>293</v>
      </c>
      <c r="H678" s="25"/>
      <c r="BA678" s="73" t="s">
        <v>355</v>
      </c>
      <c r="BB678" s="48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357</v>
      </c>
      <c r="E679" s="6" t="s">
        <v>353</v>
      </c>
      <c r="F679" s="10">
        <v>21.7</v>
      </c>
      <c r="G679" s="23" t="s">
        <v>293</v>
      </c>
      <c r="H679" s="25"/>
      <c r="BA679" s="73" t="s">
        <v>355</v>
      </c>
      <c r="BB679" s="48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357</v>
      </c>
      <c r="E680" s="6" t="s">
        <v>133</v>
      </c>
      <c r="F680" s="10">
        <v>124</v>
      </c>
      <c r="G680" s="23" t="s">
        <v>293</v>
      </c>
      <c r="H680" s="25"/>
      <c r="BA680" s="73" t="s">
        <v>355</v>
      </c>
      <c r="BB680" s="48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357</v>
      </c>
      <c r="E681" s="6" t="s">
        <v>135</v>
      </c>
      <c r="F681" s="10">
        <v>6.2</v>
      </c>
      <c r="G681" s="23" t="s">
        <v>293</v>
      </c>
      <c r="H681" s="25"/>
      <c r="BA681" s="73" t="s">
        <v>355</v>
      </c>
      <c r="BB681" s="48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357</v>
      </c>
      <c r="E682" s="6" t="s">
        <v>136</v>
      </c>
      <c r="F682" s="10">
        <v>96</v>
      </c>
      <c r="G682" s="23" t="s">
        <v>293</v>
      </c>
      <c r="H682" s="25"/>
      <c r="BA682" s="73" t="s">
        <v>355</v>
      </c>
      <c r="BB682" s="48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357</v>
      </c>
      <c r="E683" s="6" t="s">
        <v>339</v>
      </c>
      <c r="F683" s="10">
        <v>1.1000000000000001</v>
      </c>
      <c r="G683" s="23" t="s">
        <v>293</v>
      </c>
      <c r="H683" s="25"/>
      <c r="BA683" s="73" t="s">
        <v>355</v>
      </c>
      <c r="BB683" s="48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357</v>
      </c>
      <c r="E684" s="6" t="s">
        <v>118</v>
      </c>
      <c r="F684" s="10">
        <v>9.6999999999999993</v>
      </c>
      <c r="G684" s="23" t="s">
        <v>293</v>
      </c>
      <c r="H684" s="25"/>
      <c r="BA684" s="73" t="s">
        <v>355</v>
      </c>
      <c r="BB684" s="48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357</v>
      </c>
      <c r="E685" s="6" t="s">
        <v>130</v>
      </c>
      <c r="F685" s="10">
        <v>2.4969999999999999</v>
      </c>
      <c r="G685" s="23" t="s">
        <v>293</v>
      </c>
      <c r="H685" s="25"/>
      <c r="BA685" s="73" t="s">
        <v>355</v>
      </c>
      <c r="BB685" s="48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357</v>
      </c>
      <c r="E686" s="6" t="s">
        <v>341</v>
      </c>
      <c r="F686" s="10">
        <v>1.143</v>
      </c>
      <c r="G686" s="23" t="s">
        <v>293</v>
      </c>
      <c r="H686" s="25"/>
      <c r="BA686" s="73" t="s">
        <v>355</v>
      </c>
      <c r="BB686" s="48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357</v>
      </c>
      <c r="E687" s="6" t="s">
        <v>127</v>
      </c>
      <c r="F687" s="10">
        <v>4.617</v>
      </c>
      <c r="G687" s="23" t="s">
        <v>293</v>
      </c>
      <c r="H687" s="25"/>
      <c r="BA687" s="73" t="s">
        <v>355</v>
      </c>
      <c r="BB687" s="48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357</v>
      </c>
      <c r="E688" s="6" t="s">
        <v>131</v>
      </c>
      <c r="F688" s="10">
        <v>12</v>
      </c>
      <c r="G688" s="23" t="s">
        <v>293</v>
      </c>
      <c r="H688" s="25"/>
      <c r="BA688" s="73" t="s">
        <v>355</v>
      </c>
      <c r="BB688" s="48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357</v>
      </c>
      <c r="E689" s="6" t="s">
        <v>342</v>
      </c>
      <c r="F689" s="10">
        <v>195</v>
      </c>
      <c r="G689" s="23" t="s">
        <v>293</v>
      </c>
      <c r="H689" s="25"/>
      <c r="BA689" s="73" t="s">
        <v>355</v>
      </c>
      <c r="BB689" s="48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357</v>
      </c>
      <c r="E690" s="6" t="s">
        <v>119</v>
      </c>
      <c r="F690" s="10">
        <v>87</v>
      </c>
      <c r="G690" s="23" t="s">
        <v>293</v>
      </c>
      <c r="H690" s="25"/>
      <c r="BA690" s="73" t="s">
        <v>355</v>
      </c>
      <c r="BB690" s="48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357</v>
      </c>
      <c r="E691" s="6" t="s">
        <v>120</v>
      </c>
      <c r="F691" s="10">
        <v>26</v>
      </c>
      <c r="G691" s="23" t="s">
        <v>293</v>
      </c>
      <c r="H691" s="25"/>
      <c r="BA691" s="73" t="s">
        <v>355</v>
      </c>
      <c r="BB691" s="48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357</v>
      </c>
      <c r="E692" s="6" t="s">
        <v>117</v>
      </c>
      <c r="F692" s="10">
        <v>6.05</v>
      </c>
      <c r="G692" s="23" t="s">
        <v>293</v>
      </c>
      <c r="H692" s="25"/>
      <c r="BA692" s="73" t="s">
        <v>355</v>
      </c>
      <c r="BB692" s="48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357</v>
      </c>
      <c r="E693" s="6" t="s">
        <v>344</v>
      </c>
      <c r="F693" s="10">
        <v>67</v>
      </c>
      <c r="G693" s="23" t="s">
        <v>293</v>
      </c>
      <c r="H693" s="25"/>
      <c r="BA693" s="73" t="s">
        <v>355</v>
      </c>
      <c r="BB693" s="48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357</v>
      </c>
      <c r="E694" s="6" t="s">
        <v>132</v>
      </c>
      <c r="F694" s="10">
        <v>7.39</v>
      </c>
      <c r="G694" s="23" t="s">
        <v>293</v>
      </c>
      <c r="H694" s="25"/>
      <c r="BA694" s="73" t="s">
        <v>355</v>
      </c>
      <c r="BB694" s="48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357</v>
      </c>
      <c r="E695" s="6" t="s">
        <v>111</v>
      </c>
      <c r="F695" s="10">
        <v>280</v>
      </c>
      <c r="G695" s="23" t="s">
        <v>293</v>
      </c>
      <c r="H695" s="25"/>
      <c r="BA695" s="73" t="s">
        <v>355</v>
      </c>
      <c r="BB695" s="48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357</v>
      </c>
      <c r="E696" s="6" t="s">
        <v>345</v>
      </c>
      <c r="F696" s="10">
        <v>9.92</v>
      </c>
      <c r="G696" s="23" t="s">
        <v>293</v>
      </c>
      <c r="H696" s="25"/>
      <c r="BA696" s="73" t="s">
        <v>355</v>
      </c>
      <c r="BB696" s="48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357</v>
      </c>
      <c r="E697" s="6" t="s">
        <v>347</v>
      </c>
      <c r="F697" s="10">
        <v>4.6100000000000003</v>
      </c>
      <c r="G697" s="23" t="s">
        <v>293</v>
      </c>
      <c r="H697" s="25"/>
      <c r="BA697" s="73" t="s">
        <v>355</v>
      </c>
      <c r="BB697" s="48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357</v>
      </c>
      <c r="E698" s="6" t="s">
        <v>128</v>
      </c>
      <c r="F698" s="10">
        <v>4.5</v>
      </c>
      <c r="G698" s="23" t="s">
        <v>293</v>
      </c>
      <c r="H698" s="25"/>
      <c r="BA698" s="73" t="s">
        <v>355</v>
      </c>
      <c r="BB698" s="48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357</v>
      </c>
      <c r="E699" s="6" t="s">
        <v>121</v>
      </c>
      <c r="F699" s="10">
        <v>81</v>
      </c>
      <c r="G699" s="23" t="s">
        <v>293</v>
      </c>
      <c r="H699" s="25"/>
      <c r="BA699" s="73" t="s">
        <v>355</v>
      </c>
      <c r="BB699" s="48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357</v>
      </c>
      <c r="E700" s="6" t="s">
        <v>115</v>
      </c>
      <c r="F700" s="10">
        <v>99</v>
      </c>
      <c r="G700" s="23" t="s">
        <v>293</v>
      </c>
      <c r="H700" s="25"/>
      <c r="BA700" s="73" t="s">
        <v>355</v>
      </c>
      <c r="BB700" s="48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357</v>
      </c>
      <c r="E701" s="6" t="s">
        <v>137</v>
      </c>
      <c r="F701" s="10">
        <v>476</v>
      </c>
      <c r="G701" s="23" t="s">
        <v>293</v>
      </c>
      <c r="H701" s="25"/>
      <c r="BA701" s="73" t="s">
        <v>355</v>
      </c>
      <c r="BB701" s="48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357</v>
      </c>
      <c r="E702" s="6" t="s">
        <v>348</v>
      </c>
      <c r="F702" s="10">
        <v>435</v>
      </c>
      <c r="G702" s="23" t="s">
        <v>293</v>
      </c>
      <c r="H702" s="25"/>
      <c r="BA702" s="73" t="s">
        <v>355</v>
      </c>
      <c r="BB702" s="48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357</v>
      </c>
      <c r="E703" s="6" t="s">
        <v>125</v>
      </c>
      <c r="F703" s="10">
        <v>444</v>
      </c>
      <c r="G703" s="23" t="s">
        <v>293</v>
      </c>
      <c r="H703" s="25"/>
      <c r="BA703" s="73" t="s">
        <v>355</v>
      </c>
      <c r="BB703" s="48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357</v>
      </c>
      <c r="E704" s="6" t="s">
        <v>126</v>
      </c>
      <c r="F704" s="10">
        <v>153</v>
      </c>
      <c r="G704" s="23" t="s">
        <v>293</v>
      </c>
      <c r="H704" s="25"/>
      <c r="BA704" s="73" t="s">
        <v>355</v>
      </c>
      <c r="BB704" s="48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357</v>
      </c>
      <c r="E705" s="6" t="s">
        <v>349</v>
      </c>
      <c r="F705" s="10">
        <v>378</v>
      </c>
      <c r="G705" s="23" t="s">
        <v>293</v>
      </c>
      <c r="H705" s="25"/>
      <c r="BA705" s="73" t="s">
        <v>355</v>
      </c>
      <c r="BB705" s="48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357</v>
      </c>
      <c r="E706" s="6" t="s">
        <v>350</v>
      </c>
      <c r="F706" s="10">
        <v>86</v>
      </c>
      <c r="G706" s="23" t="s">
        <v>293</v>
      </c>
      <c r="H706" s="25"/>
      <c r="BA706" s="73" t="s">
        <v>355</v>
      </c>
      <c r="BB706" s="48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357</v>
      </c>
      <c r="E707" s="6" t="s">
        <v>122</v>
      </c>
      <c r="F707" s="10">
        <v>218</v>
      </c>
      <c r="G707" s="23" t="s">
        <v>293</v>
      </c>
      <c r="H707" s="25"/>
      <c r="BA707" s="73" t="s">
        <v>355</v>
      </c>
      <c r="BB707" s="48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357</v>
      </c>
      <c r="E708" s="6" t="s">
        <v>124</v>
      </c>
      <c r="F708" s="10">
        <v>101</v>
      </c>
      <c r="G708" s="23" t="s">
        <v>293</v>
      </c>
      <c r="H708" s="25"/>
      <c r="BA708" s="73" t="s">
        <v>355</v>
      </c>
      <c r="BB708" s="48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357</v>
      </c>
      <c r="E709" s="6" t="s">
        <v>351</v>
      </c>
      <c r="F709" s="10">
        <v>3.53</v>
      </c>
      <c r="G709" s="23" t="s">
        <v>293</v>
      </c>
      <c r="H709" s="25"/>
      <c r="BA709" s="73" t="s">
        <v>355</v>
      </c>
      <c r="BB709" s="48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357</v>
      </c>
      <c r="E710" s="6" t="s">
        <v>353</v>
      </c>
      <c r="F710" s="10">
        <v>16.8</v>
      </c>
      <c r="G710" s="23" t="s">
        <v>293</v>
      </c>
      <c r="H710" s="25"/>
      <c r="BA710" s="73" t="s">
        <v>355</v>
      </c>
      <c r="BB710" s="48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357</v>
      </c>
      <c r="E711" s="6" t="s">
        <v>133</v>
      </c>
      <c r="F711" s="10">
        <v>126</v>
      </c>
      <c r="G711" s="23" t="s">
        <v>293</v>
      </c>
      <c r="H711" s="25"/>
      <c r="BA711" s="73" t="s">
        <v>355</v>
      </c>
      <c r="BB711" s="48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357</v>
      </c>
      <c r="E712" s="6" t="s">
        <v>135</v>
      </c>
      <c r="F712" s="10">
        <v>6.4</v>
      </c>
      <c r="G712" s="23" t="s">
        <v>293</v>
      </c>
      <c r="H712" s="25"/>
      <c r="BA712" s="73" t="s">
        <v>355</v>
      </c>
      <c r="BB712" s="48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357</v>
      </c>
      <c r="E713" s="6" t="s">
        <v>136</v>
      </c>
      <c r="F713" s="10">
        <v>96</v>
      </c>
      <c r="G713" s="23" t="s">
        <v>293</v>
      </c>
      <c r="H713" s="25"/>
      <c r="BA713" s="73" t="s">
        <v>355</v>
      </c>
      <c r="BB713" s="48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357</v>
      </c>
      <c r="E714" s="6" t="s">
        <v>339</v>
      </c>
      <c r="F714" s="10">
        <v>1.1000000000000001</v>
      </c>
      <c r="G714" s="23" t="s">
        <v>293</v>
      </c>
      <c r="H714" s="25"/>
      <c r="BA714" s="73" t="s">
        <v>355</v>
      </c>
      <c r="BB714" s="48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357</v>
      </c>
      <c r="E715" s="6" t="s">
        <v>118</v>
      </c>
      <c r="F715" s="10">
        <v>9.9</v>
      </c>
      <c r="G715" s="23" t="s">
        <v>293</v>
      </c>
      <c r="H715" s="25"/>
      <c r="BA715" s="73" t="s">
        <v>355</v>
      </c>
      <c r="BB715" s="48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357</v>
      </c>
      <c r="E716" s="6" t="s">
        <v>130</v>
      </c>
      <c r="F716" s="10">
        <v>2.6110000000000002</v>
      </c>
      <c r="G716" s="23" t="s">
        <v>293</v>
      </c>
      <c r="H716" s="25"/>
      <c r="BA716" s="73" t="s">
        <v>355</v>
      </c>
      <c r="BB716" s="48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357</v>
      </c>
      <c r="E717" s="6" t="s">
        <v>341</v>
      </c>
      <c r="F717" s="10">
        <v>1.165</v>
      </c>
      <c r="G717" s="23" t="s">
        <v>293</v>
      </c>
      <c r="H717" s="25"/>
      <c r="BA717" s="73" t="s">
        <v>355</v>
      </c>
      <c r="BB717" s="48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357</v>
      </c>
      <c r="E718" s="6" t="s">
        <v>127</v>
      </c>
      <c r="F718" s="10">
        <v>4.6980000000000004</v>
      </c>
      <c r="G718" s="23" t="s">
        <v>293</v>
      </c>
      <c r="H718" s="25"/>
      <c r="BA718" s="73" t="s">
        <v>355</v>
      </c>
      <c r="BB718" s="48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357</v>
      </c>
      <c r="E719" s="6" t="s">
        <v>131</v>
      </c>
      <c r="F719" s="10">
        <v>12.3</v>
      </c>
      <c r="G719" s="23" t="s">
        <v>293</v>
      </c>
      <c r="H719" s="25"/>
      <c r="BA719" s="73" t="s">
        <v>355</v>
      </c>
      <c r="BB719" s="48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357</v>
      </c>
      <c r="E720" s="6" t="s">
        <v>342</v>
      </c>
      <c r="F720" s="10">
        <v>206</v>
      </c>
      <c r="G720" s="23" t="s">
        <v>293</v>
      </c>
      <c r="H720" s="25"/>
      <c r="BA720" s="73" t="s">
        <v>355</v>
      </c>
      <c r="BB720" s="48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357</v>
      </c>
      <c r="E721" s="6" t="s">
        <v>119</v>
      </c>
      <c r="F721" s="10">
        <v>84</v>
      </c>
      <c r="G721" s="23" t="s">
        <v>293</v>
      </c>
      <c r="H721" s="25"/>
      <c r="BA721" s="73" t="s">
        <v>355</v>
      </c>
      <c r="BB721" s="48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357</v>
      </c>
      <c r="E722" s="6" t="s">
        <v>120</v>
      </c>
      <c r="F722" s="10">
        <v>27</v>
      </c>
      <c r="G722" s="23" t="s">
        <v>293</v>
      </c>
      <c r="H722" s="25"/>
      <c r="BA722" s="73" t="s">
        <v>355</v>
      </c>
      <c r="BB722" s="48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357</v>
      </c>
      <c r="E723" s="6" t="s">
        <v>117</v>
      </c>
      <c r="F723" s="10">
        <v>6.24</v>
      </c>
      <c r="G723" s="23" t="s">
        <v>293</v>
      </c>
      <c r="H723" s="25"/>
      <c r="BA723" s="73" t="s">
        <v>355</v>
      </c>
      <c r="BB723" s="48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357</v>
      </c>
      <c r="E724" s="6" t="s">
        <v>344</v>
      </c>
      <c r="F724" s="10">
        <v>68</v>
      </c>
      <c r="G724" s="23" t="s">
        <v>293</v>
      </c>
      <c r="H724" s="25"/>
      <c r="BA724" s="73" t="s">
        <v>355</v>
      </c>
      <c r="BB724" s="48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357</v>
      </c>
      <c r="E725" s="6" t="s">
        <v>132</v>
      </c>
      <c r="F725" s="10">
        <v>7.35</v>
      </c>
      <c r="G725" s="23" t="s">
        <v>293</v>
      </c>
      <c r="H725" s="25"/>
      <c r="BA725" s="73" t="s">
        <v>355</v>
      </c>
      <c r="BB725" s="48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357</v>
      </c>
      <c r="E726" s="6" t="s">
        <v>111</v>
      </c>
      <c r="F726" s="10">
        <v>283</v>
      </c>
      <c r="G726" s="23" t="s">
        <v>293</v>
      </c>
      <c r="H726" s="25"/>
      <c r="BA726" s="73" t="s">
        <v>355</v>
      </c>
      <c r="BB726" s="48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357</v>
      </c>
      <c r="E727" s="6" t="s">
        <v>345</v>
      </c>
      <c r="F727" s="10">
        <v>9.6999999999999993</v>
      </c>
      <c r="G727" s="23" t="s">
        <v>293</v>
      </c>
      <c r="H727" s="25"/>
      <c r="BA727" s="73" t="s">
        <v>355</v>
      </c>
      <c r="BB727" s="48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357</v>
      </c>
      <c r="E728" s="6" t="s">
        <v>347</v>
      </c>
      <c r="F728" s="10">
        <v>4.67</v>
      </c>
      <c r="G728" s="23" t="s">
        <v>293</v>
      </c>
      <c r="H728" s="25"/>
      <c r="BA728" s="73" t="s">
        <v>355</v>
      </c>
      <c r="BB728" s="48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357</v>
      </c>
      <c r="E729" s="6" t="s">
        <v>128</v>
      </c>
      <c r="F729" s="10">
        <v>4.5999999999999996</v>
      </c>
      <c r="G729" s="23" t="s">
        <v>293</v>
      </c>
      <c r="H729" s="25"/>
      <c r="BA729" s="73" t="s">
        <v>355</v>
      </c>
      <c r="BB729" s="48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357</v>
      </c>
      <c r="E730" s="6" t="s">
        <v>121</v>
      </c>
      <c r="F730" s="10">
        <v>83</v>
      </c>
      <c r="G730" s="23" t="s">
        <v>293</v>
      </c>
      <c r="H730" s="25"/>
      <c r="BA730" s="73" t="s">
        <v>355</v>
      </c>
      <c r="BB730" s="48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357</v>
      </c>
      <c r="E731" s="6" t="s">
        <v>115</v>
      </c>
      <c r="F731" s="10">
        <v>97</v>
      </c>
      <c r="G731" s="23" t="s">
        <v>293</v>
      </c>
      <c r="H731" s="25"/>
      <c r="BA731" s="73" t="s">
        <v>355</v>
      </c>
      <c r="BB731" s="48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357</v>
      </c>
      <c r="E732" s="6" t="s">
        <v>137</v>
      </c>
      <c r="F732" s="10">
        <v>490</v>
      </c>
      <c r="G732" s="23" t="s">
        <v>293</v>
      </c>
      <c r="H732" s="25"/>
      <c r="BA732" s="73" t="s">
        <v>355</v>
      </c>
      <c r="BB732" s="48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357</v>
      </c>
      <c r="E733" s="6" t="s">
        <v>348</v>
      </c>
      <c r="F733" s="10">
        <v>443</v>
      </c>
      <c r="G733" s="23" t="s">
        <v>293</v>
      </c>
      <c r="H733" s="25"/>
      <c r="BA733" s="73" t="s">
        <v>355</v>
      </c>
      <c r="BB733" s="48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357</v>
      </c>
      <c r="E734" s="6" t="s">
        <v>125</v>
      </c>
      <c r="F734" s="10">
        <v>441</v>
      </c>
      <c r="G734" s="23" t="s">
        <v>293</v>
      </c>
      <c r="H734" s="25"/>
      <c r="BA734" s="73" t="s">
        <v>355</v>
      </c>
      <c r="BB734" s="48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357</v>
      </c>
      <c r="E735" s="6" t="s">
        <v>126</v>
      </c>
      <c r="F735" s="10">
        <v>151</v>
      </c>
      <c r="G735" s="23" t="s">
        <v>293</v>
      </c>
      <c r="H735" s="25"/>
      <c r="BA735" s="73" t="s">
        <v>355</v>
      </c>
      <c r="BB735" s="48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357</v>
      </c>
      <c r="E736" s="6" t="s">
        <v>349</v>
      </c>
      <c r="F736" s="10">
        <v>394</v>
      </c>
      <c r="G736" s="23" t="s">
        <v>293</v>
      </c>
      <c r="H736" s="25"/>
      <c r="BA736" s="73" t="s">
        <v>355</v>
      </c>
      <c r="BB736" s="48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357</v>
      </c>
      <c r="E737" s="6" t="s">
        <v>350</v>
      </c>
      <c r="F737" s="10">
        <v>86</v>
      </c>
      <c r="G737" s="23" t="s">
        <v>293</v>
      </c>
      <c r="H737" s="25"/>
      <c r="BA737" s="73" t="s">
        <v>355</v>
      </c>
      <c r="BB737" s="48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357</v>
      </c>
      <c r="E738" s="6" t="s">
        <v>122</v>
      </c>
      <c r="F738" s="10">
        <v>220</v>
      </c>
      <c r="G738" s="23" t="s">
        <v>293</v>
      </c>
      <c r="H738" s="25"/>
      <c r="BA738" s="73" t="s">
        <v>355</v>
      </c>
      <c r="BB738" s="48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357</v>
      </c>
      <c r="E739" s="6" t="s">
        <v>124</v>
      </c>
      <c r="F739" s="10">
        <v>106</v>
      </c>
      <c r="G739" s="23" t="s">
        <v>293</v>
      </c>
      <c r="H739" s="25"/>
      <c r="BA739" s="73" t="s">
        <v>355</v>
      </c>
      <c r="BB739" s="48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357</v>
      </c>
      <c r="E740" s="6" t="s">
        <v>351</v>
      </c>
      <c r="F740" s="10">
        <v>3.65</v>
      </c>
      <c r="G740" s="23" t="s">
        <v>293</v>
      </c>
      <c r="H740" s="25"/>
      <c r="BA740" s="73" t="s">
        <v>355</v>
      </c>
      <c r="BB740" s="48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357</v>
      </c>
      <c r="E741" s="6" t="s">
        <v>353</v>
      </c>
      <c r="F741" s="10">
        <v>16.5</v>
      </c>
      <c r="G741" s="23" t="s">
        <v>293</v>
      </c>
      <c r="H741" s="25"/>
      <c r="BA741" s="73" t="s">
        <v>355</v>
      </c>
      <c r="BB741" s="48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357</v>
      </c>
      <c r="E742" s="6" t="s">
        <v>133</v>
      </c>
      <c r="F742" s="10">
        <v>121</v>
      </c>
      <c r="G742" s="23" t="s">
        <v>293</v>
      </c>
      <c r="H742" s="25"/>
      <c r="BA742" s="73" t="s">
        <v>355</v>
      </c>
      <c r="BB742" s="48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357</v>
      </c>
      <c r="E743" s="6" t="s">
        <v>135</v>
      </c>
      <c r="F743" s="10">
        <v>6.2</v>
      </c>
      <c r="G743" s="23" t="s">
        <v>293</v>
      </c>
      <c r="H743" s="25"/>
      <c r="BA743" s="73" t="s">
        <v>355</v>
      </c>
      <c r="BB743" s="48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357</v>
      </c>
      <c r="E744" s="6" t="s">
        <v>136</v>
      </c>
      <c r="F744" s="10">
        <v>95</v>
      </c>
      <c r="G744" s="23" t="s">
        <v>293</v>
      </c>
      <c r="H744" s="25"/>
      <c r="BA744" s="73" t="s">
        <v>355</v>
      </c>
      <c r="BB744" s="48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357</v>
      </c>
      <c r="E745" s="6" t="s">
        <v>339</v>
      </c>
      <c r="F745" s="10">
        <v>1.27</v>
      </c>
      <c r="G745" s="23" t="s">
        <v>293</v>
      </c>
      <c r="H745" s="25"/>
      <c r="BA745" s="73" t="s">
        <v>355</v>
      </c>
      <c r="BB745" s="48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357</v>
      </c>
      <c r="E746" s="6" t="s">
        <v>118</v>
      </c>
      <c r="F746" s="10">
        <v>9.9</v>
      </c>
      <c r="G746" s="23" t="s">
        <v>293</v>
      </c>
      <c r="H746" s="25"/>
      <c r="BA746" s="73" t="s">
        <v>355</v>
      </c>
      <c r="BB746" s="48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357</v>
      </c>
      <c r="E747" s="6" t="s">
        <v>130</v>
      </c>
      <c r="F747" s="10">
        <v>2.63</v>
      </c>
      <c r="G747" s="23" t="s">
        <v>293</v>
      </c>
      <c r="H747" s="25"/>
      <c r="BA747" s="73" t="s">
        <v>355</v>
      </c>
      <c r="BB747" s="48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357</v>
      </c>
      <c r="E748" s="6" t="s">
        <v>341</v>
      </c>
      <c r="F748" s="10">
        <v>1.1499999999999999</v>
      </c>
      <c r="G748" s="23" t="s">
        <v>293</v>
      </c>
      <c r="H748" s="25"/>
      <c r="BA748" s="73" t="s">
        <v>355</v>
      </c>
      <c r="BB748" s="48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357</v>
      </c>
      <c r="E749" s="6" t="s">
        <v>127</v>
      </c>
      <c r="F749" s="10">
        <v>4.5430000000000001</v>
      </c>
      <c r="G749" s="23" t="s">
        <v>293</v>
      </c>
      <c r="H749" s="25"/>
      <c r="BA749" s="73" t="s">
        <v>355</v>
      </c>
      <c r="BB749" s="48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357</v>
      </c>
      <c r="E750" s="6" t="s">
        <v>131</v>
      </c>
      <c r="F750" s="10">
        <v>12</v>
      </c>
      <c r="G750" s="23" t="s">
        <v>293</v>
      </c>
      <c r="H750" s="25"/>
      <c r="BA750" s="73" t="s">
        <v>355</v>
      </c>
      <c r="BB750" s="48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357</v>
      </c>
      <c r="E751" s="6" t="s">
        <v>342</v>
      </c>
      <c r="F751" s="10">
        <v>197</v>
      </c>
      <c r="G751" s="23" t="s">
        <v>293</v>
      </c>
      <c r="H751" s="25"/>
      <c r="BA751" s="73" t="s">
        <v>355</v>
      </c>
      <c r="BB751" s="48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357</v>
      </c>
      <c r="E752" s="6" t="s">
        <v>119</v>
      </c>
      <c r="F752" s="10">
        <v>87</v>
      </c>
      <c r="G752" s="23" t="s">
        <v>293</v>
      </c>
      <c r="H752" s="25"/>
      <c r="BA752" s="73" t="s">
        <v>355</v>
      </c>
      <c r="BB752" s="48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357</v>
      </c>
      <c r="E753" s="6" t="s">
        <v>120</v>
      </c>
      <c r="F753" s="10">
        <v>26</v>
      </c>
      <c r="G753" s="23" t="s">
        <v>293</v>
      </c>
      <c r="H753" s="25"/>
      <c r="BA753" s="73" t="s">
        <v>355</v>
      </c>
      <c r="BB753" s="48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357</v>
      </c>
      <c r="E754" s="6" t="s">
        <v>117</v>
      </c>
      <c r="F754" s="10">
        <v>6.25</v>
      </c>
      <c r="G754" s="23" t="s">
        <v>293</v>
      </c>
      <c r="H754" s="25"/>
      <c r="BA754" s="73" t="s">
        <v>355</v>
      </c>
      <c r="BB754" s="48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357</v>
      </c>
      <c r="E755" s="6" t="s">
        <v>344</v>
      </c>
      <c r="F755" s="10">
        <v>67</v>
      </c>
      <c r="G755" s="23" t="s">
        <v>293</v>
      </c>
      <c r="H755" s="25"/>
      <c r="BA755" s="73" t="s">
        <v>355</v>
      </c>
      <c r="BB755" s="48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357</v>
      </c>
      <c r="E756" s="6" t="s">
        <v>132</v>
      </c>
      <c r="F756" s="10">
        <v>7.5</v>
      </c>
      <c r="G756" s="23" t="s">
        <v>293</v>
      </c>
      <c r="H756" s="25"/>
      <c r="BA756" s="73" t="s">
        <v>355</v>
      </c>
      <c r="BB756" s="48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357</v>
      </c>
      <c r="E757" s="6" t="s">
        <v>111</v>
      </c>
      <c r="F757" s="10">
        <v>286</v>
      </c>
      <c r="G757" s="23" t="s">
        <v>293</v>
      </c>
      <c r="H757" s="25"/>
      <c r="BA757" s="73" t="s">
        <v>355</v>
      </c>
      <c r="BB757" s="48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357</v>
      </c>
      <c r="E758" s="6" t="s">
        <v>345</v>
      </c>
      <c r="F758" s="10">
        <v>10.25</v>
      </c>
      <c r="G758" s="23" t="s">
        <v>293</v>
      </c>
      <c r="H758" s="25"/>
      <c r="BA758" s="73" t="s">
        <v>355</v>
      </c>
      <c r="BB758" s="48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357</v>
      </c>
      <c r="E759" s="6" t="s">
        <v>347</v>
      </c>
      <c r="F759" s="10">
        <v>4.6100000000000003</v>
      </c>
      <c r="G759" s="23" t="s">
        <v>293</v>
      </c>
      <c r="H759" s="25"/>
      <c r="BA759" s="73" t="s">
        <v>355</v>
      </c>
      <c r="BB759" s="48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357</v>
      </c>
      <c r="E760" s="6" t="s">
        <v>128</v>
      </c>
      <c r="F760" s="10">
        <v>4.5</v>
      </c>
      <c r="G760" s="23" t="s">
        <v>293</v>
      </c>
      <c r="H760" s="25"/>
      <c r="BA760" s="73" t="s">
        <v>355</v>
      </c>
      <c r="BB760" s="48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357</v>
      </c>
      <c r="E761" s="6" t="s">
        <v>121</v>
      </c>
      <c r="F761" s="10">
        <v>81</v>
      </c>
      <c r="G761" s="23" t="s">
        <v>293</v>
      </c>
      <c r="H761" s="25"/>
      <c r="BA761" s="73" t="s">
        <v>355</v>
      </c>
      <c r="BB761" s="48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357</v>
      </c>
      <c r="E762" s="6" t="s">
        <v>115</v>
      </c>
      <c r="F762" s="10">
        <v>96</v>
      </c>
      <c r="G762" s="23" t="s">
        <v>293</v>
      </c>
      <c r="H762" s="25"/>
      <c r="BA762" s="73" t="s">
        <v>355</v>
      </c>
      <c r="BB762" s="48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357</v>
      </c>
      <c r="E763" s="6" t="s">
        <v>137</v>
      </c>
      <c r="F763" s="10">
        <v>487</v>
      </c>
      <c r="G763" s="23" t="s">
        <v>293</v>
      </c>
      <c r="H763" s="25"/>
      <c r="BA763" s="73" t="s">
        <v>355</v>
      </c>
      <c r="BB763" s="48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357</v>
      </c>
      <c r="E764" s="6" t="s">
        <v>348</v>
      </c>
      <c r="F764" s="10">
        <v>440</v>
      </c>
      <c r="G764" s="23" t="s">
        <v>293</v>
      </c>
      <c r="H764" s="25"/>
      <c r="BA764" s="73" t="s">
        <v>355</v>
      </c>
      <c r="BB764" s="48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357</v>
      </c>
      <c r="E765" s="6" t="s">
        <v>125</v>
      </c>
      <c r="F765" s="10">
        <v>439</v>
      </c>
      <c r="G765" s="23" t="s">
        <v>293</v>
      </c>
      <c r="H765" s="25"/>
      <c r="BA765" s="73" t="s">
        <v>355</v>
      </c>
      <c r="BB765" s="48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357</v>
      </c>
      <c r="E766" s="6" t="s">
        <v>126</v>
      </c>
      <c r="F766" s="10">
        <v>151</v>
      </c>
      <c r="G766" s="23" t="s">
        <v>293</v>
      </c>
      <c r="H766" s="25"/>
      <c r="BA766" s="73" t="s">
        <v>355</v>
      </c>
      <c r="BB766" s="48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357</v>
      </c>
      <c r="E767" s="6" t="s">
        <v>349</v>
      </c>
      <c r="F767" s="10">
        <v>383</v>
      </c>
      <c r="G767" s="23" t="s">
        <v>293</v>
      </c>
      <c r="H767" s="25"/>
      <c r="BA767" s="73" t="s">
        <v>355</v>
      </c>
      <c r="BB767" s="48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357</v>
      </c>
      <c r="E768" s="6" t="s">
        <v>350</v>
      </c>
      <c r="F768" s="10">
        <v>85</v>
      </c>
      <c r="G768" s="23" t="s">
        <v>293</v>
      </c>
      <c r="H768" s="25"/>
      <c r="BA768" s="73" t="s">
        <v>355</v>
      </c>
      <c r="BB768" s="48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357</v>
      </c>
      <c r="E769" s="6" t="s">
        <v>122</v>
      </c>
      <c r="F769" s="10">
        <v>219</v>
      </c>
      <c r="G769" s="23" t="s">
        <v>293</v>
      </c>
      <c r="H769" s="25"/>
      <c r="BA769" s="73" t="s">
        <v>355</v>
      </c>
      <c r="BB769" s="48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357</v>
      </c>
      <c r="E770" s="6" t="s">
        <v>124</v>
      </c>
      <c r="F770" s="10">
        <v>106</v>
      </c>
      <c r="G770" s="23" t="s">
        <v>293</v>
      </c>
      <c r="H770" s="25"/>
      <c r="BA770" s="73" t="s">
        <v>355</v>
      </c>
      <c r="BB770" s="48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357</v>
      </c>
      <c r="E771" s="6" t="s">
        <v>351</v>
      </c>
      <c r="F771" s="10">
        <v>3.7</v>
      </c>
      <c r="G771" s="23" t="s">
        <v>293</v>
      </c>
      <c r="H771" s="25"/>
      <c r="BA771" s="73" t="s">
        <v>355</v>
      </c>
      <c r="BB771" s="48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357</v>
      </c>
      <c r="E772" s="6" t="s">
        <v>353</v>
      </c>
      <c r="F772" s="10">
        <v>20.2</v>
      </c>
      <c r="G772" s="23" t="s">
        <v>293</v>
      </c>
      <c r="H772" s="25"/>
      <c r="BA772" s="73" t="s">
        <v>355</v>
      </c>
      <c r="BB772" s="48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357</v>
      </c>
      <c r="E773" s="6" t="s">
        <v>133</v>
      </c>
      <c r="F773" s="10">
        <v>121</v>
      </c>
      <c r="G773" s="23" t="s">
        <v>293</v>
      </c>
      <c r="H773" s="25"/>
      <c r="BA773" s="73" t="s">
        <v>355</v>
      </c>
      <c r="BB773" s="48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357</v>
      </c>
      <c r="E774" s="6" t="s">
        <v>135</v>
      </c>
      <c r="F774" s="10">
        <v>6.2</v>
      </c>
      <c r="G774" s="23" t="s">
        <v>293</v>
      </c>
      <c r="H774" s="25"/>
      <c r="BA774" s="73" t="s">
        <v>355</v>
      </c>
      <c r="BB774" s="48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357</v>
      </c>
      <c r="E775" s="6" t="s">
        <v>136</v>
      </c>
      <c r="F775" s="10">
        <v>96</v>
      </c>
      <c r="G775" s="23" t="s">
        <v>293</v>
      </c>
      <c r="H775" s="25"/>
      <c r="BA775" s="73" t="s">
        <v>355</v>
      </c>
      <c r="BB775" s="48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357</v>
      </c>
      <c r="E776" s="6" t="s">
        <v>339</v>
      </c>
      <c r="F776" s="10">
        <v>1.2</v>
      </c>
      <c r="G776" s="23" t="s">
        <v>293</v>
      </c>
      <c r="H776" s="25"/>
      <c r="BA776" s="73" t="s">
        <v>355</v>
      </c>
      <c r="BB776" s="48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357</v>
      </c>
      <c r="E777" s="6" t="s">
        <v>118</v>
      </c>
      <c r="F777" s="10">
        <v>9.6999999999999993</v>
      </c>
      <c r="G777" s="23" t="s">
        <v>293</v>
      </c>
      <c r="H777" s="25"/>
      <c r="BA777" s="73" t="s">
        <v>355</v>
      </c>
      <c r="BB777" s="48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357</v>
      </c>
      <c r="E778" s="6" t="s">
        <v>130</v>
      </c>
      <c r="F778" s="10">
        <v>2.57</v>
      </c>
      <c r="G778" s="23" t="s">
        <v>293</v>
      </c>
      <c r="H778" s="25"/>
      <c r="BA778" s="73" t="s">
        <v>355</v>
      </c>
      <c r="BB778" s="48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357</v>
      </c>
      <c r="E779" s="6" t="s">
        <v>341</v>
      </c>
      <c r="F779" s="10">
        <v>1.17</v>
      </c>
      <c r="G779" s="23" t="s">
        <v>293</v>
      </c>
      <c r="H779" s="25"/>
      <c r="BA779" s="73" t="s">
        <v>355</v>
      </c>
      <c r="BB779" s="48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357</v>
      </c>
      <c r="E780" s="6" t="s">
        <v>127</v>
      </c>
      <c r="F780" s="10">
        <v>4.5599999999999996</v>
      </c>
      <c r="G780" s="23" t="s">
        <v>293</v>
      </c>
      <c r="H780" s="25"/>
      <c r="BA780" s="73" t="s">
        <v>355</v>
      </c>
      <c r="BB780" s="48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357</v>
      </c>
      <c r="E781" s="6" t="s">
        <v>131</v>
      </c>
      <c r="F781" s="10">
        <v>12.3</v>
      </c>
      <c r="G781" s="23" t="s">
        <v>293</v>
      </c>
      <c r="H781" s="25"/>
      <c r="BA781" s="73" t="s">
        <v>355</v>
      </c>
      <c r="BB781" s="48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357</v>
      </c>
      <c r="E782" s="6" t="s">
        <v>342</v>
      </c>
      <c r="F782" s="10">
        <v>199</v>
      </c>
      <c r="G782" s="23" t="s">
        <v>293</v>
      </c>
      <c r="H782" s="25"/>
      <c r="BA782" s="73" t="s">
        <v>355</v>
      </c>
      <c r="BB782" s="48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357</v>
      </c>
      <c r="E783" s="6" t="s">
        <v>119</v>
      </c>
      <c r="F783" s="10">
        <v>85</v>
      </c>
      <c r="G783" s="23" t="s">
        <v>293</v>
      </c>
      <c r="H783" s="25"/>
      <c r="BA783" s="73" t="s">
        <v>355</v>
      </c>
      <c r="BB783" s="48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357</v>
      </c>
      <c r="E784" s="6" t="s">
        <v>120</v>
      </c>
      <c r="F784" s="10">
        <v>26</v>
      </c>
      <c r="G784" s="23" t="s">
        <v>293</v>
      </c>
      <c r="H784" s="25"/>
      <c r="BA784" s="73" t="s">
        <v>355</v>
      </c>
      <c r="BB784" s="48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357</v>
      </c>
      <c r="E785" s="6" t="s">
        <v>117</v>
      </c>
      <c r="F785" s="10">
        <v>6.05</v>
      </c>
      <c r="G785" s="23" t="s">
        <v>293</v>
      </c>
      <c r="H785" s="25"/>
      <c r="BA785" s="73" t="s">
        <v>355</v>
      </c>
      <c r="BB785" s="48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357</v>
      </c>
      <c r="E786" s="6" t="s">
        <v>344</v>
      </c>
      <c r="F786" s="10">
        <v>66</v>
      </c>
      <c r="G786" s="23" t="s">
        <v>293</v>
      </c>
      <c r="H786" s="25"/>
      <c r="BA786" s="73" t="s">
        <v>355</v>
      </c>
      <c r="BB786" s="48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357</v>
      </c>
      <c r="E787" s="6" t="s">
        <v>132</v>
      </c>
      <c r="F787" s="10">
        <v>7.35</v>
      </c>
      <c r="G787" s="23" t="s">
        <v>293</v>
      </c>
      <c r="H787" s="25"/>
      <c r="BA787" s="73" t="s">
        <v>355</v>
      </c>
      <c r="BB787" s="48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357</v>
      </c>
      <c r="E788" s="6" t="s">
        <v>111</v>
      </c>
      <c r="F788" s="10">
        <v>279</v>
      </c>
      <c r="G788" s="23" t="s">
        <v>293</v>
      </c>
      <c r="H788" s="25"/>
      <c r="BA788" s="73" t="s">
        <v>355</v>
      </c>
      <c r="BB788" s="48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357</v>
      </c>
      <c r="E789" s="6" t="s">
        <v>345</v>
      </c>
      <c r="F789" s="10">
        <v>9.9499999999999993</v>
      </c>
      <c r="G789" s="23" t="s">
        <v>293</v>
      </c>
      <c r="H789" s="25"/>
      <c r="BA789" s="73" t="s">
        <v>355</v>
      </c>
      <c r="BB789" s="48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357</v>
      </c>
      <c r="E790" s="6" t="s">
        <v>347</v>
      </c>
      <c r="F790" s="10">
        <v>4.47</v>
      </c>
      <c r="G790" s="23" t="s">
        <v>293</v>
      </c>
      <c r="H790" s="25"/>
      <c r="BA790" s="73" t="s">
        <v>355</v>
      </c>
      <c r="BB790" s="48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357</v>
      </c>
      <c r="E791" s="6" t="s">
        <v>128</v>
      </c>
      <c r="F791" s="10">
        <v>4.5</v>
      </c>
      <c r="G791" s="23" t="s">
        <v>293</v>
      </c>
      <c r="H791" s="25"/>
      <c r="BA791" s="73" t="s">
        <v>355</v>
      </c>
      <c r="BB791" s="48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357</v>
      </c>
      <c r="E792" s="6" t="s">
        <v>121</v>
      </c>
      <c r="F792" s="10">
        <v>78</v>
      </c>
      <c r="G792" s="23" t="s">
        <v>293</v>
      </c>
      <c r="H792" s="25"/>
      <c r="BA792" s="73" t="s">
        <v>355</v>
      </c>
      <c r="BB792" s="48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357</v>
      </c>
      <c r="E793" s="6" t="s">
        <v>115</v>
      </c>
      <c r="F793" s="10">
        <v>99</v>
      </c>
      <c r="G793" s="23" t="s">
        <v>293</v>
      </c>
      <c r="H793" s="25"/>
      <c r="BA793" s="73" t="s">
        <v>355</v>
      </c>
      <c r="BB793" s="48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357</v>
      </c>
      <c r="E794" s="6" t="s">
        <v>137</v>
      </c>
      <c r="F794" s="10">
        <v>479</v>
      </c>
      <c r="G794" s="23" t="s">
        <v>293</v>
      </c>
      <c r="H794" s="25"/>
      <c r="BA794" s="73" t="s">
        <v>355</v>
      </c>
      <c r="BB794" s="48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357</v>
      </c>
      <c r="E795" s="6" t="s">
        <v>348</v>
      </c>
      <c r="F795" s="10">
        <v>431</v>
      </c>
      <c r="G795" s="23" t="s">
        <v>293</v>
      </c>
      <c r="H795" s="25"/>
      <c r="BA795" s="73" t="s">
        <v>355</v>
      </c>
      <c r="BB795" s="48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357</v>
      </c>
      <c r="E796" s="6" t="s">
        <v>125</v>
      </c>
      <c r="F796" s="10">
        <v>414</v>
      </c>
      <c r="G796" s="23" t="s">
        <v>293</v>
      </c>
      <c r="H796" s="25"/>
      <c r="BA796" s="73" t="s">
        <v>355</v>
      </c>
      <c r="BB796" s="48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357</v>
      </c>
      <c r="E797" s="6" t="s">
        <v>126</v>
      </c>
      <c r="F797" s="10">
        <v>151</v>
      </c>
      <c r="G797" s="23" t="s">
        <v>293</v>
      </c>
      <c r="H797" s="25"/>
      <c r="BA797" s="73" t="s">
        <v>355</v>
      </c>
      <c r="BB797" s="48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357</v>
      </c>
      <c r="E798" s="6" t="s">
        <v>349</v>
      </c>
      <c r="F798" s="10">
        <v>363</v>
      </c>
      <c r="G798" s="23" t="s">
        <v>293</v>
      </c>
      <c r="H798" s="25"/>
      <c r="BA798" s="73" t="s">
        <v>355</v>
      </c>
      <c r="BB798" s="48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357</v>
      </c>
      <c r="E799" s="6" t="s">
        <v>350</v>
      </c>
      <c r="F799" s="10">
        <v>87</v>
      </c>
      <c r="G799" s="23" t="s">
        <v>293</v>
      </c>
      <c r="H799" s="25"/>
      <c r="BA799" s="73" t="s">
        <v>355</v>
      </c>
      <c r="BB799" s="48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357</v>
      </c>
      <c r="E800" s="6" t="s">
        <v>122</v>
      </c>
      <c r="F800" s="10">
        <v>220</v>
      </c>
      <c r="G800" s="23" t="s">
        <v>293</v>
      </c>
      <c r="H800" s="25"/>
      <c r="BA800" s="73" t="s">
        <v>355</v>
      </c>
      <c r="BB800" s="48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357</v>
      </c>
      <c r="E801" s="6" t="s">
        <v>124</v>
      </c>
      <c r="F801" s="10">
        <v>107</v>
      </c>
      <c r="G801" s="23" t="s">
        <v>293</v>
      </c>
      <c r="H801" s="25"/>
      <c r="BA801" s="73" t="s">
        <v>355</v>
      </c>
      <c r="BB801" s="48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357</v>
      </c>
      <c r="E802" s="6" t="s">
        <v>351</v>
      </c>
      <c r="F802" s="10">
        <v>3.8</v>
      </c>
      <c r="G802" s="23" t="s">
        <v>293</v>
      </c>
      <c r="H802" s="25"/>
      <c r="BA802" s="73" t="s">
        <v>355</v>
      </c>
      <c r="BB802" s="48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357</v>
      </c>
      <c r="E803" s="6" t="s">
        <v>353</v>
      </c>
      <c r="F803" s="10">
        <v>19.399999999999999</v>
      </c>
      <c r="G803" s="23" t="s">
        <v>293</v>
      </c>
      <c r="H803" s="25"/>
      <c r="BA803" s="73" t="s">
        <v>355</v>
      </c>
      <c r="BB803" s="48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357</v>
      </c>
      <c r="E804" s="6" t="s">
        <v>133</v>
      </c>
      <c r="F804" s="10">
        <v>123</v>
      </c>
      <c r="G804" s="23" t="s">
        <v>293</v>
      </c>
      <c r="H804" s="25"/>
      <c r="BA804" s="73" t="s">
        <v>355</v>
      </c>
      <c r="BB804" s="48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357</v>
      </c>
      <c r="E805" s="6" t="s">
        <v>135</v>
      </c>
      <c r="F805" s="10">
        <v>6.2</v>
      </c>
      <c r="G805" s="23" t="s">
        <v>293</v>
      </c>
      <c r="H805" s="25"/>
      <c r="BA805" s="73" t="s">
        <v>355</v>
      </c>
      <c r="BB805" s="48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357</v>
      </c>
      <c r="E806" s="6" t="s">
        <v>136</v>
      </c>
      <c r="F806" s="10">
        <v>97</v>
      </c>
      <c r="G806" s="23" t="s">
        <v>293</v>
      </c>
      <c r="H806" s="25"/>
      <c r="BA806" s="73" t="s">
        <v>355</v>
      </c>
      <c r="BB806" s="48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357</v>
      </c>
      <c r="E807" s="6" t="s">
        <v>339</v>
      </c>
      <c r="F807" s="10">
        <v>1.26</v>
      </c>
      <c r="G807" s="23" t="s">
        <v>293</v>
      </c>
      <c r="H807" s="25"/>
      <c r="BA807" s="73" t="s">
        <v>355</v>
      </c>
      <c r="BB807" s="48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357</v>
      </c>
      <c r="E808" s="6" t="s">
        <v>118</v>
      </c>
      <c r="F808" s="10">
        <v>9.8000000000000007</v>
      </c>
      <c r="G808" s="23" t="s">
        <v>293</v>
      </c>
      <c r="H808" s="25"/>
      <c r="BA808" s="73" t="s">
        <v>355</v>
      </c>
      <c r="BB808" s="48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357</v>
      </c>
      <c r="E809" s="6" t="s">
        <v>130</v>
      </c>
      <c r="F809" s="10">
        <v>2.6179999999999999</v>
      </c>
      <c r="G809" s="23" t="s">
        <v>293</v>
      </c>
      <c r="H809" s="25"/>
      <c r="BA809" s="73" t="s">
        <v>355</v>
      </c>
      <c r="BB809" s="48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357</v>
      </c>
      <c r="E810" s="6" t="s">
        <v>341</v>
      </c>
      <c r="F810" s="10">
        <v>1.1299999999999999</v>
      </c>
      <c r="G810" s="23" t="s">
        <v>293</v>
      </c>
      <c r="H810" s="25"/>
      <c r="BA810" s="73" t="s">
        <v>355</v>
      </c>
      <c r="BB810" s="48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357</v>
      </c>
      <c r="E811" s="6" t="s">
        <v>127</v>
      </c>
      <c r="F811" s="10">
        <v>4.57</v>
      </c>
      <c r="G811" s="23" t="s">
        <v>293</v>
      </c>
      <c r="H811" s="25"/>
      <c r="BA811" s="73" t="s">
        <v>355</v>
      </c>
      <c r="BB811" s="48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357</v>
      </c>
      <c r="E812" s="6" t="s">
        <v>131</v>
      </c>
      <c r="F812" s="10">
        <v>12</v>
      </c>
      <c r="G812" s="23" t="s">
        <v>293</v>
      </c>
      <c r="H812" s="25"/>
      <c r="BA812" s="73" t="s">
        <v>355</v>
      </c>
      <c r="BB812" s="48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357</v>
      </c>
      <c r="E813" s="6" t="s">
        <v>342</v>
      </c>
      <c r="F813" s="10">
        <v>197</v>
      </c>
      <c r="G813" s="23" t="s">
        <v>293</v>
      </c>
      <c r="H813" s="25"/>
      <c r="BA813" s="73" t="s">
        <v>355</v>
      </c>
      <c r="BB813" s="48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357</v>
      </c>
      <c r="E814" s="6" t="s">
        <v>119</v>
      </c>
      <c r="F814" s="10">
        <v>88</v>
      </c>
      <c r="G814" s="23" t="s">
        <v>293</v>
      </c>
      <c r="H814" s="25"/>
      <c r="BA814" s="73" t="s">
        <v>355</v>
      </c>
      <c r="BB814" s="48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357</v>
      </c>
      <c r="E815" s="6" t="s">
        <v>120</v>
      </c>
      <c r="F815" s="10">
        <v>27</v>
      </c>
      <c r="G815" s="23" t="s">
        <v>293</v>
      </c>
      <c r="H815" s="25"/>
      <c r="BA815" s="73" t="s">
        <v>355</v>
      </c>
      <c r="BB815" s="48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357</v>
      </c>
      <c r="E816" s="6" t="s">
        <v>117</v>
      </c>
      <c r="F816" s="10">
        <v>6.11</v>
      </c>
      <c r="G816" s="23" t="s">
        <v>293</v>
      </c>
      <c r="H816" s="25"/>
      <c r="BA816" s="73" t="s">
        <v>355</v>
      </c>
      <c r="BB816" s="48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357</v>
      </c>
      <c r="E817" s="6" t="s">
        <v>344</v>
      </c>
      <c r="F817" s="10">
        <v>66</v>
      </c>
      <c r="G817" s="23" t="s">
        <v>293</v>
      </c>
      <c r="H817" s="25"/>
      <c r="BA817" s="73" t="s">
        <v>355</v>
      </c>
      <c r="BB817" s="48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357</v>
      </c>
      <c r="E818" s="6" t="s">
        <v>132</v>
      </c>
      <c r="F818" s="10">
        <v>7.2</v>
      </c>
      <c r="G818" s="23" t="s">
        <v>293</v>
      </c>
      <c r="H818" s="25"/>
      <c r="BA818" s="73" t="s">
        <v>355</v>
      </c>
      <c r="BB818" s="48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357</v>
      </c>
      <c r="E819" s="6" t="s">
        <v>111</v>
      </c>
      <c r="F819" s="10">
        <v>277</v>
      </c>
      <c r="G819" s="23" t="s">
        <v>293</v>
      </c>
      <c r="H819" s="25"/>
      <c r="BA819" s="73" t="s">
        <v>355</v>
      </c>
      <c r="BB819" s="48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357</v>
      </c>
      <c r="E820" s="6" t="s">
        <v>345</v>
      </c>
      <c r="F820" s="10">
        <v>9.86</v>
      </c>
      <c r="G820" s="23" t="s">
        <v>293</v>
      </c>
      <c r="H820" s="25"/>
      <c r="BA820" s="73" t="s">
        <v>355</v>
      </c>
      <c r="BB820" s="48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357</v>
      </c>
      <c r="E821" s="6" t="s">
        <v>347</v>
      </c>
      <c r="F821" s="10">
        <v>4.5599999999999996</v>
      </c>
      <c r="G821" s="23" t="s">
        <v>293</v>
      </c>
      <c r="H821" s="25"/>
      <c r="BA821" s="73" t="s">
        <v>355</v>
      </c>
      <c r="BB821" s="48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357</v>
      </c>
      <c r="E822" s="6" t="s">
        <v>128</v>
      </c>
      <c r="F822" s="10">
        <v>4.5</v>
      </c>
      <c r="G822" s="23" t="s">
        <v>293</v>
      </c>
      <c r="H822" s="25"/>
      <c r="BA822" s="73" t="s">
        <v>355</v>
      </c>
      <c r="BB822" s="48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357</v>
      </c>
      <c r="E823" s="6" t="s">
        <v>121</v>
      </c>
      <c r="F823" s="10">
        <v>79</v>
      </c>
      <c r="G823" s="23" t="s">
        <v>293</v>
      </c>
      <c r="H823" s="25"/>
      <c r="BA823" s="73" t="s">
        <v>355</v>
      </c>
      <c r="BB823" s="48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357</v>
      </c>
      <c r="E824" s="6" t="s">
        <v>115</v>
      </c>
      <c r="F824" s="10">
        <v>101</v>
      </c>
      <c r="G824" s="23" t="s">
        <v>293</v>
      </c>
      <c r="H824" s="25"/>
      <c r="BA824" s="73" t="s">
        <v>355</v>
      </c>
      <c r="BB824" s="48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357</v>
      </c>
      <c r="E825" s="6" t="s">
        <v>137</v>
      </c>
      <c r="F825" s="10">
        <v>483</v>
      </c>
      <c r="G825" s="23" t="s">
        <v>293</v>
      </c>
      <c r="H825" s="25"/>
      <c r="BA825" s="73" t="s">
        <v>355</v>
      </c>
      <c r="BB825" s="48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357</v>
      </c>
      <c r="E826" s="6" t="s">
        <v>348</v>
      </c>
      <c r="F826" s="10">
        <v>434</v>
      </c>
      <c r="G826" s="23" t="s">
        <v>293</v>
      </c>
      <c r="H826" s="25"/>
      <c r="BA826" s="73" t="s">
        <v>355</v>
      </c>
      <c r="BB826" s="48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357</v>
      </c>
      <c r="E827" s="6" t="s">
        <v>125</v>
      </c>
      <c r="F827" s="10">
        <v>428</v>
      </c>
      <c r="G827" s="23" t="s">
        <v>293</v>
      </c>
      <c r="H827" s="25"/>
      <c r="BA827" s="73" t="s">
        <v>355</v>
      </c>
      <c r="BB827" s="48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357</v>
      </c>
      <c r="E828" s="6" t="s">
        <v>126</v>
      </c>
      <c r="F828" s="10">
        <v>150</v>
      </c>
      <c r="G828" s="23" t="s">
        <v>293</v>
      </c>
      <c r="H828" s="25"/>
      <c r="BA828" s="73" t="s">
        <v>355</v>
      </c>
      <c r="BB828" s="48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357</v>
      </c>
      <c r="E829" s="6" t="s">
        <v>349</v>
      </c>
      <c r="F829" s="10">
        <v>369</v>
      </c>
      <c r="G829" s="23" t="s">
        <v>293</v>
      </c>
      <c r="H829" s="25"/>
      <c r="BA829" s="73" t="s">
        <v>355</v>
      </c>
      <c r="BB829" s="48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357</v>
      </c>
      <c r="E830" s="6" t="s">
        <v>350</v>
      </c>
      <c r="F830" s="10">
        <v>83</v>
      </c>
      <c r="G830" s="23" t="s">
        <v>293</v>
      </c>
      <c r="H830" s="25"/>
      <c r="BA830" s="73" t="s">
        <v>355</v>
      </c>
      <c r="BB830" s="48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357</v>
      </c>
      <c r="E831" s="6" t="s">
        <v>122</v>
      </c>
      <c r="F831" s="10">
        <v>223</v>
      </c>
      <c r="G831" s="23" t="s">
        <v>293</v>
      </c>
      <c r="H831" s="25"/>
      <c r="BA831" s="73" t="s">
        <v>355</v>
      </c>
      <c r="BB831" s="48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357</v>
      </c>
      <c r="E832" s="6" t="s">
        <v>124</v>
      </c>
      <c r="F832" s="10">
        <v>107</v>
      </c>
      <c r="G832" s="23" t="s">
        <v>293</v>
      </c>
      <c r="H832" s="25"/>
      <c r="BA832" s="73" t="s">
        <v>355</v>
      </c>
      <c r="BB832" s="48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357</v>
      </c>
      <c r="E833" s="6" t="s">
        <v>351</v>
      </c>
      <c r="F833" s="10">
        <v>3.84</v>
      </c>
      <c r="G833" s="23" t="s">
        <v>293</v>
      </c>
      <c r="H833" s="25"/>
      <c r="BA833" s="73" t="s">
        <v>355</v>
      </c>
      <c r="BB833" s="48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357</v>
      </c>
      <c r="E834" s="6" t="s">
        <v>353</v>
      </c>
      <c r="F834" s="10">
        <v>16.2</v>
      </c>
      <c r="G834" s="23" t="s">
        <v>293</v>
      </c>
      <c r="H834" s="25"/>
      <c r="BA834" s="73" t="s">
        <v>355</v>
      </c>
      <c r="BB834" s="48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357</v>
      </c>
      <c r="E835" s="6" t="s">
        <v>133</v>
      </c>
      <c r="F835" s="10">
        <v>121</v>
      </c>
      <c r="G835" s="23" t="s">
        <v>293</v>
      </c>
      <c r="H835" s="25"/>
      <c r="BA835" s="73" t="s">
        <v>355</v>
      </c>
      <c r="BB835" s="48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357</v>
      </c>
      <c r="E836" s="6" t="s">
        <v>135</v>
      </c>
      <c r="F836" s="10">
        <v>6.3</v>
      </c>
      <c r="G836" s="23" t="s">
        <v>293</v>
      </c>
      <c r="H836" s="25"/>
      <c r="BA836" s="73" t="s">
        <v>355</v>
      </c>
      <c r="BB836" s="48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357</v>
      </c>
      <c r="E837" s="6" t="s">
        <v>136</v>
      </c>
      <c r="F837" s="10">
        <v>96</v>
      </c>
      <c r="G837" s="23" t="s">
        <v>293</v>
      </c>
      <c r="H837" s="25"/>
      <c r="BA837" s="73" t="s">
        <v>355</v>
      </c>
      <c r="BB837" s="48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357</v>
      </c>
      <c r="E838" s="6" t="s">
        <v>339</v>
      </c>
      <c r="F838" s="10">
        <v>1.1499999999999999</v>
      </c>
      <c r="G838" s="23" t="s">
        <v>293</v>
      </c>
      <c r="H838" s="25"/>
      <c r="BA838" s="73" t="s">
        <v>355</v>
      </c>
      <c r="BB838" s="48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357</v>
      </c>
      <c r="E839" s="6" t="s">
        <v>118</v>
      </c>
      <c r="F839" s="10">
        <v>9.5</v>
      </c>
      <c r="G839" s="23" t="s">
        <v>293</v>
      </c>
      <c r="H839" s="25"/>
      <c r="BA839" s="73" t="s">
        <v>355</v>
      </c>
      <c r="BB839" s="48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357</v>
      </c>
      <c r="E840" s="6" t="s">
        <v>130</v>
      </c>
      <c r="F840" s="10">
        <v>2.5139999999999998</v>
      </c>
      <c r="G840" s="23" t="s">
        <v>293</v>
      </c>
      <c r="H840" s="25"/>
      <c r="BA840" s="73" t="s">
        <v>355</v>
      </c>
      <c r="BB840" s="48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357</v>
      </c>
      <c r="E841" s="6" t="s">
        <v>341</v>
      </c>
      <c r="F841" s="10">
        <v>1.0960000000000001</v>
      </c>
      <c r="G841" s="23" t="s">
        <v>293</v>
      </c>
      <c r="H841" s="25"/>
      <c r="BA841" s="73" t="s">
        <v>355</v>
      </c>
      <c r="BB841" s="48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357</v>
      </c>
      <c r="E842" s="6" t="s">
        <v>127</v>
      </c>
      <c r="F842" s="10">
        <v>4.4279999999999999</v>
      </c>
      <c r="G842" s="23" t="s">
        <v>293</v>
      </c>
      <c r="H842" s="25"/>
      <c r="BA842" s="73" t="s">
        <v>355</v>
      </c>
      <c r="BB842" s="48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357</v>
      </c>
      <c r="E843" s="6" t="s">
        <v>131</v>
      </c>
      <c r="F843" s="10">
        <v>12</v>
      </c>
      <c r="G843" s="23" t="s">
        <v>293</v>
      </c>
      <c r="H843" s="25"/>
      <c r="BA843" s="73" t="s">
        <v>355</v>
      </c>
      <c r="BB843" s="48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357</v>
      </c>
      <c r="E844" s="6" t="s">
        <v>342</v>
      </c>
      <c r="F844" s="10">
        <v>194</v>
      </c>
      <c r="G844" s="23" t="s">
        <v>293</v>
      </c>
      <c r="H844" s="25"/>
      <c r="BA844" s="73" t="s">
        <v>355</v>
      </c>
      <c r="BB844" s="48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357</v>
      </c>
      <c r="E845" s="6" t="s">
        <v>119</v>
      </c>
      <c r="F845" s="10">
        <v>84</v>
      </c>
      <c r="G845" s="23" t="s">
        <v>293</v>
      </c>
      <c r="H845" s="25"/>
      <c r="BA845" s="73" t="s">
        <v>355</v>
      </c>
      <c r="BB845" s="48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357</v>
      </c>
      <c r="E846" s="6" t="s">
        <v>120</v>
      </c>
      <c r="F846" s="10">
        <v>26</v>
      </c>
      <c r="G846" s="23" t="s">
        <v>293</v>
      </c>
      <c r="H846" s="25"/>
      <c r="BA846" s="73" t="s">
        <v>355</v>
      </c>
      <c r="BB846" s="48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357</v>
      </c>
      <c r="E847" s="6" t="s">
        <v>117</v>
      </c>
      <c r="F847" s="10">
        <v>6.09</v>
      </c>
      <c r="G847" s="23" t="s">
        <v>293</v>
      </c>
      <c r="H847" s="25"/>
      <c r="BA847" s="73" t="s">
        <v>355</v>
      </c>
      <c r="BB847" s="48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357</v>
      </c>
      <c r="E848" s="6" t="s">
        <v>344</v>
      </c>
      <c r="F848" s="10">
        <v>68</v>
      </c>
      <c r="G848" s="23" t="s">
        <v>293</v>
      </c>
      <c r="H848" s="25"/>
      <c r="BA848" s="73" t="s">
        <v>355</v>
      </c>
      <c r="BB848" s="48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357</v>
      </c>
      <c r="E849" s="6" t="s">
        <v>132</v>
      </c>
      <c r="F849" s="10">
        <v>7.33</v>
      </c>
      <c r="G849" s="23" t="s">
        <v>293</v>
      </c>
      <c r="H849" s="25"/>
      <c r="BA849" s="73" t="s">
        <v>355</v>
      </c>
      <c r="BB849" s="48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357</v>
      </c>
      <c r="E850" s="6" t="s">
        <v>111</v>
      </c>
      <c r="F850" s="10">
        <v>276</v>
      </c>
      <c r="G850" s="23" t="s">
        <v>293</v>
      </c>
      <c r="H850" s="25"/>
      <c r="BA850" s="73" t="s">
        <v>355</v>
      </c>
      <c r="BB850" s="48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357</v>
      </c>
      <c r="E851" s="6" t="s">
        <v>345</v>
      </c>
      <c r="F851" s="10">
        <v>9.7799999999999994</v>
      </c>
      <c r="G851" s="23" t="s">
        <v>293</v>
      </c>
      <c r="H851" s="25"/>
      <c r="BA851" s="73" t="s">
        <v>355</v>
      </c>
      <c r="BB851" s="48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357</v>
      </c>
      <c r="E852" s="6" t="s">
        <v>347</v>
      </c>
      <c r="F852" s="10">
        <v>4.5</v>
      </c>
      <c r="G852" s="23" t="s">
        <v>293</v>
      </c>
      <c r="H852" s="25"/>
      <c r="BA852" s="73" t="s">
        <v>355</v>
      </c>
      <c r="BB852" s="48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357</v>
      </c>
      <c r="E853" s="6" t="s">
        <v>128</v>
      </c>
      <c r="F853" s="10">
        <v>4.5</v>
      </c>
      <c r="G853" s="23" t="s">
        <v>293</v>
      </c>
      <c r="H853" s="25"/>
      <c r="BA853" s="73" t="s">
        <v>355</v>
      </c>
      <c r="BB853" s="48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357</v>
      </c>
      <c r="E854" s="6" t="s">
        <v>121</v>
      </c>
      <c r="F854" s="10">
        <v>80</v>
      </c>
      <c r="G854" s="23" t="s">
        <v>293</v>
      </c>
      <c r="H854" s="25"/>
      <c r="BA854" s="73" t="s">
        <v>355</v>
      </c>
      <c r="BB854" s="48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357</v>
      </c>
      <c r="E855" s="6" t="s">
        <v>115</v>
      </c>
      <c r="F855" s="10">
        <v>98</v>
      </c>
      <c r="G855" s="23" t="s">
        <v>293</v>
      </c>
      <c r="H855" s="25"/>
      <c r="BA855" s="73" t="s">
        <v>355</v>
      </c>
      <c r="BB855" s="48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357</v>
      </c>
      <c r="E856" s="6" t="s">
        <v>137</v>
      </c>
      <c r="F856" s="10">
        <v>481</v>
      </c>
      <c r="G856" s="23" t="s">
        <v>293</v>
      </c>
      <c r="H856" s="25"/>
      <c r="BA856" s="73" t="s">
        <v>355</v>
      </c>
      <c r="BB856" s="48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357</v>
      </c>
      <c r="E857" s="6" t="s">
        <v>348</v>
      </c>
      <c r="F857" s="10">
        <v>430</v>
      </c>
      <c r="G857" s="23" t="s">
        <v>293</v>
      </c>
      <c r="H857" s="25"/>
      <c r="BA857" s="73" t="s">
        <v>355</v>
      </c>
      <c r="BB857" s="48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357</v>
      </c>
      <c r="E858" s="6" t="s">
        <v>125</v>
      </c>
      <c r="F858" s="10">
        <v>410</v>
      </c>
      <c r="G858" s="23" t="s">
        <v>293</v>
      </c>
      <c r="H858" s="25"/>
      <c r="BA858" s="73" t="s">
        <v>355</v>
      </c>
      <c r="BB858" s="48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357</v>
      </c>
      <c r="E859" s="6" t="s">
        <v>126</v>
      </c>
      <c r="F859" s="10">
        <v>151</v>
      </c>
      <c r="G859" s="23" t="s">
        <v>293</v>
      </c>
      <c r="H859" s="25"/>
      <c r="BA859" s="73" t="s">
        <v>355</v>
      </c>
      <c r="BB859" s="48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357</v>
      </c>
      <c r="E860" s="6" t="s">
        <v>349</v>
      </c>
      <c r="F860" s="10">
        <v>383</v>
      </c>
      <c r="G860" s="23" t="s">
        <v>293</v>
      </c>
      <c r="H860" s="25"/>
      <c r="BA860" s="73" t="s">
        <v>355</v>
      </c>
      <c r="BB860" s="48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357</v>
      </c>
      <c r="E861" s="6" t="s">
        <v>350</v>
      </c>
      <c r="F861" s="10">
        <v>85</v>
      </c>
      <c r="G861" s="23" t="s">
        <v>293</v>
      </c>
      <c r="H861" s="25"/>
      <c r="BA861" s="73" t="s">
        <v>355</v>
      </c>
      <c r="BB861" s="48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357</v>
      </c>
      <c r="E862" s="6" t="s">
        <v>122</v>
      </c>
      <c r="F862" s="10">
        <v>220</v>
      </c>
      <c r="G862" s="23" t="s">
        <v>293</v>
      </c>
      <c r="H862" s="25"/>
      <c r="BA862" s="73" t="s">
        <v>355</v>
      </c>
      <c r="BB862" s="48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357</v>
      </c>
      <c r="E863" s="6" t="s">
        <v>124</v>
      </c>
      <c r="F863" s="10">
        <v>107</v>
      </c>
      <c r="G863" s="23" t="s">
        <v>293</v>
      </c>
      <c r="H863" s="25"/>
      <c r="BA863" s="73" t="s">
        <v>355</v>
      </c>
      <c r="BB863" s="48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357</v>
      </c>
      <c r="E864" s="6" t="s">
        <v>351</v>
      </c>
      <c r="F864" s="10">
        <v>3.64</v>
      </c>
      <c r="G864" s="23" t="s">
        <v>293</v>
      </c>
      <c r="H864" s="25"/>
      <c r="BA864" s="73" t="s">
        <v>355</v>
      </c>
      <c r="BB864" s="48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357</v>
      </c>
      <c r="E865" s="6" t="s">
        <v>353</v>
      </c>
      <c r="F865" s="10">
        <v>17.2</v>
      </c>
      <c r="G865" s="23" t="s">
        <v>293</v>
      </c>
      <c r="H865" s="25"/>
      <c r="BA865" s="73" t="s">
        <v>355</v>
      </c>
      <c r="BB865" s="48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357</v>
      </c>
      <c r="E866" s="6" t="s">
        <v>133</v>
      </c>
      <c r="F866" s="10">
        <v>122</v>
      </c>
      <c r="G866" s="23" t="s">
        <v>293</v>
      </c>
      <c r="H866" s="25"/>
      <c r="BA866" s="73" t="s">
        <v>355</v>
      </c>
      <c r="BB866" s="48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357</v>
      </c>
      <c r="E867" s="6" t="s">
        <v>135</v>
      </c>
      <c r="F867" s="10">
        <v>6.2</v>
      </c>
      <c r="G867" s="23" t="s">
        <v>293</v>
      </c>
      <c r="H867" s="25"/>
      <c r="BA867" s="73" t="s">
        <v>355</v>
      </c>
      <c r="BB867" s="48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357</v>
      </c>
      <c r="E868" s="6" t="s">
        <v>136</v>
      </c>
      <c r="F868" s="10">
        <v>94</v>
      </c>
      <c r="G868" s="23" t="s">
        <v>293</v>
      </c>
      <c r="H868" s="25"/>
      <c r="BA868" s="73" t="s">
        <v>355</v>
      </c>
      <c r="BB868" s="48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357</v>
      </c>
      <c r="E869" s="6" t="s">
        <v>339</v>
      </c>
      <c r="F869" s="10">
        <v>1.26</v>
      </c>
      <c r="G869" s="23" t="s">
        <v>293</v>
      </c>
      <c r="H869" s="25"/>
      <c r="BA869" s="73" t="s">
        <v>355</v>
      </c>
      <c r="BB869" s="48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357</v>
      </c>
      <c r="E870" s="6" t="s">
        <v>118</v>
      </c>
      <c r="F870" s="10">
        <v>9.6</v>
      </c>
      <c r="G870" s="23" t="s">
        <v>293</v>
      </c>
      <c r="H870" s="25"/>
      <c r="BA870" s="73" t="s">
        <v>355</v>
      </c>
      <c r="BB870" s="48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357</v>
      </c>
      <c r="E871" s="6" t="s">
        <v>130</v>
      </c>
      <c r="F871" s="10">
        <v>2.5219999999999998</v>
      </c>
      <c r="G871" s="23" t="s">
        <v>293</v>
      </c>
      <c r="H871" s="25"/>
      <c r="BA871" s="73" t="s">
        <v>355</v>
      </c>
      <c r="BB871" s="48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357</v>
      </c>
      <c r="E872" s="6" t="s">
        <v>341</v>
      </c>
      <c r="F872" s="10">
        <v>1.0549999999999999</v>
      </c>
      <c r="G872" s="23" t="s">
        <v>293</v>
      </c>
      <c r="H872" s="25"/>
      <c r="BA872" s="73" t="s">
        <v>355</v>
      </c>
      <c r="BB872" s="48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357</v>
      </c>
      <c r="E873" s="6" t="s">
        <v>127</v>
      </c>
      <c r="F873" s="10">
        <v>4.4130000000000003</v>
      </c>
      <c r="G873" s="23" t="s">
        <v>293</v>
      </c>
      <c r="H873" s="25"/>
      <c r="BA873" s="73" t="s">
        <v>355</v>
      </c>
      <c r="BB873" s="48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357</v>
      </c>
      <c r="E874" s="6" t="s">
        <v>131</v>
      </c>
      <c r="F874" s="10">
        <v>12.2</v>
      </c>
      <c r="G874" s="23" t="s">
        <v>293</v>
      </c>
      <c r="H874" s="25"/>
      <c r="BA874" s="73" t="s">
        <v>355</v>
      </c>
      <c r="BB874" s="48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357</v>
      </c>
      <c r="E875" s="6" t="s">
        <v>342</v>
      </c>
      <c r="F875" s="10">
        <v>207</v>
      </c>
      <c r="G875" s="23" t="s">
        <v>293</v>
      </c>
      <c r="H875" s="25"/>
      <c r="BA875" s="73" t="s">
        <v>355</v>
      </c>
      <c r="BB875" s="48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357</v>
      </c>
      <c r="E876" s="6" t="s">
        <v>119</v>
      </c>
      <c r="F876" s="10">
        <v>81</v>
      </c>
      <c r="G876" s="23" t="s">
        <v>293</v>
      </c>
      <c r="H876" s="25"/>
      <c r="BA876" s="73" t="s">
        <v>355</v>
      </c>
      <c r="BB876" s="48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357</v>
      </c>
      <c r="E877" s="6" t="s">
        <v>120</v>
      </c>
      <c r="F877" s="10">
        <v>27</v>
      </c>
      <c r="G877" s="23" t="s">
        <v>293</v>
      </c>
      <c r="H877" s="25"/>
      <c r="BA877" s="73" t="s">
        <v>355</v>
      </c>
      <c r="BB877" s="48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357</v>
      </c>
      <c r="E878" s="6" t="s">
        <v>117</v>
      </c>
      <c r="F878" s="10">
        <v>6.41</v>
      </c>
      <c r="G878" s="23" t="s">
        <v>293</v>
      </c>
      <c r="H878" s="25"/>
      <c r="BA878" s="73" t="s">
        <v>355</v>
      </c>
      <c r="BB878" s="48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357</v>
      </c>
      <c r="E879" s="6" t="s">
        <v>344</v>
      </c>
      <c r="F879" s="10">
        <v>66</v>
      </c>
      <c r="G879" s="23" t="s">
        <v>293</v>
      </c>
      <c r="H879" s="25"/>
      <c r="BA879" s="73" t="s">
        <v>355</v>
      </c>
      <c r="BB879" s="48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357</v>
      </c>
      <c r="E880" s="6" t="s">
        <v>132</v>
      </c>
      <c r="F880" s="10">
        <v>7.2</v>
      </c>
      <c r="G880" s="23" t="s">
        <v>293</v>
      </c>
      <c r="H880" s="25"/>
      <c r="BA880" s="73" t="s">
        <v>355</v>
      </c>
      <c r="BB880" s="48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357</v>
      </c>
      <c r="E881" s="6" t="s">
        <v>111</v>
      </c>
      <c r="F881" s="10">
        <v>287</v>
      </c>
      <c r="G881" s="23" t="s">
        <v>293</v>
      </c>
      <c r="H881" s="25"/>
      <c r="BA881" s="73" t="s">
        <v>355</v>
      </c>
      <c r="BB881" s="48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357</v>
      </c>
      <c r="E882" s="6" t="s">
        <v>345</v>
      </c>
      <c r="F882" s="10">
        <v>9.98</v>
      </c>
      <c r="G882" s="23" t="s">
        <v>293</v>
      </c>
      <c r="H882" s="25"/>
      <c r="BA882" s="73" t="s">
        <v>355</v>
      </c>
      <c r="BB882" s="48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357</v>
      </c>
      <c r="E883" s="6" t="s">
        <v>347</v>
      </c>
      <c r="F883" s="10">
        <v>4.74</v>
      </c>
      <c r="G883" s="23" t="s">
        <v>293</v>
      </c>
      <c r="H883" s="25"/>
      <c r="BA883" s="73" t="s">
        <v>355</v>
      </c>
      <c r="BB883" s="48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357</v>
      </c>
      <c r="E884" s="6" t="s">
        <v>128</v>
      </c>
      <c r="F884" s="10">
        <v>4.5</v>
      </c>
      <c r="G884" s="23" t="s">
        <v>293</v>
      </c>
      <c r="H884" s="25"/>
      <c r="BA884" s="73" t="s">
        <v>355</v>
      </c>
      <c r="BB884" s="48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357</v>
      </c>
      <c r="E885" s="6" t="s">
        <v>121</v>
      </c>
      <c r="F885" s="10">
        <v>82</v>
      </c>
      <c r="G885" s="23" t="s">
        <v>293</v>
      </c>
      <c r="H885" s="25"/>
      <c r="BA885" s="73" t="s">
        <v>355</v>
      </c>
      <c r="BB885" s="48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357</v>
      </c>
      <c r="E886" s="6" t="s">
        <v>115</v>
      </c>
      <c r="F886" s="10">
        <v>96</v>
      </c>
      <c r="G886" s="23" t="s">
        <v>293</v>
      </c>
      <c r="H886" s="25"/>
      <c r="BA886" s="73" t="s">
        <v>355</v>
      </c>
      <c r="BB886" s="48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357</v>
      </c>
      <c r="E887" s="6" t="s">
        <v>137</v>
      </c>
      <c r="F887" s="10">
        <v>484</v>
      </c>
      <c r="G887" s="23" t="s">
        <v>293</v>
      </c>
      <c r="H887" s="25"/>
      <c r="BA887" s="73" t="s">
        <v>355</v>
      </c>
      <c r="BB887" s="48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357</v>
      </c>
      <c r="E888" s="6" t="s">
        <v>348</v>
      </c>
      <c r="F888" s="10">
        <v>432</v>
      </c>
      <c r="G888" s="23" t="s">
        <v>293</v>
      </c>
      <c r="H888" s="25"/>
      <c r="BA888" s="73" t="s">
        <v>355</v>
      </c>
      <c r="BB888" s="48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357</v>
      </c>
      <c r="E889" s="6" t="s">
        <v>125</v>
      </c>
      <c r="F889" s="10">
        <v>433</v>
      </c>
      <c r="G889" s="23" t="s">
        <v>293</v>
      </c>
      <c r="H889" s="25"/>
      <c r="BA889" s="73" t="s">
        <v>355</v>
      </c>
      <c r="BB889" s="48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357</v>
      </c>
      <c r="E890" s="6" t="s">
        <v>126</v>
      </c>
      <c r="F890" s="10">
        <v>152</v>
      </c>
      <c r="G890" s="23" t="s">
        <v>293</v>
      </c>
      <c r="H890" s="25"/>
      <c r="BA890" s="73" t="s">
        <v>355</v>
      </c>
      <c r="BB890" s="48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357</v>
      </c>
      <c r="E891" s="6" t="s">
        <v>349</v>
      </c>
      <c r="F891" s="10">
        <v>383</v>
      </c>
      <c r="G891" s="23" t="s">
        <v>293</v>
      </c>
      <c r="H891" s="25"/>
      <c r="BA891" s="73" t="s">
        <v>355</v>
      </c>
      <c r="BB891" s="48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357</v>
      </c>
      <c r="E892" s="6" t="s">
        <v>350</v>
      </c>
      <c r="F892" s="10">
        <v>83</v>
      </c>
      <c r="G892" s="23" t="s">
        <v>293</v>
      </c>
      <c r="H892" s="25"/>
      <c r="BA892" s="73" t="s">
        <v>355</v>
      </c>
      <c r="BB892" s="48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357</v>
      </c>
      <c r="E893" s="6" t="s">
        <v>122</v>
      </c>
      <c r="F893" s="10">
        <v>221</v>
      </c>
      <c r="G893" s="23" t="s">
        <v>293</v>
      </c>
      <c r="H893" s="25"/>
      <c r="BA893" s="73" t="s">
        <v>355</v>
      </c>
      <c r="BB893" s="48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357</v>
      </c>
      <c r="E894" s="6" t="s">
        <v>124</v>
      </c>
      <c r="F894" s="10">
        <v>101</v>
      </c>
      <c r="G894" s="23" t="s">
        <v>293</v>
      </c>
      <c r="H894" s="25"/>
      <c r="BA894" s="73" t="s">
        <v>355</v>
      </c>
      <c r="BB894" s="48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357</v>
      </c>
      <c r="E895" s="6" t="s">
        <v>351</v>
      </c>
      <c r="F895" s="10">
        <v>3.67</v>
      </c>
      <c r="G895" s="23" t="s">
        <v>293</v>
      </c>
      <c r="H895" s="25"/>
      <c r="BA895" s="73" t="s">
        <v>355</v>
      </c>
      <c r="BB895" s="48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357</v>
      </c>
      <c r="E896" s="6" t="s">
        <v>353</v>
      </c>
      <c r="F896" s="10">
        <v>15.9</v>
      </c>
      <c r="G896" s="23" t="s">
        <v>293</v>
      </c>
      <c r="H896" s="25"/>
      <c r="BA896" s="73" t="s">
        <v>355</v>
      </c>
      <c r="BB896" s="48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357</v>
      </c>
      <c r="E897" s="6" t="s">
        <v>339</v>
      </c>
      <c r="F897" s="10">
        <v>1.27</v>
      </c>
      <c r="G897" s="23" t="s">
        <v>293</v>
      </c>
      <c r="H897" s="25"/>
      <c r="BA897" s="73" t="s">
        <v>355</v>
      </c>
      <c r="BB897" s="48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357</v>
      </c>
      <c r="E898" s="6" t="s">
        <v>118</v>
      </c>
      <c r="F898" s="10">
        <v>9.6999999999999993</v>
      </c>
      <c r="G898" s="23" t="s">
        <v>293</v>
      </c>
      <c r="H898" s="25"/>
      <c r="BA898" s="73" t="s">
        <v>355</v>
      </c>
      <c r="BB898" s="48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357</v>
      </c>
      <c r="E899" s="6" t="s">
        <v>130</v>
      </c>
      <c r="F899" s="10">
        <v>2.5459999999999998</v>
      </c>
      <c r="G899" s="23" t="s">
        <v>293</v>
      </c>
      <c r="H899" s="25"/>
      <c r="BA899" s="73" t="s">
        <v>355</v>
      </c>
      <c r="BB899" s="48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357</v>
      </c>
      <c r="E900" s="6" t="s">
        <v>341</v>
      </c>
      <c r="F900" s="10">
        <v>1.1100000000000001</v>
      </c>
      <c r="G900" s="23" t="s">
        <v>293</v>
      </c>
      <c r="H900" s="25"/>
      <c r="BA900" s="73" t="s">
        <v>355</v>
      </c>
      <c r="BB900" s="48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357</v>
      </c>
      <c r="E901" s="6" t="s">
        <v>127</v>
      </c>
      <c r="F901" s="10">
        <v>4.5490000000000004</v>
      </c>
      <c r="G901" s="23" t="s">
        <v>293</v>
      </c>
      <c r="H901" s="25"/>
      <c r="BA901" s="73" t="s">
        <v>355</v>
      </c>
      <c r="BB901" s="48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357</v>
      </c>
      <c r="E902" s="6" t="s">
        <v>131</v>
      </c>
      <c r="F902" s="10">
        <v>11.6</v>
      </c>
      <c r="G902" s="23" t="s">
        <v>293</v>
      </c>
      <c r="H902" s="25"/>
      <c r="BA902" s="73" t="s">
        <v>355</v>
      </c>
      <c r="BB902" s="48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357</v>
      </c>
      <c r="E903" s="6" t="s">
        <v>342</v>
      </c>
      <c r="F903" s="10">
        <v>202</v>
      </c>
      <c r="G903" s="23" t="s">
        <v>293</v>
      </c>
      <c r="H903" s="25"/>
      <c r="BA903" s="73" t="s">
        <v>355</v>
      </c>
      <c r="BB903" s="48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357</v>
      </c>
      <c r="E904" s="6" t="s">
        <v>119</v>
      </c>
      <c r="F904" s="10">
        <v>86</v>
      </c>
      <c r="G904" s="23" t="s">
        <v>293</v>
      </c>
      <c r="H904" s="25"/>
      <c r="BA904" s="73" t="s">
        <v>355</v>
      </c>
      <c r="BB904" s="48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357</v>
      </c>
      <c r="E905" s="6" t="s">
        <v>120</v>
      </c>
      <c r="F905" s="10">
        <v>26</v>
      </c>
      <c r="G905" s="23" t="s">
        <v>293</v>
      </c>
      <c r="H905" s="25"/>
      <c r="BA905" s="73" t="s">
        <v>355</v>
      </c>
      <c r="BB905" s="48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357</v>
      </c>
      <c r="E906" s="6" t="s">
        <v>117</v>
      </c>
      <c r="F906" s="10">
        <v>6.16</v>
      </c>
      <c r="G906" s="23" t="s">
        <v>293</v>
      </c>
      <c r="H906" s="25"/>
      <c r="BA906" s="73" t="s">
        <v>355</v>
      </c>
      <c r="BB906" s="48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357</v>
      </c>
      <c r="E907" s="6" t="s">
        <v>344</v>
      </c>
      <c r="F907" s="10">
        <v>66</v>
      </c>
      <c r="G907" s="23" t="s">
        <v>293</v>
      </c>
      <c r="H907" s="25"/>
      <c r="BA907" s="73" t="s">
        <v>355</v>
      </c>
      <c r="BB907" s="48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357</v>
      </c>
      <c r="E908" s="6" t="s">
        <v>132</v>
      </c>
      <c r="F908" s="10">
        <v>7.36</v>
      </c>
      <c r="G908" s="23" t="s">
        <v>293</v>
      </c>
      <c r="H908" s="25"/>
      <c r="BA908" s="73" t="s">
        <v>355</v>
      </c>
      <c r="BB908" s="48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357</v>
      </c>
      <c r="E909" s="6" t="s">
        <v>111</v>
      </c>
      <c r="F909" s="10">
        <v>277</v>
      </c>
      <c r="G909" s="23" t="s">
        <v>293</v>
      </c>
      <c r="H909" s="25"/>
      <c r="BA909" s="73" t="s">
        <v>355</v>
      </c>
      <c r="BB909" s="48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357</v>
      </c>
      <c r="E910" s="6" t="s">
        <v>345</v>
      </c>
      <c r="F910" s="10">
        <v>9.77</v>
      </c>
      <c r="G910" s="23" t="s">
        <v>293</v>
      </c>
      <c r="H910" s="25"/>
      <c r="BA910" s="73" t="s">
        <v>355</v>
      </c>
      <c r="BB910" s="48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357</v>
      </c>
      <c r="E911" s="6" t="s">
        <v>347</v>
      </c>
      <c r="F911" s="10">
        <v>4.58</v>
      </c>
      <c r="G911" s="23" t="s">
        <v>293</v>
      </c>
      <c r="H911" s="25"/>
      <c r="BA911" s="73" t="s">
        <v>355</v>
      </c>
      <c r="BB911" s="48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357</v>
      </c>
      <c r="E912" s="6" t="s">
        <v>128</v>
      </c>
      <c r="F912" s="10">
        <v>4.5</v>
      </c>
      <c r="G912" s="23" t="s">
        <v>293</v>
      </c>
      <c r="H912" s="25"/>
      <c r="BA912" s="73" t="s">
        <v>355</v>
      </c>
      <c r="BB912" s="48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357</v>
      </c>
      <c r="E913" s="6" t="s">
        <v>121</v>
      </c>
      <c r="F913" s="10">
        <v>84</v>
      </c>
      <c r="G913" s="23" t="s">
        <v>293</v>
      </c>
      <c r="H913" s="25"/>
      <c r="BA913" s="73" t="s">
        <v>355</v>
      </c>
      <c r="BB913" s="48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357</v>
      </c>
      <c r="E914" s="6" t="s">
        <v>115</v>
      </c>
      <c r="F914" s="10">
        <v>97</v>
      </c>
      <c r="G914" s="23" t="s">
        <v>293</v>
      </c>
      <c r="H914" s="25"/>
      <c r="BA914" s="73" t="s">
        <v>355</v>
      </c>
      <c r="BB914" s="48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357</v>
      </c>
      <c r="E915" s="6" t="s">
        <v>137</v>
      </c>
      <c r="F915" s="10">
        <v>484</v>
      </c>
      <c r="G915" s="23" t="s">
        <v>293</v>
      </c>
      <c r="H915" s="25"/>
      <c r="BA915" s="73" t="s">
        <v>355</v>
      </c>
      <c r="BB915" s="48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357</v>
      </c>
      <c r="E916" s="6" t="s">
        <v>348</v>
      </c>
      <c r="F916" s="10">
        <v>438</v>
      </c>
      <c r="G916" s="23" t="s">
        <v>293</v>
      </c>
      <c r="H916" s="25"/>
      <c r="BA916" s="73" t="s">
        <v>355</v>
      </c>
      <c r="BB916" s="48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357</v>
      </c>
      <c r="E917" s="6" t="s">
        <v>125</v>
      </c>
      <c r="F917" s="10">
        <v>416</v>
      </c>
      <c r="G917" s="23" t="s">
        <v>293</v>
      </c>
      <c r="H917" s="25"/>
      <c r="BA917" s="73" t="s">
        <v>355</v>
      </c>
      <c r="BB917" s="48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357</v>
      </c>
      <c r="E918" s="6" t="s">
        <v>126</v>
      </c>
      <c r="F918" s="10">
        <v>155</v>
      </c>
      <c r="G918" s="23" t="s">
        <v>293</v>
      </c>
      <c r="H918" s="25"/>
      <c r="BA918" s="73" t="s">
        <v>355</v>
      </c>
      <c r="BB918" s="48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357</v>
      </c>
      <c r="E919" s="6" t="s">
        <v>349</v>
      </c>
      <c r="F919" s="10">
        <v>385</v>
      </c>
      <c r="G919" s="23" t="s">
        <v>293</v>
      </c>
      <c r="H919" s="25"/>
      <c r="BA919" s="73" t="s">
        <v>355</v>
      </c>
      <c r="BB919" s="48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357</v>
      </c>
      <c r="E920" s="6" t="s">
        <v>350</v>
      </c>
      <c r="F920" s="10">
        <v>81</v>
      </c>
      <c r="G920" s="23" t="s">
        <v>293</v>
      </c>
      <c r="H920" s="25"/>
      <c r="BA920" s="73" t="s">
        <v>355</v>
      </c>
      <c r="BB920" s="48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357</v>
      </c>
      <c r="E921" s="6" t="s">
        <v>122</v>
      </c>
      <c r="F921" s="10">
        <v>222</v>
      </c>
      <c r="G921" s="23" t="s">
        <v>293</v>
      </c>
      <c r="H921" s="25"/>
      <c r="BA921" s="73" t="s">
        <v>355</v>
      </c>
      <c r="BB921" s="48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357</v>
      </c>
      <c r="E922" s="6" t="s">
        <v>124</v>
      </c>
      <c r="F922" s="10">
        <v>106</v>
      </c>
      <c r="G922" s="23" t="s">
        <v>293</v>
      </c>
      <c r="H922" s="25"/>
      <c r="BA922" s="73" t="s">
        <v>355</v>
      </c>
      <c r="BB922" s="48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357</v>
      </c>
      <c r="E923" s="6" t="s">
        <v>351</v>
      </c>
      <c r="F923" s="10">
        <v>3.58</v>
      </c>
      <c r="G923" s="23" t="s">
        <v>293</v>
      </c>
      <c r="H923" s="25"/>
      <c r="BA923" s="73" t="s">
        <v>355</v>
      </c>
      <c r="BB923" s="48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357</v>
      </c>
      <c r="E924" s="6" t="s">
        <v>353</v>
      </c>
      <c r="F924" s="10">
        <v>19.7</v>
      </c>
      <c r="G924" s="23" t="s">
        <v>293</v>
      </c>
      <c r="H924" s="25"/>
      <c r="BA924" s="73" t="s">
        <v>355</v>
      </c>
      <c r="BB924" s="48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357</v>
      </c>
      <c r="E925" s="6" t="s">
        <v>133</v>
      </c>
      <c r="F925" s="10">
        <v>125</v>
      </c>
      <c r="G925" s="23" t="s">
        <v>293</v>
      </c>
      <c r="H925" s="25"/>
      <c r="BA925" s="73" t="s">
        <v>355</v>
      </c>
      <c r="BB925" s="48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357</v>
      </c>
      <c r="E926" s="6" t="s">
        <v>135</v>
      </c>
      <c r="F926" s="10">
        <v>6.4</v>
      </c>
      <c r="G926" s="23" t="s">
        <v>293</v>
      </c>
      <c r="H926" s="25"/>
      <c r="BA926" s="73" t="s">
        <v>355</v>
      </c>
      <c r="BB926" s="48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357</v>
      </c>
      <c r="E927" s="6" t="s">
        <v>136</v>
      </c>
      <c r="F927" s="10">
        <v>94</v>
      </c>
      <c r="G927" s="23" t="s">
        <v>293</v>
      </c>
      <c r="H927" s="25"/>
      <c r="BA927" s="73" t="s">
        <v>355</v>
      </c>
      <c r="BB927" s="48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357</v>
      </c>
      <c r="E928" s="6" t="s">
        <v>339</v>
      </c>
      <c r="F928" s="10">
        <v>1.22</v>
      </c>
      <c r="G928" s="23" t="s">
        <v>293</v>
      </c>
      <c r="H928" s="25"/>
      <c r="BA928" s="73" t="s">
        <v>355</v>
      </c>
      <c r="BB928" s="48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357</v>
      </c>
      <c r="E929" s="6" t="s">
        <v>118</v>
      </c>
      <c r="F929" s="10">
        <v>9.8000000000000007</v>
      </c>
      <c r="G929" s="23" t="s">
        <v>293</v>
      </c>
      <c r="H929" s="25"/>
      <c r="BA929" s="73" t="s">
        <v>355</v>
      </c>
      <c r="BB929" s="48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357</v>
      </c>
      <c r="E930" s="6" t="s">
        <v>130</v>
      </c>
      <c r="F930" s="10">
        <v>2.5979999999999999</v>
      </c>
      <c r="G930" s="23" t="s">
        <v>293</v>
      </c>
      <c r="H930" s="25"/>
      <c r="BA930" s="73" t="s">
        <v>355</v>
      </c>
      <c r="BB930" s="48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357</v>
      </c>
      <c r="E931" s="6" t="s">
        <v>341</v>
      </c>
      <c r="F931" s="10">
        <v>1.083</v>
      </c>
      <c r="G931" s="23" t="s">
        <v>293</v>
      </c>
      <c r="H931" s="25"/>
      <c r="BA931" s="73" t="s">
        <v>355</v>
      </c>
      <c r="BB931" s="48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357</v>
      </c>
      <c r="E932" s="6" t="s">
        <v>127</v>
      </c>
      <c r="F932" s="10">
        <v>4.4489999999999998</v>
      </c>
      <c r="G932" s="23" t="s">
        <v>293</v>
      </c>
      <c r="H932" s="25"/>
      <c r="BA932" s="73" t="s">
        <v>355</v>
      </c>
      <c r="BB932" s="48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357</v>
      </c>
      <c r="E933" s="6" t="s">
        <v>131</v>
      </c>
      <c r="F933" s="10">
        <v>11.9</v>
      </c>
      <c r="G933" s="23" t="s">
        <v>293</v>
      </c>
      <c r="H933" s="25"/>
      <c r="BA933" s="73" t="s">
        <v>355</v>
      </c>
      <c r="BB933" s="48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357</v>
      </c>
      <c r="E934" s="6" t="s">
        <v>342</v>
      </c>
      <c r="F934" s="10">
        <v>201</v>
      </c>
      <c r="G934" s="23" t="s">
        <v>293</v>
      </c>
      <c r="H934" s="25"/>
      <c r="BA934" s="73" t="s">
        <v>355</v>
      </c>
      <c r="BB934" s="48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357</v>
      </c>
      <c r="E935" s="6" t="s">
        <v>119</v>
      </c>
      <c r="F935" s="10">
        <v>85</v>
      </c>
      <c r="G935" s="23" t="s">
        <v>293</v>
      </c>
      <c r="H935" s="25"/>
      <c r="BA935" s="73" t="s">
        <v>355</v>
      </c>
      <c r="BB935" s="48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357</v>
      </c>
      <c r="E936" s="6" t="s">
        <v>120</v>
      </c>
      <c r="F936" s="10">
        <v>26</v>
      </c>
      <c r="G936" s="23" t="s">
        <v>293</v>
      </c>
      <c r="H936" s="25"/>
      <c r="BA936" s="73" t="s">
        <v>355</v>
      </c>
      <c r="BB936" s="48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357</v>
      </c>
      <c r="E937" s="6" t="s">
        <v>117</v>
      </c>
      <c r="F937" s="10">
        <v>6.11</v>
      </c>
      <c r="G937" s="23" t="s">
        <v>293</v>
      </c>
      <c r="H937" s="25"/>
      <c r="BA937" s="73" t="s">
        <v>355</v>
      </c>
      <c r="BB937" s="48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357</v>
      </c>
      <c r="E938" s="6" t="s">
        <v>344</v>
      </c>
      <c r="F938" s="10">
        <v>67</v>
      </c>
      <c r="G938" s="23" t="s">
        <v>293</v>
      </c>
      <c r="H938" s="25"/>
      <c r="BA938" s="73" t="s">
        <v>355</v>
      </c>
      <c r="BB938" s="48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357</v>
      </c>
      <c r="E939" s="6" t="s">
        <v>132</v>
      </c>
      <c r="F939" s="10">
        <v>7.5</v>
      </c>
      <c r="G939" s="23" t="s">
        <v>293</v>
      </c>
      <c r="H939" s="25"/>
      <c r="BA939" s="73" t="s">
        <v>355</v>
      </c>
      <c r="BB939" s="48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357</v>
      </c>
      <c r="E940" s="6" t="s">
        <v>111</v>
      </c>
      <c r="F940" s="10">
        <v>282</v>
      </c>
      <c r="G940" s="23" t="s">
        <v>293</v>
      </c>
      <c r="H940" s="25"/>
      <c r="BA940" s="73" t="s">
        <v>355</v>
      </c>
      <c r="BB940" s="48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357</v>
      </c>
      <c r="E941" s="6" t="s">
        <v>345</v>
      </c>
      <c r="F941" s="10">
        <v>9.66</v>
      </c>
      <c r="G941" s="23" t="s">
        <v>293</v>
      </c>
      <c r="H941" s="25"/>
      <c r="BA941" s="73" t="s">
        <v>355</v>
      </c>
      <c r="BB941" s="48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357</v>
      </c>
      <c r="E942" s="6" t="s">
        <v>347</v>
      </c>
      <c r="F942" s="10">
        <v>4.72</v>
      </c>
      <c r="G942" s="23" t="s">
        <v>293</v>
      </c>
      <c r="H942" s="25"/>
      <c r="BA942" s="73" t="s">
        <v>355</v>
      </c>
      <c r="BB942" s="48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357</v>
      </c>
      <c r="E943" s="6" t="s">
        <v>128</v>
      </c>
      <c r="F943" s="10">
        <v>4.4000000000000004</v>
      </c>
      <c r="G943" s="23" t="s">
        <v>293</v>
      </c>
      <c r="H943" s="25"/>
      <c r="BA943" s="73" t="s">
        <v>355</v>
      </c>
      <c r="BB943" s="48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357</v>
      </c>
      <c r="E944" s="6" t="s">
        <v>121</v>
      </c>
      <c r="F944" s="10">
        <v>81</v>
      </c>
      <c r="G944" s="23" t="s">
        <v>293</v>
      </c>
      <c r="H944" s="25"/>
      <c r="BA944" s="73" t="s">
        <v>355</v>
      </c>
      <c r="BB944" s="48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357</v>
      </c>
      <c r="E945" s="6" t="s">
        <v>115</v>
      </c>
      <c r="F945" s="10">
        <v>100</v>
      </c>
      <c r="G945" s="23" t="s">
        <v>293</v>
      </c>
      <c r="H945" s="25"/>
      <c r="BA945" s="73" t="s">
        <v>355</v>
      </c>
      <c r="BB945" s="48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357</v>
      </c>
      <c r="E946" s="6" t="s">
        <v>137</v>
      </c>
      <c r="F946" s="10">
        <v>482</v>
      </c>
      <c r="G946" s="23" t="s">
        <v>293</v>
      </c>
      <c r="H946" s="25"/>
      <c r="BA946" s="73" t="s">
        <v>355</v>
      </c>
      <c r="BB946" s="48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357</v>
      </c>
      <c r="E947" s="6" t="s">
        <v>348</v>
      </c>
      <c r="F947" s="10">
        <v>437</v>
      </c>
      <c r="G947" s="23" t="s">
        <v>293</v>
      </c>
      <c r="H947" s="25"/>
      <c r="BA947" s="73" t="s">
        <v>355</v>
      </c>
      <c r="BB947" s="48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357</v>
      </c>
      <c r="E948" s="6" t="s">
        <v>125</v>
      </c>
      <c r="F948" s="10">
        <v>417</v>
      </c>
      <c r="G948" s="23" t="s">
        <v>293</v>
      </c>
      <c r="H948" s="25"/>
      <c r="BA948" s="73" t="s">
        <v>355</v>
      </c>
      <c r="BB948" s="48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357</v>
      </c>
      <c r="E949" s="6" t="s">
        <v>126</v>
      </c>
      <c r="F949" s="10">
        <v>150</v>
      </c>
      <c r="G949" s="23" t="s">
        <v>293</v>
      </c>
      <c r="H949" s="25"/>
      <c r="BA949" s="73" t="s">
        <v>355</v>
      </c>
      <c r="BB949" s="48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357</v>
      </c>
      <c r="E950" s="6" t="s">
        <v>349</v>
      </c>
      <c r="F950" s="10">
        <v>379</v>
      </c>
      <c r="G950" s="23" t="s">
        <v>293</v>
      </c>
      <c r="H950" s="25"/>
      <c r="BA950" s="73" t="s">
        <v>355</v>
      </c>
      <c r="BB950" s="48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357</v>
      </c>
      <c r="E951" s="6" t="s">
        <v>350</v>
      </c>
      <c r="F951" s="10">
        <v>86</v>
      </c>
      <c r="G951" s="23" t="s">
        <v>293</v>
      </c>
      <c r="H951" s="25"/>
      <c r="BA951" s="73" t="s">
        <v>355</v>
      </c>
      <c r="BB951" s="48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357</v>
      </c>
      <c r="E952" s="6" t="s">
        <v>122</v>
      </c>
      <c r="F952" s="10">
        <v>222</v>
      </c>
      <c r="G952" s="23" t="s">
        <v>293</v>
      </c>
      <c r="H952" s="25"/>
      <c r="BA952" s="73" t="s">
        <v>355</v>
      </c>
      <c r="BB952" s="48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357</v>
      </c>
      <c r="E953" s="6" t="s">
        <v>124</v>
      </c>
      <c r="F953" s="10">
        <v>106</v>
      </c>
      <c r="G953" s="23" t="s">
        <v>293</v>
      </c>
      <c r="H953" s="25"/>
      <c r="BA953" s="73" t="s">
        <v>355</v>
      </c>
      <c r="BB953" s="48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357</v>
      </c>
      <c r="E954" s="6" t="s">
        <v>351</v>
      </c>
      <c r="F954" s="10">
        <v>3.56</v>
      </c>
      <c r="G954" s="23" t="s">
        <v>293</v>
      </c>
      <c r="H954" s="25"/>
      <c r="BA954" s="73" t="s">
        <v>355</v>
      </c>
      <c r="BB954" s="48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357</v>
      </c>
      <c r="E955" s="6" t="s">
        <v>353</v>
      </c>
      <c r="F955" s="10">
        <v>7.7</v>
      </c>
      <c r="G955" s="23" t="s">
        <v>293</v>
      </c>
      <c r="H955" s="25"/>
      <c r="BA955" s="73" t="s">
        <v>355</v>
      </c>
      <c r="BB955" s="48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357</v>
      </c>
      <c r="E956" s="6" t="s">
        <v>133</v>
      </c>
      <c r="F956" s="10">
        <v>127</v>
      </c>
      <c r="G956" s="23" t="s">
        <v>293</v>
      </c>
      <c r="H956" s="25"/>
      <c r="BA956" s="73" t="s">
        <v>355</v>
      </c>
      <c r="BB956" s="48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357</v>
      </c>
      <c r="E957" s="6" t="s">
        <v>135</v>
      </c>
      <c r="F957" s="10">
        <v>6.4</v>
      </c>
      <c r="G957" s="23" t="s">
        <v>293</v>
      </c>
      <c r="H957" s="25"/>
      <c r="BA957" s="73" t="s">
        <v>355</v>
      </c>
      <c r="BB957" s="48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357</v>
      </c>
      <c r="E958" s="6" t="s">
        <v>136</v>
      </c>
      <c r="F958" s="10">
        <v>95</v>
      </c>
      <c r="G958" s="23" t="s">
        <v>293</v>
      </c>
      <c r="H958" s="25"/>
      <c r="BA958" s="73" t="s">
        <v>355</v>
      </c>
      <c r="BB958" s="48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357</v>
      </c>
      <c r="E959" s="6" t="s">
        <v>339</v>
      </c>
      <c r="F959" s="10">
        <v>1.1499999999999999</v>
      </c>
      <c r="G959" s="23" t="s">
        <v>293</v>
      </c>
      <c r="H959" s="25"/>
      <c r="BA959" s="73" t="s">
        <v>355</v>
      </c>
      <c r="BB959" s="48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357</v>
      </c>
      <c r="E960" s="6" t="s">
        <v>118</v>
      </c>
      <c r="F960" s="10">
        <v>9.6</v>
      </c>
      <c r="G960" s="23" t="s">
        <v>293</v>
      </c>
      <c r="H960" s="25"/>
      <c r="BA960" s="73" t="s">
        <v>355</v>
      </c>
      <c r="BB960" s="48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357</v>
      </c>
      <c r="E961" s="6" t="s">
        <v>130</v>
      </c>
      <c r="F961" s="10">
        <v>2.6080000000000001</v>
      </c>
      <c r="G961" s="23" t="s">
        <v>293</v>
      </c>
      <c r="H961" s="25"/>
      <c r="BA961" s="73" t="s">
        <v>355</v>
      </c>
      <c r="BB961" s="48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357</v>
      </c>
      <c r="E962" s="6" t="s">
        <v>341</v>
      </c>
      <c r="F962" s="10">
        <v>1.0529999999999999</v>
      </c>
      <c r="G962" s="23" t="s">
        <v>293</v>
      </c>
      <c r="H962" s="25"/>
      <c r="BA962" s="73" t="s">
        <v>355</v>
      </c>
      <c r="BB962" s="48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357</v>
      </c>
      <c r="E963" s="6" t="s">
        <v>127</v>
      </c>
      <c r="F963" s="10">
        <v>4.4109999999999996</v>
      </c>
      <c r="G963" s="23" t="s">
        <v>293</v>
      </c>
      <c r="H963" s="25"/>
      <c r="BA963" s="73" t="s">
        <v>355</v>
      </c>
      <c r="BB963" s="48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357</v>
      </c>
      <c r="E964" s="6" t="s">
        <v>131</v>
      </c>
      <c r="F964" s="10">
        <v>12.2</v>
      </c>
      <c r="G964" s="23" t="s">
        <v>293</v>
      </c>
      <c r="H964" s="25"/>
      <c r="BA964" s="73" t="s">
        <v>355</v>
      </c>
      <c r="BB964" s="48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357</v>
      </c>
      <c r="E965" s="6" t="s">
        <v>342</v>
      </c>
      <c r="F965" s="10">
        <v>198</v>
      </c>
      <c r="G965" s="23" t="s">
        <v>293</v>
      </c>
      <c r="H965" s="25"/>
      <c r="BA965" s="73" t="s">
        <v>355</v>
      </c>
      <c r="BB965" s="48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357</v>
      </c>
      <c r="E966" s="6" t="s">
        <v>119</v>
      </c>
      <c r="F966" s="10">
        <v>84</v>
      </c>
      <c r="G966" s="23" t="s">
        <v>293</v>
      </c>
      <c r="H966" s="25"/>
      <c r="BA966" s="73" t="s">
        <v>355</v>
      </c>
      <c r="BB966" s="48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357</v>
      </c>
      <c r="E967" s="6" t="s">
        <v>120</v>
      </c>
      <c r="F967" s="10">
        <v>27</v>
      </c>
      <c r="G967" s="23" t="s">
        <v>293</v>
      </c>
      <c r="H967" s="25"/>
      <c r="BA967" s="73" t="s">
        <v>355</v>
      </c>
      <c r="BB967" s="48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357</v>
      </c>
      <c r="E968" s="6" t="s">
        <v>117</v>
      </c>
      <c r="F968" s="10">
        <v>6.21</v>
      </c>
      <c r="G968" s="23" t="s">
        <v>293</v>
      </c>
      <c r="H968" s="25"/>
      <c r="BA968" s="73" t="s">
        <v>355</v>
      </c>
      <c r="BB968" s="48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357</v>
      </c>
      <c r="E969" s="6" t="s">
        <v>344</v>
      </c>
      <c r="F969" s="10">
        <v>68</v>
      </c>
      <c r="G969" s="23" t="s">
        <v>293</v>
      </c>
      <c r="H969" s="25"/>
      <c r="BA969" s="73" t="s">
        <v>355</v>
      </c>
      <c r="BB969" s="48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357</v>
      </c>
      <c r="E970" s="6" t="s">
        <v>132</v>
      </c>
      <c r="F970" s="10">
        <v>7.28</v>
      </c>
      <c r="G970" s="23" t="s">
        <v>293</v>
      </c>
      <c r="H970" s="25"/>
      <c r="BA970" s="73" t="s">
        <v>355</v>
      </c>
      <c r="BB970" s="48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357</v>
      </c>
      <c r="E971" s="6" t="s">
        <v>111</v>
      </c>
      <c r="F971" s="10">
        <v>285</v>
      </c>
      <c r="G971" s="23" t="s">
        <v>293</v>
      </c>
      <c r="H971" s="25"/>
      <c r="BA971" s="73" t="s">
        <v>355</v>
      </c>
      <c r="BB971" s="48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357</v>
      </c>
      <c r="E972" s="6" t="s">
        <v>345</v>
      </c>
      <c r="F972" s="10">
        <v>10.1</v>
      </c>
      <c r="G972" s="23" t="s">
        <v>293</v>
      </c>
      <c r="H972" s="25"/>
      <c r="BA972" s="73" t="s">
        <v>355</v>
      </c>
      <c r="BB972" s="48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357</v>
      </c>
      <c r="E973" s="6" t="s">
        <v>347</v>
      </c>
      <c r="F973" s="10">
        <v>4.72</v>
      </c>
      <c r="G973" s="23" t="s">
        <v>293</v>
      </c>
      <c r="H973" s="25"/>
      <c r="BA973" s="73" t="s">
        <v>355</v>
      </c>
      <c r="BB973" s="48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357</v>
      </c>
      <c r="E974" s="6" t="s">
        <v>128</v>
      </c>
      <c r="F974" s="10">
        <v>4.4000000000000004</v>
      </c>
      <c r="G974" s="23" t="s">
        <v>293</v>
      </c>
      <c r="H974" s="25"/>
      <c r="BA974" s="73" t="s">
        <v>355</v>
      </c>
      <c r="BB974" s="48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357</v>
      </c>
      <c r="E975" s="6" t="s">
        <v>121</v>
      </c>
      <c r="F975" s="10">
        <v>78</v>
      </c>
      <c r="G975" s="23" t="s">
        <v>293</v>
      </c>
      <c r="H975" s="25"/>
      <c r="BA975" s="73" t="s">
        <v>355</v>
      </c>
      <c r="BB975" s="48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357</v>
      </c>
      <c r="E976" s="6" t="s">
        <v>115</v>
      </c>
      <c r="F976" s="10">
        <v>93</v>
      </c>
      <c r="G976" s="23" t="s">
        <v>293</v>
      </c>
      <c r="H976" s="25"/>
      <c r="BA976" s="73" t="s">
        <v>355</v>
      </c>
      <c r="BB976" s="48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357</v>
      </c>
      <c r="E977" s="6" t="s">
        <v>137</v>
      </c>
      <c r="F977" s="10">
        <v>483</v>
      </c>
      <c r="G977" s="23" t="s">
        <v>293</v>
      </c>
      <c r="H977" s="25"/>
      <c r="BA977" s="73" t="s">
        <v>355</v>
      </c>
      <c r="BB977" s="48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357</v>
      </c>
      <c r="E978" s="6" t="s">
        <v>348</v>
      </c>
      <c r="F978" s="10">
        <v>429</v>
      </c>
      <c r="G978" s="23" t="s">
        <v>293</v>
      </c>
      <c r="H978" s="25"/>
      <c r="BA978" s="73" t="s">
        <v>355</v>
      </c>
      <c r="BB978" s="48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357</v>
      </c>
      <c r="E979" s="6" t="s">
        <v>125</v>
      </c>
      <c r="F979" s="10">
        <v>432</v>
      </c>
      <c r="G979" s="23" t="s">
        <v>293</v>
      </c>
      <c r="H979" s="25"/>
      <c r="BA979" s="73" t="s">
        <v>355</v>
      </c>
      <c r="BB979" s="48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357</v>
      </c>
      <c r="E980" s="6" t="s">
        <v>126</v>
      </c>
      <c r="F980" s="10">
        <v>152</v>
      </c>
      <c r="G980" s="23" t="s">
        <v>293</v>
      </c>
      <c r="H980" s="25"/>
      <c r="BA980" s="73" t="s">
        <v>355</v>
      </c>
      <c r="BB980" s="48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357</v>
      </c>
      <c r="E981" s="6" t="s">
        <v>349</v>
      </c>
      <c r="F981" s="10">
        <v>389</v>
      </c>
      <c r="G981" s="23" t="s">
        <v>293</v>
      </c>
      <c r="H981" s="25"/>
      <c r="BA981" s="73" t="s">
        <v>355</v>
      </c>
      <c r="BB981" s="48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357</v>
      </c>
      <c r="E982" s="6" t="s">
        <v>350</v>
      </c>
      <c r="F982" s="10">
        <v>83</v>
      </c>
      <c r="G982" s="23" t="s">
        <v>293</v>
      </c>
      <c r="H982" s="25"/>
      <c r="BA982" s="73" t="s">
        <v>355</v>
      </c>
      <c r="BB982" s="48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357</v>
      </c>
      <c r="E983" s="6" t="s">
        <v>122</v>
      </c>
      <c r="F983" s="10">
        <v>217</v>
      </c>
      <c r="G983" s="23" t="s">
        <v>293</v>
      </c>
      <c r="H983" s="25"/>
      <c r="BA983" s="73" t="s">
        <v>355</v>
      </c>
      <c r="BB983" s="48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357</v>
      </c>
      <c r="E984" s="6" t="s">
        <v>124</v>
      </c>
      <c r="F984" s="10">
        <v>102</v>
      </c>
      <c r="G984" s="23" t="s">
        <v>293</v>
      </c>
      <c r="H984" s="25"/>
      <c r="BA984" s="73" t="s">
        <v>355</v>
      </c>
      <c r="BB984" s="48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357</v>
      </c>
      <c r="E985" s="6" t="s">
        <v>351</v>
      </c>
      <c r="F985" s="10">
        <v>3.62</v>
      </c>
      <c r="G985" s="23" t="s">
        <v>293</v>
      </c>
      <c r="H985" s="25"/>
      <c r="BA985" s="73" t="s">
        <v>355</v>
      </c>
      <c r="BB985" s="48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357</v>
      </c>
      <c r="E986" s="6" t="s">
        <v>353</v>
      </c>
      <c r="F986" s="10">
        <v>16.600000000000001</v>
      </c>
      <c r="G986" s="23" t="s">
        <v>293</v>
      </c>
      <c r="H986" s="25"/>
      <c r="BA986" s="73" t="s">
        <v>355</v>
      </c>
      <c r="BB986" s="48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357</v>
      </c>
      <c r="E987" s="6" t="s">
        <v>133</v>
      </c>
      <c r="F987" s="10">
        <v>127</v>
      </c>
      <c r="G987" s="23" t="s">
        <v>293</v>
      </c>
      <c r="H987" s="25"/>
      <c r="BA987" s="73" t="s">
        <v>355</v>
      </c>
      <c r="BB987" s="48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357</v>
      </c>
      <c r="E988" s="6" t="s">
        <v>135</v>
      </c>
      <c r="F988" s="10">
        <v>6.4</v>
      </c>
      <c r="G988" s="23" t="s">
        <v>293</v>
      </c>
      <c r="H988" s="25"/>
      <c r="BA988" s="73" t="s">
        <v>355</v>
      </c>
      <c r="BB988" s="48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357</v>
      </c>
      <c r="E989" s="6" t="s">
        <v>136</v>
      </c>
      <c r="F989" s="10">
        <v>95</v>
      </c>
      <c r="G989" s="23" t="s">
        <v>293</v>
      </c>
      <c r="H989" s="25"/>
      <c r="BA989" s="73" t="s">
        <v>355</v>
      </c>
      <c r="BB989" s="48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357</v>
      </c>
      <c r="E990" s="6" t="s">
        <v>339</v>
      </c>
      <c r="F990" s="10">
        <v>1.22</v>
      </c>
      <c r="G990" s="23" t="s">
        <v>293</v>
      </c>
      <c r="H990" s="25"/>
      <c r="BA990" s="73" t="s">
        <v>355</v>
      </c>
      <c r="BB990" s="48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357</v>
      </c>
      <c r="E991" s="6" t="s">
        <v>118</v>
      </c>
      <c r="F991" s="10">
        <v>9.6999999999999993</v>
      </c>
      <c r="G991" s="23" t="s">
        <v>293</v>
      </c>
      <c r="H991" s="25"/>
      <c r="BA991" s="73" t="s">
        <v>355</v>
      </c>
      <c r="BB991" s="48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357</v>
      </c>
      <c r="E992" s="6" t="s">
        <v>130</v>
      </c>
      <c r="F992" s="10">
        <v>2.57</v>
      </c>
      <c r="G992" s="23" t="s">
        <v>293</v>
      </c>
      <c r="H992" s="25"/>
      <c r="BA992" s="73" t="s">
        <v>355</v>
      </c>
      <c r="BB992" s="48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357</v>
      </c>
      <c r="E993" s="6" t="s">
        <v>341</v>
      </c>
      <c r="F993" s="10">
        <v>1.1000000000000001</v>
      </c>
      <c r="G993" s="23" t="s">
        <v>293</v>
      </c>
      <c r="H993" s="25"/>
      <c r="BA993" s="73" t="s">
        <v>355</v>
      </c>
      <c r="BB993" s="48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357</v>
      </c>
      <c r="E994" s="6" t="s">
        <v>127</v>
      </c>
      <c r="F994" s="10">
        <v>4.49</v>
      </c>
      <c r="G994" s="23" t="s">
        <v>293</v>
      </c>
      <c r="H994" s="25"/>
      <c r="BA994" s="73" t="s">
        <v>355</v>
      </c>
      <c r="BB994" s="48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357</v>
      </c>
      <c r="E995" s="6" t="s">
        <v>131</v>
      </c>
      <c r="F995" s="10">
        <v>11.9</v>
      </c>
      <c r="G995" s="23" t="s">
        <v>293</v>
      </c>
      <c r="H995" s="25"/>
      <c r="BA995" s="73" t="s">
        <v>355</v>
      </c>
      <c r="BB995" s="48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357</v>
      </c>
      <c r="E996" s="6" t="s">
        <v>342</v>
      </c>
      <c r="F996" s="10">
        <v>203</v>
      </c>
      <c r="G996" s="23" t="s">
        <v>293</v>
      </c>
      <c r="H996" s="25"/>
      <c r="BA996" s="73" t="s">
        <v>355</v>
      </c>
      <c r="BB996" s="48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357</v>
      </c>
      <c r="E997" s="6" t="s">
        <v>119</v>
      </c>
      <c r="F997" s="10">
        <v>86</v>
      </c>
      <c r="G997" s="23" t="s">
        <v>293</v>
      </c>
      <c r="H997" s="25"/>
      <c r="BA997" s="73" t="s">
        <v>355</v>
      </c>
      <c r="BB997" s="48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357</v>
      </c>
      <c r="E998" s="6" t="s">
        <v>120</v>
      </c>
      <c r="F998" s="10">
        <v>27</v>
      </c>
      <c r="G998" s="23" t="s">
        <v>293</v>
      </c>
      <c r="H998" s="25"/>
      <c r="BA998" s="73" t="s">
        <v>355</v>
      </c>
      <c r="BB998" s="48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357</v>
      </c>
      <c r="E999" s="6" t="s">
        <v>117</v>
      </c>
      <c r="F999" s="10">
        <v>6.1</v>
      </c>
      <c r="G999" s="23" t="s">
        <v>293</v>
      </c>
      <c r="H999" s="25"/>
      <c r="BA999" s="73" t="s">
        <v>355</v>
      </c>
      <c r="BB999" s="48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357</v>
      </c>
      <c r="E1000" s="6" t="s">
        <v>344</v>
      </c>
      <c r="F1000" s="10">
        <v>66</v>
      </c>
      <c r="G1000" s="23" t="s">
        <v>293</v>
      </c>
      <c r="H1000" s="25"/>
      <c r="BA1000" s="73" t="s">
        <v>355</v>
      </c>
      <c r="BB1000" s="48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357</v>
      </c>
      <c r="E1001" s="6" t="s">
        <v>132</v>
      </c>
      <c r="F1001" s="10">
        <v>7.29</v>
      </c>
      <c r="G1001" s="23" t="s">
        <v>293</v>
      </c>
      <c r="H1001" s="25"/>
      <c r="BA1001" s="73" t="s">
        <v>355</v>
      </c>
      <c r="BB1001" s="48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357</v>
      </c>
      <c r="E1002" s="6" t="s">
        <v>111</v>
      </c>
      <c r="F1002" s="10">
        <v>279</v>
      </c>
      <c r="G1002" s="23" t="s">
        <v>293</v>
      </c>
      <c r="H1002" s="25"/>
      <c r="BA1002" s="73" t="s">
        <v>355</v>
      </c>
      <c r="BB1002" s="48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357</v>
      </c>
      <c r="E1003" s="6" t="s">
        <v>345</v>
      </c>
      <c r="F1003" s="10">
        <v>9.98</v>
      </c>
      <c r="G1003" s="23" t="s">
        <v>293</v>
      </c>
      <c r="H1003" s="25"/>
      <c r="BA1003" s="73" t="s">
        <v>355</v>
      </c>
      <c r="BB1003" s="48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357</v>
      </c>
      <c r="E1004" s="1" t="s">
        <v>347</v>
      </c>
      <c r="F1004" s="26">
        <v>4.68</v>
      </c>
      <c r="G1004" s="25" t="s">
        <v>293</v>
      </c>
      <c r="H1004" s="25"/>
      <c r="BA1004" s="73" t="s">
        <v>355</v>
      </c>
      <c r="BB1004" s="48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357</v>
      </c>
      <c r="E1005" s="1" t="s">
        <v>128</v>
      </c>
      <c r="F1005" s="26">
        <v>4.4000000000000004</v>
      </c>
      <c r="G1005" s="25" t="s">
        <v>293</v>
      </c>
      <c r="H1005" s="25"/>
      <c r="BA1005" s="73" t="s">
        <v>355</v>
      </c>
      <c r="BB1005" s="48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357</v>
      </c>
      <c r="E1006" s="1" t="s">
        <v>121</v>
      </c>
      <c r="F1006" s="26">
        <v>76</v>
      </c>
      <c r="G1006" s="25" t="s">
        <v>293</v>
      </c>
      <c r="H1006" s="25"/>
      <c r="BA1006" s="73" t="s">
        <v>355</v>
      </c>
      <c r="BB1006" s="48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357</v>
      </c>
      <c r="E1007" s="1" t="s">
        <v>115</v>
      </c>
      <c r="F1007" s="26">
        <v>99</v>
      </c>
      <c r="G1007" s="25" t="s">
        <v>293</v>
      </c>
      <c r="H1007" s="25"/>
      <c r="BA1007" s="73" t="s">
        <v>355</v>
      </c>
      <c r="BB1007" s="48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357</v>
      </c>
      <c r="E1008" s="1" t="s">
        <v>137</v>
      </c>
      <c r="F1008" s="26">
        <v>486</v>
      </c>
      <c r="G1008" s="25" t="s">
        <v>293</v>
      </c>
      <c r="H1008" s="25"/>
      <c r="BA1008" s="73" t="s">
        <v>355</v>
      </c>
      <c r="BB1008" s="48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357</v>
      </c>
      <c r="E1009" s="1" t="s">
        <v>348</v>
      </c>
      <c r="F1009" s="26">
        <v>434</v>
      </c>
      <c r="G1009" s="25" t="s">
        <v>293</v>
      </c>
      <c r="H1009" s="25"/>
      <c r="BA1009" s="73" t="s">
        <v>355</v>
      </c>
      <c r="BB1009" s="48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357</v>
      </c>
      <c r="E1010" s="1" t="s">
        <v>125</v>
      </c>
      <c r="F1010" s="26">
        <v>416</v>
      </c>
      <c r="G1010" s="25" t="s">
        <v>293</v>
      </c>
      <c r="H1010" s="25"/>
      <c r="BA1010" s="73" t="s">
        <v>355</v>
      </c>
      <c r="BB1010" s="48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357</v>
      </c>
      <c r="E1011" s="1" t="s">
        <v>126</v>
      </c>
      <c r="F1011" s="26">
        <v>150</v>
      </c>
      <c r="G1011" s="25" t="s">
        <v>293</v>
      </c>
      <c r="H1011" s="25"/>
      <c r="BA1011" s="73" t="s">
        <v>355</v>
      </c>
      <c r="BB1011" s="48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357</v>
      </c>
      <c r="E1012" s="1" t="s">
        <v>349</v>
      </c>
      <c r="F1012" s="26">
        <v>390</v>
      </c>
      <c r="G1012" s="25" t="s">
        <v>293</v>
      </c>
      <c r="H1012" s="25"/>
      <c r="BA1012" s="73" t="s">
        <v>355</v>
      </c>
      <c r="BB1012" s="48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357</v>
      </c>
      <c r="E1013" s="1" t="s">
        <v>350</v>
      </c>
      <c r="F1013" s="26">
        <v>85</v>
      </c>
      <c r="G1013" s="25" t="s">
        <v>293</v>
      </c>
      <c r="H1013" s="25"/>
      <c r="BA1013" s="73" t="s">
        <v>355</v>
      </c>
      <c r="BB1013" s="48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357</v>
      </c>
      <c r="E1014" s="1" t="s">
        <v>122</v>
      </c>
      <c r="F1014" s="26">
        <v>222</v>
      </c>
      <c r="G1014" s="25" t="s">
        <v>293</v>
      </c>
      <c r="H1014" s="25"/>
      <c r="BA1014" s="73" t="s">
        <v>355</v>
      </c>
      <c r="BB1014" s="48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357</v>
      </c>
      <c r="E1015" s="1" t="s">
        <v>124</v>
      </c>
      <c r="F1015" s="26">
        <v>108</v>
      </c>
      <c r="G1015" s="25" t="s">
        <v>293</v>
      </c>
      <c r="H1015" s="25"/>
      <c r="BA1015" s="73" t="s">
        <v>355</v>
      </c>
      <c r="BB1015" s="48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357</v>
      </c>
      <c r="E1016" s="1" t="s">
        <v>351</v>
      </c>
      <c r="F1016" s="26">
        <v>3.65</v>
      </c>
      <c r="G1016" s="25" t="s">
        <v>293</v>
      </c>
      <c r="H1016" s="25"/>
      <c r="BA1016" s="73" t="s">
        <v>355</v>
      </c>
      <c r="BB1016" s="48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357</v>
      </c>
      <c r="E1017" s="1" t="s">
        <v>353</v>
      </c>
      <c r="F1017" s="26">
        <v>20.9</v>
      </c>
      <c r="G1017" s="25" t="s">
        <v>293</v>
      </c>
      <c r="H1017" s="25"/>
      <c r="BA1017" s="73" t="s">
        <v>355</v>
      </c>
      <c r="BB1017" s="48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357</v>
      </c>
      <c r="E1018" s="1" t="s">
        <v>133</v>
      </c>
      <c r="F1018" s="26">
        <v>126</v>
      </c>
      <c r="G1018" s="25" t="s">
        <v>293</v>
      </c>
      <c r="H1018" s="25"/>
      <c r="BA1018" s="73" t="s">
        <v>355</v>
      </c>
      <c r="BB1018" s="48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357</v>
      </c>
      <c r="E1019" s="1" t="s">
        <v>135</v>
      </c>
      <c r="F1019" s="26">
        <v>6.3</v>
      </c>
      <c r="G1019" s="25" t="s">
        <v>293</v>
      </c>
      <c r="H1019" s="25"/>
      <c r="BA1019" s="73" t="s">
        <v>355</v>
      </c>
      <c r="BB1019" s="48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357</v>
      </c>
      <c r="E1020" s="1" t="s">
        <v>136</v>
      </c>
      <c r="F1020" s="26">
        <v>94</v>
      </c>
      <c r="G1020" s="25" t="s">
        <v>293</v>
      </c>
      <c r="H1020" s="25"/>
      <c r="BA1020" s="73" t="s">
        <v>355</v>
      </c>
      <c r="BB1020" s="48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357</v>
      </c>
      <c r="E1021" s="1" t="s">
        <v>339</v>
      </c>
      <c r="F1021" s="26">
        <v>1.22</v>
      </c>
      <c r="G1021" s="25" t="s">
        <v>293</v>
      </c>
      <c r="H1021" s="25"/>
      <c r="BA1021" s="73" t="s">
        <v>355</v>
      </c>
      <c r="BB1021" s="48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357</v>
      </c>
      <c r="E1022" s="1" t="s">
        <v>118</v>
      </c>
      <c r="F1022" s="26">
        <v>9.8000000000000007</v>
      </c>
      <c r="G1022" s="25" t="s">
        <v>293</v>
      </c>
      <c r="H1022" s="25"/>
      <c r="BA1022" s="73" t="s">
        <v>355</v>
      </c>
      <c r="BB1022" s="48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357</v>
      </c>
      <c r="E1023" s="1" t="s">
        <v>130</v>
      </c>
      <c r="F1023" s="26">
        <v>2.5030000000000001</v>
      </c>
      <c r="G1023" s="25" t="s">
        <v>293</v>
      </c>
      <c r="H1023" s="25"/>
      <c r="BA1023" s="73" t="s">
        <v>355</v>
      </c>
      <c r="BB1023" s="48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357</v>
      </c>
      <c r="E1024" s="1" t="s">
        <v>341</v>
      </c>
      <c r="F1024" s="26">
        <v>1.095</v>
      </c>
      <c r="G1024" s="25" t="s">
        <v>293</v>
      </c>
      <c r="H1024" s="25"/>
      <c r="BA1024" s="73" t="s">
        <v>355</v>
      </c>
      <c r="BB1024" s="48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357</v>
      </c>
      <c r="E1025" s="1" t="s">
        <v>127</v>
      </c>
      <c r="F1025" s="26">
        <v>4.5880000000000001</v>
      </c>
      <c r="G1025" s="25" t="s">
        <v>293</v>
      </c>
      <c r="H1025" s="25"/>
      <c r="BA1025" s="73" t="s">
        <v>355</v>
      </c>
      <c r="BB1025" s="48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357</v>
      </c>
      <c r="E1026" s="1" t="s">
        <v>131</v>
      </c>
      <c r="F1026" s="26">
        <v>11.9</v>
      </c>
      <c r="G1026" s="25" t="s">
        <v>293</v>
      </c>
      <c r="H1026" s="25"/>
      <c r="BA1026" s="73" t="s">
        <v>355</v>
      </c>
      <c r="BB1026" s="48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357</v>
      </c>
      <c r="E1027" s="1" t="s">
        <v>342</v>
      </c>
      <c r="F1027" s="26">
        <v>203</v>
      </c>
      <c r="G1027" s="25" t="s">
        <v>293</v>
      </c>
      <c r="H1027" s="25"/>
      <c r="BA1027" s="73" t="s">
        <v>355</v>
      </c>
      <c r="BB1027" s="48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357</v>
      </c>
      <c r="E1028" s="1" t="s">
        <v>119</v>
      </c>
      <c r="F1028" s="26">
        <v>88</v>
      </c>
      <c r="G1028" s="25" t="s">
        <v>293</v>
      </c>
      <c r="H1028" s="25"/>
      <c r="BA1028" s="73" t="s">
        <v>355</v>
      </c>
      <c r="BB1028" s="48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357</v>
      </c>
      <c r="E1029" s="1" t="s">
        <v>120</v>
      </c>
      <c r="F1029" s="26">
        <v>26</v>
      </c>
      <c r="G1029" s="25" t="s">
        <v>293</v>
      </c>
      <c r="H1029" s="25"/>
      <c r="BA1029" s="73" t="s">
        <v>355</v>
      </c>
      <c r="BB1029" s="48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357</v>
      </c>
      <c r="E1030" s="1" t="s">
        <v>117</v>
      </c>
      <c r="F1030" s="26">
        <v>6.2</v>
      </c>
      <c r="G1030" s="25" t="s">
        <v>293</v>
      </c>
      <c r="H1030" s="25"/>
      <c r="BA1030" s="73" t="s">
        <v>355</v>
      </c>
      <c r="BB1030" s="48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357</v>
      </c>
      <c r="E1031" s="1" t="s">
        <v>344</v>
      </c>
      <c r="F1031" s="26">
        <v>66</v>
      </c>
      <c r="G1031" s="25" t="s">
        <v>293</v>
      </c>
      <c r="H1031" s="25"/>
      <c r="BA1031" s="73" t="s">
        <v>355</v>
      </c>
      <c r="BB1031" s="48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357</v>
      </c>
      <c r="E1032" s="1" t="s">
        <v>132</v>
      </c>
      <c r="F1032" s="26">
        <v>7.39</v>
      </c>
      <c r="G1032" s="25" t="s">
        <v>293</v>
      </c>
      <c r="H1032" s="25"/>
      <c r="BA1032" s="73" t="s">
        <v>355</v>
      </c>
      <c r="BB1032" s="48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357</v>
      </c>
      <c r="E1033" s="1" t="s">
        <v>111</v>
      </c>
      <c r="F1033" s="26">
        <v>281</v>
      </c>
      <c r="G1033" s="25" t="s">
        <v>293</v>
      </c>
      <c r="H1033" s="25"/>
      <c r="BA1033" s="73" t="s">
        <v>355</v>
      </c>
      <c r="BB1033" s="48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357</v>
      </c>
      <c r="E1034" s="1" t="s">
        <v>345</v>
      </c>
      <c r="F1034" s="26">
        <v>9.75</v>
      </c>
      <c r="G1034" s="25" t="s">
        <v>293</v>
      </c>
      <c r="H1034" s="25"/>
      <c r="BA1034" s="73" t="s">
        <v>355</v>
      </c>
      <c r="BB1034" s="48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357</v>
      </c>
      <c r="E1035" s="1" t="s">
        <v>347</v>
      </c>
      <c r="F1035" s="26">
        <v>4.43</v>
      </c>
      <c r="G1035" s="25" t="s">
        <v>293</v>
      </c>
      <c r="H1035" s="25"/>
      <c r="BA1035" s="73" t="s">
        <v>355</v>
      </c>
      <c r="BB1035" s="48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357</v>
      </c>
      <c r="E1036" s="1" t="s">
        <v>128</v>
      </c>
      <c r="F1036" s="26">
        <v>4.4000000000000004</v>
      </c>
      <c r="G1036" s="25" t="s">
        <v>293</v>
      </c>
      <c r="H1036" s="25"/>
      <c r="BA1036" s="73" t="s">
        <v>355</v>
      </c>
      <c r="BB1036" s="48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357</v>
      </c>
      <c r="E1037" s="1" t="s">
        <v>121</v>
      </c>
      <c r="F1037" s="26">
        <v>82</v>
      </c>
      <c r="G1037" s="25" t="s">
        <v>293</v>
      </c>
      <c r="H1037" s="25"/>
      <c r="BA1037" s="73" t="s">
        <v>355</v>
      </c>
      <c r="BB1037" s="48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357</v>
      </c>
      <c r="E1038" s="1" t="s">
        <v>115</v>
      </c>
      <c r="F1038" s="26">
        <v>97</v>
      </c>
      <c r="G1038" s="25" t="s">
        <v>293</v>
      </c>
      <c r="H1038" s="25"/>
      <c r="BA1038" s="73" t="s">
        <v>355</v>
      </c>
      <c r="BB1038" s="48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357</v>
      </c>
      <c r="E1039" s="1" t="s">
        <v>137</v>
      </c>
      <c r="F1039" s="26">
        <v>483</v>
      </c>
      <c r="G1039" s="25" t="s">
        <v>293</v>
      </c>
      <c r="H1039" s="25"/>
      <c r="BA1039" s="73" t="s">
        <v>355</v>
      </c>
      <c r="BB1039" s="48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357</v>
      </c>
      <c r="E1040" s="1" t="s">
        <v>348</v>
      </c>
      <c r="F1040" s="26">
        <v>435</v>
      </c>
      <c r="G1040" s="25" t="s">
        <v>293</v>
      </c>
      <c r="H1040" s="25"/>
      <c r="BA1040" s="73" t="s">
        <v>355</v>
      </c>
      <c r="BB1040" s="48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357</v>
      </c>
      <c r="E1041" s="1" t="s">
        <v>125</v>
      </c>
      <c r="F1041" s="26">
        <v>424</v>
      </c>
      <c r="G1041" s="25" t="s">
        <v>293</v>
      </c>
      <c r="H1041" s="25"/>
      <c r="BA1041" s="73" t="s">
        <v>355</v>
      </c>
      <c r="BB1041" s="48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357</v>
      </c>
      <c r="E1042" s="1" t="s">
        <v>126</v>
      </c>
      <c r="F1042" s="26">
        <v>154</v>
      </c>
      <c r="G1042" s="25" t="s">
        <v>293</v>
      </c>
      <c r="H1042" s="25"/>
      <c r="BA1042" s="73" t="s">
        <v>355</v>
      </c>
      <c r="BB1042" s="48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357</v>
      </c>
      <c r="E1043" s="1" t="s">
        <v>349</v>
      </c>
      <c r="F1043" s="26">
        <v>391</v>
      </c>
      <c r="G1043" s="25" t="s">
        <v>293</v>
      </c>
      <c r="H1043" s="25"/>
      <c r="BA1043" s="73" t="s">
        <v>355</v>
      </c>
      <c r="BB1043" s="48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357</v>
      </c>
      <c r="E1044" s="1" t="s">
        <v>350</v>
      </c>
      <c r="F1044" s="26">
        <v>82</v>
      </c>
      <c r="G1044" s="25" t="s">
        <v>293</v>
      </c>
      <c r="H1044" s="25"/>
      <c r="BA1044" s="73" t="s">
        <v>355</v>
      </c>
      <c r="BB1044" s="48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357</v>
      </c>
      <c r="E1045" s="1" t="s">
        <v>122</v>
      </c>
      <c r="F1045" s="26">
        <v>222</v>
      </c>
      <c r="G1045" s="25" t="s">
        <v>293</v>
      </c>
      <c r="H1045" s="25"/>
      <c r="BA1045" s="73" t="s">
        <v>355</v>
      </c>
      <c r="BB1045" s="48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357</v>
      </c>
      <c r="E1046" s="1" t="s">
        <v>124</v>
      </c>
      <c r="F1046" s="26">
        <v>107</v>
      </c>
      <c r="G1046" s="25" t="s">
        <v>293</v>
      </c>
      <c r="H1046" s="25"/>
      <c r="BA1046" s="73" t="s">
        <v>355</v>
      </c>
      <c r="BB1046" s="48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357</v>
      </c>
      <c r="E1047" s="1" t="s">
        <v>351</v>
      </c>
      <c r="F1047" s="26">
        <v>3.57</v>
      </c>
      <c r="G1047" s="25" t="s">
        <v>293</v>
      </c>
      <c r="H1047" s="25"/>
      <c r="BA1047" s="73" t="s">
        <v>355</v>
      </c>
      <c r="BB1047" s="48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357</v>
      </c>
      <c r="E1048" s="1" t="s">
        <v>353</v>
      </c>
      <c r="F1048" s="26">
        <v>16.7</v>
      </c>
      <c r="G1048" s="25" t="s">
        <v>293</v>
      </c>
      <c r="H1048" s="25"/>
      <c r="BA1048" s="73" t="s">
        <v>355</v>
      </c>
      <c r="BB1048" s="48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357</v>
      </c>
      <c r="E1049" s="1" t="s">
        <v>133</v>
      </c>
      <c r="F1049" s="26">
        <v>126</v>
      </c>
      <c r="G1049" s="25" t="s">
        <v>293</v>
      </c>
      <c r="H1049" s="25"/>
      <c r="BA1049" s="73" t="s">
        <v>355</v>
      </c>
      <c r="BB1049" s="48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357</v>
      </c>
      <c r="E1050" s="1" t="s">
        <v>135</v>
      </c>
      <c r="F1050" s="26">
        <v>6.4</v>
      </c>
      <c r="G1050" s="25" t="s">
        <v>293</v>
      </c>
      <c r="H1050" s="25"/>
      <c r="BA1050" s="73" t="s">
        <v>355</v>
      </c>
      <c r="BB1050" s="48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357</v>
      </c>
      <c r="E1051" s="1" t="s">
        <v>136</v>
      </c>
      <c r="F1051" s="26">
        <v>94</v>
      </c>
      <c r="G1051" s="25" t="s">
        <v>293</v>
      </c>
      <c r="H1051" s="25"/>
      <c r="BA1051" s="73" t="s">
        <v>355</v>
      </c>
      <c r="BB1051" s="48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357</v>
      </c>
      <c r="E1052" s="1" t="s">
        <v>339</v>
      </c>
      <c r="F1052" s="26">
        <v>1.1499999999999999</v>
      </c>
      <c r="G1052" s="25" t="s">
        <v>293</v>
      </c>
      <c r="H1052" s="25"/>
      <c r="BA1052" s="73" t="s">
        <v>355</v>
      </c>
      <c r="BB1052" s="48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357</v>
      </c>
      <c r="E1053" s="1" t="s">
        <v>118</v>
      </c>
      <c r="F1053" s="26">
        <v>9.7200000000000006</v>
      </c>
      <c r="G1053" s="25" t="s">
        <v>293</v>
      </c>
      <c r="H1053" s="25"/>
      <c r="BA1053" s="73" t="s">
        <v>355</v>
      </c>
      <c r="BB1053" s="48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357</v>
      </c>
      <c r="E1054" s="1" t="s">
        <v>130</v>
      </c>
      <c r="F1054" s="26">
        <v>2.6</v>
      </c>
      <c r="G1054" s="25" t="s">
        <v>293</v>
      </c>
      <c r="H1054" s="25"/>
      <c r="BA1054" s="73" t="s">
        <v>355</v>
      </c>
      <c r="BB1054" s="48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357</v>
      </c>
      <c r="E1055" s="1" t="s">
        <v>341</v>
      </c>
      <c r="F1055" s="26">
        <v>1.099</v>
      </c>
      <c r="G1055" s="25" t="s">
        <v>293</v>
      </c>
      <c r="H1055" s="25"/>
      <c r="BA1055" s="73" t="s">
        <v>355</v>
      </c>
      <c r="BB1055" s="48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357</v>
      </c>
      <c r="E1056" s="1" t="s">
        <v>127</v>
      </c>
      <c r="F1056" s="26">
        <v>4.46</v>
      </c>
      <c r="G1056" s="25" t="s">
        <v>293</v>
      </c>
      <c r="H1056" s="25"/>
      <c r="BA1056" s="73" t="s">
        <v>355</v>
      </c>
      <c r="BB1056" s="48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357</v>
      </c>
      <c r="E1057" s="1" t="s">
        <v>131</v>
      </c>
      <c r="F1057" s="26">
        <v>11.9</v>
      </c>
      <c r="G1057" s="25" t="s">
        <v>293</v>
      </c>
      <c r="H1057" s="25"/>
      <c r="BA1057" s="73" t="s">
        <v>355</v>
      </c>
      <c r="BB1057" s="48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357</v>
      </c>
      <c r="E1058" s="1" t="s">
        <v>342</v>
      </c>
      <c r="F1058" s="26">
        <v>195</v>
      </c>
      <c r="G1058" s="25" t="s">
        <v>293</v>
      </c>
      <c r="H1058" s="25"/>
      <c r="BA1058" s="73" t="s">
        <v>355</v>
      </c>
      <c r="BB1058" s="48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357</v>
      </c>
      <c r="E1059" s="1" t="s">
        <v>119</v>
      </c>
      <c r="F1059" s="26">
        <v>86</v>
      </c>
      <c r="G1059" s="25" t="s">
        <v>293</v>
      </c>
      <c r="H1059" s="25"/>
      <c r="BA1059" s="73" t="s">
        <v>355</v>
      </c>
      <c r="BB1059" s="48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357</v>
      </c>
      <c r="E1060" s="1" t="s">
        <v>120</v>
      </c>
      <c r="F1060" s="26">
        <v>26</v>
      </c>
      <c r="G1060" s="25" t="s">
        <v>293</v>
      </c>
      <c r="H1060" s="25"/>
      <c r="BA1060" s="73" t="s">
        <v>355</v>
      </c>
      <c r="BB1060" s="48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357</v>
      </c>
      <c r="E1061" s="1" t="s">
        <v>117</v>
      </c>
      <c r="F1061" s="26">
        <v>6.17</v>
      </c>
      <c r="G1061" s="25" t="s">
        <v>293</v>
      </c>
      <c r="H1061" s="25"/>
      <c r="BA1061" s="73" t="s">
        <v>355</v>
      </c>
      <c r="BB1061" s="48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357</v>
      </c>
      <c r="E1062" s="1" t="s">
        <v>344</v>
      </c>
      <c r="F1062" s="26">
        <v>67</v>
      </c>
      <c r="G1062" s="25" t="s">
        <v>293</v>
      </c>
      <c r="H1062" s="25"/>
      <c r="BA1062" s="73" t="s">
        <v>355</v>
      </c>
      <c r="BB1062" s="48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357</v>
      </c>
      <c r="E1063" s="1" t="s">
        <v>132</v>
      </c>
      <c r="F1063" s="26">
        <v>7.4</v>
      </c>
      <c r="G1063" s="25" t="s">
        <v>293</v>
      </c>
      <c r="H1063" s="25"/>
      <c r="BA1063" s="73" t="s">
        <v>355</v>
      </c>
      <c r="BB1063" s="48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357</v>
      </c>
      <c r="E1064" s="1" t="s">
        <v>111</v>
      </c>
      <c r="F1064" s="26">
        <v>277</v>
      </c>
      <c r="G1064" s="25" t="s">
        <v>293</v>
      </c>
      <c r="H1064" s="25"/>
      <c r="BA1064" s="73" t="s">
        <v>355</v>
      </c>
      <c r="BB1064" s="48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357</v>
      </c>
      <c r="E1065" s="1" t="s">
        <v>345</v>
      </c>
      <c r="F1065" s="26">
        <v>9.9</v>
      </c>
      <c r="G1065" s="25" t="s">
        <v>293</v>
      </c>
      <c r="H1065" s="25"/>
      <c r="BA1065" s="73" t="s">
        <v>355</v>
      </c>
      <c r="BB1065" s="48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357</v>
      </c>
      <c r="E1066" s="1" t="s">
        <v>347</v>
      </c>
      <c r="F1066" s="26">
        <v>4.5</v>
      </c>
      <c r="G1066" s="25" t="s">
        <v>293</v>
      </c>
      <c r="H1066" s="25"/>
      <c r="BA1066" s="73" t="s">
        <v>355</v>
      </c>
      <c r="BB1066" s="48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357</v>
      </c>
      <c r="E1067" s="1" t="s">
        <v>128</v>
      </c>
      <c r="F1067" s="26">
        <v>4.3</v>
      </c>
      <c r="G1067" s="25" t="s">
        <v>293</v>
      </c>
      <c r="H1067" s="25"/>
      <c r="BA1067" s="73" t="s">
        <v>355</v>
      </c>
      <c r="BB1067" s="48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357</v>
      </c>
      <c r="E1068" s="1" t="s">
        <v>121</v>
      </c>
      <c r="F1068" s="26">
        <v>78</v>
      </c>
      <c r="G1068" s="25" t="s">
        <v>293</v>
      </c>
      <c r="H1068" s="25"/>
      <c r="BA1068" s="73" t="s">
        <v>355</v>
      </c>
      <c r="BB1068" s="48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357</v>
      </c>
      <c r="E1069" s="1" t="s">
        <v>115</v>
      </c>
      <c r="F1069" s="26">
        <v>96</v>
      </c>
      <c r="G1069" s="25" t="s">
        <v>293</v>
      </c>
      <c r="H1069" s="25"/>
      <c r="BA1069" s="73" t="s">
        <v>355</v>
      </c>
      <c r="BB1069" s="48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357</v>
      </c>
      <c r="E1070" s="1" t="s">
        <v>137</v>
      </c>
      <c r="F1070" s="26">
        <v>485</v>
      </c>
      <c r="G1070" s="25" t="s">
        <v>293</v>
      </c>
      <c r="H1070" s="25"/>
      <c r="BA1070" s="73" t="s">
        <v>355</v>
      </c>
      <c r="BB1070" s="48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357</v>
      </c>
      <c r="E1071" s="1" t="s">
        <v>348</v>
      </c>
      <c r="F1071" s="26">
        <v>435</v>
      </c>
      <c r="G1071" s="25" t="s">
        <v>293</v>
      </c>
      <c r="H1071" s="25"/>
      <c r="BA1071" s="73" t="s">
        <v>355</v>
      </c>
      <c r="BB1071" s="48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357</v>
      </c>
      <c r="E1072" s="1" t="s">
        <v>125</v>
      </c>
      <c r="F1072" s="26">
        <v>410</v>
      </c>
      <c r="G1072" s="25" t="s">
        <v>293</v>
      </c>
      <c r="H1072" s="25"/>
      <c r="BA1072" s="73" t="s">
        <v>355</v>
      </c>
      <c r="BB1072" s="48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357</v>
      </c>
      <c r="E1073" s="1" t="s">
        <v>126</v>
      </c>
      <c r="F1073" s="26">
        <v>154</v>
      </c>
      <c r="G1073" s="25" t="s">
        <v>293</v>
      </c>
      <c r="H1073" s="25"/>
      <c r="BA1073" s="73" t="s">
        <v>355</v>
      </c>
      <c r="BB1073" s="48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357</v>
      </c>
      <c r="E1074" s="1" t="s">
        <v>349</v>
      </c>
      <c r="F1074" s="26">
        <v>399</v>
      </c>
      <c r="G1074" s="25" t="s">
        <v>293</v>
      </c>
      <c r="H1074" s="25"/>
      <c r="BA1074" s="73" t="s">
        <v>355</v>
      </c>
      <c r="BB1074" s="48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357</v>
      </c>
      <c r="E1075" s="1" t="s">
        <v>350</v>
      </c>
      <c r="F1075" s="26">
        <v>85</v>
      </c>
      <c r="G1075" s="25" t="s">
        <v>293</v>
      </c>
      <c r="H1075" s="25"/>
      <c r="BA1075" s="73" t="s">
        <v>355</v>
      </c>
      <c r="BB1075" s="48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357</v>
      </c>
      <c r="E1076" s="1" t="s">
        <v>122</v>
      </c>
      <c r="F1076" s="26">
        <v>220</v>
      </c>
      <c r="G1076" s="25" t="s">
        <v>293</v>
      </c>
      <c r="H1076" s="25"/>
      <c r="BA1076" s="73" t="s">
        <v>355</v>
      </c>
      <c r="BB1076" s="48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357</v>
      </c>
      <c r="E1077" s="1" t="s">
        <v>124</v>
      </c>
      <c r="F1077" s="26">
        <v>110</v>
      </c>
      <c r="G1077" s="25" t="s">
        <v>293</v>
      </c>
      <c r="H1077" s="25"/>
      <c r="BA1077" s="73" t="s">
        <v>355</v>
      </c>
      <c r="BB1077" s="48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357</v>
      </c>
      <c r="E1078" s="1" t="s">
        <v>351</v>
      </c>
      <c r="F1078" s="26">
        <v>3.58</v>
      </c>
      <c r="G1078" s="25" t="s">
        <v>293</v>
      </c>
      <c r="H1078" s="25"/>
      <c r="BA1078" s="73" t="s">
        <v>355</v>
      </c>
      <c r="BB1078" s="48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357</v>
      </c>
      <c r="E1079" s="1" t="s">
        <v>353</v>
      </c>
      <c r="F1079" s="26">
        <v>18.77</v>
      </c>
      <c r="G1079" s="25" t="s">
        <v>293</v>
      </c>
      <c r="H1079" s="25"/>
      <c r="BA1079" s="73" t="s">
        <v>355</v>
      </c>
      <c r="BB1079" s="48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357</v>
      </c>
      <c r="E1080" s="1" t="s">
        <v>133</v>
      </c>
      <c r="F1080" s="26">
        <v>127</v>
      </c>
      <c r="G1080" s="25" t="s">
        <v>293</v>
      </c>
      <c r="H1080" s="25"/>
      <c r="BA1080" s="73" t="s">
        <v>355</v>
      </c>
      <c r="BB1080" s="48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357</v>
      </c>
      <c r="E1081" s="1" t="s">
        <v>135</v>
      </c>
      <c r="F1081" s="26">
        <v>6.4</v>
      </c>
      <c r="G1081" s="25" t="s">
        <v>293</v>
      </c>
      <c r="H1081" s="25"/>
      <c r="BA1081" s="73" t="s">
        <v>355</v>
      </c>
      <c r="BB1081" s="48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357</v>
      </c>
      <c r="E1082" s="1" t="s">
        <v>136</v>
      </c>
      <c r="F1082" s="26">
        <v>93</v>
      </c>
      <c r="G1082" s="25" t="s">
        <v>293</v>
      </c>
      <c r="H1082" s="25"/>
      <c r="BA1082" s="73" t="s">
        <v>355</v>
      </c>
      <c r="BB1082" s="48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357</v>
      </c>
      <c r="E1083" s="1" t="s">
        <v>339</v>
      </c>
      <c r="F1083" s="26">
        <v>1.06</v>
      </c>
      <c r="G1083" s="25" t="s">
        <v>293</v>
      </c>
      <c r="H1083" s="25"/>
      <c r="BA1083" s="73" t="s">
        <v>355</v>
      </c>
      <c r="BB1083" s="48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357</v>
      </c>
      <c r="E1084" s="1" t="s">
        <v>118</v>
      </c>
      <c r="F1084" s="26">
        <v>9.8000000000000007</v>
      </c>
      <c r="G1084" s="25" t="s">
        <v>293</v>
      </c>
      <c r="H1084" s="25"/>
      <c r="BA1084" s="73" t="s">
        <v>355</v>
      </c>
      <c r="BB1084" s="48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357</v>
      </c>
      <c r="E1085" s="1" t="s">
        <v>130</v>
      </c>
      <c r="F1085" s="26">
        <v>2.5</v>
      </c>
      <c r="G1085" s="25" t="s">
        <v>293</v>
      </c>
      <c r="H1085" s="25"/>
      <c r="BA1085" s="73" t="s">
        <v>355</v>
      </c>
      <c r="BB1085" s="48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357</v>
      </c>
      <c r="E1086" s="1" t="s">
        <v>341</v>
      </c>
      <c r="F1086" s="26">
        <v>1.097</v>
      </c>
      <c r="G1086" s="25" t="s">
        <v>293</v>
      </c>
      <c r="H1086" s="25"/>
      <c r="BA1086" s="73" t="s">
        <v>355</v>
      </c>
      <c r="BB1086" s="48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357</v>
      </c>
      <c r="E1087" s="1" t="s">
        <v>127</v>
      </c>
      <c r="F1087" s="26">
        <v>4.5179999999999998</v>
      </c>
      <c r="G1087" s="25" t="s">
        <v>293</v>
      </c>
      <c r="H1087" s="25"/>
      <c r="BA1087" s="73" t="s">
        <v>355</v>
      </c>
      <c r="BB1087" s="48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357</v>
      </c>
      <c r="E1088" s="1" t="s">
        <v>131</v>
      </c>
      <c r="F1088" s="26">
        <v>11.8</v>
      </c>
      <c r="G1088" s="25" t="s">
        <v>293</v>
      </c>
      <c r="H1088" s="25"/>
      <c r="BA1088" s="73" t="s">
        <v>355</v>
      </c>
      <c r="BB1088" s="48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357</v>
      </c>
      <c r="E1089" s="1" t="s">
        <v>342</v>
      </c>
      <c r="F1089" s="26">
        <v>193</v>
      </c>
      <c r="G1089" s="25" t="s">
        <v>293</v>
      </c>
      <c r="H1089" s="25"/>
      <c r="BA1089" s="73" t="s">
        <v>355</v>
      </c>
      <c r="BB1089" s="48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357</v>
      </c>
      <c r="E1090" s="1" t="s">
        <v>119</v>
      </c>
      <c r="F1090" s="26">
        <v>84</v>
      </c>
      <c r="G1090" s="25" t="s">
        <v>293</v>
      </c>
      <c r="H1090" s="25"/>
      <c r="BA1090" s="73" t="s">
        <v>355</v>
      </c>
      <c r="BB1090" s="48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357</v>
      </c>
      <c r="E1091" s="1" t="s">
        <v>120</v>
      </c>
      <c r="F1091" s="26">
        <v>26</v>
      </c>
      <c r="G1091" s="25" t="s">
        <v>293</v>
      </c>
      <c r="H1091" s="25"/>
      <c r="BA1091" s="73" t="s">
        <v>355</v>
      </c>
      <c r="BB1091" s="48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357</v>
      </c>
      <c r="E1092" s="1" t="s">
        <v>117</v>
      </c>
      <c r="F1092" s="26">
        <v>6.14</v>
      </c>
      <c r="G1092" s="25" t="s">
        <v>293</v>
      </c>
      <c r="H1092" s="25"/>
      <c r="BA1092" s="73" t="s">
        <v>355</v>
      </c>
      <c r="BB1092" s="48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357</v>
      </c>
      <c r="E1093" s="1" t="s">
        <v>344</v>
      </c>
      <c r="F1093" s="26">
        <v>66</v>
      </c>
      <c r="G1093" s="25" t="s">
        <v>293</v>
      </c>
      <c r="H1093" s="25"/>
      <c r="BA1093" s="73" t="s">
        <v>355</v>
      </c>
      <c r="BB1093" s="48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357</v>
      </c>
      <c r="E1094" s="1" t="s">
        <v>132</v>
      </c>
      <c r="F1094" s="26">
        <v>7.32</v>
      </c>
      <c r="G1094" s="25" t="s">
        <v>293</v>
      </c>
      <c r="H1094" s="25"/>
      <c r="BA1094" s="73" t="s">
        <v>355</v>
      </c>
      <c r="BB1094" s="48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357</v>
      </c>
      <c r="E1095" s="1" t="s">
        <v>111</v>
      </c>
      <c r="F1095" s="26">
        <v>279</v>
      </c>
      <c r="G1095" s="25" t="s">
        <v>293</v>
      </c>
      <c r="H1095" s="25"/>
      <c r="BA1095" s="73" t="s">
        <v>355</v>
      </c>
      <c r="BB1095" s="48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357</v>
      </c>
      <c r="E1096" s="1" t="s">
        <v>345</v>
      </c>
      <c r="F1096" s="26">
        <v>9.94</v>
      </c>
      <c r="G1096" s="25" t="s">
        <v>293</v>
      </c>
      <c r="H1096" s="25"/>
      <c r="BA1096" s="73" t="s">
        <v>355</v>
      </c>
      <c r="BB1096" s="48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357</v>
      </c>
      <c r="E1097" s="1" t="s">
        <v>347</v>
      </c>
      <c r="F1097" s="26">
        <v>4.5</v>
      </c>
      <c r="G1097" s="25" t="s">
        <v>293</v>
      </c>
      <c r="H1097" s="25"/>
      <c r="BA1097" s="73" t="s">
        <v>355</v>
      </c>
      <c r="BB1097" s="48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357</v>
      </c>
      <c r="E1098" s="1" t="s">
        <v>128</v>
      </c>
      <c r="F1098" s="26">
        <v>4.4000000000000004</v>
      </c>
      <c r="G1098" s="25" t="s">
        <v>293</v>
      </c>
      <c r="H1098" s="25"/>
      <c r="BA1098" s="73" t="s">
        <v>355</v>
      </c>
      <c r="BB1098" s="48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357</v>
      </c>
      <c r="E1099" s="1" t="s">
        <v>121</v>
      </c>
      <c r="F1099" s="26">
        <v>78</v>
      </c>
      <c r="G1099" s="25" t="s">
        <v>293</v>
      </c>
      <c r="H1099" s="25"/>
      <c r="BA1099" s="73" t="s">
        <v>355</v>
      </c>
      <c r="BB1099" s="48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357</v>
      </c>
      <c r="E1100" s="1" t="s">
        <v>115</v>
      </c>
      <c r="F1100" s="26">
        <v>96</v>
      </c>
      <c r="G1100" s="25" t="s">
        <v>293</v>
      </c>
      <c r="H1100" s="25"/>
      <c r="BA1100" s="73" t="s">
        <v>355</v>
      </c>
      <c r="BB1100" s="48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357</v>
      </c>
      <c r="E1101" s="1" t="s">
        <v>137</v>
      </c>
      <c r="F1101" s="26">
        <v>483</v>
      </c>
      <c r="G1101" s="25" t="s">
        <v>293</v>
      </c>
      <c r="H1101" s="25"/>
      <c r="BA1101" s="73" t="s">
        <v>355</v>
      </c>
      <c r="BB1101" s="48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357</v>
      </c>
      <c r="E1102" s="1" t="s">
        <v>348</v>
      </c>
      <c r="F1102" s="26">
        <v>429</v>
      </c>
      <c r="G1102" s="25" t="s">
        <v>293</v>
      </c>
      <c r="H1102" s="25"/>
      <c r="BA1102" s="73" t="s">
        <v>355</v>
      </c>
      <c r="BB1102" s="48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357</v>
      </c>
      <c r="E1103" s="1" t="s">
        <v>125</v>
      </c>
      <c r="F1103" s="26">
        <v>414</v>
      </c>
      <c r="G1103" s="25" t="s">
        <v>293</v>
      </c>
      <c r="H1103" s="25"/>
      <c r="BA1103" s="73" t="s">
        <v>355</v>
      </c>
      <c r="BB1103" s="48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357</v>
      </c>
      <c r="E1104" s="1" t="s">
        <v>126</v>
      </c>
      <c r="F1104" s="26">
        <v>149</v>
      </c>
      <c r="G1104" s="25" t="s">
        <v>293</v>
      </c>
      <c r="H1104" s="25"/>
      <c r="BA1104" s="73" t="s">
        <v>355</v>
      </c>
      <c r="BB1104" s="48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357</v>
      </c>
      <c r="E1105" s="1" t="s">
        <v>349</v>
      </c>
      <c r="F1105" s="26">
        <v>376</v>
      </c>
      <c r="G1105" s="25" t="s">
        <v>293</v>
      </c>
      <c r="H1105" s="25"/>
      <c r="BA1105" s="73" t="s">
        <v>355</v>
      </c>
      <c r="BB1105" s="48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357</v>
      </c>
      <c r="E1106" s="1" t="s">
        <v>350</v>
      </c>
      <c r="F1106" s="26">
        <v>85</v>
      </c>
      <c r="G1106" s="25" t="s">
        <v>293</v>
      </c>
      <c r="H1106" s="25"/>
      <c r="BA1106" s="73" t="s">
        <v>355</v>
      </c>
      <c r="BB1106" s="48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357</v>
      </c>
      <c r="E1107" s="1" t="s">
        <v>122</v>
      </c>
      <c r="F1107" s="26">
        <v>217</v>
      </c>
      <c r="G1107" s="25" t="s">
        <v>293</v>
      </c>
      <c r="H1107" s="25"/>
      <c r="BA1107" s="73" t="s">
        <v>355</v>
      </c>
      <c r="BB1107" s="48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357</v>
      </c>
      <c r="E1108" s="1" t="s">
        <v>124</v>
      </c>
      <c r="F1108" s="26">
        <v>105</v>
      </c>
      <c r="G1108" s="25" t="s">
        <v>293</v>
      </c>
      <c r="H1108" s="25"/>
      <c r="BA1108" s="73" t="s">
        <v>355</v>
      </c>
      <c r="BB1108" s="48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357</v>
      </c>
      <c r="E1109" s="1" t="s">
        <v>351</v>
      </c>
      <c r="F1109" s="26">
        <v>3.6</v>
      </c>
      <c r="G1109" s="25" t="s">
        <v>293</v>
      </c>
      <c r="H1109" s="25"/>
      <c r="BA1109" s="73" t="s">
        <v>355</v>
      </c>
      <c r="BB1109" s="48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357</v>
      </c>
      <c r="E1110" s="1" t="s">
        <v>353</v>
      </c>
      <c r="F1110" s="26">
        <v>20.8</v>
      </c>
      <c r="G1110" s="25" t="s">
        <v>293</v>
      </c>
      <c r="H1110" s="25"/>
      <c r="BA1110" s="73" t="s">
        <v>355</v>
      </c>
      <c r="BB1110" s="48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357</v>
      </c>
      <c r="E1111" s="1" t="s">
        <v>133</v>
      </c>
      <c r="F1111" s="26">
        <v>127</v>
      </c>
      <c r="G1111" s="25" t="s">
        <v>293</v>
      </c>
      <c r="H1111" s="25"/>
      <c r="BA1111" s="73" t="s">
        <v>355</v>
      </c>
      <c r="BB1111" s="48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357</v>
      </c>
      <c r="E1112" s="1" t="s">
        <v>135</v>
      </c>
      <c r="F1112" s="26">
        <v>6.4</v>
      </c>
      <c r="G1112" s="25" t="s">
        <v>293</v>
      </c>
      <c r="H1112" s="25"/>
      <c r="BA1112" s="73" t="s">
        <v>355</v>
      </c>
      <c r="BB1112" s="48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357</v>
      </c>
      <c r="E1113" s="1" t="s">
        <v>136</v>
      </c>
      <c r="F1113" s="26">
        <v>95</v>
      </c>
      <c r="G1113" s="25" t="s">
        <v>293</v>
      </c>
      <c r="H1113" s="25"/>
      <c r="BA1113" s="73" t="s">
        <v>355</v>
      </c>
      <c r="BB1113" s="48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356</v>
      </c>
      <c r="E1114" s="1" t="s">
        <v>339</v>
      </c>
      <c r="F1114" s="26">
        <v>4.63</v>
      </c>
      <c r="G1114" s="25" t="s">
        <v>293</v>
      </c>
      <c r="H1114" s="25"/>
      <c r="BA1114" s="73" t="s">
        <v>355</v>
      </c>
      <c r="BB1114" s="48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356</v>
      </c>
      <c r="E1115" s="1" t="s">
        <v>118</v>
      </c>
      <c r="F1115" s="26">
        <v>4.8</v>
      </c>
      <c r="G1115" s="25" t="s">
        <v>293</v>
      </c>
      <c r="H1115" s="25"/>
      <c r="BA1115" s="73" t="s">
        <v>355</v>
      </c>
      <c r="BB1115" s="48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356</v>
      </c>
      <c r="E1116" s="1" t="s">
        <v>130</v>
      </c>
      <c r="F1116" s="26">
        <v>3.83</v>
      </c>
      <c r="G1116" s="25" t="s">
        <v>293</v>
      </c>
      <c r="H1116" s="25"/>
      <c r="BA1116" s="73" t="s">
        <v>355</v>
      </c>
      <c r="BB1116" s="48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356</v>
      </c>
      <c r="E1117" s="1" t="s">
        <v>341</v>
      </c>
      <c r="F1117" s="26">
        <v>0.28000000000000003</v>
      </c>
      <c r="G1117" s="25" t="s">
        <v>293</v>
      </c>
      <c r="H1117" s="25"/>
      <c r="BA1117" s="73" t="s">
        <v>355</v>
      </c>
      <c r="BB1117" s="48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356</v>
      </c>
      <c r="E1118" s="1" t="s">
        <v>127</v>
      </c>
      <c r="F1118" s="26">
        <v>1.1499999999999999</v>
      </c>
      <c r="G1118" s="25" t="s">
        <v>293</v>
      </c>
      <c r="H1118" s="25"/>
      <c r="BA1118" s="73" t="s">
        <v>355</v>
      </c>
      <c r="BB1118" s="48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356</v>
      </c>
      <c r="E1119" s="1" t="s">
        <v>131</v>
      </c>
      <c r="F1119" s="26">
        <v>8.9</v>
      </c>
      <c r="G1119" s="25" t="s">
        <v>293</v>
      </c>
      <c r="H1119" s="25"/>
      <c r="BA1119" s="73" t="s">
        <v>355</v>
      </c>
      <c r="BB1119" s="48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356</v>
      </c>
      <c r="E1120" s="1" t="s">
        <v>342</v>
      </c>
      <c r="F1120" s="26">
        <v>325</v>
      </c>
      <c r="G1120" s="25" t="s">
        <v>293</v>
      </c>
      <c r="H1120" s="25"/>
      <c r="BA1120" s="73" t="s">
        <v>355</v>
      </c>
      <c r="BB1120" s="48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356</v>
      </c>
      <c r="E1121" s="1" t="s">
        <v>119</v>
      </c>
      <c r="F1121" s="26">
        <v>232</v>
      </c>
      <c r="G1121" s="25" t="s">
        <v>293</v>
      </c>
      <c r="H1121" s="25"/>
      <c r="BA1121" s="73" t="s">
        <v>355</v>
      </c>
      <c r="BB1121" s="48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356</v>
      </c>
      <c r="E1122" s="1" t="s">
        <v>120</v>
      </c>
      <c r="F1122" s="26">
        <v>76</v>
      </c>
      <c r="G1122" s="25" t="s">
        <v>293</v>
      </c>
      <c r="H1122" s="25"/>
      <c r="BA1122" s="73" t="s">
        <v>355</v>
      </c>
      <c r="BB1122" s="48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356</v>
      </c>
      <c r="E1123" s="1" t="s">
        <v>117</v>
      </c>
      <c r="F1123" s="26">
        <v>2.64</v>
      </c>
      <c r="G1123" s="25" t="s">
        <v>293</v>
      </c>
      <c r="H1123" s="25"/>
      <c r="BA1123" s="73" t="s">
        <v>355</v>
      </c>
      <c r="BB1123" s="48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356</v>
      </c>
      <c r="E1124" s="1" t="s">
        <v>344</v>
      </c>
      <c r="F1124" s="26">
        <v>231</v>
      </c>
      <c r="G1124" s="25" t="s">
        <v>293</v>
      </c>
      <c r="H1124" s="25"/>
      <c r="BA1124" s="73" t="s">
        <v>355</v>
      </c>
      <c r="BB1124" s="48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356</v>
      </c>
      <c r="E1125" s="1" t="s">
        <v>132</v>
      </c>
      <c r="F1125" s="26">
        <v>3.58</v>
      </c>
      <c r="G1125" s="25" t="s">
        <v>293</v>
      </c>
      <c r="H1125" s="25"/>
      <c r="BA1125" s="73" t="s">
        <v>355</v>
      </c>
      <c r="BB1125" s="48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356</v>
      </c>
      <c r="E1126" s="1" t="s">
        <v>111</v>
      </c>
      <c r="F1126" s="26">
        <v>87</v>
      </c>
      <c r="G1126" s="25" t="s">
        <v>293</v>
      </c>
      <c r="H1126" s="25"/>
      <c r="BA1126" s="73" t="s">
        <v>355</v>
      </c>
      <c r="BB1126" s="48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356</v>
      </c>
      <c r="E1127" s="1" t="s">
        <v>345</v>
      </c>
      <c r="F1127" s="26">
        <v>5.16</v>
      </c>
      <c r="G1127" s="25" t="s">
        <v>293</v>
      </c>
      <c r="H1127" s="25"/>
      <c r="BA1127" s="73" t="s">
        <v>355</v>
      </c>
      <c r="BB1127" s="48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356</v>
      </c>
      <c r="E1128" s="1" t="s">
        <v>347</v>
      </c>
      <c r="F1128" s="26">
        <v>2.1800000000000002</v>
      </c>
      <c r="G1128" s="25" t="s">
        <v>293</v>
      </c>
      <c r="H1128" s="25"/>
      <c r="BA1128" s="73" t="s">
        <v>355</v>
      </c>
      <c r="BB1128" s="48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356</v>
      </c>
      <c r="E1129" s="1" t="s">
        <v>128</v>
      </c>
      <c r="F1129" s="26">
        <v>6.7</v>
      </c>
      <c r="G1129" s="25" t="s">
        <v>293</v>
      </c>
      <c r="H1129" s="25"/>
      <c r="BA1129" s="73" t="s">
        <v>355</v>
      </c>
      <c r="BB1129" s="48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356</v>
      </c>
      <c r="E1130" s="1" t="s">
        <v>121</v>
      </c>
      <c r="F1130" s="26">
        <v>163</v>
      </c>
      <c r="G1130" s="25" t="s">
        <v>293</v>
      </c>
      <c r="H1130" s="25"/>
      <c r="BA1130" s="73" t="s">
        <v>355</v>
      </c>
      <c r="BB1130" s="48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356</v>
      </c>
      <c r="E1131" s="1" t="s">
        <v>115</v>
      </c>
      <c r="F1131" s="26">
        <v>34</v>
      </c>
      <c r="G1131" s="25" t="s">
        <v>293</v>
      </c>
      <c r="H1131" s="25"/>
      <c r="BA1131" s="73" t="s">
        <v>355</v>
      </c>
      <c r="BB1131" s="48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356</v>
      </c>
      <c r="E1132" s="1" t="s">
        <v>137</v>
      </c>
      <c r="F1132" s="26">
        <v>73</v>
      </c>
      <c r="G1132" s="25" t="s">
        <v>293</v>
      </c>
      <c r="H1132" s="25"/>
      <c r="BA1132" s="73" t="s">
        <v>355</v>
      </c>
      <c r="BB1132" s="48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356</v>
      </c>
      <c r="E1133" s="1" t="s">
        <v>348</v>
      </c>
      <c r="F1133" s="26">
        <v>143</v>
      </c>
      <c r="G1133" s="25" t="s">
        <v>293</v>
      </c>
      <c r="H1133" s="25"/>
      <c r="BA1133" s="73" t="s">
        <v>355</v>
      </c>
      <c r="BB1133" s="48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356</v>
      </c>
      <c r="E1134" s="1" t="s">
        <v>125</v>
      </c>
      <c r="F1134" s="26">
        <v>121</v>
      </c>
      <c r="G1134" s="25" t="s">
        <v>293</v>
      </c>
      <c r="H1134" s="25"/>
      <c r="BA1134" s="73" t="s">
        <v>355</v>
      </c>
      <c r="BB1134" s="48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356</v>
      </c>
      <c r="E1135" s="1" t="s">
        <v>126</v>
      </c>
      <c r="F1135" s="26">
        <v>77</v>
      </c>
      <c r="G1135" s="25" t="s">
        <v>293</v>
      </c>
      <c r="H1135" s="25"/>
      <c r="BA1135" s="73" t="s">
        <v>355</v>
      </c>
      <c r="BB1135" s="48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356</v>
      </c>
      <c r="E1136" s="1" t="s">
        <v>349</v>
      </c>
      <c r="F1136" s="26">
        <v>159</v>
      </c>
      <c r="G1136" s="25" t="s">
        <v>293</v>
      </c>
      <c r="H1136" s="25"/>
      <c r="BA1136" s="73" t="s">
        <v>355</v>
      </c>
      <c r="BB1136" s="48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356</v>
      </c>
      <c r="E1137" s="1" t="s">
        <v>350</v>
      </c>
      <c r="F1137" s="26">
        <v>57</v>
      </c>
      <c r="G1137" s="25" t="s">
        <v>293</v>
      </c>
      <c r="H1137" s="25"/>
      <c r="BA1137" s="73" t="s">
        <v>355</v>
      </c>
      <c r="BB1137" s="48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356</v>
      </c>
      <c r="E1138" s="1" t="s">
        <v>122</v>
      </c>
      <c r="F1138" s="26">
        <v>49</v>
      </c>
      <c r="G1138" s="25" t="s">
        <v>293</v>
      </c>
      <c r="H1138" s="25"/>
      <c r="BA1138" s="73" t="s">
        <v>355</v>
      </c>
      <c r="BB1138" s="48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356</v>
      </c>
      <c r="E1139" s="1" t="s">
        <v>124</v>
      </c>
      <c r="F1139" s="26">
        <v>30</v>
      </c>
      <c r="G1139" s="25" t="s">
        <v>293</v>
      </c>
      <c r="H1139" s="25"/>
      <c r="BA1139" s="73" t="s">
        <v>355</v>
      </c>
      <c r="BB1139" s="48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356</v>
      </c>
      <c r="E1140" s="1" t="s">
        <v>351</v>
      </c>
      <c r="F1140" s="26">
        <v>1.1000000000000001</v>
      </c>
      <c r="G1140" s="25" t="s">
        <v>293</v>
      </c>
      <c r="H1140" s="25"/>
      <c r="BA1140" s="73" t="s">
        <v>355</v>
      </c>
      <c r="BB1140" s="48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356</v>
      </c>
      <c r="E1141" s="1" t="s">
        <v>353</v>
      </c>
      <c r="F1141" s="26">
        <v>32.799999999999997</v>
      </c>
      <c r="G1141" s="25" t="s">
        <v>293</v>
      </c>
      <c r="H1141" s="25"/>
      <c r="BA1141" s="73" t="s">
        <v>355</v>
      </c>
      <c r="BB1141" s="48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356</v>
      </c>
      <c r="E1142" s="1" t="s">
        <v>133</v>
      </c>
      <c r="F1142" s="26">
        <v>147</v>
      </c>
      <c r="G1142" s="25" t="s">
        <v>293</v>
      </c>
      <c r="H1142" s="25"/>
      <c r="BA1142" s="73" t="s">
        <v>355</v>
      </c>
      <c r="BB1142" s="48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356</v>
      </c>
      <c r="E1143" s="1" t="s">
        <v>135</v>
      </c>
      <c r="F1143" s="26">
        <v>3.8</v>
      </c>
      <c r="G1143" s="25" t="s">
        <v>293</v>
      </c>
      <c r="H1143" s="25"/>
      <c r="BA1143" s="73" t="s">
        <v>355</v>
      </c>
      <c r="BB1143" s="48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356</v>
      </c>
      <c r="E1144" s="1" t="s">
        <v>136</v>
      </c>
      <c r="F1144" s="26">
        <v>119</v>
      </c>
      <c r="G1144" s="25" t="s">
        <v>293</v>
      </c>
      <c r="H1144" s="25"/>
      <c r="BA1144" s="73" t="s">
        <v>355</v>
      </c>
      <c r="BB1144" s="48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356</v>
      </c>
      <c r="E1145" s="1" t="s">
        <v>339</v>
      </c>
      <c r="F1145" s="26">
        <v>4.6900000000000004</v>
      </c>
      <c r="G1145" s="25" t="s">
        <v>293</v>
      </c>
      <c r="H1145" s="25"/>
      <c r="BA1145" s="73" t="s">
        <v>355</v>
      </c>
      <c r="BB1145" s="48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356</v>
      </c>
      <c r="E1146" s="1" t="s">
        <v>118</v>
      </c>
      <c r="F1146" s="26">
        <v>4.7</v>
      </c>
      <c r="G1146" s="25" t="s">
        <v>293</v>
      </c>
      <c r="H1146" s="25"/>
      <c r="BA1146" s="73" t="s">
        <v>355</v>
      </c>
      <c r="BB1146" s="48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356</v>
      </c>
      <c r="E1147" s="1" t="s">
        <v>130</v>
      </c>
      <c r="F1147" s="26">
        <v>3.859</v>
      </c>
      <c r="G1147" s="25" t="s">
        <v>293</v>
      </c>
      <c r="H1147" s="25"/>
      <c r="BA1147" s="73" t="s">
        <v>355</v>
      </c>
      <c r="BB1147" s="48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356</v>
      </c>
      <c r="E1148" s="1" t="s">
        <v>341</v>
      </c>
      <c r="F1148" s="26">
        <v>0.28199999999999997</v>
      </c>
      <c r="G1148" s="25" t="s">
        <v>293</v>
      </c>
      <c r="H1148" s="25"/>
      <c r="BA1148" s="73" t="s">
        <v>355</v>
      </c>
      <c r="BB1148" s="48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356</v>
      </c>
      <c r="E1149" s="1" t="s">
        <v>127</v>
      </c>
      <c r="F1149" s="26">
        <v>1.2010000000000001</v>
      </c>
      <c r="G1149" s="25" t="s">
        <v>293</v>
      </c>
      <c r="H1149" s="25"/>
      <c r="BA1149" s="73" t="s">
        <v>355</v>
      </c>
      <c r="BB1149" s="48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356</v>
      </c>
      <c r="E1150" s="1" t="s">
        <v>131</v>
      </c>
      <c r="F1150" s="26">
        <v>8.6999999999999993</v>
      </c>
      <c r="G1150" s="25" t="s">
        <v>293</v>
      </c>
      <c r="H1150" s="25"/>
      <c r="BA1150" s="73" t="s">
        <v>355</v>
      </c>
      <c r="BB1150" s="48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356</v>
      </c>
      <c r="E1151" s="1" t="s">
        <v>342</v>
      </c>
      <c r="F1151" s="26">
        <v>320</v>
      </c>
      <c r="G1151" s="25" t="s">
        <v>293</v>
      </c>
      <c r="H1151" s="25"/>
      <c r="BA1151" s="73" t="s">
        <v>355</v>
      </c>
      <c r="BB1151" s="48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356</v>
      </c>
      <c r="E1152" s="1" t="s">
        <v>119</v>
      </c>
      <c r="F1152" s="26">
        <v>237</v>
      </c>
      <c r="G1152" s="25" t="s">
        <v>293</v>
      </c>
      <c r="H1152" s="25"/>
      <c r="BA1152" s="73" t="s">
        <v>355</v>
      </c>
      <c r="BB1152" s="48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356</v>
      </c>
      <c r="E1153" s="1" t="s">
        <v>120</v>
      </c>
      <c r="F1153" s="26">
        <v>77</v>
      </c>
      <c r="G1153" s="25" t="s">
        <v>293</v>
      </c>
      <c r="H1153" s="25"/>
      <c r="BA1153" s="73" t="s">
        <v>355</v>
      </c>
      <c r="BB1153" s="48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356</v>
      </c>
      <c r="E1154" s="1" t="s">
        <v>117</v>
      </c>
      <c r="F1154" s="26">
        <v>2.65</v>
      </c>
      <c r="G1154" s="25" t="s">
        <v>293</v>
      </c>
      <c r="H1154" s="25"/>
      <c r="BA1154" s="73" t="s">
        <v>355</v>
      </c>
      <c r="BB1154" s="48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356</v>
      </c>
      <c r="E1155" s="1" t="s">
        <v>344</v>
      </c>
      <c r="F1155" s="26">
        <v>236</v>
      </c>
      <c r="G1155" s="25" t="s">
        <v>293</v>
      </c>
      <c r="H1155" s="25"/>
      <c r="BA1155" s="73" t="s">
        <v>355</v>
      </c>
      <c r="BB1155" s="48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356</v>
      </c>
      <c r="E1156" s="1" t="s">
        <v>132</v>
      </c>
      <c r="F1156" s="26">
        <v>3.62</v>
      </c>
      <c r="G1156" s="25" t="s">
        <v>293</v>
      </c>
      <c r="H1156" s="25"/>
      <c r="BA1156" s="73" t="s">
        <v>355</v>
      </c>
      <c r="BB1156" s="48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356</v>
      </c>
      <c r="E1157" s="1" t="s">
        <v>111</v>
      </c>
      <c r="F1157" s="26">
        <v>88</v>
      </c>
      <c r="G1157" s="25" t="s">
        <v>293</v>
      </c>
      <c r="H1157" s="25"/>
      <c r="BA1157" s="73" t="s">
        <v>355</v>
      </c>
      <c r="BB1157" s="48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356</v>
      </c>
      <c r="E1158" s="1" t="s">
        <v>345</v>
      </c>
      <c r="F1158" s="26">
        <v>5.16</v>
      </c>
      <c r="G1158" s="25" t="s">
        <v>293</v>
      </c>
      <c r="H1158" s="25"/>
      <c r="BA1158" s="73" t="s">
        <v>355</v>
      </c>
      <c r="BB1158" s="48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356</v>
      </c>
      <c r="E1159" s="1" t="s">
        <v>347</v>
      </c>
      <c r="F1159" s="26">
        <v>1.99</v>
      </c>
      <c r="G1159" s="25" t="s">
        <v>293</v>
      </c>
      <c r="H1159" s="25"/>
      <c r="BA1159" s="73" t="s">
        <v>355</v>
      </c>
      <c r="BB1159" s="48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356</v>
      </c>
      <c r="E1160" s="1" t="s">
        <v>128</v>
      </c>
      <c r="F1160" s="26">
        <v>6.8</v>
      </c>
      <c r="G1160" s="25" t="s">
        <v>293</v>
      </c>
      <c r="H1160" s="25"/>
      <c r="BA1160" s="73" t="s">
        <v>355</v>
      </c>
      <c r="BB1160" s="48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356</v>
      </c>
      <c r="E1161" s="1" t="s">
        <v>121</v>
      </c>
      <c r="F1161" s="26">
        <v>159</v>
      </c>
      <c r="G1161" s="25" t="s">
        <v>293</v>
      </c>
      <c r="H1161" s="25"/>
      <c r="BA1161" s="73" t="s">
        <v>355</v>
      </c>
      <c r="BB1161" s="48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356</v>
      </c>
      <c r="E1162" s="1" t="s">
        <v>115</v>
      </c>
      <c r="F1162" s="26">
        <v>34</v>
      </c>
      <c r="G1162" s="25" t="s">
        <v>293</v>
      </c>
      <c r="H1162" s="25"/>
      <c r="BA1162" s="73" t="s">
        <v>355</v>
      </c>
      <c r="BB1162" s="48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356</v>
      </c>
      <c r="E1163" s="1" t="s">
        <v>137</v>
      </c>
      <c r="F1163" s="26">
        <v>76</v>
      </c>
      <c r="G1163" s="25" t="s">
        <v>293</v>
      </c>
      <c r="H1163" s="25"/>
      <c r="BA1163" s="73" t="s">
        <v>355</v>
      </c>
      <c r="BB1163" s="48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356</v>
      </c>
      <c r="E1164" s="1" t="s">
        <v>348</v>
      </c>
      <c r="F1164" s="26">
        <v>136</v>
      </c>
      <c r="G1164" s="25" t="s">
        <v>293</v>
      </c>
      <c r="H1164" s="25"/>
      <c r="BA1164" s="73" t="s">
        <v>355</v>
      </c>
      <c r="BB1164" s="48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356</v>
      </c>
      <c r="E1165" s="1" t="s">
        <v>125</v>
      </c>
      <c r="F1165" s="26">
        <v>111</v>
      </c>
      <c r="G1165" s="25" t="s">
        <v>293</v>
      </c>
      <c r="H1165" s="25"/>
      <c r="BA1165" s="73" t="s">
        <v>355</v>
      </c>
      <c r="BB1165" s="48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356</v>
      </c>
      <c r="E1166" s="1" t="s">
        <v>126</v>
      </c>
      <c r="F1166" s="26">
        <v>80</v>
      </c>
      <c r="G1166" s="25" t="s">
        <v>293</v>
      </c>
      <c r="H1166" s="25"/>
      <c r="BA1166" s="73" t="s">
        <v>355</v>
      </c>
      <c r="BB1166" s="48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356</v>
      </c>
      <c r="E1167" s="1" t="s">
        <v>349</v>
      </c>
      <c r="F1167" s="26">
        <v>165</v>
      </c>
      <c r="G1167" s="25" t="s">
        <v>293</v>
      </c>
      <c r="H1167" s="25"/>
      <c r="BA1167" s="73" t="s">
        <v>355</v>
      </c>
      <c r="BB1167" s="48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356</v>
      </c>
      <c r="E1168" s="1" t="s">
        <v>350</v>
      </c>
      <c r="F1168" s="26">
        <v>60</v>
      </c>
      <c r="G1168" s="25" t="s">
        <v>293</v>
      </c>
      <c r="H1168" s="25"/>
      <c r="BA1168" s="73" t="s">
        <v>355</v>
      </c>
      <c r="BB1168" s="48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356</v>
      </c>
      <c r="E1169" s="1" t="s">
        <v>122</v>
      </c>
      <c r="F1169" s="26">
        <v>47</v>
      </c>
      <c r="G1169" s="25" t="s">
        <v>293</v>
      </c>
      <c r="H1169" s="25"/>
      <c r="BA1169" s="73" t="s">
        <v>355</v>
      </c>
      <c r="BB1169" s="48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356</v>
      </c>
      <c r="E1170" s="1" t="s">
        <v>124</v>
      </c>
      <c r="F1170" s="26">
        <v>30</v>
      </c>
      <c r="G1170" s="25" t="s">
        <v>293</v>
      </c>
      <c r="H1170" s="25"/>
      <c r="BA1170" s="73" t="s">
        <v>355</v>
      </c>
      <c r="BB1170" s="48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356</v>
      </c>
      <c r="E1171" s="1" t="s">
        <v>351</v>
      </c>
      <c r="F1171" s="26">
        <v>0.96</v>
      </c>
      <c r="G1171" s="25" t="s">
        <v>293</v>
      </c>
      <c r="H1171" s="25"/>
      <c r="BA1171" s="73" t="s">
        <v>355</v>
      </c>
      <c r="BB1171" s="48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356</v>
      </c>
      <c r="E1172" s="1" t="s">
        <v>353</v>
      </c>
      <c r="F1172" s="26">
        <v>36.6</v>
      </c>
      <c r="G1172" s="25" t="s">
        <v>293</v>
      </c>
      <c r="H1172" s="25"/>
      <c r="BA1172" s="73" t="s">
        <v>355</v>
      </c>
      <c r="BB1172" s="48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356</v>
      </c>
      <c r="E1173" s="1" t="s">
        <v>133</v>
      </c>
      <c r="F1173" s="26">
        <v>148</v>
      </c>
      <c r="G1173" s="25" t="s">
        <v>293</v>
      </c>
      <c r="H1173" s="25"/>
      <c r="BA1173" s="73" t="s">
        <v>355</v>
      </c>
      <c r="BB1173" s="48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356</v>
      </c>
      <c r="E1174" s="1" t="s">
        <v>135</v>
      </c>
      <c r="F1174" s="26">
        <v>3.8</v>
      </c>
      <c r="G1174" s="25" t="s">
        <v>293</v>
      </c>
      <c r="H1174" s="25"/>
      <c r="BA1174" s="73" t="s">
        <v>355</v>
      </c>
      <c r="BB1174" s="48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356</v>
      </c>
      <c r="E1175" s="1" t="s">
        <v>136</v>
      </c>
      <c r="F1175" s="26">
        <v>117</v>
      </c>
      <c r="G1175" s="25" t="s">
        <v>293</v>
      </c>
      <c r="H1175" s="25"/>
      <c r="BA1175" s="73" t="s">
        <v>355</v>
      </c>
      <c r="BB1175" s="48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356</v>
      </c>
      <c r="E1176" s="1" t="s">
        <v>339</v>
      </c>
      <c r="F1176" s="26">
        <v>4.46</v>
      </c>
      <c r="G1176" s="25" t="s">
        <v>293</v>
      </c>
      <c r="H1176" s="25"/>
      <c r="BA1176" s="73" t="s">
        <v>355</v>
      </c>
      <c r="BB1176" s="48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356</v>
      </c>
      <c r="E1177" s="1" t="s">
        <v>118</v>
      </c>
      <c r="F1177" s="26">
        <v>4.5999999999999996</v>
      </c>
      <c r="G1177" s="25" t="s">
        <v>293</v>
      </c>
      <c r="H1177" s="25"/>
      <c r="BA1177" s="73" t="s">
        <v>355</v>
      </c>
      <c r="BB1177" s="48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356</v>
      </c>
      <c r="E1178" s="1" t="s">
        <v>130</v>
      </c>
      <c r="F1178" s="26">
        <v>3.76</v>
      </c>
      <c r="G1178" s="25" t="s">
        <v>293</v>
      </c>
      <c r="H1178" s="25"/>
      <c r="BA1178" s="73" t="s">
        <v>355</v>
      </c>
      <c r="BB1178" s="48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356</v>
      </c>
      <c r="E1179" s="1" t="s">
        <v>341</v>
      </c>
      <c r="F1179" s="26">
        <v>0.28999999999999998</v>
      </c>
      <c r="G1179" s="25" t="s">
        <v>293</v>
      </c>
      <c r="H1179" s="25"/>
      <c r="BA1179" s="73" t="s">
        <v>355</v>
      </c>
      <c r="BB1179" s="48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356</v>
      </c>
      <c r="E1180" s="1" t="s">
        <v>127</v>
      </c>
      <c r="F1180" s="26">
        <v>1.1399999999999999</v>
      </c>
      <c r="G1180" s="25" t="s">
        <v>293</v>
      </c>
      <c r="H1180" s="25"/>
      <c r="BA1180" s="73" t="s">
        <v>355</v>
      </c>
      <c r="BB1180" s="48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356</v>
      </c>
      <c r="E1181" s="1" t="s">
        <v>131</v>
      </c>
      <c r="F1181" s="26">
        <v>8.4</v>
      </c>
      <c r="G1181" s="25" t="s">
        <v>293</v>
      </c>
      <c r="H1181" s="25"/>
      <c r="BA1181" s="73" t="s">
        <v>355</v>
      </c>
      <c r="BB1181" s="48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356</v>
      </c>
      <c r="E1182" s="1" t="s">
        <v>342</v>
      </c>
      <c r="F1182" s="26">
        <v>326</v>
      </c>
      <c r="G1182" s="25" t="s">
        <v>293</v>
      </c>
      <c r="H1182" s="25"/>
      <c r="BA1182" s="73" t="s">
        <v>355</v>
      </c>
      <c r="BB1182" s="48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356</v>
      </c>
      <c r="E1183" s="1" t="s">
        <v>119</v>
      </c>
      <c r="F1183" s="26">
        <v>230</v>
      </c>
      <c r="G1183" s="25" t="s">
        <v>293</v>
      </c>
      <c r="H1183" s="25"/>
      <c r="BA1183" s="73" t="s">
        <v>355</v>
      </c>
      <c r="BB1183" s="48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356</v>
      </c>
      <c r="E1184" s="1" t="s">
        <v>120</v>
      </c>
      <c r="F1184" s="26">
        <v>79</v>
      </c>
      <c r="G1184" s="25" t="s">
        <v>293</v>
      </c>
      <c r="H1184" s="25"/>
      <c r="BA1184" s="73" t="s">
        <v>355</v>
      </c>
      <c r="BB1184" s="48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356</v>
      </c>
      <c r="E1185" s="1" t="s">
        <v>117</v>
      </c>
      <c r="F1185" s="26">
        <v>2.61</v>
      </c>
      <c r="G1185" s="25" t="s">
        <v>293</v>
      </c>
      <c r="H1185" s="25"/>
      <c r="BA1185" s="73" t="s">
        <v>355</v>
      </c>
      <c r="BB1185" s="48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356</v>
      </c>
      <c r="E1186" s="1" t="s">
        <v>344</v>
      </c>
      <c r="F1186" s="26">
        <v>230</v>
      </c>
      <c r="G1186" s="25" t="s">
        <v>293</v>
      </c>
      <c r="H1186" s="25"/>
      <c r="BA1186" s="73" t="s">
        <v>355</v>
      </c>
      <c r="BB1186" s="48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356</v>
      </c>
      <c r="E1187" s="1" t="s">
        <v>132</v>
      </c>
      <c r="F1187" s="26">
        <v>3.52</v>
      </c>
      <c r="G1187" s="25" t="s">
        <v>293</v>
      </c>
      <c r="H1187" s="25"/>
      <c r="BA1187" s="73" t="s">
        <v>355</v>
      </c>
      <c r="BB1187" s="48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356</v>
      </c>
      <c r="E1188" s="1" t="s">
        <v>111</v>
      </c>
      <c r="F1188" s="26">
        <v>87</v>
      </c>
      <c r="G1188" s="25" t="s">
        <v>293</v>
      </c>
      <c r="H1188" s="25"/>
      <c r="BA1188" s="73" t="s">
        <v>355</v>
      </c>
      <c r="BB1188" s="48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356</v>
      </c>
      <c r="E1189" s="1" t="s">
        <v>345</v>
      </c>
      <c r="F1189" s="26">
        <v>5.14</v>
      </c>
      <c r="G1189" s="25" t="s">
        <v>293</v>
      </c>
      <c r="H1189" s="25"/>
      <c r="BA1189" s="73" t="s">
        <v>355</v>
      </c>
      <c r="BB1189" s="48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356</v>
      </c>
      <c r="E1190" s="1" t="s">
        <v>347</v>
      </c>
      <c r="F1190" s="26">
        <v>2.04</v>
      </c>
      <c r="G1190" s="25" t="s">
        <v>293</v>
      </c>
      <c r="H1190" s="25"/>
      <c r="BA1190" s="73" t="s">
        <v>355</v>
      </c>
      <c r="BB1190" s="48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356</v>
      </c>
      <c r="E1191" s="1" t="s">
        <v>128</v>
      </c>
      <c r="F1191" s="26">
        <v>6.6</v>
      </c>
      <c r="G1191" s="25" t="s">
        <v>293</v>
      </c>
      <c r="H1191" s="25"/>
      <c r="BA1191" s="73" t="s">
        <v>355</v>
      </c>
      <c r="BB1191" s="48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356</v>
      </c>
      <c r="E1192" s="1" t="s">
        <v>121</v>
      </c>
      <c r="F1192" s="26">
        <v>156</v>
      </c>
      <c r="G1192" s="25" t="s">
        <v>293</v>
      </c>
      <c r="H1192" s="25"/>
      <c r="BA1192" s="73" t="s">
        <v>355</v>
      </c>
      <c r="BB1192" s="48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356</v>
      </c>
      <c r="E1193" s="1" t="s">
        <v>115</v>
      </c>
      <c r="F1193" s="26">
        <v>34</v>
      </c>
      <c r="G1193" s="25" t="s">
        <v>293</v>
      </c>
      <c r="H1193" s="25"/>
      <c r="BA1193" s="73" t="s">
        <v>355</v>
      </c>
      <c r="BB1193" s="48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356</v>
      </c>
      <c r="E1194" s="1" t="s">
        <v>137</v>
      </c>
      <c r="F1194" s="26">
        <v>74</v>
      </c>
      <c r="G1194" s="25" t="s">
        <v>293</v>
      </c>
      <c r="H1194" s="25"/>
      <c r="BA1194" s="73" t="s">
        <v>355</v>
      </c>
      <c r="BB1194" s="48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356</v>
      </c>
      <c r="E1195" s="1" t="s">
        <v>348</v>
      </c>
      <c r="F1195" s="26">
        <v>138</v>
      </c>
      <c r="G1195" s="25" t="s">
        <v>293</v>
      </c>
      <c r="H1195" s="25"/>
      <c r="BA1195" s="73" t="s">
        <v>355</v>
      </c>
      <c r="BB1195" s="48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356</v>
      </c>
      <c r="E1196" s="1" t="s">
        <v>125</v>
      </c>
      <c r="F1196" s="26">
        <v>110</v>
      </c>
      <c r="G1196" s="25" t="s">
        <v>293</v>
      </c>
      <c r="H1196" s="25"/>
      <c r="BA1196" s="73" t="s">
        <v>355</v>
      </c>
      <c r="BB1196" s="48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356</v>
      </c>
      <c r="E1197" s="1" t="s">
        <v>126</v>
      </c>
      <c r="F1197" s="26">
        <v>79</v>
      </c>
      <c r="G1197" s="25" t="s">
        <v>293</v>
      </c>
      <c r="H1197" s="25"/>
      <c r="BA1197" s="73" t="s">
        <v>355</v>
      </c>
      <c r="BB1197" s="48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356</v>
      </c>
      <c r="E1198" s="1" t="s">
        <v>349</v>
      </c>
      <c r="F1198" s="26">
        <v>150</v>
      </c>
      <c r="G1198" s="25" t="s">
        <v>293</v>
      </c>
      <c r="H1198" s="25"/>
      <c r="BA1198" s="73" t="s">
        <v>355</v>
      </c>
      <c r="BB1198" s="48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356</v>
      </c>
      <c r="E1199" s="1" t="s">
        <v>350</v>
      </c>
      <c r="F1199" s="26">
        <v>58</v>
      </c>
      <c r="G1199" s="25" t="s">
        <v>293</v>
      </c>
      <c r="H1199" s="25"/>
      <c r="BA1199" s="73" t="s">
        <v>355</v>
      </c>
      <c r="BB1199" s="48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356</v>
      </c>
      <c r="E1200" s="1" t="s">
        <v>122</v>
      </c>
      <c r="F1200" s="26">
        <v>47</v>
      </c>
      <c r="G1200" s="25" t="s">
        <v>293</v>
      </c>
      <c r="H1200" s="25"/>
      <c r="BA1200" s="73" t="s">
        <v>355</v>
      </c>
      <c r="BB1200" s="48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356</v>
      </c>
      <c r="E1201" s="1" t="s">
        <v>124</v>
      </c>
      <c r="F1201" s="26">
        <v>31</v>
      </c>
      <c r="G1201" s="25" t="s">
        <v>293</v>
      </c>
      <c r="H1201" s="25"/>
      <c r="BA1201" s="73" t="s">
        <v>355</v>
      </c>
      <c r="BB1201" s="48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356</v>
      </c>
      <c r="E1202" s="1" t="s">
        <v>351</v>
      </c>
      <c r="F1202" s="26">
        <v>0.99</v>
      </c>
      <c r="G1202" s="25" t="s">
        <v>293</v>
      </c>
      <c r="H1202" s="25"/>
      <c r="BA1202" s="73" t="s">
        <v>355</v>
      </c>
      <c r="BB1202" s="48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356</v>
      </c>
      <c r="E1203" s="1" t="s">
        <v>353</v>
      </c>
      <c r="F1203" s="26">
        <v>28.8</v>
      </c>
      <c r="G1203" s="25" t="s">
        <v>293</v>
      </c>
      <c r="H1203" s="25"/>
      <c r="BA1203" s="73" t="s">
        <v>355</v>
      </c>
      <c r="BB1203" s="48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356</v>
      </c>
      <c r="E1204" s="1" t="s">
        <v>133</v>
      </c>
      <c r="F1204" s="26">
        <v>146</v>
      </c>
      <c r="G1204" s="25" t="s">
        <v>293</v>
      </c>
      <c r="H1204" s="25"/>
      <c r="BA1204" s="73" t="s">
        <v>355</v>
      </c>
      <c r="BB1204" s="48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356</v>
      </c>
      <c r="E1205" s="1" t="s">
        <v>135</v>
      </c>
      <c r="F1205" s="26">
        <v>3.8</v>
      </c>
      <c r="G1205" s="25" t="s">
        <v>293</v>
      </c>
      <c r="H1205" s="25"/>
      <c r="BA1205" s="73" t="s">
        <v>355</v>
      </c>
      <c r="BB1205" s="48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356</v>
      </c>
      <c r="E1206" s="1" t="s">
        <v>136</v>
      </c>
      <c r="F1206" s="26">
        <v>115</v>
      </c>
      <c r="G1206" s="25" t="s">
        <v>293</v>
      </c>
      <c r="H1206" s="25"/>
      <c r="BA1206" s="73" t="s">
        <v>355</v>
      </c>
      <c r="BB1206" s="48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356</v>
      </c>
      <c r="E1207" s="1" t="s">
        <v>339</v>
      </c>
      <c r="F1207" s="26">
        <v>4.6900000000000004</v>
      </c>
      <c r="G1207" s="25" t="s">
        <v>293</v>
      </c>
      <c r="H1207" s="25"/>
      <c r="BA1207" s="73" t="s">
        <v>355</v>
      </c>
      <c r="BB1207" s="48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356</v>
      </c>
      <c r="E1208" s="1" t="s">
        <v>118</v>
      </c>
      <c r="F1208" s="26">
        <v>4.5</v>
      </c>
      <c r="G1208" s="25" t="s">
        <v>293</v>
      </c>
      <c r="H1208" s="25"/>
      <c r="BA1208" s="73" t="s">
        <v>355</v>
      </c>
      <c r="BB1208" s="48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356</v>
      </c>
      <c r="E1209" s="1" t="s">
        <v>130</v>
      </c>
      <c r="F1209" s="26">
        <v>3.76</v>
      </c>
      <c r="G1209" s="25" t="s">
        <v>293</v>
      </c>
      <c r="H1209" s="25"/>
      <c r="BA1209" s="73" t="s">
        <v>355</v>
      </c>
      <c r="BB1209" s="48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356</v>
      </c>
      <c r="E1210" s="1" t="s">
        <v>341</v>
      </c>
      <c r="F1210" s="26">
        <v>0.28799999999999998</v>
      </c>
      <c r="G1210" s="25" t="s">
        <v>293</v>
      </c>
      <c r="H1210" s="25"/>
      <c r="BA1210" s="73" t="s">
        <v>355</v>
      </c>
      <c r="BB1210" s="48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356</v>
      </c>
      <c r="E1211" s="1" t="s">
        <v>127</v>
      </c>
      <c r="F1211" s="26">
        <v>1.1639999999999999</v>
      </c>
      <c r="G1211" s="25" t="s">
        <v>293</v>
      </c>
      <c r="H1211" s="25"/>
      <c r="BA1211" s="73" t="s">
        <v>355</v>
      </c>
      <c r="BB1211" s="48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356</v>
      </c>
      <c r="E1212" s="1" t="s">
        <v>131</v>
      </c>
      <c r="F1212" s="26">
        <v>8.6</v>
      </c>
      <c r="G1212" s="25" t="s">
        <v>293</v>
      </c>
      <c r="H1212" s="25"/>
      <c r="BA1212" s="73" t="s">
        <v>355</v>
      </c>
      <c r="BB1212" s="48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356</v>
      </c>
      <c r="E1213" s="1" t="s">
        <v>342</v>
      </c>
      <c r="F1213" s="26">
        <v>328</v>
      </c>
      <c r="G1213" s="25" t="s">
        <v>293</v>
      </c>
      <c r="H1213" s="25"/>
      <c r="BA1213" s="73" t="s">
        <v>355</v>
      </c>
      <c r="BB1213" s="48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356</v>
      </c>
      <c r="E1214" s="1" t="s">
        <v>119</v>
      </c>
      <c r="F1214" s="26">
        <v>231</v>
      </c>
      <c r="G1214" s="25" t="s">
        <v>293</v>
      </c>
      <c r="H1214" s="25"/>
      <c r="BA1214" s="73" t="s">
        <v>355</v>
      </c>
      <c r="BB1214" s="48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356</v>
      </c>
      <c r="E1215" s="1" t="s">
        <v>120</v>
      </c>
      <c r="F1215" s="26">
        <v>77</v>
      </c>
      <c r="G1215" s="25" t="s">
        <v>293</v>
      </c>
      <c r="H1215" s="25"/>
      <c r="BA1215" s="73" t="s">
        <v>355</v>
      </c>
      <c r="BB1215" s="48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356</v>
      </c>
      <c r="E1216" s="1" t="s">
        <v>117</v>
      </c>
      <c r="F1216" s="26">
        <v>2.64</v>
      </c>
      <c r="G1216" s="25" t="s">
        <v>293</v>
      </c>
      <c r="H1216" s="25"/>
      <c r="BA1216" s="73" t="s">
        <v>355</v>
      </c>
      <c r="BB1216" s="48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356</v>
      </c>
      <c r="E1217" s="1" t="s">
        <v>344</v>
      </c>
      <c r="F1217" s="26">
        <v>231</v>
      </c>
      <c r="G1217" s="25" t="s">
        <v>293</v>
      </c>
      <c r="H1217" s="25"/>
      <c r="BA1217" s="73" t="s">
        <v>355</v>
      </c>
      <c r="BB1217" s="48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356</v>
      </c>
      <c r="E1218" s="1" t="s">
        <v>132</v>
      </c>
      <c r="F1218" s="26">
        <v>3.54</v>
      </c>
      <c r="G1218" s="25" t="s">
        <v>293</v>
      </c>
      <c r="H1218" s="25"/>
      <c r="BA1218" s="73" t="s">
        <v>355</v>
      </c>
      <c r="BB1218" s="48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356</v>
      </c>
      <c r="E1219" s="1" t="s">
        <v>111</v>
      </c>
      <c r="F1219" s="26">
        <v>86</v>
      </c>
      <c r="G1219" s="25" t="s">
        <v>293</v>
      </c>
      <c r="H1219" s="25"/>
      <c r="BA1219" s="73" t="s">
        <v>355</v>
      </c>
      <c r="BB1219" s="48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356</v>
      </c>
      <c r="E1220" s="1" t="s">
        <v>345</v>
      </c>
      <c r="F1220" s="26">
        <v>5.2</v>
      </c>
      <c r="G1220" s="25" t="s">
        <v>293</v>
      </c>
      <c r="H1220" s="25"/>
      <c r="BA1220" s="73" t="s">
        <v>355</v>
      </c>
      <c r="BB1220" s="48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356</v>
      </c>
      <c r="E1221" s="1" t="s">
        <v>347</v>
      </c>
      <c r="F1221" s="26">
        <v>2.06</v>
      </c>
      <c r="G1221" s="25" t="s">
        <v>293</v>
      </c>
      <c r="H1221" s="25"/>
      <c r="BA1221" s="73" t="s">
        <v>355</v>
      </c>
      <c r="BB1221" s="48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356</v>
      </c>
      <c r="E1222" s="1" t="s">
        <v>128</v>
      </c>
      <c r="F1222" s="26">
        <v>6.5</v>
      </c>
      <c r="G1222" s="25" t="s">
        <v>293</v>
      </c>
      <c r="H1222" s="25"/>
      <c r="BA1222" s="73" t="s">
        <v>355</v>
      </c>
      <c r="BB1222" s="48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356</v>
      </c>
      <c r="E1223" s="1" t="s">
        <v>121</v>
      </c>
      <c r="F1223" s="26">
        <v>157</v>
      </c>
      <c r="G1223" s="25" t="s">
        <v>293</v>
      </c>
      <c r="H1223" s="25"/>
      <c r="BA1223" s="73" t="s">
        <v>355</v>
      </c>
      <c r="BB1223" s="48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356</v>
      </c>
      <c r="E1224" s="1" t="s">
        <v>115</v>
      </c>
      <c r="F1224" s="26">
        <v>33</v>
      </c>
      <c r="G1224" s="25" t="s">
        <v>293</v>
      </c>
      <c r="H1224" s="25"/>
      <c r="BA1224" s="73" t="s">
        <v>355</v>
      </c>
      <c r="BB1224" s="48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356</v>
      </c>
      <c r="E1225" s="1" t="s">
        <v>137</v>
      </c>
      <c r="F1225" s="26">
        <v>74</v>
      </c>
      <c r="G1225" s="25" t="s">
        <v>293</v>
      </c>
      <c r="H1225" s="25"/>
      <c r="BA1225" s="73" t="s">
        <v>355</v>
      </c>
      <c r="BB1225" s="48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356</v>
      </c>
      <c r="E1226" s="1" t="s">
        <v>348</v>
      </c>
      <c r="F1226" s="26">
        <v>138</v>
      </c>
      <c r="G1226" s="25" t="s">
        <v>293</v>
      </c>
      <c r="H1226" s="25"/>
      <c r="BA1226" s="73" t="s">
        <v>355</v>
      </c>
      <c r="BB1226" s="48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356</v>
      </c>
      <c r="E1227" s="1" t="s">
        <v>125</v>
      </c>
      <c r="F1227" s="26">
        <v>114</v>
      </c>
      <c r="G1227" s="25" t="s">
        <v>293</v>
      </c>
      <c r="H1227" s="25"/>
      <c r="BA1227" s="73" t="s">
        <v>355</v>
      </c>
      <c r="BB1227" s="48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356</v>
      </c>
      <c r="E1228" s="1" t="s">
        <v>126</v>
      </c>
      <c r="F1228" s="26">
        <v>78</v>
      </c>
      <c r="G1228" s="25" t="s">
        <v>293</v>
      </c>
      <c r="H1228" s="25"/>
      <c r="BA1228" s="73" t="s">
        <v>355</v>
      </c>
      <c r="BB1228" s="48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356</v>
      </c>
      <c r="E1229" s="1" t="s">
        <v>349</v>
      </c>
      <c r="F1229" s="26">
        <v>163</v>
      </c>
      <c r="G1229" s="25" t="s">
        <v>293</v>
      </c>
      <c r="H1229" s="25"/>
      <c r="BA1229" s="73" t="s">
        <v>355</v>
      </c>
      <c r="BB1229" s="48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356</v>
      </c>
      <c r="E1230" s="1" t="s">
        <v>350</v>
      </c>
      <c r="F1230" s="26">
        <v>56</v>
      </c>
      <c r="G1230" s="25" t="s">
        <v>293</v>
      </c>
      <c r="H1230" s="25"/>
      <c r="BA1230" s="73" t="s">
        <v>355</v>
      </c>
      <c r="BB1230" s="48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356</v>
      </c>
      <c r="E1231" s="1" t="s">
        <v>122</v>
      </c>
      <c r="F1231" s="26">
        <v>46</v>
      </c>
      <c r="G1231" s="25" t="s">
        <v>293</v>
      </c>
      <c r="H1231" s="25"/>
      <c r="BA1231" s="73" t="s">
        <v>355</v>
      </c>
      <c r="BB1231" s="48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356</v>
      </c>
      <c r="E1232" s="1" t="s">
        <v>124</v>
      </c>
      <c r="F1232" s="26">
        <v>30</v>
      </c>
      <c r="G1232" s="25" t="s">
        <v>293</v>
      </c>
      <c r="H1232" s="25"/>
      <c r="BA1232" s="73" t="s">
        <v>355</v>
      </c>
      <c r="BB1232" s="48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356</v>
      </c>
      <c r="E1233" s="1" t="s">
        <v>351</v>
      </c>
      <c r="F1233" s="26">
        <v>0.97</v>
      </c>
      <c r="G1233" s="25" t="s">
        <v>293</v>
      </c>
      <c r="H1233" s="25"/>
      <c r="BA1233" s="73" t="s">
        <v>355</v>
      </c>
      <c r="BB1233" s="48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356</v>
      </c>
      <c r="E1234" s="1" t="s">
        <v>353</v>
      </c>
      <c r="F1234" s="26">
        <v>34.799999999999997</v>
      </c>
      <c r="G1234" s="25" t="s">
        <v>293</v>
      </c>
      <c r="H1234" s="25"/>
      <c r="BA1234" s="73" t="s">
        <v>355</v>
      </c>
      <c r="BB1234" s="48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356</v>
      </c>
      <c r="E1235" s="1" t="s">
        <v>133</v>
      </c>
      <c r="F1235" s="26">
        <v>145</v>
      </c>
      <c r="G1235" s="25" t="s">
        <v>293</v>
      </c>
      <c r="H1235" s="25"/>
      <c r="BA1235" s="73" t="s">
        <v>355</v>
      </c>
      <c r="BB1235" s="48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356</v>
      </c>
      <c r="E1236" s="1" t="s">
        <v>135</v>
      </c>
      <c r="F1236" s="26">
        <v>3.7</v>
      </c>
      <c r="G1236" s="25" t="s">
        <v>293</v>
      </c>
      <c r="H1236" s="25"/>
      <c r="BA1236" s="73" t="s">
        <v>355</v>
      </c>
      <c r="BB1236" s="48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356</v>
      </c>
      <c r="E1237" s="1" t="s">
        <v>136</v>
      </c>
      <c r="F1237" s="26">
        <v>116</v>
      </c>
      <c r="G1237" s="25" t="s">
        <v>293</v>
      </c>
      <c r="H1237" s="25"/>
      <c r="BA1237" s="73" t="s">
        <v>355</v>
      </c>
      <c r="BB1237" s="48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356</v>
      </c>
      <c r="E1238" s="1" t="s">
        <v>339</v>
      </c>
      <c r="F1238" s="26">
        <v>4.63</v>
      </c>
      <c r="G1238" s="25" t="s">
        <v>293</v>
      </c>
      <c r="H1238" s="25"/>
      <c r="BA1238" s="73" t="s">
        <v>355</v>
      </c>
      <c r="BB1238" s="48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356</v>
      </c>
      <c r="E1239" s="1" t="s">
        <v>118</v>
      </c>
      <c r="F1239" s="26">
        <v>4.5</v>
      </c>
      <c r="G1239" s="25" t="s">
        <v>293</v>
      </c>
      <c r="H1239" s="25"/>
      <c r="BA1239" s="73" t="s">
        <v>355</v>
      </c>
      <c r="BB1239" s="48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356</v>
      </c>
      <c r="E1240" s="1" t="s">
        <v>130</v>
      </c>
      <c r="F1240" s="26">
        <v>3.82</v>
      </c>
      <c r="G1240" s="25" t="s">
        <v>293</v>
      </c>
      <c r="H1240" s="25"/>
      <c r="BA1240" s="73" t="s">
        <v>355</v>
      </c>
      <c r="BB1240" s="48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356</v>
      </c>
      <c r="E1241" s="1" t="s">
        <v>341</v>
      </c>
      <c r="F1241" s="26">
        <v>0.28699999999999998</v>
      </c>
      <c r="G1241" s="25" t="s">
        <v>293</v>
      </c>
      <c r="H1241" s="25"/>
      <c r="BA1241" s="73" t="s">
        <v>355</v>
      </c>
      <c r="BB1241" s="48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356</v>
      </c>
      <c r="E1242" s="1" t="s">
        <v>127</v>
      </c>
      <c r="F1242" s="26">
        <v>1.1659999999999999</v>
      </c>
      <c r="G1242" s="25" t="s">
        <v>293</v>
      </c>
      <c r="H1242" s="25"/>
      <c r="BA1242" s="73" t="s">
        <v>355</v>
      </c>
      <c r="BB1242" s="48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356</v>
      </c>
      <c r="E1243" s="1" t="s">
        <v>131</v>
      </c>
      <c r="F1243" s="26">
        <v>8.8000000000000007</v>
      </c>
      <c r="G1243" s="25" t="s">
        <v>293</v>
      </c>
      <c r="H1243" s="25"/>
      <c r="BA1243" s="73" t="s">
        <v>355</v>
      </c>
      <c r="BB1243" s="48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356</v>
      </c>
      <c r="E1244" s="1" t="s">
        <v>342</v>
      </c>
      <c r="F1244" s="26">
        <v>307</v>
      </c>
      <c r="G1244" s="25" t="s">
        <v>293</v>
      </c>
      <c r="H1244" s="25"/>
      <c r="BA1244" s="73" t="s">
        <v>355</v>
      </c>
      <c r="BB1244" s="48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356</v>
      </c>
      <c r="E1245" s="1" t="s">
        <v>119</v>
      </c>
      <c r="F1245" s="26">
        <v>235</v>
      </c>
      <c r="G1245" s="25" t="s">
        <v>293</v>
      </c>
      <c r="H1245" s="25"/>
      <c r="BA1245" s="73" t="s">
        <v>355</v>
      </c>
      <c r="BB1245" s="48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356</v>
      </c>
      <c r="E1246" s="1" t="s">
        <v>120</v>
      </c>
      <c r="F1246" s="26">
        <v>78</v>
      </c>
      <c r="G1246" s="25" t="s">
        <v>293</v>
      </c>
      <c r="H1246" s="25"/>
      <c r="BA1246" s="73" t="s">
        <v>355</v>
      </c>
      <c r="BB1246" s="48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356</v>
      </c>
      <c r="E1247" s="1" t="s">
        <v>117</v>
      </c>
      <c r="F1247" s="26">
        <v>2.69</v>
      </c>
      <c r="G1247" s="25" t="s">
        <v>293</v>
      </c>
      <c r="H1247" s="25"/>
      <c r="BA1247" s="73" t="s">
        <v>355</v>
      </c>
      <c r="BB1247" s="48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356</v>
      </c>
      <c r="E1248" s="1" t="s">
        <v>344</v>
      </c>
      <c r="F1248" s="26">
        <v>233</v>
      </c>
      <c r="G1248" s="25" t="s">
        <v>293</v>
      </c>
      <c r="H1248" s="25"/>
      <c r="BA1248" s="73" t="s">
        <v>355</v>
      </c>
      <c r="BB1248" s="48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356</v>
      </c>
      <c r="E1249" s="1" t="s">
        <v>132</v>
      </c>
      <c r="F1249" s="26">
        <v>3.59</v>
      </c>
      <c r="G1249" s="25" t="s">
        <v>293</v>
      </c>
      <c r="H1249" s="25"/>
      <c r="BA1249" s="73" t="s">
        <v>355</v>
      </c>
      <c r="BB1249" s="48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356</v>
      </c>
      <c r="E1250" s="1" t="s">
        <v>111</v>
      </c>
      <c r="F1250" s="26">
        <v>88</v>
      </c>
      <c r="G1250" s="25" t="s">
        <v>293</v>
      </c>
      <c r="H1250" s="25"/>
      <c r="BA1250" s="73" t="s">
        <v>355</v>
      </c>
      <c r="BB1250" s="48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356</v>
      </c>
      <c r="E1251" s="1" t="s">
        <v>345</v>
      </c>
      <c r="F1251" s="26">
        <v>5.28</v>
      </c>
      <c r="G1251" s="25" t="s">
        <v>293</v>
      </c>
      <c r="H1251" s="25"/>
      <c r="BA1251" s="73" t="s">
        <v>355</v>
      </c>
      <c r="BB1251" s="48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356</v>
      </c>
      <c r="E1252" s="1" t="s">
        <v>347</v>
      </c>
      <c r="F1252" s="26">
        <v>1.98</v>
      </c>
      <c r="G1252" s="25" t="s">
        <v>293</v>
      </c>
      <c r="H1252" s="25"/>
      <c r="BA1252" s="73" t="s">
        <v>355</v>
      </c>
      <c r="BB1252" s="48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356</v>
      </c>
      <c r="E1253" s="1" t="s">
        <v>128</v>
      </c>
      <c r="F1253" s="26">
        <v>6.9</v>
      </c>
      <c r="G1253" s="25" t="s">
        <v>293</v>
      </c>
      <c r="H1253" s="25"/>
      <c r="BA1253" s="73" t="s">
        <v>355</v>
      </c>
      <c r="BB1253" s="48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356</v>
      </c>
      <c r="E1254" s="1" t="s">
        <v>121</v>
      </c>
      <c r="F1254" s="26">
        <v>160</v>
      </c>
      <c r="G1254" s="25" t="s">
        <v>293</v>
      </c>
      <c r="H1254" s="25"/>
      <c r="BA1254" s="73" t="s">
        <v>355</v>
      </c>
      <c r="BB1254" s="48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356</v>
      </c>
      <c r="E1255" s="1" t="s">
        <v>115</v>
      </c>
      <c r="F1255" s="26">
        <v>34</v>
      </c>
      <c r="G1255" s="25" t="s">
        <v>293</v>
      </c>
      <c r="H1255" s="25"/>
      <c r="BA1255" s="73" t="s">
        <v>355</v>
      </c>
      <c r="BB1255" s="48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356</v>
      </c>
      <c r="E1256" s="1" t="s">
        <v>137</v>
      </c>
      <c r="F1256" s="26">
        <v>75</v>
      </c>
      <c r="G1256" s="25" t="s">
        <v>293</v>
      </c>
      <c r="H1256" s="25"/>
      <c r="BA1256" s="73" t="s">
        <v>355</v>
      </c>
      <c r="BB1256" s="48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356</v>
      </c>
      <c r="E1257" s="1" t="s">
        <v>348</v>
      </c>
      <c r="F1257" s="26">
        <v>136</v>
      </c>
      <c r="G1257" s="25" t="s">
        <v>293</v>
      </c>
      <c r="H1257" s="25"/>
      <c r="BA1257" s="73" t="s">
        <v>355</v>
      </c>
      <c r="BB1257" s="48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356</v>
      </c>
      <c r="E1258" s="1" t="s">
        <v>125</v>
      </c>
      <c r="F1258" s="26">
        <v>114</v>
      </c>
      <c r="G1258" s="25" t="s">
        <v>293</v>
      </c>
      <c r="H1258" s="25"/>
      <c r="BA1258" s="73" t="s">
        <v>355</v>
      </c>
      <c r="BB1258" s="48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356</v>
      </c>
      <c r="E1259" s="1" t="s">
        <v>126</v>
      </c>
      <c r="F1259" s="26">
        <v>78</v>
      </c>
      <c r="G1259" s="25" t="s">
        <v>293</v>
      </c>
      <c r="H1259" s="25"/>
      <c r="BA1259" s="73" t="s">
        <v>355</v>
      </c>
      <c r="BB1259" s="48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356</v>
      </c>
      <c r="E1260" s="1" t="s">
        <v>349</v>
      </c>
      <c r="F1260" s="26">
        <v>163</v>
      </c>
      <c r="G1260" s="25" t="s">
        <v>293</v>
      </c>
      <c r="H1260" s="25"/>
      <c r="BA1260" s="73" t="s">
        <v>355</v>
      </c>
      <c r="BB1260" s="48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356</v>
      </c>
      <c r="E1261" s="1" t="s">
        <v>350</v>
      </c>
      <c r="F1261" s="26">
        <v>59</v>
      </c>
      <c r="G1261" s="25" t="s">
        <v>293</v>
      </c>
      <c r="H1261" s="25"/>
      <c r="BA1261" s="73" t="s">
        <v>355</v>
      </c>
      <c r="BB1261" s="48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356</v>
      </c>
      <c r="E1262" s="1" t="s">
        <v>122</v>
      </c>
      <c r="F1262" s="26">
        <v>47</v>
      </c>
      <c r="G1262" s="25" t="s">
        <v>293</v>
      </c>
      <c r="H1262" s="25"/>
      <c r="BA1262" s="73" t="s">
        <v>355</v>
      </c>
      <c r="BB1262" s="48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356</v>
      </c>
      <c r="E1263" s="1" t="s">
        <v>124</v>
      </c>
      <c r="F1263" s="26">
        <v>30</v>
      </c>
      <c r="G1263" s="25" t="s">
        <v>293</v>
      </c>
      <c r="H1263" s="25"/>
      <c r="BA1263" s="73" t="s">
        <v>355</v>
      </c>
      <c r="BB1263" s="48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356</v>
      </c>
      <c r="E1264" s="1" t="s">
        <v>351</v>
      </c>
      <c r="F1264" s="26">
        <v>1.01</v>
      </c>
      <c r="G1264" s="25" t="s">
        <v>293</v>
      </c>
      <c r="H1264" s="25"/>
      <c r="BA1264" s="73" t="s">
        <v>355</v>
      </c>
      <c r="BB1264" s="48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356</v>
      </c>
      <c r="E1265" s="1" t="s">
        <v>353</v>
      </c>
      <c r="F1265" s="26">
        <v>34.200000000000003</v>
      </c>
      <c r="G1265" s="25" t="s">
        <v>293</v>
      </c>
      <c r="H1265" s="25"/>
      <c r="BA1265" s="73" t="s">
        <v>355</v>
      </c>
      <c r="BB1265" s="48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356</v>
      </c>
      <c r="E1266" s="1" t="s">
        <v>133</v>
      </c>
      <c r="F1266" s="26">
        <v>146</v>
      </c>
      <c r="G1266" s="25" t="s">
        <v>293</v>
      </c>
      <c r="H1266" s="25"/>
      <c r="BA1266" s="73" t="s">
        <v>355</v>
      </c>
      <c r="BB1266" s="48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356</v>
      </c>
      <c r="E1267" s="1" t="s">
        <v>135</v>
      </c>
      <c r="F1267" s="26">
        <v>3.8</v>
      </c>
      <c r="G1267" s="25" t="s">
        <v>293</v>
      </c>
      <c r="H1267" s="25"/>
      <c r="BA1267" s="73" t="s">
        <v>355</v>
      </c>
      <c r="BB1267" s="48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356</v>
      </c>
      <c r="E1268" s="1" t="s">
        <v>136</v>
      </c>
      <c r="F1268" s="26">
        <v>118</v>
      </c>
      <c r="G1268" s="25" t="s">
        <v>293</v>
      </c>
      <c r="H1268" s="25"/>
      <c r="BA1268" s="73" t="s">
        <v>355</v>
      </c>
      <c r="BB1268" s="48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356</v>
      </c>
      <c r="E1269" s="1" t="s">
        <v>339</v>
      </c>
      <c r="F1269" s="26">
        <v>4.6500000000000004</v>
      </c>
      <c r="G1269" s="25" t="s">
        <v>293</v>
      </c>
      <c r="H1269" s="25"/>
      <c r="BA1269" s="73" t="s">
        <v>355</v>
      </c>
      <c r="BB1269" s="48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356</v>
      </c>
      <c r="E1270" s="1" t="s">
        <v>118</v>
      </c>
      <c r="F1270" s="26">
        <v>4.5999999999999996</v>
      </c>
      <c r="G1270" s="25" t="s">
        <v>293</v>
      </c>
      <c r="H1270" s="25"/>
      <c r="BA1270" s="73" t="s">
        <v>355</v>
      </c>
      <c r="BB1270" s="48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356</v>
      </c>
      <c r="E1271" s="1" t="s">
        <v>130</v>
      </c>
      <c r="F1271" s="26">
        <v>3.8</v>
      </c>
      <c r="G1271" s="25" t="s">
        <v>293</v>
      </c>
      <c r="H1271" s="25"/>
      <c r="BA1271" s="73" t="s">
        <v>355</v>
      </c>
      <c r="BB1271" s="48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356</v>
      </c>
      <c r="E1272" s="1" t="s">
        <v>341</v>
      </c>
      <c r="F1272" s="26">
        <v>0.28000000000000003</v>
      </c>
      <c r="G1272" s="25" t="s">
        <v>293</v>
      </c>
      <c r="H1272" s="25"/>
      <c r="BA1272" s="73" t="s">
        <v>355</v>
      </c>
      <c r="BB1272" s="48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356</v>
      </c>
      <c r="E1273" s="1" t="s">
        <v>127</v>
      </c>
      <c r="F1273" s="26">
        <v>1.18</v>
      </c>
      <c r="G1273" s="25" t="s">
        <v>293</v>
      </c>
      <c r="H1273" s="25"/>
      <c r="BA1273" s="73" t="s">
        <v>355</v>
      </c>
      <c r="BB1273" s="48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356</v>
      </c>
      <c r="E1274" s="1" t="s">
        <v>131</v>
      </c>
      <c r="F1274" s="26">
        <v>8.8000000000000007</v>
      </c>
      <c r="G1274" s="25" t="s">
        <v>293</v>
      </c>
      <c r="H1274" s="25"/>
      <c r="BA1274" s="73" t="s">
        <v>355</v>
      </c>
      <c r="BB1274" s="48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356</v>
      </c>
      <c r="E1275" s="1" t="s">
        <v>342</v>
      </c>
      <c r="F1275" s="26">
        <v>319</v>
      </c>
      <c r="G1275" s="25" t="s">
        <v>293</v>
      </c>
      <c r="H1275" s="25"/>
      <c r="BA1275" s="73" t="s">
        <v>355</v>
      </c>
      <c r="BB1275" s="48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356</v>
      </c>
      <c r="E1276" s="1" t="s">
        <v>119</v>
      </c>
      <c r="F1276" s="26">
        <v>233</v>
      </c>
      <c r="G1276" s="25" t="s">
        <v>293</v>
      </c>
      <c r="H1276" s="25"/>
      <c r="BA1276" s="73" t="s">
        <v>355</v>
      </c>
      <c r="BB1276" s="48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356</v>
      </c>
      <c r="E1277" s="1" t="s">
        <v>120</v>
      </c>
      <c r="F1277" s="26">
        <v>75</v>
      </c>
      <c r="G1277" s="25" t="s">
        <v>293</v>
      </c>
      <c r="H1277" s="25"/>
      <c r="BA1277" s="73" t="s">
        <v>355</v>
      </c>
      <c r="BB1277" s="48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356</v>
      </c>
      <c r="E1278" s="1" t="s">
        <v>117</v>
      </c>
      <c r="F1278" s="26">
        <v>2.67</v>
      </c>
      <c r="G1278" s="25" t="s">
        <v>293</v>
      </c>
      <c r="H1278" s="25"/>
      <c r="BA1278" s="73" t="s">
        <v>355</v>
      </c>
      <c r="BB1278" s="48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356</v>
      </c>
      <c r="E1279" s="1" t="s">
        <v>344</v>
      </c>
      <c r="F1279" s="26">
        <v>229</v>
      </c>
      <c r="G1279" s="25" t="s">
        <v>293</v>
      </c>
      <c r="H1279" s="25"/>
      <c r="BA1279" s="73" t="s">
        <v>355</v>
      </c>
      <c r="BB1279" s="48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356</v>
      </c>
      <c r="E1280" s="1" t="s">
        <v>132</v>
      </c>
      <c r="F1280" s="26">
        <v>3.46</v>
      </c>
      <c r="G1280" s="25" t="s">
        <v>293</v>
      </c>
      <c r="H1280" s="25"/>
      <c r="BA1280" s="73" t="s">
        <v>355</v>
      </c>
      <c r="BB1280" s="48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356</v>
      </c>
      <c r="E1281" s="1" t="s">
        <v>111</v>
      </c>
      <c r="F1281" s="26">
        <v>87</v>
      </c>
      <c r="G1281" s="25" t="s">
        <v>293</v>
      </c>
      <c r="H1281" s="25"/>
      <c r="BA1281" s="73" t="s">
        <v>355</v>
      </c>
      <c r="BB1281" s="48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356</v>
      </c>
      <c r="E1282" s="1" t="s">
        <v>345</v>
      </c>
      <c r="F1282" s="26">
        <v>5.14</v>
      </c>
      <c r="G1282" s="25" t="s">
        <v>293</v>
      </c>
      <c r="H1282" s="25"/>
      <c r="BA1282" s="73" t="s">
        <v>355</v>
      </c>
      <c r="BB1282" s="48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356</v>
      </c>
      <c r="E1283" s="1" t="s">
        <v>347</v>
      </c>
      <c r="F1283" s="26">
        <v>2.13</v>
      </c>
      <c r="G1283" s="25" t="s">
        <v>293</v>
      </c>
      <c r="H1283" s="25"/>
      <c r="BA1283" s="73" t="s">
        <v>355</v>
      </c>
      <c r="BB1283" s="48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356</v>
      </c>
      <c r="E1284" s="1" t="s">
        <v>128</v>
      </c>
      <c r="F1284" s="26">
        <v>6.8</v>
      </c>
      <c r="G1284" s="25" t="s">
        <v>293</v>
      </c>
      <c r="H1284" s="25"/>
      <c r="BA1284" s="73" t="s">
        <v>355</v>
      </c>
      <c r="BB1284" s="48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356</v>
      </c>
      <c r="E1285" s="1" t="s">
        <v>121</v>
      </c>
      <c r="F1285" s="26">
        <v>160</v>
      </c>
      <c r="G1285" s="25" t="s">
        <v>293</v>
      </c>
      <c r="H1285" s="25"/>
      <c r="BA1285" s="73" t="s">
        <v>355</v>
      </c>
      <c r="BB1285" s="48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356</v>
      </c>
      <c r="E1286" s="1" t="s">
        <v>115</v>
      </c>
      <c r="F1286" s="26">
        <v>34</v>
      </c>
      <c r="G1286" s="25" t="s">
        <v>293</v>
      </c>
      <c r="H1286" s="25"/>
      <c r="BA1286" s="73" t="s">
        <v>355</v>
      </c>
      <c r="BB1286" s="48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356</v>
      </c>
      <c r="E1287" s="1" t="s">
        <v>137</v>
      </c>
      <c r="F1287" s="26">
        <v>75</v>
      </c>
      <c r="G1287" s="25" t="s">
        <v>293</v>
      </c>
      <c r="H1287" s="25"/>
      <c r="BA1287" s="73" t="s">
        <v>355</v>
      </c>
      <c r="BB1287" s="48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356</v>
      </c>
      <c r="E1288" s="1" t="s">
        <v>348</v>
      </c>
      <c r="F1288" s="26">
        <v>137</v>
      </c>
      <c r="G1288" s="25" t="s">
        <v>293</v>
      </c>
      <c r="H1288" s="25"/>
      <c r="BA1288" s="73" t="s">
        <v>355</v>
      </c>
      <c r="BB1288" s="48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356</v>
      </c>
      <c r="E1289" s="1" t="s">
        <v>125</v>
      </c>
      <c r="F1289" s="26">
        <v>114</v>
      </c>
      <c r="G1289" s="25" t="s">
        <v>293</v>
      </c>
      <c r="H1289" s="25"/>
      <c r="BA1289" s="73" t="s">
        <v>355</v>
      </c>
      <c r="BB1289" s="48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356</v>
      </c>
      <c r="E1290" s="1" t="s">
        <v>126</v>
      </c>
      <c r="F1290" s="26">
        <v>79</v>
      </c>
      <c r="G1290" s="25" t="s">
        <v>293</v>
      </c>
      <c r="H1290" s="25"/>
      <c r="BA1290" s="73" t="s">
        <v>355</v>
      </c>
      <c r="BB1290" s="48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356</v>
      </c>
      <c r="E1291" s="1" t="s">
        <v>349</v>
      </c>
      <c r="F1291" s="26">
        <v>167</v>
      </c>
      <c r="G1291" s="25" t="s">
        <v>293</v>
      </c>
      <c r="H1291" s="25"/>
      <c r="BA1291" s="73" t="s">
        <v>355</v>
      </c>
      <c r="BB1291" s="48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356</v>
      </c>
      <c r="E1292" s="1" t="s">
        <v>350</v>
      </c>
      <c r="F1292" s="26">
        <v>58</v>
      </c>
      <c r="G1292" s="25" t="s">
        <v>293</v>
      </c>
      <c r="H1292" s="25"/>
      <c r="BA1292" s="73" t="s">
        <v>355</v>
      </c>
      <c r="BB1292" s="48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356</v>
      </c>
      <c r="E1293" s="1" t="s">
        <v>122</v>
      </c>
      <c r="F1293" s="26">
        <v>49</v>
      </c>
      <c r="G1293" s="25" t="s">
        <v>293</v>
      </c>
      <c r="H1293" s="25"/>
      <c r="BA1293" s="73" t="s">
        <v>355</v>
      </c>
      <c r="BB1293" s="48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356</v>
      </c>
      <c r="E1294" s="1" t="s">
        <v>124</v>
      </c>
      <c r="F1294" s="26">
        <v>29</v>
      </c>
      <c r="G1294" s="25" t="s">
        <v>293</v>
      </c>
      <c r="H1294" s="25"/>
      <c r="BA1294" s="73" t="s">
        <v>355</v>
      </c>
      <c r="BB1294" s="48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356</v>
      </c>
      <c r="E1295" s="1" t="s">
        <v>351</v>
      </c>
      <c r="F1295" s="26">
        <v>1.1100000000000001</v>
      </c>
      <c r="G1295" s="25" t="s">
        <v>293</v>
      </c>
      <c r="H1295" s="25"/>
      <c r="BA1295" s="73" t="s">
        <v>355</v>
      </c>
      <c r="BB1295" s="48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356</v>
      </c>
      <c r="E1296" s="1" t="s">
        <v>353</v>
      </c>
      <c r="F1296" s="26">
        <v>31.8</v>
      </c>
      <c r="G1296" s="25" t="s">
        <v>293</v>
      </c>
      <c r="H1296" s="25"/>
      <c r="BA1296" s="73" t="s">
        <v>355</v>
      </c>
      <c r="BB1296" s="48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356</v>
      </c>
      <c r="E1297" s="1" t="s">
        <v>133</v>
      </c>
      <c r="F1297" s="26">
        <v>146</v>
      </c>
      <c r="G1297" s="25" t="s">
        <v>293</v>
      </c>
      <c r="H1297" s="25"/>
      <c r="BA1297" s="73" t="s">
        <v>355</v>
      </c>
      <c r="BB1297" s="48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356</v>
      </c>
      <c r="E1298" s="1" t="s">
        <v>135</v>
      </c>
      <c r="F1298" s="26">
        <v>3.7</v>
      </c>
      <c r="G1298" s="25" t="s">
        <v>293</v>
      </c>
      <c r="H1298" s="25"/>
      <c r="BA1298" s="73" t="s">
        <v>355</v>
      </c>
      <c r="BB1298" s="48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356</v>
      </c>
      <c r="E1299" s="1" t="s">
        <v>136</v>
      </c>
      <c r="F1299" s="26">
        <v>117</v>
      </c>
      <c r="G1299" s="25" t="s">
        <v>293</v>
      </c>
      <c r="H1299" s="25"/>
      <c r="BA1299" s="73" t="s">
        <v>355</v>
      </c>
      <c r="BB1299" s="48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356</v>
      </c>
      <c r="E1300" s="1" t="s">
        <v>339</v>
      </c>
      <c r="F1300" s="26">
        <v>4.6100000000000003</v>
      </c>
      <c r="G1300" s="25" t="s">
        <v>293</v>
      </c>
      <c r="H1300" s="25"/>
      <c r="BA1300" s="73" t="s">
        <v>355</v>
      </c>
      <c r="BB1300" s="48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356</v>
      </c>
      <c r="E1301" s="1" t="s">
        <v>118</v>
      </c>
      <c r="F1301" s="26">
        <v>4.5999999999999996</v>
      </c>
      <c r="G1301" s="25" t="s">
        <v>293</v>
      </c>
      <c r="H1301" s="25"/>
      <c r="BA1301" s="73" t="s">
        <v>355</v>
      </c>
      <c r="BB1301" s="48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356</v>
      </c>
      <c r="E1302" s="1" t="s">
        <v>130</v>
      </c>
      <c r="F1302" s="26">
        <v>3.81</v>
      </c>
      <c r="G1302" s="25" t="s">
        <v>293</v>
      </c>
      <c r="H1302" s="25"/>
      <c r="BA1302" s="73" t="s">
        <v>355</v>
      </c>
      <c r="BB1302" s="48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356</v>
      </c>
      <c r="E1303" s="1" t="s">
        <v>341</v>
      </c>
      <c r="F1303" s="26">
        <v>0.28699999999999998</v>
      </c>
      <c r="G1303" s="25" t="s">
        <v>293</v>
      </c>
      <c r="H1303" s="25"/>
      <c r="BA1303" s="73" t="s">
        <v>355</v>
      </c>
      <c r="BB1303" s="48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356</v>
      </c>
      <c r="E1304" s="1" t="s">
        <v>127</v>
      </c>
      <c r="F1304" s="26">
        <v>1.18</v>
      </c>
      <c r="G1304" s="25" t="s">
        <v>293</v>
      </c>
      <c r="H1304" s="25"/>
      <c r="BA1304" s="73" t="s">
        <v>355</v>
      </c>
      <c r="BB1304" s="48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356</v>
      </c>
      <c r="E1305" s="1" t="s">
        <v>131</v>
      </c>
      <c r="F1305" s="26">
        <v>8.6999999999999993</v>
      </c>
      <c r="G1305" s="25" t="s">
        <v>293</v>
      </c>
      <c r="H1305" s="25"/>
      <c r="BA1305" s="73" t="s">
        <v>355</v>
      </c>
      <c r="BB1305" s="48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356</v>
      </c>
      <c r="E1306" s="1" t="s">
        <v>342</v>
      </c>
      <c r="F1306" s="26">
        <v>314</v>
      </c>
      <c r="G1306" s="25" t="s">
        <v>293</v>
      </c>
      <c r="H1306" s="25"/>
      <c r="BA1306" s="73" t="s">
        <v>355</v>
      </c>
      <c r="BB1306" s="48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356</v>
      </c>
      <c r="E1307" s="1" t="s">
        <v>119</v>
      </c>
      <c r="F1307" s="26">
        <v>240</v>
      </c>
      <c r="G1307" s="25" t="s">
        <v>293</v>
      </c>
      <c r="H1307" s="25"/>
      <c r="BA1307" s="73" t="s">
        <v>355</v>
      </c>
      <c r="BB1307" s="48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356</v>
      </c>
      <c r="E1308" s="1" t="s">
        <v>120</v>
      </c>
      <c r="F1308" s="26">
        <v>78</v>
      </c>
      <c r="G1308" s="25" t="s">
        <v>293</v>
      </c>
      <c r="H1308" s="25"/>
      <c r="BA1308" s="73" t="s">
        <v>355</v>
      </c>
      <c r="BB1308" s="48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356</v>
      </c>
      <c r="E1309" s="1" t="s">
        <v>117</v>
      </c>
      <c r="F1309" s="26">
        <v>2.5</v>
      </c>
      <c r="G1309" s="25" t="s">
        <v>293</v>
      </c>
      <c r="H1309" s="25"/>
      <c r="BA1309" s="73" t="s">
        <v>355</v>
      </c>
      <c r="BB1309" s="48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356</v>
      </c>
      <c r="E1310" s="1" t="s">
        <v>344</v>
      </c>
      <c r="F1310" s="26">
        <v>231</v>
      </c>
      <c r="G1310" s="25" t="s">
        <v>293</v>
      </c>
      <c r="H1310" s="25"/>
      <c r="BA1310" s="73" t="s">
        <v>355</v>
      </c>
      <c r="BB1310" s="48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356</v>
      </c>
      <c r="E1311" s="1" t="s">
        <v>132</v>
      </c>
      <c r="F1311" s="26">
        <v>3.55</v>
      </c>
      <c r="G1311" s="25" t="s">
        <v>293</v>
      </c>
      <c r="H1311" s="25"/>
      <c r="BA1311" s="73" t="s">
        <v>355</v>
      </c>
      <c r="BB1311" s="48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356</v>
      </c>
      <c r="E1312" s="1" t="s">
        <v>111</v>
      </c>
      <c r="F1312" s="26">
        <v>87</v>
      </c>
      <c r="G1312" s="25" t="s">
        <v>293</v>
      </c>
      <c r="H1312" s="25"/>
      <c r="BA1312" s="73" t="s">
        <v>355</v>
      </c>
      <c r="BB1312" s="48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356</v>
      </c>
      <c r="E1313" s="1" t="s">
        <v>345</v>
      </c>
      <c r="F1313" s="26">
        <v>5.0999999999999996</v>
      </c>
      <c r="G1313" s="25" t="s">
        <v>293</v>
      </c>
      <c r="H1313" s="25"/>
      <c r="BA1313" s="73" t="s">
        <v>355</v>
      </c>
      <c r="BB1313" s="48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356</v>
      </c>
      <c r="E1314" s="1" t="s">
        <v>347</v>
      </c>
      <c r="F1314" s="26">
        <v>1.9</v>
      </c>
      <c r="G1314" s="25" t="s">
        <v>293</v>
      </c>
      <c r="H1314" s="25"/>
      <c r="BA1314" s="73" t="s">
        <v>355</v>
      </c>
      <c r="BB1314" s="48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356</v>
      </c>
      <c r="E1315" s="1" t="s">
        <v>128</v>
      </c>
      <c r="F1315" s="26">
        <v>6.7</v>
      </c>
      <c r="G1315" s="25" t="s">
        <v>293</v>
      </c>
      <c r="H1315" s="25"/>
      <c r="BA1315" s="73" t="s">
        <v>355</v>
      </c>
      <c r="BB1315" s="48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356</v>
      </c>
      <c r="E1316" s="1" t="s">
        <v>121</v>
      </c>
      <c r="F1316" s="26">
        <v>161</v>
      </c>
      <c r="G1316" s="25" t="s">
        <v>293</v>
      </c>
      <c r="H1316" s="25"/>
      <c r="BA1316" s="73" t="s">
        <v>355</v>
      </c>
      <c r="BB1316" s="48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356</v>
      </c>
      <c r="E1317" s="1" t="s">
        <v>115</v>
      </c>
      <c r="F1317" s="26">
        <v>32</v>
      </c>
      <c r="G1317" s="25" t="s">
        <v>293</v>
      </c>
      <c r="H1317" s="25"/>
      <c r="BA1317" s="73" t="s">
        <v>355</v>
      </c>
      <c r="BB1317" s="48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356</v>
      </c>
      <c r="E1318" s="1" t="s">
        <v>137</v>
      </c>
      <c r="F1318" s="26">
        <v>74</v>
      </c>
      <c r="G1318" s="25" t="s">
        <v>293</v>
      </c>
      <c r="H1318" s="25"/>
      <c r="BA1318" s="73" t="s">
        <v>355</v>
      </c>
      <c r="BB1318" s="48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356</v>
      </c>
      <c r="E1319" s="1" t="s">
        <v>348</v>
      </c>
      <c r="F1319" s="26">
        <v>139</v>
      </c>
      <c r="G1319" s="25" t="s">
        <v>293</v>
      </c>
      <c r="H1319" s="25"/>
      <c r="BA1319" s="73" t="s">
        <v>355</v>
      </c>
      <c r="BB1319" s="48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356</v>
      </c>
      <c r="E1320" s="1" t="s">
        <v>125</v>
      </c>
      <c r="F1320" s="26">
        <v>107</v>
      </c>
      <c r="G1320" s="25" t="s">
        <v>293</v>
      </c>
      <c r="H1320" s="25"/>
      <c r="BA1320" s="73" t="s">
        <v>355</v>
      </c>
      <c r="BB1320" s="48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356</v>
      </c>
      <c r="E1321" s="1" t="s">
        <v>126</v>
      </c>
      <c r="F1321" s="26">
        <v>79</v>
      </c>
      <c r="G1321" s="25" t="s">
        <v>293</v>
      </c>
      <c r="H1321" s="25"/>
      <c r="BA1321" s="73" t="s">
        <v>355</v>
      </c>
      <c r="BB1321" s="48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356</v>
      </c>
      <c r="E1322" s="1" t="s">
        <v>349</v>
      </c>
      <c r="F1322" s="26">
        <v>161</v>
      </c>
      <c r="G1322" s="25" t="s">
        <v>293</v>
      </c>
      <c r="H1322" s="25"/>
      <c r="BA1322" s="73" t="s">
        <v>355</v>
      </c>
      <c r="BB1322" s="48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356</v>
      </c>
      <c r="E1323" s="1" t="s">
        <v>350</v>
      </c>
      <c r="F1323" s="26">
        <v>59</v>
      </c>
      <c r="G1323" s="25" t="s">
        <v>293</v>
      </c>
      <c r="H1323" s="25"/>
      <c r="BA1323" s="73" t="s">
        <v>355</v>
      </c>
      <c r="BB1323" s="48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356</v>
      </c>
      <c r="E1324" s="1" t="s">
        <v>122</v>
      </c>
      <c r="F1324" s="26">
        <v>46</v>
      </c>
      <c r="G1324" s="25" t="s">
        <v>293</v>
      </c>
      <c r="H1324" s="25"/>
      <c r="BA1324" s="73" t="s">
        <v>355</v>
      </c>
      <c r="BB1324" s="48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356</v>
      </c>
      <c r="E1325" s="1" t="s">
        <v>124</v>
      </c>
      <c r="F1325" s="26">
        <v>29</v>
      </c>
      <c r="G1325" s="25" t="s">
        <v>293</v>
      </c>
      <c r="H1325" s="25"/>
      <c r="BA1325" s="73" t="s">
        <v>355</v>
      </c>
      <c r="BB1325" s="48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356</v>
      </c>
      <c r="E1326" s="1" t="s">
        <v>351</v>
      </c>
      <c r="F1326" s="26">
        <v>1.05</v>
      </c>
      <c r="G1326" s="25" t="s">
        <v>293</v>
      </c>
      <c r="H1326" s="25"/>
      <c r="BA1326" s="73" t="s">
        <v>355</v>
      </c>
      <c r="BB1326" s="48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356</v>
      </c>
      <c r="E1327" s="1" t="s">
        <v>353</v>
      </c>
      <c r="F1327" s="26">
        <v>25</v>
      </c>
      <c r="G1327" s="25" t="s">
        <v>293</v>
      </c>
      <c r="H1327" s="25"/>
      <c r="BA1327" s="73" t="s">
        <v>355</v>
      </c>
      <c r="BB1327" s="48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356</v>
      </c>
      <c r="E1328" s="1" t="s">
        <v>133</v>
      </c>
      <c r="F1328" s="26">
        <v>145</v>
      </c>
      <c r="G1328" s="25" t="s">
        <v>293</v>
      </c>
      <c r="H1328" s="25"/>
      <c r="BA1328" s="73" t="s">
        <v>355</v>
      </c>
      <c r="BB1328" s="48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356</v>
      </c>
      <c r="E1329" s="1" t="s">
        <v>135</v>
      </c>
      <c r="F1329" s="26">
        <v>3.7</v>
      </c>
      <c r="G1329" s="25" t="s">
        <v>293</v>
      </c>
      <c r="H1329" s="25"/>
      <c r="BA1329" s="73" t="s">
        <v>355</v>
      </c>
      <c r="BB1329" s="48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356</v>
      </c>
      <c r="E1330" s="1" t="s">
        <v>136</v>
      </c>
      <c r="F1330" s="26">
        <v>116</v>
      </c>
      <c r="G1330" s="25" t="s">
        <v>293</v>
      </c>
      <c r="H1330" s="25"/>
      <c r="BA1330" s="73" t="s">
        <v>355</v>
      </c>
      <c r="BB1330" s="48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356</v>
      </c>
      <c r="E1331" s="1" t="s">
        <v>339</v>
      </c>
      <c r="F1331" s="26">
        <v>4.63</v>
      </c>
      <c r="G1331" s="25" t="s">
        <v>293</v>
      </c>
      <c r="H1331" s="25"/>
      <c r="BA1331" s="73" t="s">
        <v>355</v>
      </c>
      <c r="BB1331" s="48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356</v>
      </c>
      <c r="E1332" s="1" t="s">
        <v>118</v>
      </c>
      <c r="F1332" s="26">
        <v>4.5</v>
      </c>
      <c r="G1332" s="25" t="s">
        <v>293</v>
      </c>
      <c r="H1332" s="25"/>
      <c r="BA1332" s="73" t="s">
        <v>355</v>
      </c>
      <c r="BB1332" s="48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356</v>
      </c>
      <c r="E1333" s="1" t="s">
        <v>130</v>
      </c>
      <c r="F1333" s="26">
        <v>3.8</v>
      </c>
      <c r="G1333" s="25" t="s">
        <v>293</v>
      </c>
      <c r="H1333" s="25"/>
      <c r="BA1333" s="73" t="s">
        <v>355</v>
      </c>
      <c r="BB1333" s="48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356</v>
      </c>
      <c r="E1334" s="1" t="s">
        <v>341</v>
      </c>
      <c r="F1334" s="26">
        <v>0.28399999999999997</v>
      </c>
      <c r="G1334" s="25" t="s">
        <v>293</v>
      </c>
      <c r="H1334" s="25"/>
      <c r="BA1334" s="73" t="s">
        <v>355</v>
      </c>
      <c r="BB1334" s="48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356</v>
      </c>
      <c r="E1335" s="1" t="s">
        <v>127</v>
      </c>
      <c r="F1335" s="26">
        <v>1.157</v>
      </c>
      <c r="G1335" s="25" t="s">
        <v>293</v>
      </c>
      <c r="H1335" s="25"/>
      <c r="BA1335" s="73" t="s">
        <v>355</v>
      </c>
      <c r="BB1335" s="48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356</v>
      </c>
      <c r="E1336" s="1" t="s">
        <v>131</v>
      </c>
      <c r="F1336" s="26">
        <v>8.6</v>
      </c>
      <c r="G1336" s="25" t="s">
        <v>293</v>
      </c>
      <c r="H1336" s="25"/>
      <c r="BA1336" s="73" t="s">
        <v>355</v>
      </c>
      <c r="BB1336" s="48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356</v>
      </c>
      <c r="E1337" s="1" t="s">
        <v>342</v>
      </c>
      <c r="F1337" s="26">
        <v>307</v>
      </c>
      <c r="G1337" s="25" t="s">
        <v>293</v>
      </c>
      <c r="H1337" s="25"/>
      <c r="BA1337" s="73" t="s">
        <v>355</v>
      </c>
      <c r="BB1337" s="48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356</v>
      </c>
      <c r="E1338" s="1" t="s">
        <v>119</v>
      </c>
      <c r="F1338" s="26">
        <v>236</v>
      </c>
      <c r="G1338" s="25" t="s">
        <v>293</v>
      </c>
      <c r="H1338" s="25"/>
      <c r="BA1338" s="73" t="s">
        <v>355</v>
      </c>
      <c r="BB1338" s="48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356</v>
      </c>
      <c r="E1339" s="1" t="s">
        <v>120</v>
      </c>
      <c r="F1339" s="26">
        <v>77</v>
      </c>
      <c r="G1339" s="25" t="s">
        <v>293</v>
      </c>
      <c r="H1339" s="25"/>
      <c r="BA1339" s="73" t="s">
        <v>355</v>
      </c>
      <c r="BB1339" s="48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356</v>
      </c>
      <c r="E1340" s="1" t="s">
        <v>117</v>
      </c>
      <c r="F1340" s="26">
        <v>2.75</v>
      </c>
      <c r="G1340" s="25" t="s">
        <v>293</v>
      </c>
      <c r="H1340" s="25"/>
      <c r="BA1340" s="73" t="s">
        <v>355</v>
      </c>
      <c r="BB1340" s="48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356</v>
      </c>
      <c r="E1341" s="1" t="s">
        <v>344</v>
      </c>
      <c r="F1341" s="26">
        <v>231</v>
      </c>
      <c r="G1341" s="25" t="s">
        <v>293</v>
      </c>
      <c r="H1341" s="25"/>
      <c r="BA1341" s="73" t="s">
        <v>355</v>
      </c>
      <c r="BB1341" s="48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356</v>
      </c>
      <c r="E1342" s="1" t="s">
        <v>132</v>
      </c>
      <c r="F1342" s="26">
        <v>3.54</v>
      </c>
      <c r="G1342" s="25" t="s">
        <v>293</v>
      </c>
      <c r="H1342" s="25"/>
      <c r="BA1342" s="73" t="s">
        <v>355</v>
      </c>
      <c r="BB1342" s="48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356</v>
      </c>
      <c r="E1343" s="1" t="s">
        <v>111</v>
      </c>
      <c r="F1343" s="26">
        <v>87</v>
      </c>
      <c r="G1343" s="25" t="s">
        <v>293</v>
      </c>
      <c r="H1343" s="25"/>
      <c r="BA1343" s="73" t="s">
        <v>355</v>
      </c>
      <c r="BB1343" s="48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356</v>
      </c>
      <c r="E1344" s="1" t="s">
        <v>345</v>
      </c>
      <c r="F1344" s="26">
        <v>5.4</v>
      </c>
      <c r="G1344" s="25" t="s">
        <v>293</v>
      </c>
      <c r="H1344" s="25"/>
      <c r="BA1344" s="73" t="s">
        <v>355</v>
      </c>
      <c r="BB1344" s="48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356</v>
      </c>
      <c r="E1345" s="1" t="s">
        <v>347</v>
      </c>
      <c r="F1345" s="26">
        <v>2.2000000000000002</v>
      </c>
      <c r="G1345" s="25" t="s">
        <v>293</v>
      </c>
      <c r="H1345" s="25"/>
      <c r="BA1345" s="73" t="s">
        <v>355</v>
      </c>
      <c r="BB1345" s="48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356</v>
      </c>
      <c r="E1346" s="1" t="s">
        <v>128</v>
      </c>
      <c r="F1346" s="26">
        <v>6.7</v>
      </c>
      <c r="G1346" s="25" t="s">
        <v>293</v>
      </c>
      <c r="H1346" s="25"/>
      <c r="BA1346" s="73" t="s">
        <v>355</v>
      </c>
      <c r="BB1346" s="48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356</v>
      </c>
      <c r="E1347" s="1" t="s">
        <v>121</v>
      </c>
      <c r="F1347" s="26">
        <v>160</v>
      </c>
      <c r="G1347" s="25" t="s">
        <v>293</v>
      </c>
      <c r="H1347" s="25"/>
      <c r="BA1347" s="73" t="s">
        <v>355</v>
      </c>
      <c r="BB1347" s="48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356</v>
      </c>
      <c r="E1348" s="1" t="s">
        <v>115</v>
      </c>
      <c r="F1348" s="26">
        <v>33</v>
      </c>
      <c r="G1348" s="25" t="s">
        <v>293</v>
      </c>
      <c r="H1348" s="25"/>
      <c r="BA1348" s="73" t="s">
        <v>355</v>
      </c>
      <c r="BB1348" s="48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356</v>
      </c>
      <c r="E1349" s="1" t="s">
        <v>137</v>
      </c>
      <c r="F1349" s="26">
        <v>75</v>
      </c>
      <c r="G1349" s="25" t="s">
        <v>293</v>
      </c>
      <c r="H1349" s="25"/>
      <c r="BA1349" s="73" t="s">
        <v>355</v>
      </c>
      <c r="BB1349" s="48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356</v>
      </c>
      <c r="E1350" s="1" t="s">
        <v>348</v>
      </c>
      <c r="F1350" s="26">
        <v>135</v>
      </c>
      <c r="G1350" s="25" t="s">
        <v>293</v>
      </c>
      <c r="H1350" s="25"/>
      <c r="BA1350" s="73" t="s">
        <v>355</v>
      </c>
      <c r="BB1350" s="48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356</v>
      </c>
      <c r="E1351" s="1" t="s">
        <v>125</v>
      </c>
      <c r="F1351" s="26">
        <v>113</v>
      </c>
      <c r="G1351" s="25" t="s">
        <v>293</v>
      </c>
      <c r="H1351" s="25"/>
      <c r="BA1351" s="73" t="s">
        <v>355</v>
      </c>
      <c r="BB1351" s="48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356</v>
      </c>
      <c r="E1352" s="1" t="s">
        <v>126</v>
      </c>
      <c r="F1352" s="26">
        <v>79</v>
      </c>
      <c r="G1352" s="25" t="s">
        <v>293</v>
      </c>
      <c r="H1352" s="25"/>
      <c r="BA1352" s="73" t="s">
        <v>355</v>
      </c>
      <c r="BB1352" s="48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356</v>
      </c>
      <c r="E1353" s="1" t="s">
        <v>349</v>
      </c>
      <c r="F1353" s="26">
        <v>158</v>
      </c>
      <c r="G1353" s="25" t="s">
        <v>293</v>
      </c>
      <c r="H1353" s="25"/>
      <c r="BA1353" s="73" t="s">
        <v>355</v>
      </c>
      <c r="BB1353" s="48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356</v>
      </c>
      <c r="E1354" s="1" t="s">
        <v>350</v>
      </c>
      <c r="F1354" s="26">
        <v>58</v>
      </c>
      <c r="G1354" s="25" t="s">
        <v>293</v>
      </c>
      <c r="H1354" s="25"/>
      <c r="BA1354" s="73" t="s">
        <v>355</v>
      </c>
      <c r="BB1354" s="48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356</v>
      </c>
      <c r="E1355" s="1" t="s">
        <v>122</v>
      </c>
      <c r="F1355" s="26">
        <v>47</v>
      </c>
      <c r="G1355" s="25" t="s">
        <v>293</v>
      </c>
      <c r="H1355" s="25"/>
      <c r="BA1355" s="73" t="s">
        <v>355</v>
      </c>
      <c r="BB1355" s="48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356</v>
      </c>
      <c r="E1356" s="1" t="s">
        <v>124</v>
      </c>
      <c r="F1356" s="26">
        <v>29</v>
      </c>
      <c r="G1356" s="25" t="s">
        <v>293</v>
      </c>
      <c r="H1356" s="25"/>
      <c r="BA1356" s="73" t="s">
        <v>355</v>
      </c>
      <c r="BB1356" s="48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356</v>
      </c>
      <c r="E1357" s="1" t="s">
        <v>351</v>
      </c>
      <c r="F1357" s="26">
        <v>0.99</v>
      </c>
      <c r="G1357" s="25" t="s">
        <v>293</v>
      </c>
      <c r="H1357" s="25"/>
      <c r="BA1357" s="73" t="s">
        <v>355</v>
      </c>
      <c r="BB1357" s="48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356</v>
      </c>
      <c r="E1358" s="1" t="s">
        <v>353</v>
      </c>
      <c r="F1358" s="26">
        <v>33.299999999999997</v>
      </c>
      <c r="G1358" s="25" t="s">
        <v>293</v>
      </c>
      <c r="H1358" s="25"/>
      <c r="BA1358" s="73" t="s">
        <v>355</v>
      </c>
      <c r="BB1358" s="48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356</v>
      </c>
      <c r="E1359" s="1" t="s">
        <v>133</v>
      </c>
      <c r="F1359" s="26">
        <v>146</v>
      </c>
      <c r="G1359" s="25" t="s">
        <v>293</v>
      </c>
      <c r="H1359" s="25"/>
      <c r="BA1359" s="73" t="s">
        <v>355</v>
      </c>
      <c r="BB1359" s="48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356</v>
      </c>
      <c r="E1360" s="1" t="s">
        <v>135</v>
      </c>
      <c r="F1360" s="26">
        <v>3.8</v>
      </c>
      <c r="G1360" s="25" t="s">
        <v>293</v>
      </c>
      <c r="H1360" s="25"/>
      <c r="BA1360" s="73" t="s">
        <v>355</v>
      </c>
      <c r="BB1360" s="48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356</v>
      </c>
      <c r="E1361" s="1" t="s">
        <v>136</v>
      </c>
      <c r="F1361" s="26">
        <v>114</v>
      </c>
      <c r="G1361" s="25" t="s">
        <v>293</v>
      </c>
      <c r="H1361" s="25"/>
      <c r="BA1361" s="73" t="s">
        <v>355</v>
      </c>
      <c r="BB1361" s="48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356</v>
      </c>
      <c r="E1362" s="1" t="s">
        <v>339</v>
      </c>
      <c r="F1362" s="26">
        <v>4.54</v>
      </c>
      <c r="G1362" s="25" t="s">
        <v>293</v>
      </c>
      <c r="H1362" s="25"/>
      <c r="BA1362" s="73" t="s">
        <v>355</v>
      </c>
      <c r="BB1362" s="48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356</v>
      </c>
      <c r="E1363" s="1" t="s">
        <v>118</v>
      </c>
      <c r="F1363" s="26">
        <v>4.5999999999999996</v>
      </c>
      <c r="G1363" s="25" t="s">
        <v>293</v>
      </c>
      <c r="H1363" s="25"/>
      <c r="BA1363" s="73" t="s">
        <v>355</v>
      </c>
      <c r="BB1363" s="48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356</v>
      </c>
      <c r="E1364" s="1" t="s">
        <v>130</v>
      </c>
      <c r="F1364" s="26">
        <v>3.83</v>
      </c>
      <c r="G1364" s="25" t="s">
        <v>293</v>
      </c>
      <c r="H1364" s="25"/>
      <c r="BA1364" s="73" t="s">
        <v>355</v>
      </c>
      <c r="BB1364" s="48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356</v>
      </c>
      <c r="E1365" s="1" t="s">
        <v>341</v>
      </c>
      <c r="F1365" s="26">
        <v>0.28999999999999998</v>
      </c>
      <c r="G1365" s="25" t="s">
        <v>293</v>
      </c>
      <c r="H1365" s="25"/>
      <c r="BA1365" s="73" t="s">
        <v>355</v>
      </c>
      <c r="BB1365" s="48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356</v>
      </c>
      <c r="E1366" s="1" t="s">
        <v>127</v>
      </c>
      <c r="F1366" s="26">
        <v>1.17</v>
      </c>
      <c r="G1366" s="25" t="s">
        <v>293</v>
      </c>
      <c r="H1366" s="25"/>
      <c r="BA1366" s="73" t="s">
        <v>355</v>
      </c>
      <c r="BB1366" s="48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356</v>
      </c>
      <c r="E1367" s="1" t="s">
        <v>131</v>
      </c>
      <c r="F1367" s="26">
        <v>8.6999999999999993</v>
      </c>
      <c r="G1367" s="25" t="s">
        <v>293</v>
      </c>
      <c r="H1367" s="25"/>
      <c r="BA1367" s="73" t="s">
        <v>355</v>
      </c>
      <c r="BB1367" s="48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356</v>
      </c>
      <c r="E1368" s="1" t="s">
        <v>342</v>
      </c>
      <c r="F1368" s="26">
        <v>307</v>
      </c>
      <c r="G1368" s="25" t="s">
        <v>293</v>
      </c>
      <c r="H1368" s="25"/>
      <c r="BA1368" s="73" t="s">
        <v>355</v>
      </c>
      <c r="BB1368" s="48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356</v>
      </c>
      <c r="E1369" s="1" t="s">
        <v>119</v>
      </c>
      <c r="F1369" s="26">
        <v>236</v>
      </c>
      <c r="G1369" s="25" t="s">
        <v>293</v>
      </c>
      <c r="H1369" s="25"/>
      <c r="BA1369" s="73" t="s">
        <v>355</v>
      </c>
      <c r="BB1369" s="48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356</v>
      </c>
      <c r="E1370" s="1" t="s">
        <v>120</v>
      </c>
      <c r="F1370" s="26">
        <v>77</v>
      </c>
      <c r="G1370" s="25" t="s">
        <v>293</v>
      </c>
      <c r="H1370" s="25"/>
      <c r="BA1370" s="73" t="s">
        <v>355</v>
      </c>
      <c r="BB1370" s="48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356</v>
      </c>
      <c r="E1371" s="1" t="s">
        <v>117</v>
      </c>
      <c r="F1371" s="26">
        <v>2.68</v>
      </c>
      <c r="G1371" s="25" t="s">
        <v>293</v>
      </c>
      <c r="H1371" s="25"/>
      <c r="BA1371" s="73" t="s">
        <v>355</v>
      </c>
      <c r="BB1371" s="48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356</v>
      </c>
      <c r="E1372" s="1" t="s">
        <v>344</v>
      </c>
      <c r="F1372" s="26">
        <v>232</v>
      </c>
      <c r="G1372" s="25" t="s">
        <v>293</v>
      </c>
      <c r="H1372" s="25"/>
      <c r="BA1372" s="73" t="s">
        <v>355</v>
      </c>
      <c r="BB1372" s="48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356</v>
      </c>
      <c r="E1373" s="1" t="s">
        <v>132</v>
      </c>
      <c r="F1373" s="26">
        <v>3.62</v>
      </c>
      <c r="G1373" s="25" t="s">
        <v>293</v>
      </c>
      <c r="H1373" s="25"/>
      <c r="BA1373" s="73" t="s">
        <v>355</v>
      </c>
      <c r="BB1373" s="48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356</v>
      </c>
      <c r="E1374" s="1" t="s">
        <v>111</v>
      </c>
      <c r="F1374" s="26">
        <v>88</v>
      </c>
      <c r="G1374" s="25" t="s">
        <v>293</v>
      </c>
      <c r="H1374" s="25"/>
      <c r="BA1374" s="73" t="s">
        <v>355</v>
      </c>
      <c r="BB1374" s="48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356</v>
      </c>
      <c r="E1375" s="1" t="s">
        <v>345</v>
      </c>
      <c r="F1375" s="26">
        <v>5.31</v>
      </c>
      <c r="G1375" s="25" t="s">
        <v>293</v>
      </c>
      <c r="H1375" s="25"/>
      <c r="BA1375" s="73" t="s">
        <v>355</v>
      </c>
      <c r="BB1375" s="48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356</v>
      </c>
      <c r="E1376" s="1" t="s">
        <v>347</v>
      </c>
      <c r="F1376" s="26">
        <v>2.04</v>
      </c>
      <c r="G1376" s="25" t="s">
        <v>293</v>
      </c>
      <c r="H1376" s="25"/>
      <c r="BA1376" s="73" t="s">
        <v>355</v>
      </c>
      <c r="BB1376" s="48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356</v>
      </c>
      <c r="E1377" s="1" t="s">
        <v>128</v>
      </c>
      <c r="F1377" s="26">
        <v>6.9</v>
      </c>
      <c r="G1377" s="25" t="s">
        <v>293</v>
      </c>
      <c r="H1377" s="25"/>
      <c r="BA1377" s="73" t="s">
        <v>355</v>
      </c>
      <c r="BB1377" s="48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356</v>
      </c>
      <c r="E1378" s="1" t="s">
        <v>121</v>
      </c>
      <c r="F1378" s="26">
        <v>157</v>
      </c>
      <c r="G1378" s="25" t="s">
        <v>293</v>
      </c>
      <c r="H1378" s="25"/>
      <c r="BA1378" s="73" t="s">
        <v>355</v>
      </c>
      <c r="BB1378" s="48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356</v>
      </c>
      <c r="E1379" s="1" t="s">
        <v>115</v>
      </c>
      <c r="F1379" s="26">
        <v>32</v>
      </c>
      <c r="G1379" s="25" t="s">
        <v>293</v>
      </c>
      <c r="H1379" s="25"/>
      <c r="BA1379" s="73" t="s">
        <v>355</v>
      </c>
      <c r="BB1379" s="48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356</v>
      </c>
      <c r="E1380" s="1" t="s">
        <v>137</v>
      </c>
      <c r="F1380" s="26">
        <v>74</v>
      </c>
      <c r="G1380" s="25" t="s">
        <v>293</v>
      </c>
      <c r="H1380" s="25"/>
      <c r="BA1380" s="73" t="s">
        <v>355</v>
      </c>
      <c r="BB1380" s="48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356</v>
      </c>
      <c r="E1381" s="1" t="s">
        <v>348</v>
      </c>
      <c r="F1381" s="26">
        <v>138</v>
      </c>
      <c r="G1381" s="25" t="s">
        <v>293</v>
      </c>
      <c r="H1381" s="25"/>
      <c r="BA1381" s="73" t="s">
        <v>355</v>
      </c>
      <c r="BB1381" s="48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356</v>
      </c>
      <c r="E1382" s="1" t="s">
        <v>125</v>
      </c>
      <c r="F1382" s="26">
        <v>109</v>
      </c>
      <c r="G1382" s="25" t="s">
        <v>293</v>
      </c>
      <c r="H1382" s="25"/>
      <c r="BA1382" s="73" t="s">
        <v>355</v>
      </c>
      <c r="BB1382" s="48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356</v>
      </c>
      <c r="E1383" s="1" t="s">
        <v>126</v>
      </c>
      <c r="F1383" s="26">
        <v>82</v>
      </c>
      <c r="G1383" s="25" t="s">
        <v>293</v>
      </c>
      <c r="H1383" s="25"/>
      <c r="BA1383" s="73" t="s">
        <v>355</v>
      </c>
      <c r="BB1383" s="48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356</v>
      </c>
      <c r="E1384" s="1" t="s">
        <v>349</v>
      </c>
      <c r="F1384" s="26">
        <v>167</v>
      </c>
      <c r="G1384" s="25" t="s">
        <v>293</v>
      </c>
      <c r="H1384" s="25"/>
      <c r="BA1384" s="73" t="s">
        <v>355</v>
      </c>
      <c r="BB1384" s="48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356</v>
      </c>
      <c r="E1385" s="1" t="s">
        <v>350</v>
      </c>
      <c r="F1385" s="26">
        <v>57</v>
      </c>
      <c r="G1385" s="25" t="s">
        <v>293</v>
      </c>
      <c r="H1385" s="25"/>
      <c r="BA1385" s="73" t="s">
        <v>355</v>
      </c>
      <c r="BB1385" s="48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356</v>
      </c>
      <c r="E1386" s="1" t="s">
        <v>122</v>
      </c>
      <c r="F1386" s="26">
        <v>46</v>
      </c>
      <c r="G1386" s="25" t="s">
        <v>293</v>
      </c>
      <c r="H1386" s="25"/>
      <c r="BA1386" s="73" t="s">
        <v>355</v>
      </c>
      <c r="BB1386" s="48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356</v>
      </c>
      <c r="E1387" s="1" t="s">
        <v>124</v>
      </c>
      <c r="F1387" s="26">
        <v>31</v>
      </c>
      <c r="G1387" s="25" t="s">
        <v>293</v>
      </c>
      <c r="H1387" s="25"/>
      <c r="BA1387" s="73" t="s">
        <v>355</v>
      </c>
      <c r="BB1387" s="48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356</v>
      </c>
      <c r="E1388" s="1" t="s">
        <v>351</v>
      </c>
      <c r="F1388" s="26">
        <v>0.95</v>
      </c>
      <c r="G1388" s="25" t="s">
        <v>293</v>
      </c>
      <c r="H1388" s="25"/>
      <c r="BA1388" s="73" t="s">
        <v>355</v>
      </c>
      <c r="BB1388" s="48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356</v>
      </c>
      <c r="E1389" s="1" t="s">
        <v>353</v>
      </c>
      <c r="F1389" s="26">
        <v>36</v>
      </c>
      <c r="G1389" s="25" t="s">
        <v>293</v>
      </c>
      <c r="H1389" s="25"/>
      <c r="BA1389" s="73" t="s">
        <v>355</v>
      </c>
      <c r="BB1389" s="48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356</v>
      </c>
      <c r="E1390" s="1" t="s">
        <v>133</v>
      </c>
      <c r="F1390" s="26">
        <v>145</v>
      </c>
      <c r="G1390" s="25" t="s">
        <v>293</v>
      </c>
      <c r="H1390" s="25"/>
      <c r="BA1390" s="73" t="s">
        <v>355</v>
      </c>
      <c r="BB1390" s="48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356</v>
      </c>
      <c r="E1391" s="1" t="s">
        <v>135</v>
      </c>
      <c r="F1391" s="26">
        <v>3.8</v>
      </c>
      <c r="G1391" s="25" t="s">
        <v>293</v>
      </c>
      <c r="H1391" s="25"/>
      <c r="BA1391" s="73" t="s">
        <v>355</v>
      </c>
      <c r="BB1391" s="48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356</v>
      </c>
      <c r="E1392" s="1" t="s">
        <v>136</v>
      </c>
      <c r="F1392" s="26">
        <v>115</v>
      </c>
      <c r="G1392" s="25" t="s">
        <v>293</v>
      </c>
      <c r="H1392" s="25"/>
      <c r="BA1392" s="73" t="s">
        <v>355</v>
      </c>
      <c r="BB1392" s="48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356</v>
      </c>
      <c r="E1393" s="1" t="s">
        <v>339</v>
      </c>
      <c r="F1393" s="26">
        <v>4.7</v>
      </c>
      <c r="G1393" s="25" t="s">
        <v>293</v>
      </c>
      <c r="H1393" s="25"/>
      <c r="BA1393" s="73" t="s">
        <v>355</v>
      </c>
      <c r="BB1393" s="48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356</v>
      </c>
      <c r="E1394" s="1" t="s">
        <v>118</v>
      </c>
      <c r="F1394" s="26">
        <v>4.5</v>
      </c>
      <c r="G1394" s="25" t="s">
        <v>293</v>
      </c>
      <c r="H1394" s="25"/>
      <c r="BA1394" s="73" t="s">
        <v>355</v>
      </c>
      <c r="BB1394" s="48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356</v>
      </c>
      <c r="E1395" s="1" t="s">
        <v>130</v>
      </c>
      <c r="F1395" s="26">
        <v>3.85</v>
      </c>
      <c r="G1395" s="25" t="s">
        <v>293</v>
      </c>
      <c r="H1395" s="25"/>
      <c r="BA1395" s="73" t="s">
        <v>355</v>
      </c>
      <c r="BB1395" s="48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356</v>
      </c>
      <c r="E1396" s="1" t="s">
        <v>341</v>
      </c>
      <c r="F1396" s="26">
        <v>0.27</v>
      </c>
      <c r="G1396" s="25" t="s">
        <v>293</v>
      </c>
      <c r="H1396" s="25"/>
      <c r="BA1396" s="73" t="s">
        <v>355</v>
      </c>
      <c r="BB1396" s="48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356</v>
      </c>
      <c r="E1397" s="1" t="s">
        <v>127</v>
      </c>
      <c r="F1397" s="26">
        <v>1.18</v>
      </c>
      <c r="G1397" s="25" t="s">
        <v>293</v>
      </c>
      <c r="H1397" s="25"/>
      <c r="BA1397" s="73" t="s">
        <v>355</v>
      </c>
      <c r="BB1397" s="48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356</v>
      </c>
      <c r="E1398" s="1" t="s">
        <v>131</v>
      </c>
      <c r="F1398" s="26">
        <v>8.9</v>
      </c>
      <c r="G1398" s="25" t="s">
        <v>293</v>
      </c>
      <c r="H1398" s="25"/>
      <c r="BA1398" s="73" t="s">
        <v>355</v>
      </c>
      <c r="BB1398" s="48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356</v>
      </c>
      <c r="E1399" s="1" t="s">
        <v>342</v>
      </c>
      <c r="F1399" s="26">
        <v>319</v>
      </c>
      <c r="G1399" s="25" t="s">
        <v>293</v>
      </c>
      <c r="H1399" s="25"/>
      <c r="BA1399" s="73" t="s">
        <v>355</v>
      </c>
      <c r="BB1399" s="48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356</v>
      </c>
      <c r="E1400" s="1" t="s">
        <v>119</v>
      </c>
      <c r="F1400" s="26">
        <v>232</v>
      </c>
      <c r="G1400" s="25" t="s">
        <v>293</v>
      </c>
      <c r="H1400" s="25"/>
      <c r="BA1400" s="73" t="s">
        <v>355</v>
      </c>
      <c r="BB1400" s="48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356</v>
      </c>
      <c r="E1401" s="1" t="s">
        <v>120</v>
      </c>
      <c r="F1401" s="26">
        <v>77</v>
      </c>
      <c r="G1401" s="25" t="s">
        <v>293</v>
      </c>
      <c r="H1401" s="25"/>
      <c r="BA1401" s="73" t="s">
        <v>355</v>
      </c>
      <c r="BB1401" s="48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356</v>
      </c>
      <c r="E1402" s="1" t="s">
        <v>117</v>
      </c>
      <c r="F1402" s="26">
        <v>2.84</v>
      </c>
      <c r="G1402" s="25" t="s">
        <v>293</v>
      </c>
      <c r="H1402" s="25"/>
      <c r="BA1402" s="73" t="s">
        <v>355</v>
      </c>
      <c r="BB1402" s="48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356</v>
      </c>
      <c r="E1403" s="1" t="s">
        <v>344</v>
      </c>
      <c r="F1403" s="26">
        <v>230</v>
      </c>
      <c r="G1403" s="25" t="s">
        <v>293</v>
      </c>
      <c r="H1403" s="25"/>
      <c r="BA1403" s="73" t="s">
        <v>355</v>
      </c>
      <c r="BB1403" s="48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356</v>
      </c>
      <c r="E1404" s="1" t="s">
        <v>132</v>
      </c>
      <c r="F1404" s="26">
        <v>3.51</v>
      </c>
      <c r="G1404" s="25" t="s">
        <v>293</v>
      </c>
      <c r="H1404" s="25"/>
      <c r="BA1404" s="73" t="s">
        <v>355</v>
      </c>
      <c r="BB1404" s="48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356</v>
      </c>
      <c r="E1405" s="1" t="s">
        <v>111</v>
      </c>
      <c r="F1405" s="26">
        <v>89</v>
      </c>
      <c r="G1405" s="25" t="s">
        <v>293</v>
      </c>
      <c r="H1405" s="25"/>
      <c r="BA1405" s="73" t="s">
        <v>355</v>
      </c>
      <c r="BB1405" s="48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356</v>
      </c>
      <c r="E1406" s="1" t="s">
        <v>345</v>
      </c>
      <c r="F1406" s="26">
        <v>5.12</v>
      </c>
      <c r="G1406" s="25" t="s">
        <v>293</v>
      </c>
      <c r="H1406" s="25"/>
      <c r="BA1406" s="73" t="s">
        <v>355</v>
      </c>
      <c r="BB1406" s="48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356</v>
      </c>
      <c r="E1407" s="1" t="s">
        <v>347</v>
      </c>
      <c r="F1407" s="26">
        <v>2.19</v>
      </c>
      <c r="G1407" s="25" t="s">
        <v>293</v>
      </c>
      <c r="H1407" s="25"/>
      <c r="BA1407" s="73" t="s">
        <v>355</v>
      </c>
      <c r="BB1407" s="48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356</v>
      </c>
      <c r="E1408" s="1" t="s">
        <v>128</v>
      </c>
      <c r="F1408" s="26">
        <v>6.9</v>
      </c>
      <c r="G1408" s="25" t="s">
        <v>293</v>
      </c>
      <c r="H1408" s="25"/>
      <c r="BA1408" s="73" t="s">
        <v>355</v>
      </c>
      <c r="BB1408" s="48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356</v>
      </c>
      <c r="E1409" s="1" t="s">
        <v>121</v>
      </c>
      <c r="F1409" s="26">
        <v>165</v>
      </c>
      <c r="G1409" s="25" t="s">
        <v>293</v>
      </c>
      <c r="H1409" s="25"/>
      <c r="BA1409" s="73" t="s">
        <v>355</v>
      </c>
      <c r="BB1409" s="48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356</v>
      </c>
      <c r="E1410" s="1" t="s">
        <v>115</v>
      </c>
      <c r="F1410" s="26">
        <v>32</v>
      </c>
      <c r="G1410" s="25" t="s">
        <v>293</v>
      </c>
      <c r="H1410" s="25"/>
      <c r="BA1410" s="73" t="s">
        <v>355</v>
      </c>
      <c r="BB1410" s="48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356</v>
      </c>
      <c r="E1411" s="1" t="s">
        <v>137</v>
      </c>
      <c r="F1411" s="26">
        <v>75</v>
      </c>
      <c r="G1411" s="25" t="s">
        <v>293</v>
      </c>
      <c r="H1411" s="25"/>
      <c r="BA1411" s="73" t="s">
        <v>355</v>
      </c>
      <c r="BB1411" s="48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356</v>
      </c>
      <c r="E1412" s="1" t="s">
        <v>348</v>
      </c>
      <c r="F1412" s="26">
        <v>138</v>
      </c>
      <c r="G1412" s="25" t="s">
        <v>293</v>
      </c>
      <c r="H1412" s="25"/>
      <c r="BA1412" s="73" t="s">
        <v>355</v>
      </c>
      <c r="BB1412" s="48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356</v>
      </c>
      <c r="E1413" s="1" t="s">
        <v>125</v>
      </c>
      <c r="F1413" s="26">
        <v>117</v>
      </c>
      <c r="G1413" s="25" t="s">
        <v>293</v>
      </c>
      <c r="H1413" s="25"/>
      <c r="BA1413" s="73" t="s">
        <v>355</v>
      </c>
      <c r="BB1413" s="48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356</v>
      </c>
      <c r="E1414" s="1" t="s">
        <v>126</v>
      </c>
      <c r="F1414" s="26">
        <v>78</v>
      </c>
      <c r="G1414" s="25" t="s">
        <v>293</v>
      </c>
      <c r="H1414" s="25"/>
      <c r="BA1414" s="73" t="s">
        <v>355</v>
      </c>
      <c r="BB1414" s="48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356</v>
      </c>
      <c r="E1415" s="1" t="s">
        <v>349</v>
      </c>
      <c r="F1415" s="26">
        <v>157</v>
      </c>
      <c r="G1415" s="25" t="s">
        <v>293</v>
      </c>
      <c r="H1415" s="25"/>
      <c r="BA1415" s="73" t="s">
        <v>355</v>
      </c>
      <c r="BB1415" s="48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356</v>
      </c>
      <c r="E1416" s="1" t="s">
        <v>350</v>
      </c>
      <c r="F1416" s="26">
        <v>55</v>
      </c>
      <c r="G1416" s="25" t="s">
        <v>293</v>
      </c>
      <c r="H1416" s="25"/>
      <c r="BA1416" s="73" t="s">
        <v>355</v>
      </c>
      <c r="BB1416" s="48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356</v>
      </c>
      <c r="E1417" s="1" t="s">
        <v>122</v>
      </c>
      <c r="F1417" s="26">
        <v>48</v>
      </c>
      <c r="G1417" s="25" t="s">
        <v>293</v>
      </c>
      <c r="H1417" s="25"/>
      <c r="BA1417" s="73" t="s">
        <v>355</v>
      </c>
      <c r="BB1417" s="48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356</v>
      </c>
      <c r="E1418" s="1" t="s">
        <v>124</v>
      </c>
      <c r="F1418" s="26">
        <v>31</v>
      </c>
      <c r="G1418" s="25" t="s">
        <v>293</v>
      </c>
      <c r="H1418" s="25"/>
      <c r="BA1418" s="73" t="s">
        <v>355</v>
      </c>
      <c r="BB1418" s="48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356</v>
      </c>
      <c r="E1419" s="1" t="s">
        <v>351</v>
      </c>
      <c r="F1419" s="26">
        <v>0.97</v>
      </c>
      <c r="G1419" s="25" t="s">
        <v>293</v>
      </c>
      <c r="H1419" s="25"/>
      <c r="BA1419" s="73" t="s">
        <v>355</v>
      </c>
      <c r="BB1419" s="48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356</v>
      </c>
      <c r="E1420" s="1" t="s">
        <v>353</v>
      </c>
      <c r="F1420" s="26">
        <v>33.4</v>
      </c>
      <c r="G1420" s="25" t="s">
        <v>293</v>
      </c>
      <c r="H1420" s="25"/>
      <c r="BA1420" s="73" t="s">
        <v>355</v>
      </c>
      <c r="BB1420" s="48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356</v>
      </c>
      <c r="E1421" s="1" t="s">
        <v>133</v>
      </c>
      <c r="F1421" s="26">
        <v>145</v>
      </c>
      <c r="G1421" s="25" t="s">
        <v>293</v>
      </c>
      <c r="H1421" s="25"/>
      <c r="BA1421" s="73" t="s">
        <v>355</v>
      </c>
      <c r="BB1421" s="48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356</v>
      </c>
      <c r="E1422" s="1" t="s">
        <v>135</v>
      </c>
      <c r="F1422" s="26">
        <v>3.7</v>
      </c>
      <c r="G1422" s="25" t="s">
        <v>293</v>
      </c>
      <c r="H1422" s="25"/>
      <c r="BA1422" s="73" t="s">
        <v>355</v>
      </c>
      <c r="BB1422" s="48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356</v>
      </c>
      <c r="E1423" s="1" t="s">
        <v>136</v>
      </c>
      <c r="F1423" s="26">
        <v>118</v>
      </c>
      <c r="G1423" s="25" t="s">
        <v>293</v>
      </c>
      <c r="H1423" s="25"/>
      <c r="BA1423" s="73" t="s">
        <v>355</v>
      </c>
      <c r="BB1423" s="48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356</v>
      </c>
      <c r="E1424" s="1" t="s">
        <v>339</v>
      </c>
      <c r="F1424" s="26">
        <v>4.6100000000000003</v>
      </c>
      <c r="G1424" s="25" t="s">
        <v>293</v>
      </c>
      <c r="H1424" s="25"/>
      <c r="BA1424" s="73" t="s">
        <v>355</v>
      </c>
      <c r="BB1424" s="48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356</v>
      </c>
      <c r="E1425" s="1" t="s">
        <v>118</v>
      </c>
      <c r="F1425" s="26">
        <v>4.5999999999999996</v>
      </c>
      <c r="G1425" s="25" t="s">
        <v>293</v>
      </c>
      <c r="H1425" s="25"/>
      <c r="BA1425" s="73" t="s">
        <v>355</v>
      </c>
      <c r="BB1425" s="48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356</v>
      </c>
      <c r="E1426" s="1" t="s">
        <v>130</v>
      </c>
      <c r="F1426" s="26">
        <v>3.83</v>
      </c>
      <c r="G1426" s="25" t="s">
        <v>293</v>
      </c>
      <c r="H1426" s="25"/>
      <c r="BA1426" s="73" t="s">
        <v>355</v>
      </c>
      <c r="BB1426" s="48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356</v>
      </c>
      <c r="E1427" s="1" t="s">
        <v>341</v>
      </c>
      <c r="F1427" s="26">
        <v>0.28000000000000003</v>
      </c>
      <c r="G1427" s="25" t="s">
        <v>293</v>
      </c>
      <c r="H1427" s="25"/>
      <c r="BA1427" s="73" t="s">
        <v>355</v>
      </c>
      <c r="BB1427" s="48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356</v>
      </c>
      <c r="E1428" s="1" t="s">
        <v>127</v>
      </c>
      <c r="F1428" s="26">
        <v>1.1599999999999999</v>
      </c>
      <c r="G1428" s="25" t="s">
        <v>293</v>
      </c>
      <c r="H1428" s="25"/>
      <c r="BA1428" s="73" t="s">
        <v>355</v>
      </c>
      <c r="BB1428" s="48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356</v>
      </c>
      <c r="E1429" s="1" t="s">
        <v>131</v>
      </c>
      <c r="F1429" s="26">
        <v>8.6999999999999993</v>
      </c>
      <c r="G1429" s="25" t="s">
        <v>293</v>
      </c>
      <c r="H1429" s="25"/>
      <c r="BA1429" s="73" t="s">
        <v>355</v>
      </c>
      <c r="BB1429" s="48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356</v>
      </c>
      <c r="E1430" s="1" t="s">
        <v>342</v>
      </c>
      <c r="F1430" s="26">
        <v>332</v>
      </c>
      <c r="G1430" s="25" t="s">
        <v>293</v>
      </c>
      <c r="H1430" s="25"/>
      <c r="BA1430" s="73" t="s">
        <v>355</v>
      </c>
      <c r="BB1430" s="48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356</v>
      </c>
      <c r="E1431" s="1" t="s">
        <v>119</v>
      </c>
      <c r="F1431" s="26">
        <v>226</v>
      </c>
      <c r="G1431" s="25" t="s">
        <v>293</v>
      </c>
      <c r="H1431" s="25"/>
      <c r="BA1431" s="73" t="s">
        <v>355</v>
      </c>
      <c r="BB1431" s="48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356</v>
      </c>
      <c r="E1432" s="1" t="s">
        <v>120</v>
      </c>
      <c r="F1432" s="26">
        <v>75</v>
      </c>
      <c r="G1432" s="25" t="s">
        <v>293</v>
      </c>
      <c r="H1432" s="25"/>
      <c r="BA1432" s="73" t="s">
        <v>355</v>
      </c>
      <c r="BB1432" s="48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356</v>
      </c>
      <c r="E1433" s="1" t="s">
        <v>117</v>
      </c>
      <c r="F1433" s="26">
        <v>2.69</v>
      </c>
      <c r="G1433" s="25" t="s">
        <v>293</v>
      </c>
      <c r="H1433" s="25"/>
      <c r="BA1433" s="73" t="s">
        <v>355</v>
      </c>
      <c r="BB1433" s="48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356</v>
      </c>
      <c r="E1434" s="1" t="s">
        <v>344</v>
      </c>
      <c r="F1434" s="26">
        <v>232</v>
      </c>
      <c r="G1434" s="25" t="s">
        <v>293</v>
      </c>
      <c r="H1434" s="25"/>
      <c r="BA1434" s="73" t="s">
        <v>355</v>
      </c>
      <c r="BB1434" s="48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356</v>
      </c>
      <c r="E1435" s="1" t="s">
        <v>132</v>
      </c>
      <c r="F1435" s="26">
        <v>3.6</v>
      </c>
      <c r="G1435" s="25" t="s">
        <v>293</v>
      </c>
      <c r="H1435" s="25"/>
      <c r="BA1435" s="73" t="s">
        <v>355</v>
      </c>
      <c r="BB1435" s="48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356</v>
      </c>
      <c r="E1436" s="1" t="s">
        <v>111</v>
      </c>
      <c r="F1436" s="26">
        <v>87</v>
      </c>
      <c r="G1436" s="25" t="s">
        <v>293</v>
      </c>
      <c r="H1436" s="25"/>
      <c r="BA1436" s="73" t="s">
        <v>355</v>
      </c>
      <c r="BB1436" s="48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356</v>
      </c>
      <c r="E1437" s="1" t="s">
        <v>345</v>
      </c>
      <c r="F1437" s="26">
        <v>5.15</v>
      </c>
      <c r="G1437" s="25" t="s">
        <v>293</v>
      </c>
      <c r="H1437" s="25"/>
      <c r="BA1437" s="73" t="s">
        <v>355</v>
      </c>
      <c r="BB1437" s="48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356</v>
      </c>
      <c r="E1438" s="1" t="s">
        <v>347</v>
      </c>
      <c r="F1438" s="26">
        <v>2.0699999999999998</v>
      </c>
      <c r="G1438" s="25" t="s">
        <v>293</v>
      </c>
      <c r="H1438" s="25"/>
      <c r="BA1438" s="73" t="s">
        <v>355</v>
      </c>
      <c r="BB1438" s="48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356</v>
      </c>
      <c r="E1439" s="1" t="s">
        <v>128</v>
      </c>
      <c r="F1439" s="26">
        <v>6.9</v>
      </c>
      <c r="G1439" s="25" t="s">
        <v>293</v>
      </c>
      <c r="H1439" s="25"/>
      <c r="BA1439" s="73" t="s">
        <v>355</v>
      </c>
      <c r="BB1439" s="48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356</v>
      </c>
      <c r="E1440" s="1" t="s">
        <v>121</v>
      </c>
      <c r="F1440" s="26">
        <v>158</v>
      </c>
      <c r="G1440" s="25" t="s">
        <v>293</v>
      </c>
      <c r="H1440" s="25"/>
      <c r="BA1440" s="73" t="s">
        <v>355</v>
      </c>
      <c r="BB1440" s="48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356</v>
      </c>
      <c r="E1441" s="1" t="s">
        <v>115</v>
      </c>
      <c r="F1441" s="26">
        <v>32</v>
      </c>
      <c r="G1441" s="25" t="s">
        <v>293</v>
      </c>
      <c r="H1441" s="25"/>
      <c r="BA1441" s="73" t="s">
        <v>355</v>
      </c>
      <c r="BB1441" s="48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356</v>
      </c>
      <c r="E1442" s="1" t="s">
        <v>137</v>
      </c>
      <c r="F1442" s="26">
        <v>74</v>
      </c>
      <c r="G1442" s="25" t="s">
        <v>293</v>
      </c>
      <c r="H1442" s="25"/>
      <c r="BA1442" s="73" t="s">
        <v>355</v>
      </c>
      <c r="BB1442" s="48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356</v>
      </c>
      <c r="E1443" s="1" t="s">
        <v>348</v>
      </c>
      <c r="F1443" s="26">
        <v>135</v>
      </c>
      <c r="G1443" s="25" t="s">
        <v>293</v>
      </c>
      <c r="H1443" s="25"/>
      <c r="BA1443" s="73" t="s">
        <v>355</v>
      </c>
      <c r="BB1443" s="48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356</v>
      </c>
      <c r="E1444" s="1" t="s">
        <v>125</v>
      </c>
      <c r="F1444" s="26">
        <v>117</v>
      </c>
      <c r="G1444" s="25" t="s">
        <v>293</v>
      </c>
      <c r="H1444" s="25"/>
      <c r="BA1444" s="73" t="s">
        <v>355</v>
      </c>
      <c r="BB1444" s="48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356</v>
      </c>
      <c r="E1445" s="1" t="s">
        <v>126</v>
      </c>
      <c r="F1445" s="26">
        <v>81</v>
      </c>
      <c r="G1445" s="25" t="s">
        <v>293</v>
      </c>
      <c r="H1445" s="25"/>
      <c r="BA1445" s="73" t="s">
        <v>355</v>
      </c>
      <c r="BB1445" s="48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356</v>
      </c>
      <c r="E1446" s="1" t="s">
        <v>349</v>
      </c>
      <c r="F1446" s="26">
        <v>148</v>
      </c>
      <c r="G1446" s="25" t="s">
        <v>293</v>
      </c>
      <c r="H1446" s="25"/>
      <c r="BA1446" s="73" t="s">
        <v>355</v>
      </c>
      <c r="BB1446" s="48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356</v>
      </c>
      <c r="E1447" s="1" t="s">
        <v>350</v>
      </c>
      <c r="F1447" s="26">
        <v>61</v>
      </c>
      <c r="G1447" s="25" t="s">
        <v>293</v>
      </c>
      <c r="H1447" s="25"/>
      <c r="BA1447" s="73" t="s">
        <v>355</v>
      </c>
      <c r="BB1447" s="48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356</v>
      </c>
      <c r="E1448" s="1" t="s">
        <v>122</v>
      </c>
      <c r="F1448" s="26">
        <v>46</v>
      </c>
      <c r="G1448" s="25" t="s">
        <v>293</v>
      </c>
      <c r="H1448" s="25"/>
      <c r="BA1448" s="73" t="s">
        <v>355</v>
      </c>
      <c r="BB1448" s="48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356</v>
      </c>
      <c r="E1449" s="1" t="s">
        <v>124</v>
      </c>
      <c r="F1449" s="26">
        <v>30</v>
      </c>
      <c r="G1449" s="25" t="s">
        <v>293</v>
      </c>
      <c r="H1449" s="25"/>
      <c r="BA1449" s="73" t="s">
        <v>355</v>
      </c>
      <c r="BB1449" s="48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356</v>
      </c>
      <c r="E1450" s="1" t="s">
        <v>351</v>
      </c>
      <c r="F1450" s="26">
        <v>0.98</v>
      </c>
      <c r="G1450" s="25" t="s">
        <v>293</v>
      </c>
      <c r="H1450" s="25"/>
      <c r="BA1450" s="73" t="s">
        <v>355</v>
      </c>
      <c r="BB1450" s="48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356</v>
      </c>
      <c r="E1451" s="1" t="s">
        <v>353</v>
      </c>
      <c r="F1451" s="26">
        <v>32.200000000000003</v>
      </c>
      <c r="G1451" s="25" t="s">
        <v>293</v>
      </c>
      <c r="H1451" s="25"/>
      <c r="BA1451" s="73" t="s">
        <v>355</v>
      </c>
      <c r="BB1451" s="48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356</v>
      </c>
      <c r="E1452" s="1" t="s">
        <v>133</v>
      </c>
      <c r="F1452" s="26">
        <v>144</v>
      </c>
      <c r="G1452" s="25" t="s">
        <v>293</v>
      </c>
      <c r="H1452" s="25"/>
      <c r="BA1452" s="73" t="s">
        <v>355</v>
      </c>
      <c r="BB1452" s="48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356</v>
      </c>
      <c r="E1453" s="1" t="s">
        <v>135</v>
      </c>
      <c r="F1453" s="26">
        <v>3.7</v>
      </c>
      <c r="G1453" s="25" t="s">
        <v>293</v>
      </c>
      <c r="H1453" s="25"/>
      <c r="BA1453" s="73" t="s">
        <v>355</v>
      </c>
      <c r="BB1453" s="48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356</v>
      </c>
      <c r="E1454" s="1" t="s">
        <v>136</v>
      </c>
      <c r="F1454" s="26">
        <v>115</v>
      </c>
      <c r="G1454" s="25" t="s">
        <v>293</v>
      </c>
      <c r="H1454" s="25"/>
      <c r="BA1454" s="73" t="s">
        <v>355</v>
      </c>
      <c r="BB1454" s="48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356</v>
      </c>
      <c r="E1455" s="1" t="s">
        <v>339</v>
      </c>
      <c r="F1455" s="26">
        <v>4.68</v>
      </c>
      <c r="G1455" s="25" t="s">
        <v>293</v>
      </c>
      <c r="H1455" s="25"/>
      <c r="BA1455" s="73" t="s">
        <v>355</v>
      </c>
      <c r="BB1455" s="48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356</v>
      </c>
      <c r="E1456" s="1" t="s">
        <v>118</v>
      </c>
      <c r="F1456" s="26">
        <v>4.5</v>
      </c>
      <c r="G1456" s="25" t="s">
        <v>293</v>
      </c>
      <c r="H1456" s="25"/>
      <c r="BA1456" s="73" t="s">
        <v>355</v>
      </c>
      <c r="BB1456" s="48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356</v>
      </c>
      <c r="E1457" s="1" t="s">
        <v>130</v>
      </c>
      <c r="F1457" s="26">
        <v>3.82</v>
      </c>
      <c r="G1457" s="25" t="s">
        <v>293</v>
      </c>
      <c r="H1457" s="25"/>
      <c r="BA1457" s="73" t="s">
        <v>355</v>
      </c>
      <c r="BB1457" s="48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356</v>
      </c>
      <c r="E1458" s="1" t="s">
        <v>341</v>
      </c>
      <c r="F1458" s="26">
        <v>0.27</v>
      </c>
      <c r="G1458" s="25" t="s">
        <v>293</v>
      </c>
      <c r="H1458" s="25"/>
      <c r="BA1458" s="73" t="s">
        <v>355</v>
      </c>
      <c r="BB1458" s="48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356</v>
      </c>
      <c r="E1459" s="1" t="s">
        <v>127</v>
      </c>
      <c r="F1459" s="26">
        <v>1.1399999999999999</v>
      </c>
      <c r="G1459" s="25" t="s">
        <v>293</v>
      </c>
      <c r="H1459" s="25"/>
      <c r="BA1459" s="73" t="s">
        <v>355</v>
      </c>
      <c r="BB1459" s="48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356</v>
      </c>
      <c r="E1460" s="1" t="s">
        <v>131</v>
      </c>
      <c r="F1460" s="26">
        <v>9</v>
      </c>
      <c r="G1460" s="25" t="s">
        <v>293</v>
      </c>
      <c r="H1460" s="25"/>
      <c r="BA1460" s="73" t="s">
        <v>355</v>
      </c>
      <c r="BB1460" s="48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356</v>
      </c>
      <c r="E1461" s="1" t="s">
        <v>342</v>
      </c>
      <c r="F1461" s="26">
        <v>323</v>
      </c>
      <c r="G1461" s="25" t="s">
        <v>293</v>
      </c>
      <c r="H1461" s="25"/>
      <c r="BA1461" s="73" t="s">
        <v>355</v>
      </c>
      <c r="BB1461" s="48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356</v>
      </c>
      <c r="E1462" s="1" t="s">
        <v>119</v>
      </c>
      <c r="F1462" s="26">
        <v>238</v>
      </c>
      <c r="G1462" s="25" t="s">
        <v>293</v>
      </c>
      <c r="H1462" s="25"/>
      <c r="BA1462" s="73" t="s">
        <v>355</v>
      </c>
      <c r="BB1462" s="48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356</v>
      </c>
      <c r="E1463" s="1" t="s">
        <v>120</v>
      </c>
      <c r="F1463" s="26">
        <v>76</v>
      </c>
      <c r="G1463" s="25" t="s">
        <v>293</v>
      </c>
      <c r="H1463" s="25"/>
      <c r="BA1463" s="73" t="s">
        <v>355</v>
      </c>
      <c r="BB1463" s="48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356</v>
      </c>
      <c r="E1464" s="1" t="s">
        <v>117</v>
      </c>
      <c r="F1464" s="26">
        <v>2.65</v>
      </c>
      <c r="G1464" s="25" t="s">
        <v>293</v>
      </c>
      <c r="H1464" s="25"/>
      <c r="BA1464" s="73" t="s">
        <v>355</v>
      </c>
      <c r="BB1464" s="48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356</v>
      </c>
      <c r="E1465" s="1" t="s">
        <v>344</v>
      </c>
      <c r="F1465" s="26">
        <v>234</v>
      </c>
      <c r="G1465" s="25" t="s">
        <v>293</v>
      </c>
      <c r="H1465" s="25"/>
      <c r="BA1465" s="73" t="s">
        <v>355</v>
      </c>
      <c r="BB1465" s="48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356</v>
      </c>
      <c r="E1466" s="1" t="s">
        <v>132</v>
      </c>
      <c r="F1466" s="26">
        <v>3.74</v>
      </c>
      <c r="G1466" s="25" t="s">
        <v>293</v>
      </c>
      <c r="H1466" s="25"/>
      <c r="BA1466" s="73" t="s">
        <v>355</v>
      </c>
      <c r="BB1466" s="48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356</v>
      </c>
      <c r="E1467" s="1" t="s">
        <v>111</v>
      </c>
      <c r="F1467" s="26">
        <v>87</v>
      </c>
      <c r="G1467" s="25" t="s">
        <v>293</v>
      </c>
      <c r="H1467" s="25"/>
      <c r="BA1467" s="73" t="s">
        <v>355</v>
      </c>
      <c r="BB1467" s="48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356</v>
      </c>
      <c r="E1468" s="1" t="s">
        <v>345</v>
      </c>
      <c r="F1468" s="26">
        <v>5.21</v>
      </c>
      <c r="G1468" s="25" t="s">
        <v>293</v>
      </c>
      <c r="H1468" s="25"/>
      <c r="BA1468" s="73" t="s">
        <v>355</v>
      </c>
      <c r="BB1468" s="48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356</v>
      </c>
      <c r="E1469" s="1" t="s">
        <v>347</v>
      </c>
      <c r="F1469" s="26">
        <v>2.0499999999999998</v>
      </c>
      <c r="G1469" s="25" t="s">
        <v>293</v>
      </c>
      <c r="H1469" s="25"/>
      <c r="BA1469" s="73" t="s">
        <v>355</v>
      </c>
      <c r="BB1469" s="48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356</v>
      </c>
      <c r="E1470" s="1" t="s">
        <v>128</v>
      </c>
      <c r="F1470" s="26">
        <v>6.9</v>
      </c>
      <c r="G1470" s="25" t="s">
        <v>293</v>
      </c>
      <c r="H1470" s="25"/>
      <c r="BA1470" s="73" t="s">
        <v>355</v>
      </c>
      <c r="BB1470" s="48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356</v>
      </c>
      <c r="E1471" s="1" t="s">
        <v>121</v>
      </c>
      <c r="F1471" s="26">
        <v>161</v>
      </c>
      <c r="G1471" s="25" t="s">
        <v>293</v>
      </c>
      <c r="H1471" s="25"/>
      <c r="BA1471" s="73" t="s">
        <v>355</v>
      </c>
      <c r="BB1471" s="48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356</v>
      </c>
      <c r="E1472" s="1" t="s">
        <v>115</v>
      </c>
      <c r="F1472" s="26">
        <v>33</v>
      </c>
      <c r="G1472" s="25" t="s">
        <v>293</v>
      </c>
      <c r="H1472" s="25"/>
      <c r="BA1472" s="73" t="s">
        <v>355</v>
      </c>
      <c r="BB1472" s="48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356</v>
      </c>
      <c r="E1473" s="1" t="s">
        <v>137</v>
      </c>
      <c r="F1473" s="26">
        <v>75</v>
      </c>
      <c r="G1473" s="25" t="s">
        <v>293</v>
      </c>
      <c r="H1473" s="25"/>
      <c r="BA1473" s="73" t="s">
        <v>355</v>
      </c>
      <c r="BB1473" s="48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356</v>
      </c>
      <c r="E1474" s="1" t="s">
        <v>348</v>
      </c>
      <c r="F1474" s="26">
        <v>135</v>
      </c>
      <c r="G1474" s="25" t="s">
        <v>293</v>
      </c>
      <c r="H1474" s="25"/>
      <c r="BA1474" s="73" t="s">
        <v>355</v>
      </c>
      <c r="BB1474" s="48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356</v>
      </c>
      <c r="E1475" s="1" t="s">
        <v>125</v>
      </c>
      <c r="F1475" s="26">
        <v>117</v>
      </c>
      <c r="G1475" s="25" t="s">
        <v>293</v>
      </c>
      <c r="H1475" s="25"/>
      <c r="BA1475" s="73" t="s">
        <v>355</v>
      </c>
      <c r="BB1475" s="48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356</v>
      </c>
      <c r="E1476" s="1" t="s">
        <v>126</v>
      </c>
      <c r="F1476" s="26">
        <v>80</v>
      </c>
      <c r="G1476" s="25" t="s">
        <v>293</v>
      </c>
      <c r="H1476" s="25"/>
      <c r="BA1476" s="73" t="s">
        <v>355</v>
      </c>
      <c r="BB1476" s="48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356</v>
      </c>
      <c r="E1477" s="1" t="s">
        <v>349</v>
      </c>
      <c r="F1477" s="26">
        <v>154</v>
      </c>
      <c r="G1477" s="25" t="s">
        <v>293</v>
      </c>
      <c r="H1477" s="25"/>
      <c r="BA1477" s="73" t="s">
        <v>355</v>
      </c>
      <c r="BB1477" s="48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356</v>
      </c>
      <c r="E1478" s="1" t="s">
        <v>350</v>
      </c>
      <c r="F1478" s="26">
        <v>61</v>
      </c>
      <c r="G1478" s="25" t="s">
        <v>293</v>
      </c>
      <c r="H1478" s="25"/>
      <c r="BA1478" s="73" t="s">
        <v>355</v>
      </c>
      <c r="BB1478" s="48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356</v>
      </c>
      <c r="E1479" s="1" t="s">
        <v>122</v>
      </c>
      <c r="F1479" s="26">
        <v>46</v>
      </c>
      <c r="G1479" s="25" t="s">
        <v>293</v>
      </c>
      <c r="H1479" s="25"/>
      <c r="BA1479" s="73" t="s">
        <v>355</v>
      </c>
      <c r="BB1479" s="48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356</v>
      </c>
      <c r="E1480" s="1" t="s">
        <v>124</v>
      </c>
      <c r="F1480" s="26">
        <v>30</v>
      </c>
      <c r="G1480" s="25" t="s">
        <v>293</v>
      </c>
      <c r="H1480" s="25"/>
      <c r="BA1480" s="73" t="s">
        <v>355</v>
      </c>
      <c r="BB1480" s="48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356</v>
      </c>
      <c r="E1481" s="1" t="s">
        <v>351</v>
      </c>
      <c r="F1481" s="26">
        <v>0.95</v>
      </c>
      <c r="G1481" s="25" t="s">
        <v>293</v>
      </c>
      <c r="H1481" s="25"/>
      <c r="BA1481" s="73" t="s">
        <v>355</v>
      </c>
      <c r="BB1481" s="48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356</v>
      </c>
      <c r="E1482" s="1" t="s">
        <v>353</v>
      </c>
      <c r="F1482" s="26">
        <v>32.9</v>
      </c>
      <c r="G1482" s="25" t="s">
        <v>293</v>
      </c>
      <c r="H1482" s="25"/>
      <c r="BA1482" s="73" t="s">
        <v>355</v>
      </c>
      <c r="BB1482" s="48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356</v>
      </c>
      <c r="E1483" s="1" t="s">
        <v>133</v>
      </c>
      <c r="F1483" s="26">
        <v>143</v>
      </c>
      <c r="G1483" s="25" t="s">
        <v>293</v>
      </c>
      <c r="H1483" s="25"/>
      <c r="BA1483" s="73" t="s">
        <v>355</v>
      </c>
      <c r="BB1483" s="48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356</v>
      </c>
      <c r="E1484" s="1" t="s">
        <v>135</v>
      </c>
      <c r="F1484" s="26">
        <v>3.6</v>
      </c>
      <c r="G1484" s="25" t="s">
        <v>293</v>
      </c>
      <c r="H1484" s="25"/>
      <c r="BA1484" s="73" t="s">
        <v>355</v>
      </c>
      <c r="BB1484" s="48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356</v>
      </c>
      <c r="E1485" s="1" t="s">
        <v>136</v>
      </c>
      <c r="F1485" s="26">
        <v>116</v>
      </c>
      <c r="G1485" s="25" t="s">
        <v>293</v>
      </c>
      <c r="H1485" s="25"/>
      <c r="BA1485" s="73" t="s">
        <v>355</v>
      </c>
      <c r="BB1485" s="48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356</v>
      </c>
      <c r="E1486" s="1" t="s">
        <v>339</v>
      </c>
      <c r="F1486" s="26">
        <v>4.5</v>
      </c>
      <c r="G1486" s="25" t="s">
        <v>293</v>
      </c>
      <c r="H1486" s="25"/>
      <c r="BA1486" s="73" t="s">
        <v>355</v>
      </c>
      <c r="BB1486" s="48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356</v>
      </c>
      <c r="E1487" s="1" t="s">
        <v>118</v>
      </c>
      <c r="F1487" s="26">
        <v>4.5999999999999996</v>
      </c>
      <c r="G1487" s="25" t="s">
        <v>293</v>
      </c>
      <c r="H1487" s="25"/>
      <c r="BA1487" s="73" t="s">
        <v>355</v>
      </c>
      <c r="BB1487" s="48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356</v>
      </c>
      <c r="E1488" s="1" t="s">
        <v>130</v>
      </c>
      <c r="F1488" s="26">
        <v>3.81</v>
      </c>
      <c r="G1488" s="25" t="s">
        <v>293</v>
      </c>
      <c r="H1488" s="25"/>
      <c r="BA1488" s="73" t="s">
        <v>355</v>
      </c>
      <c r="BB1488" s="48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356</v>
      </c>
      <c r="E1489" s="1" t="s">
        <v>341</v>
      </c>
      <c r="F1489" s="26">
        <v>0.28000000000000003</v>
      </c>
      <c r="G1489" s="25" t="s">
        <v>293</v>
      </c>
      <c r="H1489" s="25"/>
      <c r="BA1489" s="73" t="s">
        <v>355</v>
      </c>
      <c r="BB1489" s="48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356</v>
      </c>
      <c r="E1490" s="1" t="s">
        <v>127</v>
      </c>
      <c r="F1490" s="26">
        <v>1.1399999999999999</v>
      </c>
      <c r="G1490" s="25" t="s">
        <v>293</v>
      </c>
      <c r="H1490" s="25"/>
      <c r="BA1490" s="73" t="s">
        <v>355</v>
      </c>
      <c r="BB1490" s="48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356</v>
      </c>
      <c r="E1491" s="1" t="s">
        <v>131</v>
      </c>
      <c r="F1491" s="26">
        <v>8.6999999999999993</v>
      </c>
      <c r="G1491" s="25" t="s">
        <v>293</v>
      </c>
      <c r="H1491" s="25"/>
      <c r="BA1491" s="73" t="s">
        <v>355</v>
      </c>
      <c r="BB1491" s="48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356</v>
      </c>
      <c r="E1492" s="1" t="s">
        <v>342</v>
      </c>
      <c r="F1492" s="26">
        <v>325</v>
      </c>
      <c r="G1492" s="25" t="s">
        <v>293</v>
      </c>
      <c r="H1492" s="25"/>
      <c r="BA1492" s="73" t="s">
        <v>355</v>
      </c>
      <c r="BB1492" s="48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356</v>
      </c>
      <c r="E1493" s="1" t="s">
        <v>119</v>
      </c>
      <c r="F1493" s="26">
        <v>237</v>
      </c>
      <c r="G1493" s="25" t="s">
        <v>293</v>
      </c>
      <c r="H1493" s="25"/>
      <c r="BA1493" s="73" t="s">
        <v>355</v>
      </c>
      <c r="BB1493" s="48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356</v>
      </c>
      <c r="E1494" s="1" t="s">
        <v>120</v>
      </c>
      <c r="F1494" s="26">
        <v>80</v>
      </c>
      <c r="G1494" s="25" t="s">
        <v>293</v>
      </c>
      <c r="H1494" s="25"/>
      <c r="BA1494" s="73" t="s">
        <v>355</v>
      </c>
      <c r="BB1494" s="48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356</v>
      </c>
      <c r="E1495" s="1" t="s">
        <v>117</v>
      </c>
      <c r="F1495" s="26">
        <v>2.65</v>
      </c>
      <c r="G1495" s="25" t="s">
        <v>293</v>
      </c>
      <c r="H1495" s="25"/>
      <c r="BA1495" s="73" t="s">
        <v>355</v>
      </c>
      <c r="BB1495" s="48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356</v>
      </c>
      <c r="E1496" s="1" t="s">
        <v>344</v>
      </c>
      <c r="F1496" s="26">
        <v>234</v>
      </c>
      <c r="G1496" s="25" t="s">
        <v>293</v>
      </c>
      <c r="H1496" s="25"/>
      <c r="BA1496" s="73" t="s">
        <v>355</v>
      </c>
      <c r="BB1496" s="48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356</v>
      </c>
      <c r="E1497" s="1" t="s">
        <v>132</v>
      </c>
      <c r="F1497" s="26">
        <v>3.68</v>
      </c>
      <c r="G1497" s="25" t="s">
        <v>293</v>
      </c>
      <c r="H1497" s="25"/>
      <c r="BA1497" s="73" t="s">
        <v>355</v>
      </c>
      <c r="BB1497" s="48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356</v>
      </c>
      <c r="E1498" s="1" t="s">
        <v>111</v>
      </c>
      <c r="F1498" s="26">
        <v>86</v>
      </c>
      <c r="G1498" s="25" t="s">
        <v>293</v>
      </c>
      <c r="H1498" s="25"/>
      <c r="BA1498" s="73" t="s">
        <v>355</v>
      </c>
      <c r="BB1498" s="48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356</v>
      </c>
      <c r="E1499" s="1" t="s">
        <v>345</v>
      </c>
      <c r="F1499" s="26">
        <v>5.14</v>
      </c>
      <c r="G1499" s="25" t="s">
        <v>293</v>
      </c>
      <c r="H1499" s="25"/>
      <c r="BA1499" s="73" t="s">
        <v>355</v>
      </c>
      <c r="BB1499" s="48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356</v>
      </c>
      <c r="E1500" s="1" t="s">
        <v>347</v>
      </c>
      <c r="F1500" s="26">
        <v>1.95</v>
      </c>
      <c r="G1500" s="25" t="s">
        <v>293</v>
      </c>
      <c r="H1500" s="25"/>
      <c r="BA1500" s="73" t="s">
        <v>355</v>
      </c>
      <c r="BB1500" s="48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356</v>
      </c>
      <c r="E1501" s="1" t="s">
        <v>128</v>
      </c>
      <c r="F1501" s="26">
        <v>6.6</v>
      </c>
      <c r="G1501" s="25" t="s">
        <v>293</v>
      </c>
      <c r="H1501" s="25"/>
      <c r="BA1501" s="73" t="s">
        <v>355</v>
      </c>
      <c r="BB1501" s="48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356</v>
      </c>
      <c r="E1502" s="1" t="s">
        <v>121</v>
      </c>
      <c r="F1502" s="26">
        <v>159</v>
      </c>
      <c r="G1502" s="25" t="s">
        <v>293</v>
      </c>
      <c r="H1502" s="25"/>
      <c r="BA1502" s="73" t="s">
        <v>355</v>
      </c>
      <c r="BB1502" s="48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356</v>
      </c>
      <c r="E1503" s="1" t="s">
        <v>115</v>
      </c>
      <c r="F1503" s="26">
        <v>32</v>
      </c>
      <c r="G1503" s="25" t="s">
        <v>293</v>
      </c>
      <c r="H1503" s="25"/>
      <c r="BA1503" s="73" t="s">
        <v>355</v>
      </c>
      <c r="BB1503" s="48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356</v>
      </c>
      <c r="E1504" s="1" t="s">
        <v>137</v>
      </c>
      <c r="F1504" s="26">
        <v>75</v>
      </c>
      <c r="G1504" s="25" t="s">
        <v>293</v>
      </c>
      <c r="H1504" s="25"/>
      <c r="BA1504" s="73" t="s">
        <v>355</v>
      </c>
      <c r="BB1504" s="48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356</v>
      </c>
      <c r="E1505" s="1" t="s">
        <v>348</v>
      </c>
      <c r="F1505" s="26">
        <v>141</v>
      </c>
      <c r="G1505" s="25" t="s">
        <v>293</v>
      </c>
      <c r="H1505" s="25"/>
      <c r="BA1505" s="73" t="s">
        <v>355</v>
      </c>
      <c r="BB1505" s="48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356</v>
      </c>
      <c r="E1506" s="1" t="s">
        <v>125</v>
      </c>
      <c r="F1506" s="26">
        <v>104</v>
      </c>
      <c r="G1506" s="25" t="s">
        <v>293</v>
      </c>
      <c r="H1506" s="25"/>
      <c r="BA1506" s="73" t="s">
        <v>355</v>
      </c>
      <c r="BB1506" s="48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356</v>
      </c>
      <c r="E1507" s="1" t="s">
        <v>126</v>
      </c>
      <c r="F1507" s="26">
        <v>78</v>
      </c>
      <c r="G1507" s="25" t="s">
        <v>293</v>
      </c>
      <c r="H1507" s="25"/>
      <c r="BA1507" s="73" t="s">
        <v>355</v>
      </c>
      <c r="BB1507" s="48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356</v>
      </c>
      <c r="E1508" s="1" t="s">
        <v>349</v>
      </c>
      <c r="F1508" s="26">
        <v>153</v>
      </c>
      <c r="G1508" s="25" t="s">
        <v>293</v>
      </c>
      <c r="H1508" s="25"/>
      <c r="BA1508" s="73" t="s">
        <v>355</v>
      </c>
      <c r="BB1508" s="48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356</v>
      </c>
      <c r="E1509" s="1" t="s">
        <v>350</v>
      </c>
      <c r="F1509" s="26">
        <v>59</v>
      </c>
      <c r="G1509" s="25" t="s">
        <v>293</v>
      </c>
      <c r="H1509" s="25"/>
      <c r="BA1509" s="73" t="s">
        <v>355</v>
      </c>
      <c r="BB1509" s="48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356</v>
      </c>
      <c r="E1510" s="1" t="s">
        <v>122</v>
      </c>
      <c r="F1510" s="26">
        <v>48</v>
      </c>
      <c r="G1510" s="25" t="s">
        <v>293</v>
      </c>
      <c r="H1510" s="25"/>
      <c r="BA1510" s="73" t="s">
        <v>355</v>
      </c>
      <c r="BB1510" s="48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356</v>
      </c>
      <c r="E1511" s="1" t="s">
        <v>124</v>
      </c>
      <c r="F1511" s="26">
        <v>33</v>
      </c>
      <c r="G1511" s="25" t="s">
        <v>293</v>
      </c>
      <c r="H1511" s="25"/>
      <c r="BA1511" s="73" t="s">
        <v>355</v>
      </c>
      <c r="BB1511" s="48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356</v>
      </c>
      <c r="E1512" s="1" t="s">
        <v>351</v>
      </c>
      <c r="F1512" s="26">
        <v>0.97</v>
      </c>
      <c r="G1512" s="25" t="s">
        <v>293</v>
      </c>
      <c r="H1512" s="25"/>
      <c r="BA1512" s="73" t="s">
        <v>355</v>
      </c>
      <c r="BB1512" s="48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356</v>
      </c>
      <c r="E1513" s="1" t="s">
        <v>353</v>
      </c>
      <c r="F1513" s="26">
        <v>35.700000000000003</v>
      </c>
      <c r="G1513" s="25" t="s">
        <v>293</v>
      </c>
      <c r="H1513" s="25"/>
      <c r="BA1513" s="73" t="s">
        <v>355</v>
      </c>
      <c r="BB1513" s="48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356</v>
      </c>
      <c r="E1514" s="1" t="s">
        <v>133</v>
      </c>
      <c r="F1514" s="26">
        <v>145</v>
      </c>
      <c r="G1514" s="25" t="s">
        <v>293</v>
      </c>
      <c r="H1514" s="25"/>
      <c r="BA1514" s="73" t="s">
        <v>355</v>
      </c>
      <c r="BB1514" s="48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356</v>
      </c>
      <c r="E1515" s="1" t="s">
        <v>135</v>
      </c>
      <c r="F1515" s="26">
        <v>3.7</v>
      </c>
      <c r="G1515" s="25" t="s">
        <v>293</v>
      </c>
      <c r="H1515" s="25"/>
      <c r="BA1515" s="73" t="s">
        <v>355</v>
      </c>
      <c r="BB1515" s="48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356</v>
      </c>
      <c r="E1516" s="1" t="s">
        <v>136</v>
      </c>
      <c r="F1516" s="26">
        <v>115</v>
      </c>
      <c r="G1516" s="25" t="s">
        <v>293</v>
      </c>
      <c r="H1516" s="25"/>
      <c r="BA1516" s="73" t="s">
        <v>355</v>
      </c>
      <c r="BB1516" s="48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356</v>
      </c>
      <c r="E1517" s="1" t="s">
        <v>339</v>
      </c>
      <c r="F1517" s="26">
        <v>4.68</v>
      </c>
      <c r="G1517" s="25" t="s">
        <v>293</v>
      </c>
      <c r="H1517" s="25"/>
      <c r="BA1517" s="73" t="s">
        <v>355</v>
      </c>
      <c r="BB1517" s="48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356</v>
      </c>
      <c r="E1518" s="1" t="s">
        <v>118</v>
      </c>
      <c r="F1518" s="26">
        <v>4.7</v>
      </c>
      <c r="G1518" s="25" t="s">
        <v>293</v>
      </c>
      <c r="H1518" s="25"/>
      <c r="BA1518" s="73" t="s">
        <v>355</v>
      </c>
      <c r="BB1518" s="48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356</v>
      </c>
      <c r="E1519" s="1" t="s">
        <v>130</v>
      </c>
      <c r="F1519" s="26">
        <v>3.81</v>
      </c>
      <c r="G1519" s="25" t="s">
        <v>293</v>
      </c>
      <c r="H1519" s="25"/>
      <c r="BA1519" s="73" t="s">
        <v>355</v>
      </c>
      <c r="BB1519" s="48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356</v>
      </c>
      <c r="E1520" s="1" t="s">
        <v>341</v>
      </c>
      <c r="F1520" s="26">
        <v>0.28999999999999998</v>
      </c>
      <c r="G1520" s="25" t="s">
        <v>293</v>
      </c>
      <c r="H1520" s="25"/>
      <c r="BA1520" s="73" t="s">
        <v>355</v>
      </c>
      <c r="BB1520" s="48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356</v>
      </c>
      <c r="E1521" s="1" t="s">
        <v>127</v>
      </c>
      <c r="F1521" s="26">
        <v>1.18</v>
      </c>
      <c r="G1521" s="25" t="s">
        <v>293</v>
      </c>
      <c r="H1521" s="25"/>
      <c r="BA1521" s="73" t="s">
        <v>355</v>
      </c>
      <c r="BB1521" s="48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356</v>
      </c>
      <c r="E1522" s="1" t="s">
        <v>131</v>
      </c>
      <c r="F1522" s="26">
        <v>8.8000000000000007</v>
      </c>
      <c r="G1522" s="25" t="s">
        <v>293</v>
      </c>
      <c r="H1522" s="25"/>
      <c r="BA1522" s="73" t="s">
        <v>355</v>
      </c>
      <c r="BB1522" s="48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356</v>
      </c>
      <c r="E1523" s="1" t="s">
        <v>342</v>
      </c>
      <c r="F1523" s="26">
        <v>312</v>
      </c>
      <c r="G1523" s="25" t="s">
        <v>293</v>
      </c>
      <c r="H1523" s="25"/>
      <c r="BA1523" s="73" t="s">
        <v>355</v>
      </c>
      <c r="BB1523" s="48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356</v>
      </c>
      <c r="E1524" s="1" t="s">
        <v>119</v>
      </c>
      <c r="F1524" s="26">
        <v>231</v>
      </c>
      <c r="G1524" s="25" t="s">
        <v>293</v>
      </c>
      <c r="H1524" s="25"/>
      <c r="BA1524" s="73" t="s">
        <v>355</v>
      </c>
      <c r="BB1524" s="48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356</v>
      </c>
      <c r="E1525" s="1" t="s">
        <v>120</v>
      </c>
      <c r="F1525" s="26">
        <v>78</v>
      </c>
      <c r="G1525" s="25" t="s">
        <v>293</v>
      </c>
      <c r="H1525" s="25"/>
      <c r="BA1525" s="73" t="s">
        <v>355</v>
      </c>
      <c r="BB1525" s="48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356</v>
      </c>
      <c r="E1526" s="1" t="s">
        <v>117</v>
      </c>
      <c r="F1526" s="26">
        <v>2.66</v>
      </c>
      <c r="G1526" s="25" t="s">
        <v>293</v>
      </c>
      <c r="H1526" s="25"/>
      <c r="BA1526" s="73" t="s">
        <v>355</v>
      </c>
      <c r="BB1526" s="48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356</v>
      </c>
      <c r="E1527" s="1" t="s">
        <v>344</v>
      </c>
      <c r="F1527" s="26">
        <v>233</v>
      </c>
      <c r="G1527" s="25" t="s">
        <v>293</v>
      </c>
      <c r="H1527" s="25"/>
      <c r="BA1527" s="73" t="s">
        <v>355</v>
      </c>
      <c r="BB1527" s="48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356</v>
      </c>
      <c r="E1528" s="1" t="s">
        <v>132</v>
      </c>
      <c r="F1528" s="26">
        <v>3.57</v>
      </c>
      <c r="G1528" s="25" t="s">
        <v>293</v>
      </c>
      <c r="H1528" s="25"/>
      <c r="BA1528" s="73" t="s">
        <v>355</v>
      </c>
      <c r="BB1528" s="48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356</v>
      </c>
      <c r="E1529" s="1" t="s">
        <v>111</v>
      </c>
      <c r="F1529" s="26">
        <v>87</v>
      </c>
      <c r="G1529" s="25" t="s">
        <v>293</v>
      </c>
      <c r="H1529" s="25"/>
      <c r="BA1529" s="73" t="s">
        <v>355</v>
      </c>
      <c r="BB1529" s="48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356</v>
      </c>
      <c r="E1530" s="1" t="s">
        <v>345</v>
      </c>
      <c r="F1530" s="26">
        <v>5.23</v>
      </c>
      <c r="G1530" s="25" t="s">
        <v>293</v>
      </c>
      <c r="H1530" s="25"/>
      <c r="BA1530" s="73" t="s">
        <v>355</v>
      </c>
      <c r="BB1530" s="48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356</v>
      </c>
      <c r="E1531" s="1" t="s">
        <v>347</v>
      </c>
      <c r="F1531" s="26">
        <v>2.15</v>
      </c>
      <c r="G1531" s="25" t="s">
        <v>293</v>
      </c>
      <c r="H1531" s="25"/>
      <c r="BA1531" s="73" t="s">
        <v>355</v>
      </c>
      <c r="BB1531" s="48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356</v>
      </c>
      <c r="E1532" s="1" t="s">
        <v>128</v>
      </c>
      <c r="F1532" s="26">
        <v>6.8</v>
      </c>
      <c r="G1532" s="25" t="s">
        <v>293</v>
      </c>
      <c r="H1532" s="25"/>
      <c r="BA1532" s="73" t="s">
        <v>355</v>
      </c>
      <c r="BB1532" s="48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356</v>
      </c>
      <c r="E1533" s="1" t="s">
        <v>121</v>
      </c>
      <c r="F1533" s="26">
        <v>157</v>
      </c>
      <c r="G1533" s="25" t="s">
        <v>293</v>
      </c>
      <c r="H1533" s="25"/>
      <c r="BA1533" s="73" t="s">
        <v>355</v>
      </c>
      <c r="BB1533" s="48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356</v>
      </c>
      <c r="E1534" s="1" t="s">
        <v>115</v>
      </c>
      <c r="F1534" s="26">
        <v>32</v>
      </c>
      <c r="G1534" s="25" t="s">
        <v>293</v>
      </c>
      <c r="H1534" s="25"/>
      <c r="BA1534" s="73" t="s">
        <v>355</v>
      </c>
      <c r="BB1534" s="48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356</v>
      </c>
      <c r="E1535" s="1" t="s">
        <v>137</v>
      </c>
      <c r="F1535" s="26">
        <v>75</v>
      </c>
      <c r="G1535" s="25" t="s">
        <v>293</v>
      </c>
      <c r="H1535" s="25"/>
      <c r="BA1535" s="73" t="s">
        <v>355</v>
      </c>
      <c r="BB1535" s="48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356</v>
      </c>
      <c r="E1536" s="1" t="s">
        <v>348</v>
      </c>
      <c r="F1536" s="26">
        <v>140</v>
      </c>
      <c r="G1536" s="25" t="s">
        <v>293</v>
      </c>
      <c r="H1536" s="25"/>
      <c r="BA1536" s="73" t="s">
        <v>355</v>
      </c>
      <c r="BB1536" s="48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356</v>
      </c>
      <c r="E1537" s="1" t="s">
        <v>125</v>
      </c>
      <c r="F1537" s="26">
        <v>109</v>
      </c>
      <c r="G1537" s="25" t="s">
        <v>293</v>
      </c>
      <c r="H1537" s="25"/>
      <c r="BA1537" s="73" t="s">
        <v>355</v>
      </c>
      <c r="BB1537" s="48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356</v>
      </c>
      <c r="E1538" s="1" t="s">
        <v>126</v>
      </c>
      <c r="F1538" s="26">
        <v>79</v>
      </c>
      <c r="G1538" s="25" t="s">
        <v>293</v>
      </c>
      <c r="H1538" s="25"/>
      <c r="BA1538" s="73" t="s">
        <v>355</v>
      </c>
      <c r="BB1538" s="48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356</v>
      </c>
      <c r="E1539" s="1" t="s">
        <v>349</v>
      </c>
      <c r="F1539" s="26">
        <v>158</v>
      </c>
      <c r="G1539" s="25" t="s">
        <v>293</v>
      </c>
      <c r="H1539" s="25"/>
      <c r="BA1539" s="73" t="s">
        <v>355</v>
      </c>
      <c r="BB1539" s="48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356</v>
      </c>
      <c r="E1540" s="1" t="s">
        <v>350</v>
      </c>
      <c r="F1540" s="26">
        <v>62</v>
      </c>
      <c r="G1540" s="25" t="s">
        <v>293</v>
      </c>
      <c r="H1540" s="25"/>
      <c r="BA1540" s="73" t="s">
        <v>355</v>
      </c>
      <c r="BB1540" s="48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356</v>
      </c>
      <c r="E1541" s="1" t="s">
        <v>122</v>
      </c>
      <c r="F1541" s="26">
        <v>46</v>
      </c>
      <c r="G1541" s="25" t="s">
        <v>293</v>
      </c>
      <c r="H1541" s="25"/>
      <c r="BA1541" s="73" t="s">
        <v>355</v>
      </c>
      <c r="BB1541" s="48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356</v>
      </c>
      <c r="E1542" s="1" t="s">
        <v>124</v>
      </c>
      <c r="F1542" s="26">
        <v>32</v>
      </c>
      <c r="G1542" s="25" t="s">
        <v>293</v>
      </c>
      <c r="H1542" s="25"/>
      <c r="BA1542" s="73" t="s">
        <v>355</v>
      </c>
      <c r="BB1542" s="48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356</v>
      </c>
      <c r="E1543" s="1" t="s">
        <v>351</v>
      </c>
      <c r="F1543" s="26">
        <v>1</v>
      </c>
      <c r="G1543" s="25" t="s">
        <v>293</v>
      </c>
      <c r="H1543" s="25"/>
      <c r="BA1543" s="73" t="s">
        <v>355</v>
      </c>
      <c r="BB1543" s="48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356</v>
      </c>
      <c r="E1544" s="1" t="s">
        <v>353</v>
      </c>
      <c r="F1544" s="26">
        <v>33.799999999999997</v>
      </c>
      <c r="G1544" s="25" t="s">
        <v>293</v>
      </c>
      <c r="H1544" s="25"/>
      <c r="BA1544" s="73" t="s">
        <v>355</v>
      </c>
      <c r="BB1544" s="48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356</v>
      </c>
      <c r="E1545" s="1" t="s">
        <v>133</v>
      </c>
      <c r="F1545" s="26">
        <v>146</v>
      </c>
      <c r="G1545" s="25" t="s">
        <v>293</v>
      </c>
      <c r="H1545" s="25"/>
      <c r="BA1545" s="73" t="s">
        <v>355</v>
      </c>
      <c r="BB1545" s="48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356</v>
      </c>
      <c r="E1546" s="1" t="s">
        <v>135</v>
      </c>
      <c r="F1546" s="26">
        <v>3.8</v>
      </c>
      <c r="G1546" s="25" t="s">
        <v>293</v>
      </c>
      <c r="H1546" s="25"/>
      <c r="BA1546" s="73" t="s">
        <v>355</v>
      </c>
      <c r="BB1546" s="48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356</v>
      </c>
      <c r="E1547" s="1" t="s">
        <v>136</v>
      </c>
      <c r="F1547" s="26">
        <v>117</v>
      </c>
      <c r="G1547" s="25" t="s">
        <v>293</v>
      </c>
      <c r="H1547" s="25"/>
      <c r="BA1547" s="73" t="s">
        <v>355</v>
      </c>
      <c r="BB1547" s="48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356</v>
      </c>
      <c r="E1548" s="1" t="s">
        <v>339</v>
      </c>
      <c r="F1548" s="26">
        <v>4.59</v>
      </c>
      <c r="G1548" s="25" t="s">
        <v>293</v>
      </c>
      <c r="H1548" s="25"/>
      <c r="BA1548" s="73" t="s">
        <v>355</v>
      </c>
      <c r="BB1548" s="48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356</v>
      </c>
      <c r="E1549" s="1" t="s">
        <v>118</v>
      </c>
      <c r="F1549" s="26">
        <v>4.5</v>
      </c>
      <c r="G1549" s="25" t="s">
        <v>293</v>
      </c>
      <c r="H1549" s="25"/>
      <c r="BA1549" s="73" t="s">
        <v>355</v>
      </c>
      <c r="BB1549" s="48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356</v>
      </c>
      <c r="E1550" s="1" t="s">
        <v>130</v>
      </c>
      <c r="F1550" s="26">
        <v>3.79</v>
      </c>
      <c r="G1550" s="25" t="s">
        <v>293</v>
      </c>
      <c r="H1550" s="25"/>
      <c r="BA1550" s="73" t="s">
        <v>355</v>
      </c>
      <c r="BB1550" s="48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356</v>
      </c>
      <c r="E1551" s="1" t="s">
        <v>341</v>
      </c>
      <c r="F1551" s="26">
        <v>0.28999999999999998</v>
      </c>
      <c r="G1551" s="25" t="s">
        <v>293</v>
      </c>
      <c r="H1551" s="25"/>
      <c r="BA1551" s="73" t="s">
        <v>355</v>
      </c>
      <c r="BB1551" s="48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356</v>
      </c>
      <c r="E1552" s="1" t="s">
        <v>127</v>
      </c>
      <c r="F1552" s="26">
        <v>1.17</v>
      </c>
      <c r="G1552" s="25" t="s">
        <v>293</v>
      </c>
      <c r="H1552" s="25"/>
      <c r="BA1552" s="73" t="s">
        <v>355</v>
      </c>
      <c r="BB1552" s="48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356</v>
      </c>
      <c r="E1553" s="1" t="s">
        <v>131</v>
      </c>
      <c r="F1553" s="26">
        <v>8.6999999999999993</v>
      </c>
      <c r="G1553" s="25" t="s">
        <v>293</v>
      </c>
      <c r="H1553" s="25"/>
      <c r="BA1553" s="73" t="s">
        <v>355</v>
      </c>
      <c r="BB1553" s="48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356</v>
      </c>
      <c r="E1554" s="1" t="s">
        <v>342</v>
      </c>
      <c r="F1554" s="26">
        <v>325</v>
      </c>
      <c r="G1554" s="25" t="s">
        <v>293</v>
      </c>
      <c r="H1554" s="25"/>
      <c r="BA1554" s="73" t="s">
        <v>355</v>
      </c>
      <c r="BB1554" s="48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356</v>
      </c>
      <c r="E1555" s="1" t="s">
        <v>119</v>
      </c>
      <c r="F1555" s="26">
        <v>234</v>
      </c>
      <c r="G1555" s="25" t="s">
        <v>293</v>
      </c>
      <c r="H1555" s="25"/>
      <c r="BA1555" s="73" t="s">
        <v>355</v>
      </c>
      <c r="BB1555" s="48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356</v>
      </c>
      <c r="E1556" s="1" t="s">
        <v>120</v>
      </c>
      <c r="F1556" s="26">
        <v>79</v>
      </c>
      <c r="G1556" s="25" t="s">
        <v>293</v>
      </c>
      <c r="H1556" s="25"/>
      <c r="BA1556" s="73" t="s">
        <v>355</v>
      </c>
      <c r="BB1556" s="48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356</v>
      </c>
      <c r="E1557" s="1" t="s">
        <v>117</v>
      </c>
      <c r="F1557" s="26">
        <v>2.76</v>
      </c>
      <c r="G1557" s="25" t="s">
        <v>293</v>
      </c>
      <c r="H1557" s="25"/>
      <c r="BA1557" s="73" t="s">
        <v>355</v>
      </c>
      <c r="BB1557" s="48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356</v>
      </c>
      <c r="E1558" s="1" t="s">
        <v>344</v>
      </c>
      <c r="F1558" s="26">
        <v>233</v>
      </c>
      <c r="G1558" s="25" t="s">
        <v>293</v>
      </c>
      <c r="H1558" s="25"/>
      <c r="BA1558" s="73" t="s">
        <v>355</v>
      </c>
      <c r="BB1558" s="48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356</v>
      </c>
      <c r="E1559" s="1" t="s">
        <v>132</v>
      </c>
      <c r="F1559" s="26">
        <v>3.74</v>
      </c>
      <c r="G1559" s="25" t="s">
        <v>293</v>
      </c>
      <c r="H1559" s="25"/>
      <c r="BA1559" s="73" t="s">
        <v>355</v>
      </c>
      <c r="BB1559" s="48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356</v>
      </c>
      <c r="E1560" s="1" t="s">
        <v>111</v>
      </c>
      <c r="F1560" s="26">
        <v>87</v>
      </c>
      <c r="G1560" s="25" t="s">
        <v>293</v>
      </c>
      <c r="H1560" s="25"/>
      <c r="BA1560" s="73" t="s">
        <v>355</v>
      </c>
      <c r="BB1560" s="48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356</v>
      </c>
      <c r="E1561" s="1" t="s">
        <v>345</v>
      </c>
      <c r="F1561" s="26">
        <v>5.28</v>
      </c>
      <c r="G1561" s="25" t="s">
        <v>293</v>
      </c>
      <c r="H1561" s="25"/>
      <c r="BA1561" s="73" t="s">
        <v>355</v>
      </c>
      <c r="BB1561" s="48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356</v>
      </c>
      <c r="E1562" s="1" t="s">
        <v>347</v>
      </c>
      <c r="F1562" s="26">
        <v>2.12</v>
      </c>
      <c r="G1562" s="25" t="s">
        <v>293</v>
      </c>
      <c r="H1562" s="25"/>
      <c r="BA1562" s="73" t="s">
        <v>355</v>
      </c>
      <c r="BB1562" s="48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356</v>
      </c>
      <c r="E1563" s="1" t="s">
        <v>128</v>
      </c>
      <c r="F1563" s="26">
        <v>6.7</v>
      </c>
      <c r="G1563" s="25" t="s">
        <v>293</v>
      </c>
      <c r="H1563" s="25"/>
      <c r="BA1563" s="73" t="s">
        <v>355</v>
      </c>
      <c r="BB1563" s="48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356</v>
      </c>
      <c r="E1564" s="1" t="s">
        <v>121</v>
      </c>
      <c r="F1564" s="26">
        <v>155</v>
      </c>
      <c r="G1564" s="25" t="s">
        <v>293</v>
      </c>
      <c r="H1564" s="25"/>
      <c r="BA1564" s="73" t="s">
        <v>355</v>
      </c>
      <c r="BB1564" s="48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356</v>
      </c>
      <c r="E1565" s="1" t="s">
        <v>115</v>
      </c>
      <c r="F1565" s="26">
        <v>31</v>
      </c>
      <c r="G1565" s="25" t="s">
        <v>293</v>
      </c>
      <c r="H1565" s="25"/>
      <c r="BA1565" s="73" t="s">
        <v>355</v>
      </c>
      <c r="BB1565" s="48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356</v>
      </c>
      <c r="E1566" s="1" t="s">
        <v>137</v>
      </c>
      <c r="F1566" s="26">
        <v>75</v>
      </c>
      <c r="G1566" s="25" t="s">
        <v>293</v>
      </c>
      <c r="H1566" s="25"/>
      <c r="BA1566" s="73" t="s">
        <v>355</v>
      </c>
      <c r="BB1566" s="48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356</v>
      </c>
      <c r="E1567" s="1" t="s">
        <v>348</v>
      </c>
      <c r="F1567" s="26">
        <v>140</v>
      </c>
      <c r="G1567" s="25" t="s">
        <v>293</v>
      </c>
      <c r="H1567" s="25"/>
      <c r="BA1567" s="73" t="s">
        <v>355</v>
      </c>
      <c r="BB1567" s="48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356</v>
      </c>
      <c r="E1568" s="1" t="s">
        <v>125</v>
      </c>
      <c r="F1568" s="26">
        <v>113</v>
      </c>
      <c r="G1568" s="25" t="s">
        <v>293</v>
      </c>
      <c r="H1568" s="25"/>
      <c r="BA1568" s="73" t="s">
        <v>355</v>
      </c>
      <c r="BB1568" s="48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356</v>
      </c>
      <c r="E1569" s="1" t="s">
        <v>126</v>
      </c>
      <c r="F1569" s="26">
        <v>79</v>
      </c>
      <c r="G1569" s="25" t="s">
        <v>293</v>
      </c>
      <c r="H1569" s="25"/>
      <c r="BA1569" s="73" t="s">
        <v>355</v>
      </c>
      <c r="BB1569" s="48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356</v>
      </c>
      <c r="E1570" s="1" t="s">
        <v>349</v>
      </c>
      <c r="F1570" s="26">
        <v>163</v>
      </c>
      <c r="G1570" s="25" t="s">
        <v>293</v>
      </c>
      <c r="H1570" s="25"/>
      <c r="BA1570" s="73" t="s">
        <v>355</v>
      </c>
      <c r="BB1570" s="48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356</v>
      </c>
      <c r="E1571" s="1" t="s">
        <v>350</v>
      </c>
      <c r="F1571" s="26">
        <v>60</v>
      </c>
      <c r="G1571" s="25" t="s">
        <v>293</v>
      </c>
      <c r="H1571" s="25"/>
      <c r="BA1571" s="73" t="s">
        <v>355</v>
      </c>
      <c r="BB1571" s="48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356</v>
      </c>
      <c r="E1572" s="1" t="s">
        <v>122</v>
      </c>
      <c r="F1572" s="26">
        <v>46</v>
      </c>
      <c r="G1572" s="25" t="s">
        <v>293</v>
      </c>
      <c r="H1572" s="25"/>
      <c r="BA1572" s="73" t="s">
        <v>355</v>
      </c>
      <c r="BB1572" s="48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356</v>
      </c>
      <c r="E1573" s="1" t="s">
        <v>124</v>
      </c>
      <c r="F1573" s="26">
        <v>32</v>
      </c>
      <c r="G1573" s="25" t="s">
        <v>293</v>
      </c>
      <c r="H1573" s="25"/>
      <c r="BA1573" s="73" t="s">
        <v>355</v>
      </c>
      <c r="BB1573" s="48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356</v>
      </c>
      <c r="E1574" s="1" t="s">
        <v>351</v>
      </c>
      <c r="F1574" s="26">
        <v>0.98</v>
      </c>
      <c r="G1574" s="25" t="s">
        <v>293</v>
      </c>
      <c r="H1574" s="25"/>
      <c r="BA1574" s="73" t="s">
        <v>355</v>
      </c>
      <c r="BB1574" s="48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356</v>
      </c>
      <c r="E1575" s="1" t="s">
        <v>353</v>
      </c>
      <c r="F1575" s="26">
        <v>35.1</v>
      </c>
      <c r="G1575" s="25" t="s">
        <v>293</v>
      </c>
      <c r="H1575" s="25"/>
      <c r="BA1575" s="73" t="s">
        <v>355</v>
      </c>
      <c r="BB1575" s="48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356</v>
      </c>
      <c r="E1576" s="1" t="s">
        <v>133</v>
      </c>
      <c r="F1576" s="26">
        <v>146</v>
      </c>
      <c r="G1576" s="25" t="s">
        <v>293</v>
      </c>
      <c r="H1576" s="25"/>
      <c r="BA1576" s="73" t="s">
        <v>355</v>
      </c>
      <c r="BB1576" s="48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356</v>
      </c>
      <c r="E1577" s="1" t="s">
        <v>135</v>
      </c>
      <c r="F1577" s="26">
        <v>3.9</v>
      </c>
      <c r="G1577" s="25" t="s">
        <v>293</v>
      </c>
      <c r="H1577" s="25"/>
      <c r="BA1577" s="73" t="s">
        <v>355</v>
      </c>
      <c r="BB1577" s="48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356</v>
      </c>
      <c r="E1578" s="1" t="s">
        <v>136</v>
      </c>
      <c r="F1578" s="26">
        <v>116</v>
      </c>
      <c r="G1578" s="25" t="s">
        <v>293</v>
      </c>
      <c r="H1578" s="25"/>
      <c r="BA1578" s="73" t="s">
        <v>355</v>
      </c>
      <c r="BB1578" s="48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356</v>
      </c>
      <c r="E1579" s="1" t="s">
        <v>339</v>
      </c>
      <c r="F1579" s="26">
        <v>4.5999999999999996</v>
      </c>
      <c r="G1579" s="25" t="s">
        <v>293</v>
      </c>
      <c r="H1579" s="25"/>
      <c r="BA1579" s="73" t="s">
        <v>355</v>
      </c>
      <c r="BB1579" s="48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356</v>
      </c>
      <c r="E1580" s="1" t="s">
        <v>118</v>
      </c>
      <c r="F1580" s="26">
        <v>4.5999999999999996</v>
      </c>
      <c r="G1580" s="25" t="s">
        <v>293</v>
      </c>
      <c r="H1580" s="25"/>
      <c r="BA1580" s="73" t="s">
        <v>355</v>
      </c>
      <c r="BB1580" s="48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356</v>
      </c>
      <c r="E1581" s="1" t="s">
        <v>130</v>
      </c>
      <c r="F1581" s="26">
        <v>3.78</v>
      </c>
      <c r="G1581" s="25" t="s">
        <v>293</v>
      </c>
      <c r="H1581" s="25"/>
      <c r="BA1581" s="73" t="s">
        <v>355</v>
      </c>
      <c r="BB1581" s="48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356</v>
      </c>
      <c r="E1582" s="1" t="s">
        <v>341</v>
      </c>
      <c r="F1582" s="26">
        <v>0.3</v>
      </c>
      <c r="G1582" s="25" t="s">
        <v>293</v>
      </c>
      <c r="H1582" s="25"/>
      <c r="BA1582" s="73" t="s">
        <v>355</v>
      </c>
      <c r="BB1582" s="48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356</v>
      </c>
      <c r="E1583" s="1" t="s">
        <v>127</v>
      </c>
      <c r="F1583" s="26">
        <v>1.1499999999999999</v>
      </c>
      <c r="G1583" s="25" t="s">
        <v>293</v>
      </c>
      <c r="H1583" s="25"/>
      <c r="BA1583" s="73" t="s">
        <v>355</v>
      </c>
      <c r="BB1583" s="48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356</v>
      </c>
      <c r="E1584" s="1" t="s">
        <v>131</v>
      </c>
      <c r="F1584" s="26">
        <v>8.6999999999999993</v>
      </c>
      <c r="G1584" s="25" t="s">
        <v>293</v>
      </c>
      <c r="H1584" s="25"/>
      <c r="BA1584" s="73" t="s">
        <v>355</v>
      </c>
      <c r="BB1584" s="48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356</v>
      </c>
      <c r="E1585" s="1" t="s">
        <v>342</v>
      </c>
      <c r="F1585" s="26">
        <v>312</v>
      </c>
      <c r="G1585" s="25" t="s">
        <v>293</v>
      </c>
      <c r="H1585" s="25"/>
      <c r="BA1585" s="73" t="s">
        <v>355</v>
      </c>
      <c r="BB1585" s="48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356</v>
      </c>
      <c r="E1586" s="1" t="s">
        <v>119</v>
      </c>
      <c r="F1586" s="26">
        <v>229</v>
      </c>
      <c r="G1586" s="25" t="s">
        <v>293</v>
      </c>
      <c r="H1586" s="25"/>
      <c r="BA1586" s="73" t="s">
        <v>355</v>
      </c>
      <c r="BB1586" s="48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356</v>
      </c>
      <c r="E1587" s="1" t="s">
        <v>120</v>
      </c>
      <c r="F1587" s="26">
        <v>80</v>
      </c>
      <c r="G1587" s="25" t="s">
        <v>293</v>
      </c>
      <c r="H1587" s="25"/>
      <c r="BA1587" s="73" t="s">
        <v>355</v>
      </c>
      <c r="BB1587" s="48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356</v>
      </c>
      <c r="E1588" s="1" t="s">
        <v>117</v>
      </c>
      <c r="F1588" s="26">
        <v>2.73</v>
      </c>
      <c r="G1588" s="25" t="s">
        <v>293</v>
      </c>
      <c r="H1588" s="25"/>
      <c r="BA1588" s="73" t="s">
        <v>355</v>
      </c>
      <c r="BB1588" s="48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356</v>
      </c>
      <c r="E1589" s="1" t="s">
        <v>344</v>
      </c>
      <c r="F1589" s="26">
        <v>231</v>
      </c>
      <c r="G1589" s="25" t="s">
        <v>293</v>
      </c>
      <c r="H1589" s="25"/>
      <c r="BA1589" s="73" t="s">
        <v>355</v>
      </c>
      <c r="BB1589" s="48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356</v>
      </c>
      <c r="E1590" s="1" t="s">
        <v>132</v>
      </c>
      <c r="F1590" s="26">
        <v>3.48</v>
      </c>
      <c r="G1590" s="25" t="s">
        <v>293</v>
      </c>
      <c r="H1590" s="25"/>
      <c r="BA1590" s="73" t="s">
        <v>355</v>
      </c>
      <c r="BB1590" s="48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356</v>
      </c>
      <c r="E1591" s="1" t="s">
        <v>111</v>
      </c>
      <c r="F1591" s="26">
        <v>87</v>
      </c>
      <c r="G1591" s="25" t="s">
        <v>293</v>
      </c>
      <c r="H1591" s="25"/>
      <c r="BA1591" s="73" t="s">
        <v>355</v>
      </c>
      <c r="BB1591" s="48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356</v>
      </c>
      <c r="E1592" s="1" t="s">
        <v>345</v>
      </c>
      <c r="F1592" s="26">
        <v>5.18</v>
      </c>
      <c r="G1592" s="25" t="s">
        <v>293</v>
      </c>
      <c r="H1592" s="25"/>
      <c r="BA1592" s="73" t="s">
        <v>355</v>
      </c>
      <c r="BB1592" s="48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356</v>
      </c>
      <c r="E1593" s="1" t="s">
        <v>347</v>
      </c>
      <c r="F1593" s="26">
        <v>1.93</v>
      </c>
      <c r="G1593" s="25" t="s">
        <v>293</v>
      </c>
      <c r="H1593" s="25"/>
      <c r="BA1593" s="73" t="s">
        <v>355</v>
      </c>
      <c r="BB1593" s="48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356</v>
      </c>
      <c r="E1594" s="1" t="s">
        <v>128</v>
      </c>
      <c r="F1594" s="26">
        <v>6.7</v>
      </c>
      <c r="G1594" s="25" t="s">
        <v>293</v>
      </c>
      <c r="H1594" s="25"/>
      <c r="BA1594" s="73" t="s">
        <v>355</v>
      </c>
      <c r="BB1594" s="48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356</v>
      </c>
      <c r="E1595" s="1" t="s">
        <v>121</v>
      </c>
      <c r="F1595" s="26">
        <v>159</v>
      </c>
      <c r="G1595" s="25" t="s">
        <v>293</v>
      </c>
      <c r="H1595" s="25"/>
      <c r="BA1595" s="73" t="s">
        <v>355</v>
      </c>
      <c r="BB1595" s="48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356</v>
      </c>
      <c r="E1596" s="1" t="s">
        <v>115</v>
      </c>
      <c r="F1596" s="26">
        <v>31</v>
      </c>
      <c r="G1596" s="25" t="s">
        <v>293</v>
      </c>
      <c r="H1596" s="25"/>
      <c r="BA1596" s="73" t="s">
        <v>355</v>
      </c>
      <c r="BB1596" s="48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356</v>
      </c>
      <c r="E1597" s="1" t="s">
        <v>137</v>
      </c>
      <c r="F1597" s="26">
        <v>75</v>
      </c>
      <c r="G1597" s="25" t="s">
        <v>293</v>
      </c>
      <c r="H1597" s="25"/>
      <c r="BA1597" s="73" t="s">
        <v>355</v>
      </c>
      <c r="BB1597" s="48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356</v>
      </c>
      <c r="E1598" s="1" t="s">
        <v>348</v>
      </c>
      <c r="F1598" s="26">
        <v>136</v>
      </c>
      <c r="G1598" s="25" t="s">
        <v>293</v>
      </c>
      <c r="H1598" s="25"/>
      <c r="BA1598" s="73" t="s">
        <v>355</v>
      </c>
      <c r="BB1598" s="48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356</v>
      </c>
      <c r="E1599" s="1" t="s">
        <v>125</v>
      </c>
      <c r="F1599" s="26">
        <v>111</v>
      </c>
      <c r="G1599" s="25" t="s">
        <v>293</v>
      </c>
      <c r="H1599" s="25"/>
      <c r="BA1599" s="73" t="s">
        <v>355</v>
      </c>
      <c r="BB1599" s="48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356</v>
      </c>
      <c r="E1600" s="1" t="s">
        <v>126</v>
      </c>
      <c r="F1600" s="26">
        <v>80</v>
      </c>
      <c r="G1600" s="25" t="s">
        <v>293</v>
      </c>
      <c r="H1600" s="25"/>
      <c r="BA1600" s="73" t="s">
        <v>355</v>
      </c>
      <c r="BB1600" s="48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356</v>
      </c>
      <c r="E1601" s="1" t="s">
        <v>349</v>
      </c>
      <c r="F1601" s="26">
        <v>147</v>
      </c>
      <c r="G1601" s="25" t="s">
        <v>293</v>
      </c>
      <c r="H1601" s="25"/>
      <c r="BA1601" s="73" t="s">
        <v>355</v>
      </c>
      <c r="BB1601" s="48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356</v>
      </c>
      <c r="E1602" s="1" t="s">
        <v>350</v>
      </c>
      <c r="F1602" s="26">
        <v>62</v>
      </c>
      <c r="G1602" s="25" t="s">
        <v>293</v>
      </c>
      <c r="H1602" s="25"/>
      <c r="BA1602" s="73" t="s">
        <v>355</v>
      </c>
      <c r="BB1602" s="48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356</v>
      </c>
      <c r="E1603" s="1" t="s">
        <v>122</v>
      </c>
      <c r="F1603" s="26">
        <v>45</v>
      </c>
      <c r="G1603" s="25" t="s">
        <v>293</v>
      </c>
      <c r="H1603" s="25"/>
      <c r="BA1603" s="73" t="s">
        <v>355</v>
      </c>
      <c r="BB1603" s="48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356</v>
      </c>
      <c r="E1604" s="1" t="s">
        <v>124</v>
      </c>
      <c r="F1604" s="26">
        <v>31</v>
      </c>
      <c r="G1604" s="25" t="s">
        <v>293</v>
      </c>
      <c r="H1604" s="25"/>
      <c r="BA1604" s="73" t="s">
        <v>355</v>
      </c>
      <c r="BB1604" s="48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356</v>
      </c>
      <c r="E1605" s="1" t="s">
        <v>351</v>
      </c>
      <c r="F1605" s="26">
        <v>0.99</v>
      </c>
      <c r="G1605" s="25" t="s">
        <v>293</v>
      </c>
      <c r="H1605" s="25"/>
      <c r="BA1605" s="73" t="s">
        <v>355</v>
      </c>
      <c r="BB1605" s="48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356</v>
      </c>
      <c r="E1606" s="1" t="s">
        <v>353</v>
      </c>
      <c r="F1606" s="26">
        <v>32.700000000000003</v>
      </c>
      <c r="G1606" s="25" t="s">
        <v>293</v>
      </c>
      <c r="H1606" s="25"/>
      <c r="BA1606" s="73" t="s">
        <v>355</v>
      </c>
      <c r="BB1606" s="48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356</v>
      </c>
      <c r="E1607" s="1" t="s">
        <v>133</v>
      </c>
      <c r="F1607" s="26">
        <v>143</v>
      </c>
      <c r="G1607" s="25" t="s">
        <v>293</v>
      </c>
      <c r="H1607" s="25"/>
      <c r="BA1607" s="73" t="s">
        <v>355</v>
      </c>
      <c r="BB1607" s="48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356</v>
      </c>
      <c r="E1608" s="1" t="s">
        <v>135</v>
      </c>
      <c r="F1608" s="26">
        <v>3.8</v>
      </c>
      <c r="G1608" s="25" t="s">
        <v>293</v>
      </c>
      <c r="H1608" s="25"/>
      <c r="BA1608" s="73" t="s">
        <v>355</v>
      </c>
      <c r="BB1608" s="48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356</v>
      </c>
      <c r="E1609" s="1" t="s">
        <v>136</v>
      </c>
      <c r="F1609" s="26">
        <v>115</v>
      </c>
      <c r="G1609" s="25" t="s">
        <v>293</v>
      </c>
      <c r="H1609" s="25"/>
      <c r="BA1609" s="73" t="s">
        <v>355</v>
      </c>
      <c r="BB1609" s="48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357</v>
      </c>
      <c r="E1610" s="1" t="s">
        <v>339</v>
      </c>
      <c r="F1610" s="26">
        <v>1.18</v>
      </c>
      <c r="G1610" s="25" t="s">
        <v>293</v>
      </c>
      <c r="H1610" s="25"/>
      <c r="BA1610" s="73" t="s">
        <v>355</v>
      </c>
      <c r="BB1610" s="48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357</v>
      </c>
      <c r="E1611" s="1" t="s">
        <v>118</v>
      </c>
      <c r="F1611" s="26">
        <v>9.8000000000000007</v>
      </c>
      <c r="G1611" s="25" t="s">
        <v>293</v>
      </c>
      <c r="H1611" s="25"/>
      <c r="BA1611" s="73" t="s">
        <v>355</v>
      </c>
      <c r="BB1611" s="48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357</v>
      </c>
      <c r="E1612" s="1" t="s">
        <v>130</v>
      </c>
      <c r="F1612" s="26">
        <v>2.46</v>
      </c>
      <c r="G1612" s="25" t="s">
        <v>293</v>
      </c>
      <c r="H1612" s="25"/>
      <c r="BA1612" s="73" t="s">
        <v>355</v>
      </c>
      <c r="BB1612" s="48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357</v>
      </c>
      <c r="E1613" s="1" t="s">
        <v>341</v>
      </c>
      <c r="F1613" s="26">
        <v>1.05</v>
      </c>
      <c r="G1613" s="25" t="s">
        <v>293</v>
      </c>
      <c r="H1613" s="25"/>
      <c r="BA1613" s="73" t="s">
        <v>355</v>
      </c>
      <c r="BB1613" s="48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357</v>
      </c>
      <c r="E1614" s="1" t="s">
        <v>127</v>
      </c>
      <c r="F1614" s="26">
        <v>4.42</v>
      </c>
      <c r="G1614" s="25" t="s">
        <v>293</v>
      </c>
      <c r="H1614" s="25"/>
      <c r="BA1614" s="73" t="s">
        <v>355</v>
      </c>
      <c r="BB1614" s="48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357</v>
      </c>
      <c r="E1615" s="1" t="s">
        <v>131</v>
      </c>
      <c r="F1615" s="26">
        <v>12.3</v>
      </c>
      <c r="G1615" s="25" t="s">
        <v>293</v>
      </c>
      <c r="H1615" s="25"/>
      <c r="BA1615" s="73" t="s">
        <v>355</v>
      </c>
      <c r="BB1615" s="48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357</v>
      </c>
      <c r="E1616" s="1" t="s">
        <v>342</v>
      </c>
      <c r="F1616" s="26">
        <v>192</v>
      </c>
      <c r="G1616" s="25" t="s">
        <v>293</v>
      </c>
      <c r="H1616" s="25"/>
      <c r="BA1616" s="73" t="s">
        <v>355</v>
      </c>
      <c r="BB1616" s="48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357</v>
      </c>
      <c r="E1617" s="1" t="s">
        <v>119</v>
      </c>
      <c r="F1617" s="26">
        <v>86</v>
      </c>
      <c r="G1617" s="25" t="s">
        <v>293</v>
      </c>
      <c r="H1617" s="25"/>
      <c r="BA1617" s="73" t="s">
        <v>355</v>
      </c>
      <c r="BB1617" s="48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357</v>
      </c>
      <c r="E1618" s="1" t="s">
        <v>120</v>
      </c>
      <c r="F1618" s="26">
        <v>27</v>
      </c>
      <c r="G1618" s="25" t="s">
        <v>293</v>
      </c>
      <c r="H1618" s="25"/>
      <c r="BA1618" s="73" t="s">
        <v>355</v>
      </c>
      <c r="BB1618" s="48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357</v>
      </c>
      <c r="E1619" s="1" t="s">
        <v>117</v>
      </c>
      <c r="F1619" s="26">
        <v>6.21</v>
      </c>
      <c r="G1619" s="25" t="s">
        <v>293</v>
      </c>
      <c r="H1619" s="25"/>
      <c r="BA1619" s="73" t="s">
        <v>355</v>
      </c>
      <c r="BB1619" s="48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357</v>
      </c>
      <c r="E1620" s="1" t="s">
        <v>344</v>
      </c>
      <c r="F1620" s="26">
        <v>68</v>
      </c>
      <c r="G1620" s="25" t="s">
        <v>293</v>
      </c>
      <c r="H1620" s="25"/>
      <c r="BA1620" s="73" t="s">
        <v>355</v>
      </c>
      <c r="BB1620" s="48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357</v>
      </c>
      <c r="E1621" s="1" t="s">
        <v>132</v>
      </c>
      <c r="F1621" s="26">
        <v>7.35</v>
      </c>
      <c r="G1621" s="25" t="s">
        <v>293</v>
      </c>
      <c r="H1621" s="25"/>
      <c r="BA1621" s="73" t="s">
        <v>355</v>
      </c>
      <c r="BB1621" s="48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357</v>
      </c>
      <c r="E1622" s="1" t="s">
        <v>111</v>
      </c>
      <c r="F1622" s="26">
        <v>281</v>
      </c>
      <c r="G1622" s="25" t="s">
        <v>293</v>
      </c>
      <c r="H1622" s="25"/>
      <c r="BA1622" s="73" t="s">
        <v>355</v>
      </c>
      <c r="BB1622" s="48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357</v>
      </c>
      <c r="E1623" s="1" t="s">
        <v>345</v>
      </c>
      <c r="F1623" s="26">
        <v>9.99</v>
      </c>
      <c r="G1623" s="25" t="s">
        <v>293</v>
      </c>
      <c r="H1623" s="25"/>
      <c r="BA1623" s="73" t="s">
        <v>355</v>
      </c>
      <c r="BB1623" s="48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357</v>
      </c>
      <c r="E1624" s="1" t="s">
        <v>347</v>
      </c>
      <c r="F1624" s="26">
        <v>4.7</v>
      </c>
      <c r="G1624" s="25" t="s">
        <v>293</v>
      </c>
      <c r="H1624" s="25"/>
      <c r="BA1624" s="73" t="s">
        <v>355</v>
      </c>
      <c r="BB1624" s="48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357</v>
      </c>
      <c r="E1625" s="1" t="s">
        <v>128</v>
      </c>
      <c r="F1625" s="26">
        <v>4.3</v>
      </c>
      <c r="G1625" s="25" t="s">
        <v>293</v>
      </c>
      <c r="H1625" s="25"/>
      <c r="BA1625" s="73" t="s">
        <v>355</v>
      </c>
      <c r="BB1625" s="48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357</v>
      </c>
      <c r="E1626" s="1" t="s">
        <v>121</v>
      </c>
      <c r="F1626" s="26">
        <v>79</v>
      </c>
      <c r="G1626" s="25" t="s">
        <v>293</v>
      </c>
      <c r="H1626" s="25"/>
      <c r="BA1626" s="73" t="s">
        <v>355</v>
      </c>
      <c r="BB1626" s="48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357</v>
      </c>
      <c r="E1627" s="1" t="s">
        <v>115</v>
      </c>
      <c r="F1627" s="26">
        <v>93</v>
      </c>
      <c r="G1627" s="25" t="s">
        <v>293</v>
      </c>
      <c r="H1627" s="25"/>
      <c r="BA1627" s="73" t="s">
        <v>355</v>
      </c>
      <c r="BB1627" s="48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357</v>
      </c>
      <c r="E1628" s="1" t="s">
        <v>137</v>
      </c>
      <c r="F1628" s="26">
        <v>485</v>
      </c>
      <c r="G1628" s="25" t="s">
        <v>293</v>
      </c>
      <c r="H1628" s="25"/>
      <c r="BA1628" s="73" t="s">
        <v>355</v>
      </c>
      <c r="BB1628" s="48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357</v>
      </c>
      <c r="E1629" s="1" t="s">
        <v>348</v>
      </c>
      <c r="F1629" s="26">
        <v>428</v>
      </c>
      <c r="G1629" s="25" t="s">
        <v>293</v>
      </c>
      <c r="H1629" s="25"/>
      <c r="BA1629" s="73" t="s">
        <v>355</v>
      </c>
      <c r="BB1629" s="48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357</v>
      </c>
      <c r="E1630" s="1" t="s">
        <v>125</v>
      </c>
      <c r="F1630" s="26">
        <v>426</v>
      </c>
      <c r="G1630" s="25" t="s">
        <v>293</v>
      </c>
      <c r="H1630" s="25"/>
      <c r="BA1630" s="73" t="s">
        <v>355</v>
      </c>
      <c r="BB1630" s="48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357</v>
      </c>
      <c r="E1631" s="1" t="s">
        <v>126</v>
      </c>
      <c r="F1631" s="26">
        <v>147</v>
      </c>
      <c r="G1631" s="25" t="s">
        <v>293</v>
      </c>
      <c r="H1631" s="25"/>
      <c r="BA1631" s="73" t="s">
        <v>355</v>
      </c>
      <c r="BB1631" s="48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357</v>
      </c>
      <c r="E1632" s="1" t="s">
        <v>349</v>
      </c>
      <c r="F1632" s="26">
        <v>376</v>
      </c>
      <c r="G1632" s="25" t="s">
        <v>293</v>
      </c>
      <c r="H1632" s="25"/>
      <c r="BA1632" s="73" t="s">
        <v>355</v>
      </c>
      <c r="BB1632" s="48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357</v>
      </c>
      <c r="E1633" s="1" t="s">
        <v>350</v>
      </c>
      <c r="F1633" s="26">
        <v>85</v>
      </c>
      <c r="G1633" s="25" t="s">
        <v>293</v>
      </c>
      <c r="H1633" s="25"/>
      <c r="BA1633" s="73" t="s">
        <v>355</v>
      </c>
      <c r="BB1633" s="48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357</v>
      </c>
      <c r="E1634" s="1" t="s">
        <v>122</v>
      </c>
      <c r="F1634" s="26">
        <v>220</v>
      </c>
      <c r="G1634" s="25" t="s">
        <v>293</v>
      </c>
      <c r="H1634" s="25"/>
      <c r="BA1634" s="73" t="s">
        <v>355</v>
      </c>
      <c r="BB1634" s="48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357</v>
      </c>
      <c r="E1635" s="1" t="s">
        <v>124</v>
      </c>
      <c r="F1635" s="26">
        <v>102</v>
      </c>
      <c r="G1635" s="25" t="s">
        <v>293</v>
      </c>
      <c r="H1635" s="25"/>
      <c r="BA1635" s="73" t="s">
        <v>355</v>
      </c>
      <c r="BB1635" s="48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357</v>
      </c>
      <c r="E1636" s="1" t="s">
        <v>351</v>
      </c>
      <c r="F1636" s="26">
        <v>3.61</v>
      </c>
      <c r="G1636" s="25" t="s">
        <v>293</v>
      </c>
      <c r="H1636" s="25"/>
      <c r="BA1636" s="73" t="s">
        <v>355</v>
      </c>
      <c r="BB1636" s="48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357</v>
      </c>
      <c r="E1637" s="1" t="s">
        <v>353</v>
      </c>
      <c r="F1637" s="26">
        <v>16.399999999999999</v>
      </c>
      <c r="G1637" s="25" t="s">
        <v>293</v>
      </c>
      <c r="H1637" s="25"/>
      <c r="BA1637" s="73" t="s">
        <v>355</v>
      </c>
      <c r="BB1637" s="48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357</v>
      </c>
      <c r="E1638" s="1" t="s">
        <v>133</v>
      </c>
      <c r="F1638" s="26">
        <v>126</v>
      </c>
      <c r="G1638" s="25" t="s">
        <v>293</v>
      </c>
      <c r="H1638" s="25"/>
      <c r="BA1638" s="73" t="s">
        <v>355</v>
      </c>
      <c r="BB1638" s="48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357</v>
      </c>
      <c r="E1639" s="1" t="s">
        <v>135</v>
      </c>
      <c r="F1639" s="26">
        <v>6.4</v>
      </c>
      <c r="G1639" s="25" t="s">
        <v>293</v>
      </c>
      <c r="H1639" s="25"/>
      <c r="BA1639" s="73" t="s">
        <v>355</v>
      </c>
      <c r="BB1639" s="48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357</v>
      </c>
      <c r="E1640" s="1" t="s">
        <v>136</v>
      </c>
      <c r="F1640" s="26">
        <v>95</v>
      </c>
      <c r="G1640" s="25" t="s">
        <v>293</v>
      </c>
      <c r="H1640" s="25"/>
      <c r="BA1640" s="73" t="s">
        <v>355</v>
      </c>
      <c r="BB1640" s="48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357</v>
      </c>
      <c r="E1641" s="1" t="s">
        <v>339</v>
      </c>
      <c r="F1641" s="26">
        <v>1.1499999999999999</v>
      </c>
      <c r="G1641" s="25" t="s">
        <v>293</v>
      </c>
      <c r="H1641" s="25"/>
      <c r="BA1641" s="73" t="s">
        <v>355</v>
      </c>
      <c r="BB1641" s="48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357</v>
      </c>
      <c r="E1642" s="1" t="s">
        <v>118</v>
      </c>
      <c r="F1642" s="26">
        <v>9.8000000000000007</v>
      </c>
      <c r="G1642" s="25" t="s">
        <v>293</v>
      </c>
      <c r="H1642" s="25"/>
      <c r="BA1642" s="73" t="s">
        <v>355</v>
      </c>
      <c r="BB1642" s="48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357</v>
      </c>
      <c r="E1643" s="1" t="s">
        <v>130</v>
      </c>
      <c r="F1643" s="26">
        <v>2.395</v>
      </c>
      <c r="G1643" s="25" t="s">
        <v>293</v>
      </c>
      <c r="H1643" s="25"/>
      <c r="BA1643" s="73" t="s">
        <v>355</v>
      </c>
      <c r="BB1643" s="48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357</v>
      </c>
      <c r="E1644" s="1" t="s">
        <v>341</v>
      </c>
      <c r="F1644" s="26">
        <v>1.0549999999999999</v>
      </c>
      <c r="G1644" s="25" t="s">
        <v>293</v>
      </c>
      <c r="H1644" s="25"/>
      <c r="BA1644" s="73" t="s">
        <v>355</v>
      </c>
      <c r="BB1644" s="48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357</v>
      </c>
      <c r="E1645" s="1" t="s">
        <v>127</v>
      </c>
      <c r="F1645" s="26">
        <v>4.4969999999999999</v>
      </c>
      <c r="G1645" s="25" t="s">
        <v>293</v>
      </c>
      <c r="H1645" s="25"/>
      <c r="BA1645" s="73" t="s">
        <v>355</v>
      </c>
      <c r="BB1645" s="48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357</v>
      </c>
      <c r="E1646" s="1" t="s">
        <v>131</v>
      </c>
      <c r="F1646" s="26">
        <v>12</v>
      </c>
      <c r="G1646" s="25" t="s">
        <v>293</v>
      </c>
      <c r="H1646" s="25"/>
      <c r="BA1646" s="73" t="s">
        <v>355</v>
      </c>
      <c r="BB1646" s="48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357</v>
      </c>
      <c r="E1647" s="1" t="s">
        <v>342</v>
      </c>
      <c r="F1647" s="26">
        <v>192</v>
      </c>
      <c r="G1647" s="25" t="s">
        <v>293</v>
      </c>
      <c r="H1647" s="25"/>
      <c r="BA1647" s="73" t="s">
        <v>355</v>
      </c>
      <c r="BB1647" s="48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357</v>
      </c>
      <c r="E1648" s="1" t="s">
        <v>119</v>
      </c>
      <c r="F1648" s="26">
        <v>85</v>
      </c>
      <c r="G1648" s="25" t="s">
        <v>293</v>
      </c>
      <c r="H1648" s="25"/>
      <c r="BA1648" s="73" t="s">
        <v>355</v>
      </c>
      <c r="BB1648" s="48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357</v>
      </c>
      <c r="E1649" s="1" t="s">
        <v>120</v>
      </c>
      <c r="F1649" s="26">
        <v>27</v>
      </c>
      <c r="G1649" s="25" t="s">
        <v>293</v>
      </c>
      <c r="H1649" s="25"/>
      <c r="BA1649" s="73" t="s">
        <v>355</v>
      </c>
      <c r="BB1649" s="48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357</v>
      </c>
      <c r="E1650" s="1" t="s">
        <v>117</v>
      </c>
      <c r="F1650" s="26">
        <v>6.2</v>
      </c>
      <c r="G1650" s="25" t="s">
        <v>293</v>
      </c>
      <c r="H1650" s="25"/>
      <c r="BA1650" s="73" t="s">
        <v>355</v>
      </c>
      <c r="BB1650" s="48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357</v>
      </c>
      <c r="E1651" s="1" t="s">
        <v>344</v>
      </c>
      <c r="F1651" s="26">
        <v>68</v>
      </c>
      <c r="G1651" s="25" t="s">
        <v>293</v>
      </c>
      <c r="H1651" s="25"/>
      <c r="BA1651" s="73" t="s">
        <v>355</v>
      </c>
      <c r="BB1651" s="48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357</v>
      </c>
      <c r="E1652" s="1" t="s">
        <v>132</v>
      </c>
      <c r="F1652" s="26">
        <v>7.36</v>
      </c>
      <c r="G1652" s="25" t="s">
        <v>293</v>
      </c>
      <c r="H1652" s="25"/>
      <c r="BA1652" s="73" t="s">
        <v>355</v>
      </c>
      <c r="BB1652" s="48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357</v>
      </c>
      <c r="E1653" s="1" t="s">
        <v>111</v>
      </c>
      <c r="F1653" s="26">
        <v>280</v>
      </c>
      <c r="G1653" s="25" t="s">
        <v>293</v>
      </c>
      <c r="H1653" s="25"/>
      <c r="BA1653" s="73" t="s">
        <v>355</v>
      </c>
      <c r="BB1653" s="48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357</v>
      </c>
      <c r="E1654" s="1" t="s">
        <v>345</v>
      </c>
      <c r="F1654" s="26">
        <v>10</v>
      </c>
      <c r="G1654" s="25" t="s">
        <v>293</v>
      </c>
      <c r="H1654" s="25"/>
      <c r="BA1654" s="73" t="s">
        <v>355</v>
      </c>
      <c r="BB1654" s="48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357</v>
      </c>
      <c r="E1655" s="1" t="s">
        <v>347</v>
      </c>
      <c r="F1655" s="26">
        <v>4.42</v>
      </c>
      <c r="G1655" s="25" t="s">
        <v>293</v>
      </c>
      <c r="H1655" s="25"/>
      <c r="BA1655" s="73" t="s">
        <v>355</v>
      </c>
      <c r="BB1655" s="48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357</v>
      </c>
      <c r="E1656" s="1" t="s">
        <v>128</v>
      </c>
      <c r="F1656" s="26">
        <v>4.5</v>
      </c>
      <c r="G1656" s="25" t="s">
        <v>293</v>
      </c>
      <c r="H1656" s="25"/>
      <c r="BA1656" s="73" t="s">
        <v>355</v>
      </c>
      <c r="BB1656" s="48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357</v>
      </c>
      <c r="E1657" s="1" t="s">
        <v>121</v>
      </c>
      <c r="F1657" s="26">
        <v>79</v>
      </c>
      <c r="G1657" s="25" t="s">
        <v>293</v>
      </c>
      <c r="H1657" s="25"/>
      <c r="BA1657" s="73" t="s">
        <v>355</v>
      </c>
      <c r="BB1657" s="48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357</v>
      </c>
      <c r="E1658" s="1" t="s">
        <v>115</v>
      </c>
      <c r="F1658" s="26">
        <v>93</v>
      </c>
      <c r="G1658" s="25" t="s">
        <v>293</v>
      </c>
      <c r="H1658" s="25"/>
      <c r="BA1658" s="73" t="s">
        <v>355</v>
      </c>
      <c r="BB1658" s="48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357</v>
      </c>
      <c r="E1659" s="1" t="s">
        <v>137</v>
      </c>
      <c r="F1659" s="26">
        <v>483</v>
      </c>
      <c r="G1659" s="25" t="s">
        <v>293</v>
      </c>
      <c r="H1659" s="25"/>
      <c r="BA1659" s="73" t="s">
        <v>355</v>
      </c>
      <c r="BB1659" s="48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357</v>
      </c>
      <c r="E1660" s="1" t="s">
        <v>348</v>
      </c>
      <c r="F1660" s="26">
        <v>433</v>
      </c>
      <c r="G1660" s="25" t="s">
        <v>293</v>
      </c>
      <c r="H1660" s="25"/>
      <c r="BA1660" s="73" t="s">
        <v>355</v>
      </c>
      <c r="BB1660" s="48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357</v>
      </c>
      <c r="E1661" s="1" t="s">
        <v>125</v>
      </c>
      <c r="F1661" s="26">
        <v>422</v>
      </c>
      <c r="G1661" s="25" t="s">
        <v>293</v>
      </c>
      <c r="H1661" s="25"/>
      <c r="BA1661" s="73" t="s">
        <v>355</v>
      </c>
      <c r="BB1661" s="48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357</v>
      </c>
      <c r="E1662" s="1" t="s">
        <v>126</v>
      </c>
      <c r="F1662" s="26">
        <v>150</v>
      </c>
      <c r="G1662" s="25" t="s">
        <v>293</v>
      </c>
      <c r="H1662" s="25"/>
      <c r="BA1662" s="73" t="s">
        <v>355</v>
      </c>
      <c r="BB1662" s="48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357</v>
      </c>
      <c r="E1663" s="1" t="s">
        <v>349</v>
      </c>
      <c r="F1663" s="26">
        <v>394</v>
      </c>
      <c r="G1663" s="25" t="s">
        <v>293</v>
      </c>
      <c r="H1663" s="25"/>
      <c r="BA1663" s="73" t="s">
        <v>355</v>
      </c>
      <c r="BB1663" s="48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357</v>
      </c>
      <c r="E1664" s="1" t="s">
        <v>350</v>
      </c>
      <c r="F1664" s="26">
        <v>85</v>
      </c>
      <c r="G1664" s="25" t="s">
        <v>293</v>
      </c>
      <c r="H1664" s="25"/>
      <c r="BA1664" s="73" t="s">
        <v>355</v>
      </c>
      <c r="BB1664" s="48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357</v>
      </c>
      <c r="E1665" s="1" t="s">
        <v>122</v>
      </c>
      <c r="F1665" s="26">
        <v>215</v>
      </c>
      <c r="G1665" s="25" t="s">
        <v>293</v>
      </c>
      <c r="H1665" s="25"/>
      <c r="BA1665" s="73" t="s">
        <v>355</v>
      </c>
      <c r="BB1665" s="48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357</v>
      </c>
      <c r="E1666" s="1" t="s">
        <v>124</v>
      </c>
      <c r="F1666" s="26">
        <v>101</v>
      </c>
      <c r="G1666" s="25" t="s">
        <v>293</v>
      </c>
      <c r="H1666" s="25"/>
      <c r="BA1666" s="73" t="s">
        <v>355</v>
      </c>
      <c r="BB1666" s="48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357</v>
      </c>
      <c r="E1667" s="1" t="s">
        <v>351</v>
      </c>
      <c r="F1667" s="26">
        <v>3.56</v>
      </c>
      <c r="G1667" s="25" t="s">
        <v>293</v>
      </c>
      <c r="H1667" s="25"/>
      <c r="BA1667" s="73" t="s">
        <v>355</v>
      </c>
      <c r="BB1667" s="48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357</v>
      </c>
      <c r="E1668" s="1" t="s">
        <v>353</v>
      </c>
      <c r="F1668" s="26">
        <v>21.4</v>
      </c>
      <c r="G1668" s="25" t="s">
        <v>293</v>
      </c>
      <c r="H1668" s="25"/>
      <c r="BA1668" s="73" t="s">
        <v>355</v>
      </c>
      <c r="BB1668" s="48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357</v>
      </c>
      <c r="E1669" s="1" t="s">
        <v>133</v>
      </c>
      <c r="F1669" s="26">
        <v>127</v>
      </c>
      <c r="G1669" s="25" t="s">
        <v>293</v>
      </c>
      <c r="H1669" s="25"/>
      <c r="BA1669" s="73" t="s">
        <v>355</v>
      </c>
      <c r="BB1669" s="48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357</v>
      </c>
      <c r="E1670" s="1" t="s">
        <v>135</v>
      </c>
      <c r="F1670" s="26">
        <v>6.4</v>
      </c>
      <c r="G1670" s="25" t="s">
        <v>293</v>
      </c>
      <c r="H1670" s="25"/>
      <c r="BA1670" s="73" t="s">
        <v>355</v>
      </c>
      <c r="BB1670" s="48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357</v>
      </c>
      <c r="E1671" s="1" t="s">
        <v>136</v>
      </c>
      <c r="F1671" s="26">
        <v>93</v>
      </c>
      <c r="G1671" s="25" t="s">
        <v>293</v>
      </c>
      <c r="H1671" s="25"/>
      <c r="BA1671" s="73" t="s">
        <v>355</v>
      </c>
      <c r="BB1671" s="48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357</v>
      </c>
      <c r="E1672" s="1" t="s">
        <v>339</v>
      </c>
      <c r="F1672" s="26">
        <v>1.1100000000000001</v>
      </c>
      <c r="G1672" s="25" t="s">
        <v>293</v>
      </c>
      <c r="H1672" s="25"/>
      <c r="BA1672" s="73" t="s">
        <v>355</v>
      </c>
      <c r="BB1672" s="48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357</v>
      </c>
      <c r="E1673" s="1" t="s">
        <v>118</v>
      </c>
      <c r="F1673" s="26">
        <v>9.6999999999999993</v>
      </c>
      <c r="G1673" s="25" t="s">
        <v>293</v>
      </c>
      <c r="H1673" s="25"/>
      <c r="BA1673" s="73" t="s">
        <v>355</v>
      </c>
      <c r="BB1673" s="48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357</v>
      </c>
      <c r="E1674" s="1" t="s">
        <v>130</v>
      </c>
      <c r="F1674" s="26">
        <v>2.38</v>
      </c>
      <c r="G1674" s="25" t="s">
        <v>293</v>
      </c>
      <c r="H1674" s="25"/>
      <c r="BA1674" s="73" t="s">
        <v>355</v>
      </c>
      <c r="BB1674" s="48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357</v>
      </c>
      <c r="E1675" s="1" t="s">
        <v>341</v>
      </c>
      <c r="F1675" s="26">
        <v>1.1000000000000001</v>
      </c>
      <c r="G1675" s="25" t="s">
        <v>293</v>
      </c>
      <c r="H1675" s="25"/>
      <c r="BA1675" s="73" t="s">
        <v>355</v>
      </c>
      <c r="BB1675" s="48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357</v>
      </c>
      <c r="E1676" s="1" t="s">
        <v>127</v>
      </c>
      <c r="F1676" s="26">
        <v>4.53</v>
      </c>
      <c r="G1676" s="25" t="s">
        <v>293</v>
      </c>
      <c r="H1676" s="25"/>
      <c r="BA1676" s="73" t="s">
        <v>355</v>
      </c>
      <c r="BB1676" s="48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357</v>
      </c>
      <c r="E1677" s="1" t="s">
        <v>131</v>
      </c>
      <c r="F1677" s="26">
        <v>11.9</v>
      </c>
      <c r="G1677" s="25" t="s">
        <v>293</v>
      </c>
      <c r="H1677" s="25"/>
      <c r="BA1677" s="73" t="s">
        <v>355</v>
      </c>
      <c r="BB1677" s="48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357</v>
      </c>
      <c r="E1678" s="1" t="s">
        <v>342</v>
      </c>
      <c r="F1678" s="26">
        <v>194</v>
      </c>
      <c r="G1678" s="25" t="s">
        <v>293</v>
      </c>
      <c r="H1678" s="25"/>
      <c r="BA1678" s="73" t="s">
        <v>355</v>
      </c>
      <c r="BB1678" s="48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357</v>
      </c>
      <c r="E1679" s="1" t="s">
        <v>119</v>
      </c>
      <c r="F1679" s="26">
        <v>83</v>
      </c>
      <c r="G1679" s="25" t="s">
        <v>293</v>
      </c>
      <c r="H1679" s="25"/>
      <c r="BA1679" s="73" t="s">
        <v>355</v>
      </c>
      <c r="BB1679" s="48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357</v>
      </c>
      <c r="E1680" s="1" t="s">
        <v>120</v>
      </c>
      <c r="F1680" s="26">
        <v>26</v>
      </c>
      <c r="G1680" s="25" t="s">
        <v>293</v>
      </c>
      <c r="H1680" s="25"/>
      <c r="BA1680" s="73" t="s">
        <v>355</v>
      </c>
      <c r="BB1680" s="48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357</v>
      </c>
      <c r="E1681" s="1" t="s">
        <v>117</v>
      </c>
      <c r="F1681" s="26">
        <v>6.16</v>
      </c>
      <c r="G1681" s="25" t="s">
        <v>293</v>
      </c>
      <c r="H1681" s="25"/>
      <c r="BA1681" s="73" t="s">
        <v>355</v>
      </c>
      <c r="BB1681" s="48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357</v>
      </c>
      <c r="E1682" s="1" t="s">
        <v>344</v>
      </c>
      <c r="F1682" s="26">
        <v>67</v>
      </c>
      <c r="G1682" s="25" t="s">
        <v>293</v>
      </c>
      <c r="H1682" s="25"/>
      <c r="BA1682" s="73" t="s">
        <v>355</v>
      </c>
      <c r="BB1682" s="48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357</v>
      </c>
      <c r="E1683" s="1" t="s">
        <v>132</v>
      </c>
      <c r="F1683" s="26">
        <v>7.28</v>
      </c>
      <c r="G1683" s="25" t="s">
        <v>293</v>
      </c>
      <c r="H1683" s="25"/>
      <c r="BA1683" s="73" t="s">
        <v>355</v>
      </c>
      <c r="BB1683" s="48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357</v>
      </c>
      <c r="E1684" s="1" t="s">
        <v>111</v>
      </c>
      <c r="F1684" s="26">
        <v>283</v>
      </c>
      <c r="G1684" s="25" t="s">
        <v>293</v>
      </c>
      <c r="H1684" s="25"/>
      <c r="BA1684" s="73" t="s">
        <v>355</v>
      </c>
      <c r="BB1684" s="48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357</v>
      </c>
      <c r="E1685" s="1" t="s">
        <v>345</v>
      </c>
      <c r="F1685" s="26">
        <v>9.89</v>
      </c>
      <c r="G1685" s="25" t="s">
        <v>293</v>
      </c>
      <c r="H1685" s="25"/>
      <c r="BA1685" s="73" t="s">
        <v>355</v>
      </c>
      <c r="BB1685" s="48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357</v>
      </c>
      <c r="E1686" s="1" t="s">
        <v>347</v>
      </c>
      <c r="F1686" s="26">
        <v>4.55</v>
      </c>
      <c r="G1686" s="25" t="s">
        <v>293</v>
      </c>
      <c r="H1686" s="25"/>
      <c r="BA1686" s="73" t="s">
        <v>355</v>
      </c>
      <c r="BB1686" s="48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357</v>
      </c>
      <c r="E1687" s="1" t="s">
        <v>128</v>
      </c>
      <c r="F1687" s="26">
        <v>4.5</v>
      </c>
      <c r="G1687" s="25" t="s">
        <v>293</v>
      </c>
      <c r="H1687" s="25"/>
      <c r="BA1687" s="73" t="s">
        <v>355</v>
      </c>
      <c r="BB1687" s="48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357</v>
      </c>
      <c r="E1688" s="1" t="s">
        <v>121</v>
      </c>
      <c r="F1688" s="26">
        <v>77</v>
      </c>
      <c r="G1688" s="25" t="s">
        <v>293</v>
      </c>
      <c r="H1688" s="25"/>
      <c r="BA1688" s="73" t="s">
        <v>355</v>
      </c>
      <c r="BB1688" s="48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357</v>
      </c>
      <c r="E1689" s="1" t="s">
        <v>115</v>
      </c>
      <c r="F1689" s="26">
        <v>94</v>
      </c>
      <c r="G1689" s="25" t="s">
        <v>293</v>
      </c>
      <c r="H1689" s="25"/>
      <c r="BA1689" s="73" t="s">
        <v>355</v>
      </c>
      <c r="BB1689" s="48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357</v>
      </c>
      <c r="E1690" s="1" t="s">
        <v>137</v>
      </c>
      <c r="F1690" s="26">
        <v>489</v>
      </c>
      <c r="G1690" s="25" t="s">
        <v>293</v>
      </c>
      <c r="H1690" s="25"/>
      <c r="BA1690" s="73" t="s">
        <v>355</v>
      </c>
      <c r="BB1690" s="48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357</v>
      </c>
      <c r="E1691" s="1" t="s">
        <v>348</v>
      </c>
      <c r="F1691" s="26">
        <v>434</v>
      </c>
      <c r="G1691" s="25" t="s">
        <v>293</v>
      </c>
      <c r="H1691" s="25"/>
      <c r="BA1691" s="73" t="s">
        <v>355</v>
      </c>
      <c r="BB1691" s="48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357</v>
      </c>
      <c r="E1692" s="1" t="s">
        <v>125</v>
      </c>
      <c r="F1692" s="26">
        <v>419</v>
      </c>
      <c r="G1692" s="25" t="s">
        <v>293</v>
      </c>
      <c r="H1692" s="25"/>
      <c r="BA1692" s="73" t="s">
        <v>355</v>
      </c>
      <c r="BB1692" s="48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357</v>
      </c>
      <c r="E1693" s="1" t="s">
        <v>126</v>
      </c>
      <c r="F1693" s="26">
        <v>150</v>
      </c>
      <c r="G1693" s="25" t="s">
        <v>293</v>
      </c>
      <c r="H1693" s="25"/>
      <c r="BA1693" s="73" t="s">
        <v>355</v>
      </c>
      <c r="BB1693" s="48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357</v>
      </c>
      <c r="E1694" s="1" t="s">
        <v>349</v>
      </c>
      <c r="F1694" s="26">
        <v>375</v>
      </c>
      <c r="G1694" s="25" t="s">
        <v>293</v>
      </c>
      <c r="H1694" s="25"/>
      <c r="BA1694" s="73" t="s">
        <v>355</v>
      </c>
      <c r="BB1694" s="48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357</v>
      </c>
      <c r="E1695" s="1" t="s">
        <v>350</v>
      </c>
      <c r="F1695" s="26">
        <v>84</v>
      </c>
      <c r="G1695" s="25" t="s">
        <v>293</v>
      </c>
      <c r="H1695" s="25"/>
      <c r="BA1695" s="73" t="s">
        <v>355</v>
      </c>
      <c r="BB1695" s="48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357</v>
      </c>
      <c r="E1696" s="1" t="s">
        <v>122</v>
      </c>
      <c r="F1696" s="26">
        <v>216</v>
      </c>
      <c r="G1696" s="25" t="s">
        <v>293</v>
      </c>
      <c r="H1696" s="25"/>
      <c r="BA1696" s="73" t="s">
        <v>355</v>
      </c>
      <c r="BB1696" s="48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357</v>
      </c>
      <c r="E1697" s="1" t="s">
        <v>124</v>
      </c>
      <c r="F1697" s="26">
        <v>107</v>
      </c>
      <c r="G1697" s="25" t="s">
        <v>293</v>
      </c>
      <c r="H1697" s="25"/>
      <c r="BA1697" s="73" t="s">
        <v>355</v>
      </c>
      <c r="BB1697" s="48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357</v>
      </c>
      <c r="E1698" s="1" t="s">
        <v>351</v>
      </c>
      <c r="F1698" s="26">
        <v>3.5</v>
      </c>
      <c r="G1698" s="25" t="s">
        <v>293</v>
      </c>
      <c r="H1698" s="25"/>
      <c r="BA1698" s="73" t="s">
        <v>355</v>
      </c>
      <c r="BB1698" s="48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357</v>
      </c>
      <c r="E1699" s="1" t="s">
        <v>353</v>
      </c>
      <c r="F1699" s="26">
        <v>18.100000000000001</v>
      </c>
      <c r="G1699" s="25" t="s">
        <v>293</v>
      </c>
      <c r="H1699" s="25"/>
      <c r="BA1699" s="73" t="s">
        <v>355</v>
      </c>
      <c r="BB1699" s="48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357</v>
      </c>
      <c r="E1700" s="1" t="s">
        <v>133</v>
      </c>
      <c r="F1700" s="26">
        <v>128</v>
      </c>
      <c r="G1700" s="25" t="s">
        <v>293</v>
      </c>
      <c r="H1700" s="25"/>
      <c r="BA1700" s="73" t="s">
        <v>355</v>
      </c>
      <c r="BB1700" s="48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357</v>
      </c>
      <c r="E1701" s="1" t="s">
        <v>135</v>
      </c>
      <c r="F1701" s="26">
        <v>6.6</v>
      </c>
      <c r="G1701" s="25" t="s">
        <v>293</v>
      </c>
      <c r="H1701" s="25"/>
      <c r="BA1701" s="73" t="s">
        <v>355</v>
      </c>
      <c r="BB1701" s="48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357</v>
      </c>
      <c r="E1702" s="1" t="s">
        <v>136</v>
      </c>
      <c r="F1702" s="26">
        <v>94</v>
      </c>
      <c r="G1702" s="25" t="s">
        <v>293</v>
      </c>
      <c r="H1702" s="25"/>
      <c r="BA1702" s="73" t="s">
        <v>355</v>
      </c>
      <c r="BB1702" s="48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357</v>
      </c>
      <c r="E1703" s="1" t="s">
        <v>339</v>
      </c>
      <c r="F1703" s="26">
        <v>1.21</v>
      </c>
      <c r="G1703" s="25" t="s">
        <v>293</v>
      </c>
      <c r="H1703" s="25"/>
      <c r="BA1703" s="73" t="s">
        <v>355</v>
      </c>
      <c r="BB1703" s="48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357</v>
      </c>
      <c r="E1704" s="1" t="s">
        <v>118</v>
      </c>
      <c r="F1704" s="26">
        <v>9.4</v>
      </c>
      <c r="G1704" s="25" t="s">
        <v>293</v>
      </c>
      <c r="H1704" s="25"/>
      <c r="BA1704" s="73" t="s">
        <v>355</v>
      </c>
      <c r="BB1704" s="48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357</v>
      </c>
      <c r="E1705" s="1" t="s">
        <v>130</v>
      </c>
      <c r="F1705" s="26">
        <v>2.48</v>
      </c>
      <c r="G1705" s="25" t="s">
        <v>293</v>
      </c>
      <c r="H1705" s="25"/>
      <c r="BA1705" s="73" t="s">
        <v>355</v>
      </c>
      <c r="BB1705" s="48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357</v>
      </c>
      <c r="E1706" s="1" t="s">
        <v>341</v>
      </c>
      <c r="F1706" s="26">
        <v>1.07</v>
      </c>
      <c r="G1706" s="25" t="s">
        <v>293</v>
      </c>
      <c r="H1706" s="25"/>
      <c r="BA1706" s="73" t="s">
        <v>355</v>
      </c>
      <c r="BB1706" s="48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357</v>
      </c>
      <c r="E1707" s="1" t="s">
        <v>127</v>
      </c>
      <c r="F1707" s="26">
        <v>4.57</v>
      </c>
      <c r="G1707" s="25" t="s">
        <v>293</v>
      </c>
      <c r="H1707" s="25"/>
      <c r="BA1707" s="73" t="s">
        <v>355</v>
      </c>
      <c r="BB1707" s="48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357</v>
      </c>
      <c r="E1708" s="1" t="s">
        <v>131</v>
      </c>
      <c r="F1708" s="26">
        <v>12.23</v>
      </c>
      <c r="G1708" s="25" t="s">
        <v>293</v>
      </c>
      <c r="H1708" s="25"/>
      <c r="BA1708" s="73" t="s">
        <v>355</v>
      </c>
      <c r="BB1708" s="48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357</v>
      </c>
      <c r="E1709" s="1" t="s">
        <v>342</v>
      </c>
      <c r="F1709" s="26">
        <v>204</v>
      </c>
      <c r="G1709" s="25" t="s">
        <v>293</v>
      </c>
      <c r="H1709" s="25"/>
      <c r="BA1709" s="73" t="s">
        <v>355</v>
      </c>
      <c r="BB1709" s="48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357</v>
      </c>
      <c r="E1710" s="1" t="s">
        <v>119</v>
      </c>
      <c r="F1710" s="26">
        <v>87</v>
      </c>
      <c r="G1710" s="25" t="s">
        <v>293</v>
      </c>
      <c r="H1710" s="25"/>
      <c r="BA1710" s="73" t="s">
        <v>355</v>
      </c>
      <c r="BB1710" s="48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357</v>
      </c>
      <c r="E1711" s="1" t="s">
        <v>120</v>
      </c>
      <c r="F1711" s="26">
        <v>27</v>
      </c>
      <c r="G1711" s="25" t="s">
        <v>293</v>
      </c>
      <c r="H1711" s="25"/>
      <c r="BA1711" s="73" t="s">
        <v>355</v>
      </c>
      <c r="BB1711" s="48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357</v>
      </c>
      <c r="E1712" s="1" t="s">
        <v>117</v>
      </c>
      <c r="F1712" s="26">
        <v>6.03</v>
      </c>
      <c r="G1712" s="25" t="s">
        <v>293</v>
      </c>
      <c r="H1712" s="25"/>
      <c r="BA1712" s="73" t="s">
        <v>355</v>
      </c>
      <c r="BB1712" s="48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357</v>
      </c>
      <c r="E1713" s="1" t="s">
        <v>344</v>
      </c>
      <c r="F1713" s="26">
        <v>69</v>
      </c>
      <c r="G1713" s="25" t="s">
        <v>293</v>
      </c>
      <c r="H1713" s="25"/>
      <c r="BA1713" s="73" t="s">
        <v>355</v>
      </c>
      <c r="BB1713" s="48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357</v>
      </c>
      <c r="E1714" s="1" t="s">
        <v>132</v>
      </c>
      <c r="F1714" s="26">
        <v>7.25</v>
      </c>
      <c r="G1714" s="25" t="s">
        <v>293</v>
      </c>
      <c r="H1714" s="25"/>
      <c r="BA1714" s="73" t="s">
        <v>355</v>
      </c>
      <c r="BB1714" s="48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357</v>
      </c>
      <c r="E1715" s="1" t="s">
        <v>111</v>
      </c>
      <c r="F1715" s="26">
        <v>289</v>
      </c>
      <c r="G1715" s="25" t="s">
        <v>293</v>
      </c>
      <c r="H1715" s="25"/>
      <c r="BA1715" s="73" t="s">
        <v>355</v>
      </c>
      <c r="BB1715" s="48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357</v>
      </c>
      <c r="E1716" s="1" t="s">
        <v>345</v>
      </c>
      <c r="F1716" s="26">
        <v>10.06</v>
      </c>
      <c r="G1716" s="25" t="s">
        <v>293</v>
      </c>
      <c r="H1716" s="25"/>
      <c r="BA1716" s="73" t="s">
        <v>355</v>
      </c>
      <c r="BB1716" s="48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357</v>
      </c>
      <c r="E1717" s="1" t="s">
        <v>347</v>
      </c>
      <c r="F1717" s="26">
        <v>4.58</v>
      </c>
      <c r="G1717" s="25" t="s">
        <v>293</v>
      </c>
      <c r="H1717" s="25"/>
      <c r="BA1717" s="73" t="s">
        <v>355</v>
      </c>
      <c r="BB1717" s="48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357</v>
      </c>
      <c r="E1718" s="1" t="s">
        <v>128</v>
      </c>
      <c r="F1718" s="26">
        <v>4.4000000000000004</v>
      </c>
      <c r="G1718" s="25" t="s">
        <v>293</v>
      </c>
      <c r="H1718" s="25"/>
      <c r="BA1718" s="73" t="s">
        <v>355</v>
      </c>
      <c r="BB1718" s="48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357</v>
      </c>
      <c r="E1719" s="1" t="s">
        <v>121</v>
      </c>
      <c r="F1719" s="26">
        <v>78</v>
      </c>
      <c r="G1719" s="25" t="s">
        <v>293</v>
      </c>
      <c r="H1719" s="25"/>
      <c r="BA1719" s="73" t="s">
        <v>355</v>
      </c>
      <c r="BB1719" s="48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357</v>
      </c>
      <c r="E1720" s="1" t="s">
        <v>115</v>
      </c>
      <c r="F1720" s="26">
        <v>94</v>
      </c>
      <c r="G1720" s="25" t="s">
        <v>293</v>
      </c>
      <c r="H1720" s="25"/>
      <c r="BA1720" s="73" t="s">
        <v>355</v>
      </c>
      <c r="BB1720" s="48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357</v>
      </c>
      <c r="E1721" s="1" t="s">
        <v>137</v>
      </c>
      <c r="F1721" s="26">
        <v>470</v>
      </c>
      <c r="G1721" s="25" t="s">
        <v>293</v>
      </c>
      <c r="H1721" s="25"/>
      <c r="BA1721" s="73" t="s">
        <v>355</v>
      </c>
      <c r="BB1721" s="48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357</v>
      </c>
      <c r="E1722" s="1" t="s">
        <v>348</v>
      </c>
      <c r="F1722" s="26">
        <v>421</v>
      </c>
      <c r="G1722" s="25" t="s">
        <v>293</v>
      </c>
      <c r="H1722" s="25"/>
      <c r="BA1722" s="73" t="s">
        <v>355</v>
      </c>
      <c r="BB1722" s="48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357</v>
      </c>
      <c r="E1723" s="1" t="s">
        <v>125</v>
      </c>
      <c r="F1723" s="26">
        <v>403</v>
      </c>
      <c r="G1723" s="25" t="s">
        <v>293</v>
      </c>
      <c r="H1723" s="25"/>
      <c r="BA1723" s="73" t="s">
        <v>355</v>
      </c>
      <c r="BB1723" s="48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357</v>
      </c>
      <c r="E1724" s="1" t="s">
        <v>126</v>
      </c>
      <c r="F1724" s="26">
        <v>154</v>
      </c>
      <c r="G1724" s="25" t="s">
        <v>293</v>
      </c>
      <c r="H1724" s="25"/>
      <c r="BA1724" s="73" t="s">
        <v>355</v>
      </c>
      <c r="BB1724" s="48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357</v>
      </c>
      <c r="E1725" s="1" t="s">
        <v>349</v>
      </c>
      <c r="F1725" s="26">
        <v>399</v>
      </c>
      <c r="G1725" s="25" t="s">
        <v>293</v>
      </c>
      <c r="H1725" s="25"/>
      <c r="BA1725" s="73" t="s">
        <v>355</v>
      </c>
      <c r="BB1725" s="48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357</v>
      </c>
      <c r="E1726" s="1" t="s">
        <v>350</v>
      </c>
      <c r="F1726" s="26">
        <v>86</v>
      </c>
      <c r="G1726" s="25" t="s">
        <v>293</v>
      </c>
      <c r="H1726" s="25"/>
      <c r="BA1726" s="73" t="s">
        <v>355</v>
      </c>
      <c r="BB1726" s="48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357</v>
      </c>
      <c r="E1727" s="1" t="s">
        <v>122</v>
      </c>
      <c r="F1727" s="26">
        <v>210</v>
      </c>
      <c r="G1727" s="25" t="s">
        <v>293</v>
      </c>
      <c r="H1727" s="25"/>
      <c r="BA1727" s="73" t="s">
        <v>355</v>
      </c>
      <c r="BB1727" s="48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357</v>
      </c>
      <c r="E1728" s="1" t="s">
        <v>124</v>
      </c>
      <c r="F1728" s="26">
        <v>105</v>
      </c>
      <c r="G1728" s="25" t="s">
        <v>293</v>
      </c>
      <c r="H1728" s="25"/>
      <c r="BA1728" s="73" t="s">
        <v>355</v>
      </c>
      <c r="BB1728" s="48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357</v>
      </c>
      <c r="E1729" s="1" t="s">
        <v>351</v>
      </c>
      <c r="F1729" s="26">
        <v>3.47</v>
      </c>
      <c r="G1729" s="25" t="s">
        <v>293</v>
      </c>
      <c r="H1729" s="25"/>
      <c r="BA1729" s="73" t="s">
        <v>355</v>
      </c>
      <c r="BB1729" s="48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357</v>
      </c>
      <c r="E1730" s="1" t="s">
        <v>353</v>
      </c>
      <c r="F1730" s="26">
        <v>18.100000000000001</v>
      </c>
      <c r="G1730" s="25" t="s">
        <v>293</v>
      </c>
      <c r="H1730" s="25"/>
      <c r="BA1730" s="73" t="s">
        <v>355</v>
      </c>
      <c r="BB1730" s="48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357</v>
      </c>
      <c r="E1731" s="1" t="s">
        <v>133</v>
      </c>
      <c r="F1731" s="26">
        <v>126</v>
      </c>
      <c r="G1731" s="25" t="s">
        <v>293</v>
      </c>
      <c r="H1731" s="25"/>
      <c r="BA1731" s="73" t="s">
        <v>355</v>
      </c>
      <c r="BB1731" s="48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357</v>
      </c>
      <c r="E1732" s="1" t="s">
        <v>135</v>
      </c>
      <c r="F1732" s="26">
        <v>6.4</v>
      </c>
      <c r="G1732" s="25" t="s">
        <v>293</v>
      </c>
      <c r="H1732" s="25"/>
      <c r="BA1732" s="73" t="s">
        <v>355</v>
      </c>
      <c r="BB1732" s="48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357</v>
      </c>
      <c r="E1733" s="1" t="s">
        <v>136</v>
      </c>
      <c r="F1733" s="26">
        <v>98</v>
      </c>
      <c r="G1733" s="25" t="s">
        <v>293</v>
      </c>
      <c r="H1733" s="25"/>
      <c r="BA1733" s="73" t="s">
        <v>355</v>
      </c>
      <c r="BB1733" s="48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357</v>
      </c>
      <c r="E1734" s="1" t="s">
        <v>339</v>
      </c>
      <c r="F1734" s="26">
        <v>1.22</v>
      </c>
      <c r="G1734" s="25" t="s">
        <v>293</v>
      </c>
      <c r="H1734" s="25"/>
      <c r="BA1734" s="73" t="s">
        <v>355</v>
      </c>
      <c r="BB1734" s="48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357</v>
      </c>
      <c r="E1735" s="1" t="s">
        <v>118</v>
      </c>
      <c r="F1735" s="26">
        <v>9.6</v>
      </c>
      <c r="G1735" s="25" t="s">
        <v>293</v>
      </c>
      <c r="H1735" s="25"/>
      <c r="BA1735" s="73" t="s">
        <v>355</v>
      </c>
      <c r="BB1735" s="48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357</v>
      </c>
      <c r="E1736" s="1" t="s">
        <v>130</v>
      </c>
      <c r="F1736" s="26">
        <v>2.4700000000000002</v>
      </c>
      <c r="G1736" s="25" t="s">
        <v>293</v>
      </c>
      <c r="H1736" s="25"/>
      <c r="BA1736" s="73" t="s">
        <v>355</v>
      </c>
      <c r="BB1736" s="48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357</v>
      </c>
      <c r="E1737" s="1" t="s">
        <v>341</v>
      </c>
      <c r="F1737" s="26">
        <v>1.077</v>
      </c>
      <c r="G1737" s="25" t="s">
        <v>293</v>
      </c>
      <c r="H1737" s="25"/>
      <c r="BA1737" s="73" t="s">
        <v>355</v>
      </c>
      <c r="BB1737" s="48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357</v>
      </c>
      <c r="E1738" s="1" t="s">
        <v>127</v>
      </c>
      <c r="F1738" s="26">
        <v>4.4960000000000004</v>
      </c>
      <c r="G1738" s="25" t="s">
        <v>293</v>
      </c>
      <c r="H1738" s="25"/>
      <c r="BA1738" s="73" t="s">
        <v>355</v>
      </c>
      <c r="BB1738" s="48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357</v>
      </c>
      <c r="E1739" s="1" t="s">
        <v>131</v>
      </c>
      <c r="F1739" s="26">
        <v>12.3</v>
      </c>
      <c r="G1739" s="25" t="s">
        <v>293</v>
      </c>
      <c r="H1739" s="25"/>
      <c r="BA1739" s="73" t="s">
        <v>355</v>
      </c>
      <c r="BB1739" s="48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357</v>
      </c>
      <c r="E1740" s="1" t="s">
        <v>342</v>
      </c>
      <c r="F1740" s="26">
        <v>187</v>
      </c>
      <c r="G1740" s="25" t="s">
        <v>293</v>
      </c>
      <c r="H1740" s="25"/>
      <c r="BA1740" s="73" t="s">
        <v>355</v>
      </c>
      <c r="BB1740" s="48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357</v>
      </c>
      <c r="E1741" s="1" t="s">
        <v>119</v>
      </c>
      <c r="F1741" s="26">
        <v>88</v>
      </c>
      <c r="G1741" s="25" t="s">
        <v>293</v>
      </c>
      <c r="H1741" s="25"/>
      <c r="BA1741" s="73" t="s">
        <v>355</v>
      </c>
      <c r="BB1741" s="48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357</v>
      </c>
      <c r="E1742" s="1" t="s">
        <v>120</v>
      </c>
      <c r="F1742" s="26">
        <v>27</v>
      </c>
      <c r="G1742" s="25" t="s">
        <v>293</v>
      </c>
      <c r="H1742" s="25"/>
      <c r="BA1742" s="73" t="s">
        <v>355</v>
      </c>
      <c r="BB1742" s="48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357</v>
      </c>
      <c r="E1743" s="1" t="s">
        <v>117</v>
      </c>
      <c r="F1743" s="26">
        <v>6.3</v>
      </c>
      <c r="G1743" s="25" t="s">
        <v>293</v>
      </c>
      <c r="H1743" s="25"/>
      <c r="BA1743" s="73" t="s">
        <v>355</v>
      </c>
      <c r="BB1743" s="48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357</v>
      </c>
      <c r="E1744" s="1" t="s">
        <v>344</v>
      </c>
      <c r="F1744" s="26">
        <v>69</v>
      </c>
      <c r="G1744" s="25" t="s">
        <v>293</v>
      </c>
      <c r="H1744" s="25"/>
      <c r="BA1744" s="73" t="s">
        <v>355</v>
      </c>
      <c r="BB1744" s="48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357</v>
      </c>
      <c r="E1745" s="1" t="s">
        <v>132</v>
      </c>
      <c r="F1745" s="26">
        <v>7.41</v>
      </c>
      <c r="G1745" s="25" t="s">
        <v>293</v>
      </c>
      <c r="H1745" s="25"/>
      <c r="BA1745" s="73" t="s">
        <v>355</v>
      </c>
      <c r="BB1745" s="48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357</v>
      </c>
      <c r="E1746" s="1" t="s">
        <v>111</v>
      </c>
      <c r="F1746" s="26">
        <v>283</v>
      </c>
      <c r="G1746" s="25" t="s">
        <v>293</v>
      </c>
      <c r="H1746" s="25"/>
      <c r="BA1746" s="73" t="s">
        <v>355</v>
      </c>
      <c r="BB1746" s="48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357</v>
      </c>
      <c r="E1747" s="1" t="s">
        <v>345</v>
      </c>
      <c r="F1747" s="26">
        <v>10.01</v>
      </c>
      <c r="G1747" s="25" t="s">
        <v>293</v>
      </c>
      <c r="H1747" s="25"/>
      <c r="BA1747" s="73" t="s">
        <v>355</v>
      </c>
      <c r="BB1747" s="48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357</v>
      </c>
      <c r="E1748" s="1" t="s">
        <v>347</v>
      </c>
      <c r="F1748" s="26">
        <v>4.45</v>
      </c>
      <c r="G1748" s="25" t="s">
        <v>293</v>
      </c>
      <c r="H1748" s="25"/>
      <c r="BA1748" s="73" t="s">
        <v>355</v>
      </c>
      <c r="BB1748" s="48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357</v>
      </c>
      <c r="E1749" s="1" t="s">
        <v>128</v>
      </c>
      <c r="F1749" s="26">
        <v>4.5</v>
      </c>
      <c r="G1749" s="25" t="s">
        <v>293</v>
      </c>
      <c r="H1749" s="25"/>
      <c r="BA1749" s="73" t="s">
        <v>355</v>
      </c>
      <c r="BB1749" s="48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357</v>
      </c>
      <c r="E1750" s="1" t="s">
        <v>121</v>
      </c>
      <c r="F1750" s="26">
        <v>78</v>
      </c>
      <c r="G1750" s="25" t="s">
        <v>293</v>
      </c>
      <c r="H1750" s="25"/>
      <c r="BA1750" s="73" t="s">
        <v>355</v>
      </c>
      <c r="BB1750" s="48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357</v>
      </c>
      <c r="E1751" s="1" t="s">
        <v>115</v>
      </c>
      <c r="F1751" s="26">
        <v>94</v>
      </c>
      <c r="G1751" s="25" t="s">
        <v>293</v>
      </c>
      <c r="H1751" s="25"/>
      <c r="BA1751" s="73" t="s">
        <v>355</v>
      </c>
      <c r="BB1751" s="48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357</v>
      </c>
      <c r="E1752" s="1" t="s">
        <v>137</v>
      </c>
      <c r="F1752" s="26">
        <v>485</v>
      </c>
      <c r="G1752" s="25" t="s">
        <v>293</v>
      </c>
      <c r="H1752" s="25"/>
      <c r="BA1752" s="73" t="s">
        <v>355</v>
      </c>
      <c r="BB1752" s="48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357</v>
      </c>
      <c r="E1753" s="1" t="s">
        <v>348</v>
      </c>
      <c r="F1753" s="26">
        <v>437</v>
      </c>
      <c r="G1753" s="25" t="s">
        <v>293</v>
      </c>
      <c r="H1753" s="25"/>
      <c r="BA1753" s="73" t="s">
        <v>355</v>
      </c>
      <c r="BB1753" s="48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357</v>
      </c>
      <c r="E1754" s="1" t="s">
        <v>125</v>
      </c>
      <c r="F1754" s="26">
        <v>415</v>
      </c>
      <c r="G1754" s="25" t="s">
        <v>293</v>
      </c>
      <c r="H1754" s="25"/>
      <c r="BA1754" s="73" t="s">
        <v>355</v>
      </c>
      <c r="BB1754" s="48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357</v>
      </c>
      <c r="E1755" s="1" t="s">
        <v>126</v>
      </c>
      <c r="F1755" s="26">
        <v>153</v>
      </c>
      <c r="G1755" s="25" t="s">
        <v>293</v>
      </c>
      <c r="H1755" s="25"/>
      <c r="BA1755" s="73" t="s">
        <v>355</v>
      </c>
      <c r="BB1755" s="48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357</v>
      </c>
      <c r="E1756" s="1" t="s">
        <v>349</v>
      </c>
      <c r="F1756" s="26">
        <v>382</v>
      </c>
      <c r="G1756" s="25" t="s">
        <v>293</v>
      </c>
      <c r="H1756" s="25"/>
      <c r="BA1756" s="73" t="s">
        <v>355</v>
      </c>
      <c r="BB1756" s="48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357</v>
      </c>
      <c r="E1757" s="1" t="s">
        <v>350</v>
      </c>
      <c r="F1757" s="26">
        <v>87</v>
      </c>
      <c r="G1757" s="25" t="s">
        <v>293</v>
      </c>
      <c r="H1757" s="25"/>
      <c r="BA1757" s="73" t="s">
        <v>355</v>
      </c>
      <c r="BB1757" s="48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357</v>
      </c>
      <c r="E1758" s="1" t="s">
        <v>122</v>
      </c>
      <c r="F1758" s="26">
        <v>226</v>
      </c>
      <c r="G1758" s="25" t="s">
        <v>293</v>
      </c>
      <c r="H1758" s="25"/>
      <c r="BA1758" s="73" t="s">
        <v>355</v>
      </c>
      <c r="BB1758" s="48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357</v>
      </c>
      <c r="E1759" s="1" t="s">
        <v>124</v>
      </c>
      <c r="F1759" s="26">
        <v>103</v>
      </c>
      <c r="G1759" s="25" t="s">
        <v>293</v>
      </c>
      <c r="H1759" s="25"/>
      <c r="BA1759" s="73" t="s">
        <v>355</v>
      </c>
      <c r="BB1759" s="48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357</v>
      </c>
      <c r="E1760" s="1" t="s">
        <v>351</v>
      </c>
      <c r="F1760" s="26">
        <v>3.56</v>
      </c>
      <c r="G1760" s="25" t="s">
        <v>293</v>
      </c>
      <c r="H1760" s="25"/>
      <c r="BA1760" s="73" t="s">
        <v>355</v>
      </c>
      <c r="BB1760" s="48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357</v>
      </c>
      <c r="E1761" s="1" t="s">
        <v>353</v>
      </c>
      <c r="F1761" s="26">
        <v>18.5</v>
      </c>
      <c r="G1761" s="25" t="s">
        <v>293</v>
      </c>
      <c r="H1761" s="25"/>
      <c r="BA1761" s="73" t="s">
        <v>355</v>
      </c>
      <c r="BB1761" s="48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357</v>
      </c>
      <c r="E1762" s="1" t="s">
        <v>133</v>
      </c>
      <c r="F1762" s="26">
        <v>125</v>
      </c>
      <c r="G1762" s="25" t="s">
        <v>293</v>
      </c>
      <c r="H1762" s="25"/>
      <c r="BA1762" s="73" t="s">
        <v>355</v>
      </c>
      <c r="BB1762" s="48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357</v>
      </c>
      <c r="E1763" s="1" t="s">
        <v>135</v>
      </c>
      <c r="F1763" s="26">
        <v>6.5</v>
      </c>
      <c r="G1763" s="25" t="s">
        <v>293</v>
      </c>
      <c r="H1763" s="25"/>
      <c r="BA1763" s="73" t="s">
        <v>355</v>
      </c>
      <c r="BB1763" s="48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357</v>
      </c>
      <c r="E1764" s="1" t="s">
        <v>136</v>
      </c>
      <c r="F1764" s="26">
        <v>97</v>
      </c>
      <c r="G1764" s="25" t="s">
        <v>293</v>
      </c>
      <c r="H1764" s="25"/>
      <c r="BA1764" s="73" t="s">
        <v>355</v>
      </c>
      <c r="BB1764" s="48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357</v>
      </c>
      <c r="E1765" s="1" t="s">
        <v>339</v>
      </c>
      <c r="F1765" s="26">
        <v>1.0900000000000001</v>
      </c>
      <c r="G1765" s="25" t="s">
        <v>293</v>
      </c>
      <c r="H1765" s="25"/>
      <c r="BA1765" s="73" t="s">
        <v>355</v>
      </c>
      <c r="BB1765" s="48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357</v>
      </c>
      <c r="E1766" s="1" t="s">
        <v>118</v>
      </c>
      <c r="F1766" s="26">
        <v>9.6</v>
      </c>
      <c r="G1766" s="25" t="s">
        <v>293</v>
      </c>
      <c r="H1766" s="25"/>
      <c r="BA1766" s="73" t="s">
        <v>355</v>
      </c>
      <c r="BB1766" s="48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357</v>
      </c>
      <c r="E1767" s="1" t="s">
        <v>130</v>
      </c>
      <c r="F1767" s="26">
        <v>2.4500000000000002</v>
      </c>
      <c r="G1767" s="25" t="s">
        <v>293</v>
      </c>
      <c r="H1767" s="25"/>
      <c r="BA1767" s="73" t="s">
        <v>355</v>
      </c>
      <c r="BB1767" s="48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357</v>
      </c>
      <c r="E1768" s="1" t="s">
        <v>341</v>
      </c>
      <c r="F1768" s="26">
        <v>1.06</v>
      </c>
      <c r="G1768" s="25" t="s">
        <v>293</v>
      </c>
      <c r="H1768" s="25"/>
      <c r="BA1768" s="73" t="s">
        <v>355</v>
      </c>
      <c r="BB1768" s="48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357</v>
      </c>
      <c r="E1769" s="1" t="s">
        <v>127</v>
      </c>
      <c r="F1769" s="26">
        <v>4.53</v>
      </c>
      <c r="G1769" s="25" t="s">
        <v>293</v>
      </c>
      <c r="H1769" s="25"/>
      <c r="BA1769" s="73" t="s">
        <v>355</v>
      </c>
      <c r="BB1769" s="48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357</v>
      </c>
      <c r="E1770" s="1" t="s">
        <v>131</v>
      </c>
      <c r="F1770" s="26">
        <v>12</v>
      </c>
      <c r="G1770" s="25" t="s">
        <v>293</v>
      </c>
      <c r="H1770" s="25"/>
      <c r="BA1770" s="73" t="s">
        <v>355</v>
      </c>
      <c r="BB1770" s="48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357</v>
      </c>
      <c r="E1771" s="1" t="s">
        <v>342</v>
      </c>
      <c r="F1771" s="26">
        <v>190</v>
      </c>
      <c r="G1771" s="25" t="s">
        <v>293</v>
      </c>
      <c r="H1771" s="25"/>
      <c r="BA1771" s="73" t="s">
        <v>355</v>
      </c>
      <c r="BB1771" s="48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357</v>
      </c>
      <c r="E1772" s="1" t="s">
        <v>119</v>
      </c>
      <c r="F1772" s="26">
        <v>84</v>
      </c>
      <c r="G1772" s="25" t="s">
        <v>293</v>
      </c>
      <c r="H1772" s="25"/>
      <c r="BA1772" s="73" t="s">
        <v>355</v>
      </c>
      <c r="BB1772" s="48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357</v>
      </c>
      <c r="E1773" s="1" t="s">
        <v>120</v>
      </c>
      <c r="F1773" s="26">
        <v>27</v>
      </c>
      <c r="G1773" s="25" t="s">
        <v>293</v>
      </c>
      <c r="H1773" s="25"/>
      <c r="BA1773" s="73" t="s">
        <v>355</v>
      </c>
      <c r="BB1773" s="48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357</v>
      </c>
      <c r="E1774" s="1" t="s">
        <v>117</v>
      </c>
      <c r="F1774" s="26">
        <v>6.21</v>
      </c>
      <c r="G1774" s="25" t="s">
        <v>293</v>
      </c>
      <c r="H1774" s="25"/>
      <c r="BA1774" s="73" t="s">
        <v>355</v>
      </c>
      <c r="BB1774" s="48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357</v>
      </c>
      <c r="E1775" s="1" t="s">
        <v>344</v>
      </c>
      <c r="F1775" s="26">
        <v>68</v>
      </c>
      <c r="G1775" s="25" t="s">
        <v>293</v>
      </c>
      <c r="H1775" s="25"/>
      <c r="BA1775" s="73" t="s">
        <v>355</v>
      </c>
      <c r="BB1775" s="48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357</v>
      </c>
      <c r="E1776" s="1" t="s">
        <v>132</v>
      </c>
      <c r="F1776" s="26">
        <v>7.14</v>
      </c>
      <c r="G1776" s="25" t="s">
        <v>293</v>
      </c>
      <c r="H1776" s="25"/>
      <c r="BA1776" s="73" t="s">
        <v>355</v>
      </c>
      <c r="BB1776" s="48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357</v>
      </c>
      <c r="E1777" s="1" t="s">
        <v>111</v>
      </c>
      <c r="F1777" s="26">
        <v>282</v>
      </c>
      <c r="G1777" s="25" t="s">
        <v>293</v>
      </c>
      <c r="H1777" s="25"/>
      <c r="BA1777" s="73" t="s">
        <v>355</v>
      </c>
      <c r="BB1777" s="48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357</v>
      </c>
      <c r="E1778" s="1" t="s">
        <v>345</v>
      </c>
      <c r="F1778" s="26">
        <v>9.9499999999999993</v>
      </c>
      <c r="G1778" s="25" t="s">
        <v>293</v>
      </c>
      <c r="H1778" s="25"/>
      <c r="BA1778" s="73" t="s">
        <v>355</v>
      </c>
      <c r="BB1778" s="48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357</v>
      </c>
      <c r="E1779" s="1" t="s">
        <v>347</v>
      </c>
      <c r="F1779" s="26">
        <v>4.74</v>
      </c>
      <c r="G1779" s="25" t="s">
        <v>293</v>
      </c>
      <c r="H1779" s="25"/>
      <c r="BA1779" s="73" t="s">
        <v>355</v>
      </c>
      <c r="BB1779" s="48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357</v>
      </c>
      <c r="E1780" s="1" t="s">
        <v>128</v>
      </c>
      <c r="F1780" s="26">
        <v>4.4000000000000004</v>
      </c>
      <c r="G1780" s="25" t="s">
        <v>293</v>
      </c>
      <c r="H1780" s="25"/>
      <c r="BA1780" s="73" t="s">
        <v>355</v>
      </c>
      <c r="BB1780" s="48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357</v>
      </c>
      <c r="E1781" s="1" t="s">
        <v>121</v>
      </c>
      <c r="F1781" s="26">
        <v>77</v>
      </c>
      <c r="G1781" s="25" t="s">
        <v>293</v>
      </c>
      <c r="H1781" s="25"/>
      <c r="BA1781" s="73" t="s">
        <v>355</v>
      </c>
      <c r="BB1781" s="48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357</v>
      </c>
      <c r="E1782" s="1" t="s">
        <v>115</v>
      </c>
      <c r="F1782" s="26">
        <v>94</v>
      </c>
      <c r="G1782" s="25" t="s">
        <v>293</v>
      </c>
      <c r="H1782" s="25"/>
      <c r="BA1782" s="73" t="s">
        <v>355</v>
      </c>
      <c r="BB1782" s="48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357</v>
      </c>
      <c r="E1783" s="1" t="s">
        <v>137</v>
      </c>
      <c r="F1783" s="26">
        <v>489</v>
      </c>
      <c r="G1783" s="25" t="s">
        <v>293</v>
      </c>
      <c r="H1783" s="25"/>
      <c r="BA1783" s="73" t="s">
        <v>355</v>
      </c>
      <c r="BB1783" s="48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357</v>
      </c>
      <c r="E1784" s="1" t="s">
        <v>348</v>
      </c>
      <c r="F1784" s="26">
        <v>428</v>
      </c>
      <c r="G1784" s="25" t="s">
        <v>293</v>
      </c>
      <c r="H1784" s="25"/>
      <c r="BA1784" s="73" t="s">
        <v>355</v>
      </c>
      <c r="BB1784" s="48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357</v>
      </c>
      <c r="E1785" s="1" t="s">
        <v>125</v>
      </c>
      <c r="F1785" s="26">
        <v>418</v>
      </c>
      <c r="G1785" s="25" t="s">
        <v>293</v>
      </c>
      <c r="H1785" s="25"/>
      <c r="BA1785" s="73" t="s">
        <v>355</v>
      </c>
      <c r="BB1785" s="48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357</v>
      </c>
      <c r="E1786" s="1" t="s">
        <v>126</v>
      </c>
      <c r="F1786" s="26">
        <v>150</v>
      </c>
      <c r="G1786" s="25" t="s">
        <v>293</v>
      </c>
      <c r="H1786" s="25"/>
      <c r="BA1786" s="73" t="s">
        <v>355</v>
      </c>
      <c r="BB1786" s="48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357</v>
      </c>
      <c r="E1787" s="1" t="s">
        <v>349</v>
      </c>
      <c r="F1787" s="26">
        <v>387</v>
      </c>
      <c r="G1787" s="25" t="s">
        <v>293</v>
      </c>
      <c r="H1787" s="25"/>
      <c r="BA1787" s="73" t="s">
        <v>355</v>
      </c>
      <c r="BB1787" s="48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357</v>
      </c>
      <c r="E1788" s="1" t="s">
        <v>350</v>
      </c>
      <c r="F1788" s="26">
        <v>85</v>
      </c>
      <c r="G1788" s="25" t="s">
        <v>293</v>
      </c>
      <c r="H1788" s="25"/>
      <c r="BA1788" s="73" t="s">
        <v>355</v>
      </c>
      <c r="BB1788" s="48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357</v>
      </c>
      <c r="E1789" s="1" t="s">
        <v>122</v>
      </c>
      <c r="F1789" s="26">
        <v>223</v>
      </c>
      <c r="G1789" s="25" t="s">
        <v>293</v>
      </c>
      <c r="H1789" s="25"/>
      <c r="BA1789" s="73" t="s">
        <v>355</v>
      </c>
      <c r="BB1789" s="48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357</v>
      </c>
      <c r="E1790" s="1" t="s">
        <v>124</v>
      </c>
      <c r="F1790" s="26">
        <v>103</v>
      </c>
      <c r="G1790" s="25" t="s">
        <v>293</v>
      </c>
      <c r="H1790" s="25"/>
      <c r="BA1790" s="73" t="s">
        <v>355</v>
      </c>
      <c r="BB1790" s="48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357</v>
      </c>
      <c r="E1791" s="1" t="s">
        <v>351</v>
      </c>
      <c r="F1791" s="26">
        <v>3.6</v>
      </c>
      <c r="G1791" s="25" t="s">
        <v>293</v>
      </c>
      <c r="H1791" s="25"/>
      <c r="BA1791" s="73" t="s">
        <v>355</v>
      </c>
      <c r="BB1791" s="48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357</v>
      </c>
      <c r="E1792" s="1" t="s">
        <v>353</v>
      </c>
      <c r="F1792" s="26">
        <v>16.8</v>
      </c>
      <c r="G1792" s="25" t="s">
        <v>293</v>
      </c>
      <c r="H1792" s="25"/>
      <c r="BA1792" s="73" t="s">
        <v>355</v>
      </c>
      <c r="BB1792" s="48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357</v>
      </c>
      <c r="E1793" s="1" t="s">
        <v>133</v>
      </c>
      <c r="F1793" s="26">
        <v>128</v>
      </c>
      <c r="G1793" s="25" t="s">
        <v>293</v>
      </c>
      <c r="H1793" s="25"/>
      <c r="BA1793" s="73" t="s">
        <v>355</v>
      </c>
      <c r="BB1793" s="48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357</v>
      </c>
      <c r="E1794" s="1" t="s">
        <v>135</v>
      </c>
      <c r="F1794" s="26">
        <v>6.4</v>
      </c>
      <c r="G1794" s="25" t="s">
        <v>293</v>
      </c>
      <c r="H1794" s="25"/>
      <c r="BA1794" s="73" t="s">
        <v>355</v>
      </c>
      <c r="BB1794" s="48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357</v>
      </c>
      <c r="E1795" s="1" t="s">
        <v>136</v>
      </c>
      <c r="F1795" s="26">
        <v>94</v>
      </c>
      <c r="G1795" s="25" t="s">
        <v>293</v>
      </c>
      <c r="H1795" s="25"/>
      <c r="BA1795" s="73" t="s">
        <v>355</v>
      </c>
      <c r="BB1795" s="48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357</v>
      </c>
      <c r="E1796" s="1" t="s">
        <v>339</v>
      </c>
      <c r="F1796" s="26">
        <v>1.34</v>
      </c>
      <c r="G1796" s="25" t="s">
        <v>293</v>
      </c>
      <c r="H1796" s="25"/>
      <c r="BA1796" s="73" t="s">
        <v>355</v>
      </c>
      <c r="BB1796" s="48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357</v>
      </c>
      <c r="E1797" s="1" t="s">
        <v>118</v>
      </c>
      <c r="F1797" s="26">
        <v>9.8000000000000007</v>
      </c>
      <c r="G1797" s="25" t="s">
        <v>293</v>
      </c>
      <c r="H1797" s="25"/>
      <c r="BA1797" s="73" t="s">
        <v>355</v>
      </c>
      <c r="BB1797" s="48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357</v>
      </c>
      <c r="E1798" s="1" t="s">
        <v>130</v>
      </c>
      <c r="F1798" s="26">
        <v>2.46</v>
      </c>
      <c r="G1798" s="25" t="s">
        <v>293</v>
      </c>
      <c r="H1798" s="25"/>
      <c r="BA1798" s="73" t="s">
        <v>355</v>
      </c>
      <c r="BB1798" s="48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357</v>
      </c>
      <c r="E1799" s="1" t="s">
        <v>341</v>
      </c>
      <c r="F1799" s="26">
        <v>1.06</v>
      </c>
      <c r="G1799" s="25" t="s">
        <v>293</v>
      </c>
      <c r="H1799" s="25"/>
      <c r="BA1799" s="73" t="s">
        <v>355</v>
      </c>
      <c r="BB1799" s="48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357</v>
      </c>
      <c r="E1800" s="1" t="s">
        <v>127</v>
      </c>
      <c r="F1800" s="26">
        <v>4.4400000000000004</v>
      </c>
      <c r="G1800" s="25" t="s">
        <v>293</v>
      </c>
      <c r="H1800" s="25"/>
      <c r="BA1800" s="73" t="s">
        <v>355</v>
      </c>
      <c r="BB1800" s="48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357</v>
      </c>
      <c r="E1801" s="1" t="s">
        <v>131</v>
      </c>
      <c r="F1801" s="26">
        <v>12.1</v>
      </c>
      <c r="G1801" s="25" t="s">
        <v>293</v>
      </c>
      <c r="H1801" s="25"/>
      <c r="BA1801" s="73" t="s">
        <v>355</v>
      </c>
      <c r="BB1801" s="48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357</v>
      </c>
      <c r="E1802" s="1" t="s">
        <v>342</v>
      </c>
      <c r="F1802" s="26">
        <v>184</v>
      </c>
      <c r="G1802" s="25" t="s">
        <v>293</v>
      </c>
      <c r="H1802" s="25"/>
      <c r="BA1802" s="73" t="s">
        <v>355</v>
      </c>
      <c r="BB1802" s="48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357</v>
      </c>
      <c r="E1803" s="1" t="s">
        <v>119</v>
      </c>
      <c r="F1803" s="26">
        <v>87</v>
      </c>
      <c r="G1803" s="25" t="s">
        <v>293</v>
      </c>
      <c r="H1803" s="25"/>
      <c r="BA1803" s="73" t="s">
        <v>355</v>
      </c>
      <c r="BB1803" s="48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357</v>
      </c>
      <c r="E1804" s="1" t="s">
        <v>120</v>
      </c>
      <c r="F1804" s="26">
        <v>27</v>
      </c>
      <c r="G1804" s="25" t="s">
        <v>293</v>
      </c>
      <c r="H1804" s="25"/>
      <c r="BA1804" s="73" t="s">
        <v>355</v>
      </c>
      <c r="BB1804" s="48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357</v>
      </c>
      <c r="E1805" s="1" t="s">
        <v>117</v>
      </c>
      <c r="F1805" s="26">
        <v>6.08</v>
      </c>
      <c r="G1805" s="25" t="s">
        <v>293</v>
      </c>
      <c r="H1805" s="25"/>
      <c r="BA1805" s="73" t="s">
        <v>355</v>
      </c>
      <c r="BB1805" s="48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357</v>
      </c>
      <c r="E1806" s="1" t="s">
        <v>344</v>
      </c>
      <c r="F1806" s="26">
        <v>67</v>
      </c>
      <c r="G1806" s="25" t="s">
        <v>293</v>
      </c>
      <c r="H1806" s="25"/>
      <c r="BA1806" s="73" t="s">
        <v>355</v>
      </c>
      <c r="BB1806" s="48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357</v>
      </c>
      <c r="E1807" s="1" t="s">
        <v>132</v>
      </c>
      <c r="F1807" s="26">
        <v>7.32</v>
      </c>
      <c r="G1807" s="25" t="s">
        <v>293</v>
      </c>
      <c r="H1807" s="25"/>
      <c r="BA1807" s="73" t="s">
        <v>355</v>
      </c>
      <c r="BB1807" s="48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357</v>
      </c>
      <c r="E1808" s="1" t="s">
        <v>111</v>
      </c>
      <c r="F1808" s="26">
        <v>282</v>
      </c>
      <c r="G1808" s="25" t="s">
        <v>293</v>
      </c>
      <c r="H1808" s="25"/>
      <c r="BA1808" s="73" t="s">
        <v>355</v>
      </c>
      <c r="BB1808" s="48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357</v>
      </c>
      <c r="E1809" s="1" t="s">
        <v>345</v>
      </c>
      <c r="F1809" s="26">
        <v>9.89</v>
      </c>
      <c r="G1809" s="25" t="s">
        <v>293</v>
      </c>
      <c r="H1809" s="25"/>
      <c r="BA1809" s="73" t="s">
        <v>355</v>
      </c>
      <c r="BB1809" s="48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357</v>
      </c>
      <c r="E1810" s="1" t="s">
        <v>347</v>
      </c>
      <c r="F1810" s="26">
        <v>4.3099999999999996</v>
      </c>
      <c r="G1810" s="25" t="s">
        <v>293</v>
      </c>
      <c r="H1810" s="25"/>
      <c r="BA1810" s="73" t="s">
        <v>355</v>
      </c>
      <c r="BB1810" s="48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357</v>
      </c>
      <c r="E1811" s="1" t="s">
        <v>128</v>
      </c>
      <c r="F1811" s="26">
        <v>4.3</v>
      </c>
      <c r="G1811" s="25" t="s">
        <v>293</v>
      </c>
      <c r="H1811" s="25"/>
      <c r="BA1811" s="73" t="s">
        <v>355</v>
      </c>
      <c r="BB1811" s="48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357</v>
      </c>
      <c r="E1812" s="1" t="s">
        <v>121</v>
      </c>
      <c r="F1812" s="26">
        <v>79</v>
      </c>
      <c r="G1812" s="25" t="s">
        <v>293</v>
      </c>
      <c r="H1812" s="25"/>
      <c r="BA1812" s="73" t="s">
        <v>355</v>
      </c>
      <c r="BB1812" s="48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357</v>
      </c>
      <c r="E1813" s="1" t="s">
        <v>115</v>
      </c>
      <c r="F1813" s="26">
        <v>95</v>
      </c>
      <c r="G1813" s="25" t="s">
        <v>293</v>
      </c>
      <c r="H1813" s="25"/>
      <c r="BA1813" s="73" t="s">
        <v>355</v>
      </c>
      <c r="BB1813" s="48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357</v>
      </c>
      <c r="E1814" s="1" t="s">
        <v>137</v>
      </c>
      <c r="F1814" s="26">
        <v>486</v>
      </c>
      <c r="G1814" s="25" t="s">
        <v>293</v>
      </c>
      <c r="H1814" s="25"/>
      <c r="BA1814" s="73" t="s">
        <v>355</v>
      </c>
      <c r="BB1814" s="48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357</v>
      </c>
      <c r="E1815" s="1" t="s">
        <v>348</v>
      </c>
      <c r="F1815" s="26">
        <v>433</v>
      </c>
      <c r="G1815" s="25" t="s">
        <v>293</v>
      </c>
      <c r="H1815" s="25"/>
      <c r="BA1815" s="73" t="s">
        <v>355</v>
      </c>
      <c r="BB1815" s="48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357</v>
      </c>
      <c r="E1816" s="1" t="s">
        <v>125</v>
      </c>
      <c r="F1816" s="26">
        <v>404</v>
      </c>
      <c r="G1816" s="25" t="s">
        <v>293</v>
      </c>
      <c r="H1816" s="25"/>
      <c r="BA1816" s="73" t="s">
        <v>355</v>
      </c>
      <c r="BB1816" s="48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357</v>
      </c>
      <c r="E1817" s="1" t="s">
        <v>126</v>
      </c>
      <c r="F1817" s="26">
        <v>156</v>
      </c>
      <c r="G1817" s="25" t="s">
        <v>293</v>
      </c>
      <c r="H1817" s="25"/>
      <c r="BA1817" s="73" t="s">
        <v>355</v>
      </c>
      <c r="BB1817" s="48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357</v>
      </c>
      <c r="E1818" s="1" t="s">
        <v>349</v>
      </c>
      <c r="F1818" s="26">
        <v>389</v>
      </c>
      <c r="G1818" s="25" t="s">
        <v>293</v>
      </c>
      <c r="H1818" s="25"/>
      <c r="BA1818" s="73" t="s">
        <v>355</v>
      </c>
      <c r="BB1818" s="48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357</v>
      </c>
      <c r="E1819" s="1" t="s">
        <v>350</v>
      </c>
      <c r="F1819" s="26">
        <v>84</v>
      </c>
      <c r="G1819" s="25" t="s">
        <v>293</v>
      </c>
      <c r="H1819" s="25"/>
      <c r="BA1819" s="73" t="s">
        <v>355</v>
      </c>
      <c r="BB1819" s="48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357</v>
      </c>
      <c r="E1820" s="1" t="s">
        <v>122</v>
      </c>
      <c r="F1820" s="26">
        <v>219</v>
      </c>
      <c r="G1820" s="25" t="s">
        <v>293</v>
      </c>
      <c r="H1820" s="25"/>
      <c r="BA1820" s="73" t="s">
        <v>355</v>
      </c>
      <c r="BB1820" s="48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357</v>
      </c>
      <c r="E1821" s="1" t="s">
        <v>124</v>
      </c>
      <c r="F1821" s="26">
        <v>106</v>
      </c>
      <c r="G1821" s="25" t="s">
        <v>293</v>
      </c>
      <c r="H1821" s="25"/>
      <c r="BA1821" s="73" t="s">
        <v>355</v>
      </c>
      <c r="BB1821" s="48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357</v>
      </c>
      <c r="E1822" s="1" t="s">
        <v>351</v>
      </c>
      <c r="F1822" s="26">
        <v>3.59</v>
      </c>
      <c r="G1822" s="25" t="s">
        <v>293</v>
      </c>
      <c r="H1822" s="25"/>
      <c r="BA1822" s="73" t="s">
        <v>355</v>
      </c>
      <c r="BB1822" s="48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357</v>
      </c>
      <c r="E1823" s="1" t="s">
        <v>353</v>
      </c>
      <c r="F1823" s="26">
        <v>12.5</v>
      </c>
      <c r="G1823" s="25" t="s">
        <v>293</v>
      </c>
      <c r="H1823" s="25"/>
      <c r="BA1823" s="73" t="s">
        <v>355</v>
      </c>
      <c r="BB1823" s="48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357</v>
      </c>
      <c r="E1824" s="1" t="s">
        <v>133</v>
      </c>
      <c r="F1824" s="26">
        <v>126</v>
      </c>
      <c r="G1824" s="25" t="s">
        <v>293</v>
      </c>
      <c r="H1824" s="25"/>
      <c r="BA1824" s="73" t="s">
        <v>355</v>
      </c>
      <c r="BB1824" s="48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357</v>
      </c>
      <c r="E1825" s="1" t="s">
        <v>135</v>
      </c>
      <c r="F1825" s="26">
        <v>6.6</v>
      </c>
      <c r="G1825" s="25" t="s">
        <v>293</v>
      </c>
      <c r="H1825" s="25"/>
      <c r="BA1825" s="73" t="s">
        <v>355</v>
      </c>
      <c r="BB1825" s="48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357</v>
      </c>
      <c r="E1826" s="1" t="s">
        <v>136</v>
      </c>
      <c r="F1826" s="26">
        <v>95</v>
      </c>
      <c r="G1826" s="25" t="s">
        <v>293</v>
      </c>
      <c r="H1826" s="25"/>
      <c r="BA1826" s="73" t="s">
        <v>355</v>
      </c>
      <c r="BB1826" s="48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357</v>
      </c>
      <c r="E1827" s="1" t="s">
        <v>339</v>
      </c>
      <c r="F1827" s="26">
        <v>1.4</v>
      </c>
      <c r="G1827" s="25" t="s">
        <v>293</v>
      </c>
      <c r="H1827" s="25"/>
      <c r="BA1827" s="73" t="s">
        <v>355</v>
      </c>
      <c r="BB1827" s="48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357</v>
      </c>
      <c r="E1828" s="1" t="s">
        <v>118</v>
      </c>
      <c r="F1828" s="26">
        <v>9.6999999999999993</v>
      </c>
      <c r="G1828" s="25" t="s">
        <v>293</v>
      </c>
      <c r="H1828" s="25"/>
      <c r="BA1828" s="73" t="s">
        <v>355</v>
      </c>
      <c r="BB1828" s="48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357</v>
      </c>
      <c r="E1829" s="1" t="s">
        <v>130</v>
      </c>
      <c r="F1829" s="26">
        <v>2.5</v>
      </c>
      <c r="G1829" s="25" t="s">
        <v>293</v>
      </c>
      <c r="H1829" s="25"/>
      <c r="BA1829" s="73" t="s">
        <v>355</v>
      </c>
      <c r="BB1829" s="48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357</v>
      </c>
      <c r="E1830" s="1" t="s">
        <v>341</v>
      </c>
      <c r="F1830" s="26">
        <v>1.0580000000000001</v>
      </c>
      <c r="G1830" s="25" t="s">
        <v>293</v>
      </c>
      <c r="H1830" s="25"/>
      <c r="BA1830" s="73" t="s">
        <v>355</v>
      </c>
      <c r="BB1830" s="48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357</v>
      </c>
      <c r="E1831" s="1" t="s">
        <v>127</v>
      </c>
      <c r="F1831" s="26">
        <v>4.4909999999999997</v>
      </c>
      <c r="G1831" s="25" t="s">
        <v>293</v>
      </c>
      <c r="H1831" s="25"/>
      <c r="BA1831" s="73" t="s">
        <v>355</v>
      </c>
      <c r="BB1831" s="48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357</v>
      </c>
      <c r="E1832" s="1" t="s">
        <v>131</v>
      </c>
      <c r="F1832" s="26">
        <v>12</v>
      </c>
      <c r="G1832" s="25" t="s">
        <v>293</v>
      </c>
      <c r="H1832" s="25"/>
      <c r="BA1832" s="73" t="s">
        <v>355</v>
      </c>
      <c r="BB1832" s="48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357</v>
      </c>
      <c r="E1833" s="1" t="s">
        <v>342</v>
      </c>
      <c r="F1833" s="26">
        <v>185</v>
      </c>
      <c r="G1833" s="25" t="s">
        <v>293</v>
      </c>
      <c r="H1833" s="25"/>
      <c r="BA1833" s="73" t="s">
        <v>355</v>
      </c>
      <c r="BB1833" s="48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357</v>
      </c>
      <c r="E1834" s="1" t="s">
        <v>119</v>
      </c>
      <c r="F1834" s="26">
        <v>84</v>
      </c>
      <c r="G1834" s="25" t="s">
        <v>293</v>
      </c>
      <c r="H1834" s="25"/>
      <c r="BA1834" s="73" t="s">
        <v>355</v>
      </c>
      <c r="BB1834" s="48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357</v>
      </c>
      <c r="E1835" s="1" t="s">
        <v>120</v>
      </c>
      <c r="F1835" s="26">
        <v>27</v>
      </c>
      <c r="G1835" s="25" t="s">
        <v>293</v>
      </c>
      <c r="H1835" s="25"/>
      <c r="BA1835" s="73" t="s">
        <v>355</v>
      </c>
      <c r="BB1835" s="48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357</v>
      </c>
      <c r="E1836" s="1" t="s">
        <v>117</v>
      </c>
      <c r="F1836" s="26">
        <v>6.39</v>
      </c>
      <c r="G1836" s="25" t="s">
        <v>293</v>
      </c>
      <c r="H1836" s="25"/>
      <c r="BA1836" s="73" t="s">
        <v>355</v>
      </c>
      <c r="BB1836" s="48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357</v>
      </c>
      <c r="E1837" s="1" t="s">
        <v>344</v>
      </c>
      <c r="F1837" s="26">
        <v>69</v>
      </c>
      <c r="G1837" s="25" t="s">
        <v>293</v>
      </c>
      <c r="H1837" s="25"/>
      <c r="BA1837" s="73" t="s">
        <v>355</v>
      </c>
      <c r="BB1837" s="48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357</v>
      </c>
      <c r="E1838" s="1" t="s">
        <v>132</v>
      </c>
      <c r="F1838" s="26">
        <v>7.17</v>
      </c>
      <c r="G1838" s="25" t="s">
        <v>293</v>
      </c>
      <c r="H1838" s="25"/>
      <c r="BA1838" s="73" t="s">
        <v>355</v>
      </c>
      <c r="BB1838" s="48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357</v>
      </c>
      <c r="E1839" s="1" t="s">
        <v>111</v>
      </c>
      <c r="F1839" s="26">
        <v>286</v>
      </c>
      <c r="G1839" s="25" t="s">
        <v>293</v>
      </c>
      <c r="H1839" s="25"/>
      <c r="BA1839" s="73" t="s">
        <v>355</v>
      </c>
      <c r="BB1839" s="48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357</v>
      </c>
      <c r="E1840" s="1" t="s">
        <v>345</v>
      </c>
      <c r="F1840" s="26">
        <v>9.9499999999999993</v>
      </c>
      <c r="G1840" s="25" t="s">
        <v>293</v>
      </c>
      <c r="H1840" s="25"/>
      <c r="BA1840" s="73" t="s">
        <v>355</v>
      </c>
      <c r="BB1840" s="48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357</v>
      </c>
      <c r="E1841" s="1" t="s">
        <v>347</v>
      </c>
      <c r="F1841" s="26">
        <v>4.82</v>
      </c>
      <c r="G1841" s="25" t="s">
        <v>293</v>
      </c>
      <c r="H1841" s="25"/>
      <c r="BA1841" s="73" t="s">
        <v>355</v>
      </c>
      <c r="BB1841" s="48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357</v>
      </c>
      <c r="E1842" s="1" t="s">
        <v>128</v>
      </c>
      <c r="F1842" s="26">
        <v>4.4000000000000004</v>
      </c>
      <c r="G1842" s="25" t="s">
        <v>293</v>
      </c>
      <c r="H1842" s="25"/>
      <c r="BA1842" s="73" t="s">
        <v>355</v>
      </c>
      <c r="BB1842" s="48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357</v>
      </c>
      <c r="E1843" s="1" t="s">
        <v>121</v>
      </c>
      <c r="F1843" s="26">
        <v>82</v>
      </c>
      <c r="G1843" s="25" t="s">
        <v>293</v>
      </c>
      <c r="H1843" s="25"/>
      <c r="BA1843" s="73" t="s">
        <v>355</v>
      </c>
      <c r="BB1843" s="48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357</v>
      </c>
      <c r="E1844" s="1" t="s">
        <v>115</v>
      </c>
      <c r="F1844" s="26">
        <v>94</v>
      </c>
      <c r="G1844" s="25" t="s">
        <v>293</v>
      </c>
      <c r="H1844" s="25"/>
      <c r="BA1844" s="73" t="s">
        <v>355</v>
      </c>
      <c r="BB1844" s="48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357</v>
      </c>
      <c r="E1845" s="1" t="s">
        <v>137</v>
      </c>
      <c r="F1845" s="26">
        <v>491</v>
      </c>
      <c r="G1845" s="25" t="s">
        <v>293</v>
      </c>
      <c r="H1845" s="25"/>
      <c r="BA1845" s="73" t="s">
        <v>355</v>
      </c>
      <c r="BB1845" s="48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357</v>
      </c>
      <c r="E1846" s="1" t="s">
        <v>348</v>
      </c>
      <c r="F1846" s="26">
        <v>447</v>
      </c>
      <c r="G1846" s="25" t="s">
        <v>293</v>
      </c>
      <c r="H1846" s="25"/>
      <c r="BA1846" s="73" t="s">
        <v>355</v>
      </c>
      <c r="BB1846" s="48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357</v>
      </c>
      <c r="E1847" s="1" t="s">
        <v>125</v>
      </c>
      <c r="F1847" s="26">
        <v>434</v>
      </c>
      <c r="G1847" s="25" t="s">
        <v>293</v>
      </c>
      <c r="H1847" s="25"/>
      <c r="BA1847" s="73" t="s">
        <v>355</v>
      </c>
      <c r="BB1847" s="48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357</v>
      </c>
      <c r="E1848" s="1" t="s">
        <v>126</v>
      </c>
      <c r="F1848" s="26">
        <v>148</v>
      </c>
      <c r="G1848" s="25" t="s">
        <v>293</v>
      </c>
      <c r="H1848" s="25"/>
      <c r="BA1848" s="73" t="s">
        <v>355</v>
      </c>
      <c r="BB1848" s="48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357</v>
      </c>
      <c r="E1849" s="1" t="s">
        <v>349</v>
      </c>
      <c r="F1849" s="26">
        <v>370</v>
      </c>
      <c r="G1849" s="25" t="s">
        <v>293</v>
      </c>
      <c r="H1849" s="25"/>
      <c r="BA1849" s="73" t="s">
        <v>355</v>
      </c>
      <c r="BB1849" s="48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357</v>
      </c>
      <c r="E1850" s="1" t="s">
        <v>350</v>
      </c>
      <c r="F1850" s="26">
        <v>84</v>
      </c>
      <c r="G1850" s="25" t="s">
        <v>293</v>
      </c>
      <c r="H1850" s="25"/>
      <c r="BA1850" s="73" t="s">
        <v>355</v>
      </c>
      <c r="BB1850" s="48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357</v>
      </c>
      <c r="E1851" s="1" t="s">
        <v>122</v>
      </c>
      <c r="F1851" s="26">
        <v>218</v>
      </c>
      <c r="G1851" s="25" t="s">
        <v>293</v>
      </c>
      <c r="H1851" s="25"/>
      <c r="BA1851" s="73" t="s">
        <v>355</v>
      </c>
      <c r="BB1851" s="48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357</v>
      </c>
      <c r="E1852" s="1" t="s">
        <v>124</v>
      </c>
      <c r="F1852" s="26">
        <v>103</v>
      </c>
      <c r="G1852" s="25" t="s">
        <v>293</v>
      </c>
      <c r="H1852" s="25"/>
      <c r="BA1852" s="73" t="s">
        <v>355</v>
      </c>
      <c r="BB1852" s="48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357</v>
      </c>
      <c r="E1853" s="1" t="s">
        <v>351</v>
      </c>
      <c r="F1853" s="26">
        <v>3.59</v>
      </c>
      <c r="G1853" s="25" t="s">
        <v>293</v>
      </c>
      <c r="H1853" s="25"/>
      <c r="BA1853" s="73" t="s">
        <v>355</v>
      </c>
      <c r="BB1853" s="48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357</v>
      </c>
      <c r="E1854" s="1" t="s">
        <v>353</v>
      </c>
      <c r="F1854" s="26">
        <v>18.100000000000001</v>
      </c>
      <c r="G1854" s="25" t="s">
        <v>293</v>
      </c>
      <c r="H1854" s="25"/>
      <c r="BA1854" s="73" t="s">
        <v>355</v>
      </c>
      <c r="BB1854" s="48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357</v>
      </c>
      <c r="E1855" s="1" t="s">
        <v>133</v>
      </c>
      <c r="F1855" s="26">
        <v>129</v>
      </c>
      <c r="G1855" s="25" t="s">
        <v>293</v>
      </c>
      <c r="H1855" s="25"/>
      <c r="BA1855" s="73" t="s">
        <v>355</v>
      </c>
      <c r="BB1855" s="48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357</v>
      </c>
      <c r="E1856" s="1" t="s">
        <v>135</v>
      </c>
      <c r="F1856" s="26">
        <v>6.6</v>
      </c>
      <c r="G1856" s="25" t="s">
        <v>293</v>
      </c>
      <c r="H1856" s="25"/>
      <c r="BA1856" s="73" t="s">
        <v>355</v>
      </c>
      <c r="BB1856" s="48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357</v>
      </c>
      <c r="E1857" s="1" t="s">
        <v>136</v>
      </c>
      <c r="F1857" s="26">
        <v>94</v>
      </c>
      <c r="G1857" s="25" t="s">
        <v>293</v>
      </c>
      <c r="H1857" s="25"/>
      <c r="BA1857" s="73" t="s">
        <v>355</v>
      </c>
      <c r="BB1857" s="48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357</v>
      </c>
      <c r="E1858" s="1" t="s">
        <v>339</v>
      </c>
      <c r="F1858" s="26">
        <v>1.1299999999999999</v>
      </c>
      <c r="G1858" s="25" t="s">
        <v>293</v>
      </c>
      <c r="H1858" s="25"/>
      <c r="BA1858" s="73" t="s">
        <v>355</v>
      </c>
      <c r="BB1858" s="48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357</v>
      </c>
      <c r="E1859" s="1" t="s">
        <v>118</v>
      </c>
      <c r="F1859" s="26">
        <v>9.5</v>
      </c>
      <c r="G1859" s="25" t="s">
        <v>293</v>
      </c>
      <c r="H1859" s="25"/>
      <c r="BA1859" s="73" t="s">
        <v>355</v>
      </c>
      <c r="BB1859" s="48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357</v>
      </c>
      <c r="E1860" s="1" t="s">
        <v>130</v>
      </c>
      <c r="F1860" s="26">
        <v>2.41</v>
      </c>
      <c r="G1860" s="25" t="s">
        <v>293</v>
      </c>
      <c r="H1860" s="25"/>
      <c r="BA1860" s="73" t="s">
        <v>355</v>
      </c>
      <c r="BB1860" s="48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357</v>
      </c>
      <c r="E1861" s="1" t="s">
        <v>341</v>
      </c>
      <c r="F1861" s="26">
        <v>1.08</v>
      </c>
      <c r="G1861" s="25" t="s">
        <v>293</v>
      </c>
      <c r="H1861" s="25"/>
      <c r="BA1861" s="73" t="s">
        <v>355</v>
      </c>
      <c r="BB1861" s="48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357</v>
      </c>
      <c r="E1862" s="1" t="s">
        <v>127</v>
      </c>
      <c r="F1862" s="26">
        <v>4.55</v>
      </c>
      <c r="G1862" s="25" t="s">
        <v>293</v>
      </c>
      <c r="H1862" s="25"/>
      <c r="BA1862" s="73" t="s">
        <v>355</v>
      </c>
      <c r="BB1862" s="48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357</v>
      </c>
      <c r="E1863" s="1" t="s">
        <v>131</v>
      </c>
      <c r="F1863" s="26">
        <v>11.9</v>
      </c>
      <c r="G1863" s="25" t="s">
        <v>293</v>
      </c>
      <c r="H1863" s="25"/>
      <c r="BA1863" s="73" t="s">
        <v>355</v>
      </c>
      <c r="BB1863" s="48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357</v>
      </c>
      <c r="E1864" s="1" t="s">
        <v>342</v>
      </c>
      <c r="F1864" s="26">
        <v>190</v>
      </c>
      <c r="G1864" s="25" t="s">
        <v>293</v>
      </c>
      <c r="H1864" s="25"/>
      <c r="BA1864" s="73" t="s">
        <v>355</v>
      </c>
      <c r="BB1864" s="48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357</v>
      </c>
      <c r="E1865" s="1" t="s">
        <v>119</v>
      </c>
      <c r="F1865" s="26">
        <v>85</v>
      </c>
      <c r="G1865" s="25" t="s">
        <v>293</v>
      </c>
      <c r="H1865" s="25"/>
      <c r="BA1865" s="73" t="s">
        <v>355</v>
      </c>
      <c r="BB1865" s="48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357</v>
      </c>
      <c r="E1866" s="1" t="s">
        <v>120</v>
      </c>
      <c r="F1866" s="26">
        <v>26</v>
      </c>
      <c r="G1866" s="25" t="s">
        <v>293</v>
      </c>
      <c r="H1866" s="25"/>
      <c r="BA1866" s="73" t="s">
        <v>355</v>
      </c>
      <c r="BB1866" s="48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357</v>
      </c>
      <c r="E1867" s="1" t="s">
        <v>117</v>
      </c>
      <c r="F1867" s="26">
        <v>6.15</v>
      </c>
      <c r="G1867" s="25" t="s">
        <v>293</v>
      </c>
      <c r="H1867" s="25"/>
      <c r="BA1867" s="73" t="s">
        <v>355</v>
      </c>
      <c r="BB1867" s="48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357</v>
      </c>
      <c r="E1868" s="1" t="s">
        <v>344</v>
      </c>
      <c r="F1868" s="26">
        <v>67</v>
      </c>
      <c r="G1868" s="25" t="s">
        <v>293</v>
      </c>
      <c r="H1868" s="25"/>
      <c r="BA1868" s="73" t="s">
        <v>355</v>
      </c>
      <c r="BB1868" s="48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357</v>
      </c>
      <c r="E1869" s="1" t="s">
        <v>132</v>
      </c>
      <c r="F1869" s="26">
        <v>7.3</v>
      </c>
      <c r="G1869" s="25" t="s">
        <v>293</v>
      </c>
      <c r="H1869" s="25"/>
      <c r="BA1869" s="73" t="s">
        <v>355</v>
      </c>
      <c r="BB1869" s="48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357</v>
      </c>
      <c r="E1870" s="1" t="s">
        <v>111</v>
      </c>
      <c r="F1870" s="26">
        <v>282</v>
      </c>
      <c r="G1870" s="25" t="s">
        <v>293</v>
      </c>
      <c r="H1870" s="25"/>
      <c r="BA1870" s="73" t="s">
        <v>355</v>
      </c>
      <c r="BB1870" s="48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357</v>
      </c>
      <c r="E1871" s="1" t="s">
        <v>345</v>
      </c>
      <c r="F1871" s="26">
        <v>9.7799999999999994</v>
      </c>
      <c r="G1871" s="25" t="s">
        <v>293</v>
      </c>
      <c r="H1871" s="25"/>
      <c r="BA1871" s="73" t="s">
        <v>355</v>
      </c>
      <c r="BB1871" s="48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357</v>
      </c>
      <c r="E1872" s="1" t="s">
        <v>347</v>
      </c>
      <c r="F1872" s="26">
        <v>4.45</v>
      </c>
      <c r="G1872" s="25" t="s">
        <v>293</v>
      </c>
      <c r="H1872" s="25"/>
      <c r="BA1872" s="73" t="s">
        <v>355</v>
      </c>
      <c r="BB1872" s="48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357</v>
      </c>
      <c r="E1873" s="1" t="s">
        <v>128</v>
      </c>
      <c r="F1873" s="26">
        <v>4.4000000000000004</v>
      </c>
      <c r="G1873" s="25" t="s">
        <v>293</v>
      </c>
      <c r="H1873" s="25"/>
      <c r="BA1873" s="73" t="s">
        <v>355</v>
      </c>
      <c r="BB1873" s="48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357</v>
      </c>
      <c r="E1874" s="1" t="s">
        <v>121</v>
      </c>
      <c r="F1874" s="26">
        <v>78</v>
      </c>
      <c r="G1874" s="25" t="s">
        <v>293</v>
      </c>
      <c r="H1874" s="25"/>
      <c r="BA1874" s="73" t="s">
        <v>355</v>
      </c>
      <c r="BB1874" s="48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357</v>
      </c>
      <c r="E1875" s="1" t="s">
        <v>115</v>
      </c>
      <c r="F1875" s="26">
        <v>95</v>
      </c>
      <c r="G1875" s="25" t="s">
        <v>293</v>
      </c>
      <c r="H1875" s="25"/>
      <c r="BA1875" s="73" t="s">
        <v>355</v>
      </c>
      <c r="BB1875" s="48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357</v>
      </c>
      <c r="E1876" s="1" t="s">
        <v>137</v>
      </c>
      <c r="F1876" s="26">
        <v>483</v>
      </c>
      <c r="G1876" s="25" t="s">
        <v>293</v>
      </c>
      <c r="H1876" s="25"/>
      <c r="BA1876" s="73" t="s">
        <v>355</v>
      </c>
      <c r="BB1876" s="48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357</v>
      </c>
      <c r="E1877" s="1" t="s">
        <v>348</v>
      </c>
      <c r="F1877" s="26">
        <v>426</v>
      </c>
      <c r="G1877" s="25" t="s">
        <v>293</v>
      </c>
      <c r="H1877" s="25"/>
      <c r="BA1877" s="73" t="s">
        <v>355</v>
      </c>
      <c r="BB1877" s="48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357</v>
      </c>
      <c r="E1878" s="1" t="s">
        <v>125</v>
      </c>
      <c r="F1878" s="26">
        <v>420</v>
      </c>
      <c r="G1878" s="25" t="s">
        <v>293</v>
      </c>
      <c r="H1878" s="25"/>
      <c r="BA1878" s="73" t="s">
        <v>355</v>
      </c>
      <c r="BB1878" s="48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357</v>
      </c>
      <c r="E1879" s="1" t="s">
        <v>126</v>
      </c>
      <c r="F1879" s="26">
        <v>153</v>
      </c>
      <c r="G1879" s="25" t="s">
        <v>293</v>
      </c>
      <c r="H1879" s="25"/>
      <c r="BA1879" s="73" t="s">
        <v>355</v>
      </c>
      <c r="BB1879" s="48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357</v>
      </c>
      <c r="E1880" s="1" t="s">
        <v>349</v>
      </c>
      <c r="F1880" s="26">
        <v>381</v>
      </c>
      <c r="G1880" s="25" t="s">
        <v>293</v>
      </c>
      <c r="H1880" s="25"/>
      <c r="BA1880" s="73" t="s">
        <v>355</v>
      </c>
      <c r="BB1880" s="48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357</v>
      </c>
      <c r="E1881" s="1" t="s">
        <v>350</v>
      </c>
      <c r="F1881" s="26">
        <v>81</v>
      </c>
      <c r="G1881" s="25" t="s">
        <v>293</v>
      </c>
      <c r="H1881" s="25"/>
      <c r="BA1881" s="73" t="s">
        <v>355</v>
      </c>
      <c r="BB1881" s="48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357</v>
      </c>
      <c r="E1882" s="1" t="s">
        <v>122</v>
      </c>
      <c r="F1882" s="26">
        <v>217</v>
      </c>
      <c r="G1882" s="25" t="s">
        <v>293</v>
      </c>
      <c r="H1882" s="25"/>
      <c r="BA1882" s="73" t="s">
        <v>355</v>
      </c>
      <c r="BB1882" s="48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357</v>
      </c>
      <c r="E1883" s="1" t="s">
        <v>124</v>
      </c>
      <c r="F1883" s="26">
        <v>106</v>
      </c>
      <c r="G1883" s="25" t="s">
        <v>293</v>
      </c>
      <c r="H1883" s="25"/>
      <c r="BA1883" s="73" t="s">
        <v>355</v>
      </c>
      <c r="BB1883" s="48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357</v>
      </c>
      <c r="E1884" s="1" t="s">
        <v>351</v>
      </c>
      <c r="F1884" s="26">
        <v>3.65</v>
      </c>
      <c r="G1884" s="25" t="s">
        <v>293</v>
      </c>
      <c r="H1884" s="25"/>
      <c r="BA1884" s="73" t="s">
        <v>355</v>
      </c>
      <c r="BB1884" s="48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357</v>
      </c>
      <c r="E1885" s="1" t="s">
        <v>353</v>
      </c>
      <c r="F1885" s="26">
        <v>20.3</v>
      </c>
      <c r="G1885" s="25" t="s">
        <v>293</v>
      </c>
      <c r="H1885" s="25"/>
      <c r="BA1885" s="73" t="s">
        <v>355</v>
      </c>
      <c r="BB1885" s="48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357</v>
      </c>
      <c r="E1886" s="1" t="s">
        <v>133</v>
      </c>
      <c r="F1886" s="26">
        <v>126</v>
      </c>
      <c r="G1886" s="25" t="s">
        <v>293</v>
      </c>
      <c r="H1886" s="25"/>
      <c r="BA1886" s="73" t="s">
        <v>355</v>
      </c>
      <c r="BB1886" s="48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357</v>
      </c>
      <c r="E1887" s="1" t="s">
        <v>135</v>
      </c>
      <c r="F1887" s="26">
        <v>6.5</v>
      </c>
      <c r="G1887" s="25" t="s">
        <v>293</v>
      </c>
      <c r="H1887" s="25"/>
      <c r="BA1887" s="73" t="s">
        <v>355</v>
      </c>
      <c r="BB1887" s="48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357</v>
      </c>
      <c r="E1888" s="1" t="s">
        <v>136</v>
      </c>
      <c r="F1888" s="26">
        <v>95</v>
      </c>
      <c r="G1888" s="25" t="s">
        <v>293</v>
      </c>
      <c r="H1888" s="25"/>
      <c r="BA1888" s="73" t="s">
        <v>355</v>
      </c>
      <c r="BB1888" s="48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357</v>
      </c>
      <c r="E1889" s="1" t="s">
        <v>339</v>
      </c>
      <c r="F1889" s="26">
        <v>1.25</v>
      </c>
      <c r="G1889" s="25" t="s">
        <v>293</v>
      </c>
      <c r="H1889" s="25"/>
      <c r="BA1889" s="73" t="s">
        <v>355</v>
      </c>
      <c r="BB1889" s="48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357</v>
      </c>
      <c r="E1890" s="1" t="s">
        <v>118</v>
      </c>
      <c r="F1890" s="26">
        <v>9.6</v>
      </c>
      <c r="G1890" s="25" t="s">
        <v>293</v>
      </c>
      <c r="H1890" s="25"/>
      <c r="BA1890" s="73" t="s">
        <v>355</v>
      </c>
      <c r="BB1890" s="48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357</v>
      </c>
      <c r="E1891" s="1" t="s">
        <v>130</v>
      </c>
      <c r="F1891" s="26">
        <v>2.4700000000000002</v>
      </c>
      <c r="G1891" s="25" t="s">
        <v>293</v>
      </c>
      <c r="H1891" s="25"/>
      <c r="BA1891" s="73" t="s">
        <v>355</v>
      </c>
      <c r="BB1891" s="48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357</v>
      </c>
      <c r="E1892" s="1" t="s">
        <v>341</v>
      </c>
      <c r="F1892" s="26">
        <v>1.05</v>
      </c>
      <c r="G1892" s="25" t="s">
        <v>293</v>
      </c>
      <c r="H1892" s="25"/>
      <c r="BA1892" s="73" t="s">
        <v>355</v>
      </c>
      <c r="BB1892" s="48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357</v>
      </c>
      <c r="E1893" s="1" t="s">
        <v>127</v>
      </c>
      <c r="F1893" s="26">
        <v>4.54</v>
      </c>
      <c r="G1893" s="25" t="s">
        <v>293</v>
      </c>
      <c r="H1893" s="25"/>
      <c r="BA1893" s="73" t="s">
        <v>355</v>
      </c>
      <c r="BB1893" s="48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357</v>
      </c>
      <c r="E1894" s="1" t="s">
        <v>131</v>
      </c>
      <c r="F1894" s="26">
        <v>12.3</v>
      </c>
      <c r="G1894" s="25" t="s">
        <v>293</v>
      </c>
      <c r="H1894" s="25"/>
      <c r="BA1894" s="73" t="s">
        <v>355</v>
      </c>
      <c r="BB1894" s="48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357</v>
      </c>
      <c r="E1895" s="1" t="s">
        <v>342</v>
      </c>
      <c r="F1895" s="26">
        <v>184</v>
      </c>
      <c r="G1895" s="25" t="s">
        <v>293</v>
      </c>
      <c r="H1895" s="25"/>
      <c r="BA1895" s="73" t="s">
        <v>355</v>
      </c>
      <c r="BB1895" s="48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357</v>
      </c>
      <c r="E1896" s="1" t="s">
        <v>119</v>
      </c>
      <c r="F1896" s="26">
        <v>82</v>
      </c>
      <c r="G1896" s="25" t="s">
        <v>293</v>
      </c>
      <c r="H1896" s="25"/>
      <c r="BA1896" s="73" t="s">
        <v>355</v>
      </c>
      <c r="BB1896" s="48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357</v>
      </c>
      <c r="E1897" s="1" t="s">
        <v>120</v>
      </c>
      <c r="F1897" s="26">
        <v>27</v>
      </c>
      <c r="G1897" s="25" t="s">
        <v>293</v>
      </c>
      <c r="H1897" s="25"/>
      <c r="BA1897" s="73" t="s">
        <v>355</v>
      </c>
      <c r="BB1897" s="48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357</v>
      </c>
      <c r="E1898" s="1" t="s">
        <v>117</v>
      </c>
      <c r="F1898" s="26">
        <v>6.4</v>
      </c>
      <c r="G1898" s="25" t="s">
        <v>293</v>
      </c>
      <c r="H1898" s="25"/>
      <c r="BA1898" s="73" t="s">
        <v>355</v>
      </c>
      <c r="BB1898" s="48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357</v>
      </c>
      <c r="E1899" s="1" t="s">
        <v>344</v>
      </c>
      <c r="F1899" s="26">
        <v>68</v>
      </c>
      <c r="G1899" s="25" t="s">
        <v>293</v>
      </c>
      <c r="H1899" s="25"/>
      <c r="BA1899" s="73" t="s">
        <v>355</v>
      </c>
      <c r="BB1899" s="48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357</v>
      </c>
      <c r="E1900" s="1" t="s">
        <v>132</v>
      </c>
      <c r="F1900" s="26">
        <v>7.41</v>
      </c>
      <c r="G1900" s="25" t="s">
        <v>293</v>
      </c>
      <c r="H1900" s="25"/>
      <c r="BA1900" s="73" t="s">
        <v>355</v>
      </c>
      <c r="BB1900" s="48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357</v>
      </c>
      <c r="E1901" s="1" t="s">
        <v>111</v>
      </c>
      <c r="F1901" s="26">
        <v>282</v>
      </c>
      <c r="G1901" s="25" t="s">
        <v>293</v>
      </c>
      <c r="H1901" s="25"/>
      <c r="BA1901" s="73" t="s">
        <v>355</v>
      </c>
      <c r="BB1901" s="48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357</v>
      </c>
      <c r="E1902" s="1" t="s">
        <v>345</v>
      </c>
      <c r="F1902" s="26">
        <v>10.199999999999999</v>
      </c>
      <c r="G1902" s="25" t="s">
        <v>293</v>
      </c>
      <c r="H1902" s="25"/>
      <c r="BA1902" s="73" t="s">
        <v>355</v>
      </c>
      <c r="BB1902" s="48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357</v>
      </c>
      <c r="E1903" s="1" t="s">
        <v>347</v>
      </c>
      <c r="F1903" s="26">
        <v>4.62</v>
      </c>
      <c r="G1903" s="25" t="s">
        <v>293</v>
      </c>
      <c r="H1903" s="25"/>
      <c r="BA1903" s="73" t="s">
        <v>355</v>
      </c>
      <c r="BB1903" s="48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357</v>
      </c>
      <c r="E1904" s="1" t="s">
        <v>128</v>
      </c>
      <c r="F1904" s="26">
        <v>4.5</v>
      </c>
      <c r="G1904" s="25" t="s">
        <v>293</v>
      </c>
      <c r="H1904" s="25"/>
      <c r="BA1904" s="73" t="s">
        <v>355</v>
      </c>
      <c r="BB1904" s="48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357</v>
      </c>
      <c r="E1905" s="1" t="s">
        <v>121</v>
      </c>
      <c r="F1905" s="26">
        <v>79</v>
      </c>
      <c r="G1905" s="25" t="s">
        <v>293</v>
      </c>
      <c r="H1905" s="25"/>
      <c r="BA1905" s="73" t="s">
        <v>355</v>
      </c>
      <c r="BB1905" s="48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357</v>
      </c>
      <c r="E1906" s="1" t="s">
        <v>115</v>
      </c>
      <c r="F1906" s="26">
        <v>94</v>
      </c>
      <c r="G1906" s="25" t="s">
        <v>293</v>
      </c>
      <c r="H1906" s="25"/>
      <c r="BA1906" s="73" t="s">
        <v>355</v>
      </c>
      <c r="BB1906" s="48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357</v>
      </c>
      <c r="E1907" s="1" t="s">
        <v>137</v>
      </c>
      <c r="F1907" s="26">
        <v>490</v>
      </c>
      <c r="G1907" s="25" t="s">
        <v>293</v>
      </c>
      <c r="H1907" s="25"/>
      <c r="BA1907" s="73" t="s">
        <v>355</v>
      </c>
      <c r="BB1907" s="48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357</v>
      </c>
      <c r="E1908" s="1" t="s">
        <v>348</v>
      </c>
      <c r="F1908" s="26">
        <v>429</v>
      </c>
      <c r="G1908" s="25" t="s">
        <v>293</v>
      </c>
      <c r="H1908" s="25"/>
      <c r="BA1908" s="73" t="s">
        <v>355</v>
      </c>
      <c r="BB1908" s="48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357</v>
      </c>
      <c r="E1909" s="1" t="s">
        <v>125</v>
      </c>
      <c r="F1909" s="26">
        <v>436</v>
      </c>
      <c r="G1909" s="25" t="s">
        <v>293</v>
      </c>
      <c r="H1909" s="25"/>
      <c r="BA1909" s="73" t="s">
        <v>355</v>
      </c>
      <c r="BB1909" s="48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357</v>
      </c>
      <c r="E1910" s="1" t="s">
        <v>126</v>
      </c>
      <c r="F1910" s="26">
        <v>151</v>
      </c>
      <c r="G1910" s="25" t="s">
        <v>293</v>
      </c>
      <c r="H1910" s="25"/>
      <c r="BA1910" s="73" t="s">
        <v>355</v>
      </c>
      <c r="BB1910" s="48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357</v>
      </c>
      <c r="E1911" s="1" t="s">
        <v>349</v>
      </c>
      <c r="F1911" s="26">
        <v>381</v>
      </c>
      <c r="G1911" s="25" t="s">
        <v>293</v>
      </c>
      <c r="H1911" s="25"/>
      <c r="BA1911" s="73" t="s">
        <v>355</v>
      </c>
      <c r="BB1911" s="48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357</v>
      </c>
      <c r="E1912" s="1" t="s">
        <v>350</v>
      </c>
      <c r="F1912" s="26">
        <v>82</v>
      </c>
      <c r="G1912" s="25" t="s">
        <v>293</v>
      </c>
      <c r="H1912" s="25"/>
      <c r="BA1912" s="73" t="s">
        <v>355</v>
      </c>
      <c r="BB1912" s="48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357</v>
      </c>
      <c r="E1913" s="1" t="s">
        <v>122</v>
      </c>
      <c r="F1913" s="26">
        <v>227</v>
      </c>
      <c r="G1913" s="25" t="s">
        <v>293</v>
      </c>
      <c r="H1913" s="25"/>
      <c r="BA1913" s="73" t="s">
        <v>355</v>
      </c>
      <c r="BB1913" s="48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357</v>
      </c>
      <c r="E1914" s="1" t="s">
        <v>124</v>
      </c>
      <c r="F1914" s="26">
        <v>105</v>
      </c>
      <c r="G1914" s="25" t="s">
        <v>293</v>
      </c>
      <c r="H1914" s="25"/>
      <c r="BA1914" s="73" t="s">
        <v>355</v>
      </c>
      <c r="BB1914" s="48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357</v>
      </c>
      <c r="E1915" s="1" t="s">
        <v>351</v>
      </c>
      <c r="F1915" s="26">
        <v>3.61</v>
      </c>
      <c r="G1915" s="25" t="s">
        <v>293</v>
      </c>
      <c r="H1915" s="25"/>
      <c r="BA1915" s="73" t="s">
        <v>355</v>
      </c>
      <c r="BB1915" s="48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357</v>
      </c>
      <c r="E1916" s="1" t="s">
        <v>353</v>
      </c>
      <c r="F1916" s="26">
        <v>16.399999999999999</v>
      </c>
      <c r="G1916" s="25" t="s">
        <v>293</v>
      </c>
      <c r="H1916" s="25"/>
      <c r="BA1916" s="73" t="s">
        <v>355</v>
      </c>
      <c r="BB1916" s="48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357</v>
      </c>
      <c r="E1917" s="1" t="s">
        <v>133</v>
      </c>
      <c r="F1917" s="26">
        <v>125</v>
      </c>
      <c r="G1917" s="25" t="s">
        <v>293</v>
      </c>
      <c r="H1917" s="25"/>
      <c r="BA1917" s="73" t="s">
        <v>355</v>
      </c>
      <c r="BB1917" s="48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357</v>
      </c>
      <c r="E1918" s="1" t="s">
        <v>135</v>
      </c>
      <c r="F1918" s="26">
        <v>6.5</v>
      </c>
      <c r="G1918" s="25" t="s">
        <v>293</v>
      </c>
      <c r="H1918" s="25"/>
      <c r="BA1918" s="73" t="s">
        <v>355</v>
      </c>
      <c r="BB1918" s="48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357</v>
      </c>
      <c r="E1919" s="1" t="s">
        <v>136</v>
      </c>
      <c r="F1919" s="26">
        <v>94</v>
      </c>
      <c r="G1919" s="25" t="s">
        <v>293</v>
      </c>
      <c r="H1919" s="25"/>
      <c r="BA1919" s="73" t="s">
        <v>355</v>
      </c>
      <c r="BB1919" s="48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357</v>
      </c>
      <c r="E1920" s="1" t="s">
        <v>339</v>
      </c>
      <c r="F1920" s="26">
        <v>1.2</v>
      </c>
      <c r="G1920" s="25" t="s">
        <v>293</v>
      </c>
      <c r="H1920" s="25"/>
      <c r="BA1920" s="73" t="s">
        <v>355</v>
      </c>
      <c r="BB1920" s="48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357</v>
      </c>
      <c r="E1921" s="1" t="s">
        <v>118</v>
      </c>
      <c r="F1921" s="26">
        <v>9.5</v>
      </c>
      <c r="G1921" s="25" t="s">
        <v>293</v>
      </c>
      <c r="H1921" s="25"/>
      <c r="BA1921" s="73" t="s">
        <v>355</v>
      </c>
      <c r="BB1921" s="48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357</v>
      </c>
      <c r="E1922" s="1" t="s">
        <v>130</v>
      </c>
      <c r="F1922" s="26">
        <v>2.48</v>
      </c>
      <c r="G1922" s="25" t="s">
        <v>293</v>
      </c>
      <c r="H1922" s="25"/>
      <c r="BA1922" s="73" t="s">
        <v>355</v>
      </c>
      <c r="BB1922" s="48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357</v>
      </c>
      <c r="E1923" s="1" t="s">
        <v>341</v>
      </c>
      <c r="F1923" s="26">
        <v>1.06</v>
      </c>
      <c r="G1923" s="25" t="s">
        <v>293</v>
      </c>
      <c r="H1923" s="25"/>
      <c r="BA1923" s="73" t="s">
        <v>355</v>
      </c>
      <c r="BB1923" s="48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357</v>
      </c>
      <c r="E1924" s="1" t="s">
        <v>127</v>
      </c>
      <c r="F1924" s="26">
        <v>4.5</v>
      </c>
      <c r="G1924" s="25" t="s">
        <v>293</v>
      </c>
      <c r="H1924" s="25"/>
      <c r="BA1924" s="73" t="s">
        <v>355</v>
      </c>
      <c r="BB1924" s="48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357</v>
      </c>
      <c r="E1925" s="1" t="s">
        <v>131</v>
      </c>
      <c r="F1925" s="26">
        <v>12</v>
      </c>
      <c r="G1925" s="25" t="s">
        <v>293</v>
      </c>
      <c r="H1925" s="25"/>
      <c r="BA1925" s="73" t="s">
        <v>355</v>
      </c>
      <c r="BB1925" s="48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357</v>
      </c>
      <c r="E1926" s="1" t="s">
        <v>342</v>
      </c>
      <c r="F1926" s="26">
        <v>186</v>
      </c>
      <c r="G1926" s="25" t="s">
        <v>293</v>
      </c>
      <c r="H1926" s="25"/>
      <c r="BA1926" s="73" t="s">
        <v>355</v>
      </c>
      <c r="BB1926" s="48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357</v>
      </c>
      <c r="E1927" s="1" t="s">
        <v>119</v>
      </c>
      <c r="F1927" s="26">
        <v>82</v>
      </c>
      <c r="G1927" s="25" t="s">
        <v>293</v>
      </c>
      <c r="H1927" s="25"/>
      <c r="BA1927" s="73" t="s">
        <v>355</v>
      </c>
      <c r="BB1927" s="48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357</v>
      </c>
      <c r="E1928" s="1" t="s">
        <v>120</v>
      </c>
      <c r="F1928" s="26">
        <v>27</v>
      </c>
      <c r="G1928" s="25" t="s">
        <v>293</v>
      </c>
      <c r="H1928" s="25"/>
      <c r="BA1928" s="73" t="s">
        <v>355</v>
      </c>
      <c r="BB1928" s="48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357</v>
      </c>
      <c r="E1929" s="1" t="s">
        <v>117</v>
      </c>
      <c r="F1929" s="26">
        <v>6.16</v>
      </c>
      <c r="G1929" s="25" t="s">
        <v>293</v>
      </c>
      <c r="H1929" s="25"/>
      <c r="BA1929" s="73" t="s">
        <v>355</v>
      </c>
      <c r="BB1929" s="48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357</v>
      </c>
      <c r="E1930" s="1" t="s">
        <v>344</v>
      </c>
      <c r="F1930" s="26">
        <v>68</v>
      </c>
      <c r="G1930" s="25" t="s">
        <v>293</v>
      </c>
      <c r="H1930" s="25"/>
      <c r="BA1930" s="73" t="s">
        <v>355</v>
      </c>
      <c r="BB1930" s="48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357</v>
      </c>
      <c r="E1931" s="1" t="s">
        <v>132</v>
      </c>
      <c r="F1931" s="26">
        <v>7.31</v>
      </c>
      <c r="G1931" s="25" t="s">
        <v>293</v>
      </c>
      <c r="H1931" s="25"/>
      <c r="BA1931" s="73" t="s">
        <v>355</v>
      </c>
      <c r="BB1931" s="48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357</v>
      </c>
      <c r="E1932" s="1" t="s">
        <v>111</v>
      </c>
      <c r="F1932" s="26">
        <v>281</v>
      </c>
      <c r="G1932" s="25" t="s">
        <v>293</v>
      </c>
      <c r="H1932" s="25"/>
      <c r="BA1932" s="73" t="s">
        <v>355</v>
      </c>
      <c r="BB1932" s="48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357</v>
      </c>
      <c r="E1933" s="1" t="s">
        <v>345</v>
      </c>
      <c r="F1933" s="26">
        <v>9.99</v>
      </c>
      <c r="G1933" s="25" t="s">
        <v>293</v>
      </c>
      <c r="H1933" s="25"/>
      <c r="BA1933" s="73" t="s">
        <v>355</v>
      </c>
      <c r="BB1933" s="48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357</v>
      </c>
      <c r="E1934" s="1" t="s">
        <v>347</v>
      </c>
      <c r="F1934" s="26">
        <v>4.62</v>
      </c>
      <c r="G1934" s="25" t="s">
        <v>293</v>
      </c>
      <c r="H1934" s="25"/>
      <c r="BA1934" s="73" t="s">
        <v>355</v>
      </c>
      <c r="BB1934" s="48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357</v>
      </c>
      <c r="E1935" s="1" t="s">
        <v>128</v>
      </c>
      <c r="F1935" s="26">
        <v>4.5</v>
      </c>
      <c r="G1935" s="25" t="s">
        <v>293</v>
      </c>
      <c r="H1935" s="25"/>
      <c r="BA1935" s="73" t="s">
        <v>355</v>
      </c>
      <c r="BB1935" s="48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357</v>
      </c>
      <c r="E1936" s="1" t="s">
        <v>121</v>
      </c>
      <c r="F1936" s="26">
        <v>80</v>
      </c>
      <c r="G1936" s="25" t="s">
        <v>293</v>
      </c>
      <c r="H1936" s="25"/>
      <c r="BA1936" s="73" t="s">
        <v>355</v>
      </c>
      <c r="BB1936" s="48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357</v>
      </c>
      <c r="E1937" s="1" t="s">
        <v>115</v>
      </c>
      <c r="F1937" s="26">
        <v>95</v>
      </c>
      <c r="G1937" s="25" t="s">
        <v>293</v>
      </c>
      <c r="H1937" s="25"/>
      <c r="BA1937" s="73" t="s">
        <v>355</v>
      </c>
      <c r="BB1937" s="48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357</v>
      </c>
      <c r="E1938" s="1" t="s">
        <v>137</v>
      </c>
      <c r="F1938" s="26">
        <v>488</v>
      </c>
      <c r="G1938" s="25" t="s">
        <v>293</v>
      </c>
      <c r="H1938" s="25"/>
      <c r="BA1938" s="73" t="s">
        <v>355</v>
      </c>
      <c r="BB1938" s="48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357</v>
      </c>
      <c r="E1939" s="1" t="s">
        <v>348</v>
      </c>
      <c r="F1939" s="26">
        <v>430</v>
      </c>
      <c r="G1939" s="25" t="s">
        <v>293</v>
      </c>
      <c r="H1939" s="25"/>
      <c r="BA1939" s="73" t="s">
        <v>355</v>
      </c>
      <c r="BB1939" s="48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357</v>
      </c>
      <c r="E1940" s="1" t="s">
        <v>125</v>
      </c>
      <c r="F1940" s="26">
        <v>425</v>
      </c>
      <c r="G1940" s="25" t="s">
        <v>293</v>
      </c>
      <c r="H1940" s="25"/>
      <c r="BA1940" s="73" t="s">
        <v>355</v>
      </c>
      <c r="BB1940" s="48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357</v>
      </c>
      <c r="E1941" s="1" t="s">
        <v>126</v>
      </c>
      <c r="F1941" s="26">
        <v>154</v>
      </c>
      <c r="G1941" s="25" t="s">
        <v>293</v>
      </c>
      <c r="H1941" s="25"/>
      <c r="BA1941" s="73" t="s">
        <v>355</v>
      </c>
      <c r="BB1941" s="48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357</v>
      </c>
      <c r="E1942" s="1" t="s">
        <v>349</v>
      </c>
      <c r="F1942" s="26">
        <v>374</v>
      </c>
      <c r="G1942" s="25" t="s">
        <v>293</v>
      </c>
      <c r="H1942" s="25"/>
      <c r="BA1942" s="73" t="s">
        <v>355</v>
      </c>
      <c r="BB1942" s="48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357</v>
      </c>
      <c r="E1943" s="1" t="s">
        <v>350</v>
      </c>
      <c r="F1943" s="26">
        <v>89</v>
      </c>
      <c r="G1943" s="25" t="s">
        <v>293</v>
      </c>
      <c r="H1943" s="25"/>
      <c r="BA1943" s="73" t="s">
        <v>355</v>
      </c>
      <c r="BB1943" s="48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357</v>
      </c>
      <c r="E1944" s="1" t="s">
        <v>122</v>
      </c>
      <c r="F1944" s="26">
        <v>221</v>
      </c>
      <c r="G1944" s="25" t="s">
        <v>293</v>
      </c>
      <c r="H1944" s="25"/>
      <c r="BA1944" s="73" t="s">
        <v>355</v>
      </c>
      <c r="BB1944" s="48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357</v>
      </c>
      <c r="E1945" s="1" t="s">
        <v>124</v>
      </c>
      <c r="F1945" s="26">
        <v>106</v>
      </c>
      <c r="G1945" s="25" t="s">
        <v>293</v>
      </c>
      <c r="H1945" s="25"/>
      <c r="BA1945" s="73" t="s">
        <v>355</v>
      </c>
      <c r="BB1945" s="48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357</v>
      </c>
      <c r="E1946" s="1" t="s">
        <v>351</v>
      </c>
      <c r="F1946" s="26">
        <v>3.56</v>
      </c>
      <c r="G1946" s="25" t="s">
        <v>293</v>
      </c>
      <c r="H1946" s="25"/>
      <c r="BA1946" s="73" t="s">
        <v>355</v>
      </c>
      <c r="BB1946" s="48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357</v>
      </c>
      <c r="E1947" s="1" t="s">
        <v>353</v>
      </c>
      <c r="F1947" s="26">
        <v>16.5</v>
      </c>
      <c r="G1947" s="25" t="s">
        <v>293</v>
      </c>
      <c r="H1947" s="25"/>
      <c r="BA1947" s="73" t="s">
        <v>355</v>
      </c>
      <c r="BB1947" s="48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357</v>
      </c>
      <c r="E1948" s="1" t="s">
        <v>133</v>
      </c>
      <c r="F1948" s="26">
        <v>125</v>
      </c>
      <c r="G1948" s="25" t="s">
        <v>293</v>
      </c>
      <c r="H1948" s="25"/>
      <c r="BA1948" s="73" t="s">
        <v>355</v>
      </c>
      <c r="BB1948" s="48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357</v>
      </c>
      <c r="E1949" s="1" t="s">
        <v>135</v>
      </c>
      <c r="F1949" s="26">
        <v>6.4</v>
      </c>
      <c r="G1949" s="25" t="s">
        <v>293</v>
      </c>
      <c r="H1949" s="25"/>
      <c r="BA1949" s="73" t="s">
        <v>355</v>
      </c>
      <c r="BB1949" s="48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357</v>
      </c>
      <c r="E1950" s="1" t="s">
        <v>136</v>
      </c>
      <c r="F1950" s="26">
        <v>95</v>
      </c>
      <c r="G1950" s="25" t="s">
        <v>293</v>
      </c>
      <c r="H1950" s="25"/>
      <c r="BA1950" s="73" t="s">
        <v>355</v>
      </c>
      <c r="BB1950" s="48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357</v>
      </c>
      <c r="E1951" s="1" t="s">
        <v>339</v>
      </c>
      <c r="F1951" s="26">
        <v>1.1499999999999999</v>
      </c>
      <c r="G1951" s="25" t="s">
        <v>293</v>
      </c>
      <c r="H1951" s="25"/>
      <c r="BA1951" s="73" t="s">
        <v>355</v>
      </c>
      <c r="BB1951" s="48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357</v>
      </c>
      <c r="E1952" s="1" t="s">
        <v>118</v>
      </c>
      <c r="F1952" s="26">
        <v>9.8000000000000007</v>
      </c>
      <c r="G1952" s="25" t="s">
        <v>293</v>
      </c>
      <c r="H1952" s="25"/>
      <c r="BA1952" s="73" t="s">
        <v>355</v>
      </c>
      <c r="BB1952" s="48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357</v>
      </c>
      <c r="E1953" s="1" t="s">
        <v>130</v>
      </c>
      <c r="F1953" s="26">
        <v>2.4500000000000002</v>
      </c>
      <c r="G1953" s="25" t="s">
        <v>293</v>
      </c>
      <c r="H1953" s="25"/>
      <c r="BA1953" s="73" t="s">
        <v>355</v>
      </c>
      <c r="BB1953" s="48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357</v>
      </c>
      <c r="E1954" s="1" t="s">
        <v>341</v>
      </c>
      <c r="F1954" s="26">
        <v>1.04</v>
      </c>
      <c r="G1954" s="25" t="s">
        <v>293</v>
      </c>
      <c r="H1954" s="25"/>
      <c r="BA1954" s="73" t="s">
        <v>355</v>
      </c>
      <c r="BB1954" s="48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357</v>
      </c>
      <c r="E1955" s="1" t="s">
        <v>127</v>
      </c>
      <c r="F1955" s="26">
        <v>4.3899999999999997</v>
      </c>
      <c r="G1955" s="25" t="s">
        <v>293</v>
      </c>
      <c r="H1955" s="25"/>
      <c r="BA1955" s="73" t="s">
        <v>355</v>
      </c>
      <c r="BB1955" s="48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357</v>
      </c>
      <c r="E1956" s="1" t="s">
        <v>131</v>
      </c>
      <c r="F1956" s="26">
        <v>12.4</v>
      </c>
      <c r="G1956" s="25" t="s">
        <v>293</v>
      </c>
      <c r="H1956" s="25"/>
      <c r="BA1956" s="73" t="s">
        <v>355</v>
      </c>
      <c r="BB1956" s="48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357</v>
      </c>
      <c r="E1957" s="1" t="s">
        <v>342</v>
      </c>
      <c r="F1957" s="26">
        <v>192</v>
      </c>
      <c r="G1957" s="25" t="s">
        <v>293</v>
      </c>
      <c r="H1957" s="25"/>
      <c r="BA1957" s="73" t="s">
        <v>355</v>
      </c>
      <c r="BB1957" s="48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357</v>
      </c>
      <c r="E1958" s="1" t="s">
        <v>119</v>
      </c>
      <c r="F1958" s="26">
        <v>85</v>
      </c>
      <c r="G1958" s="25" t="s">
        <v>293</v>
      </c>
      <c r="H1958" s="25"/>
      <c r="BA1958" s="73" t="s">
        <v>355</v>
      </c>
      <c r="BB1958" s="48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357</v>
      </c>
      <c r="E1959" s="1" t="s">
        <v>120</v>
      </c>
      <c r="F1959" s="26">
        <v>27</v>
      </c>
      <c r="G1959" s="25" t="s">
        <v>293</v>
      </c>
      <c r="H1959" s="25"/>
      <c r="BA1959" s="73" t="s">
        <v>355</v>
      </c>
      <c r="BB1959" s="48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357</v>
      </c>
      <c r="E1960" s="1" t="s">
        <v>117</v>
      </c>
      <c r="F1960" s="26">
        <v>6.28</v>
      </c>
      <c r="G1960" s="25" t="s">
        <v>293</v>
      </c>
      <c r="H1960" s="25"/>
      <c r="BA1960" s="73" t="s">
        <v>355</v>
      </c>
      <c r="BB1960" s="48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357</v>
      </c>
      <c r="E1961" s="1" t="s">
        <v>344</v>
      </c>
      <c r="F1961" s="26">
        <v>69</v>
      </c>
      <c r="G1961" s="25" t="s">
        <v>293</v>
      </c>
      <c r="H1961" s="25"/>
      <c r="BA1961" s="73" t="s">
        <v>355</v>
      </c>
      <c r="BB1961" s="48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357</v>
      </c>
      <c r="E1962" s="1" t="s">
        <v>132</v>
      </c>
      <c r="F1962" s="26">
        <v>7.53</v>
      </c>
      <c r="G1962" s="25" t="s">
        <v>293</v>
      </c>
      <c r="H1962" s="25"/>
      <c r="BA1962" s="73" t="s">
        <v>355</v>
      </c>
      <c r="BB1962" s="48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357</v>
      </c>
      <c r="E1963" s="1" t="s">
        <v>111</v>
      </c>
      <c r="F1963" s="26">
        <v>281</v>
      </c>
      <c r="G1963" s="25" t="s">
        <v>293</v>
      </c>
      <c r="H1963" s="25"/>
      <c r="BA1963" s="73" t="s">
        <v>355</v>
      </c>
      <c r="BB1963" s="48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357</v>
      </c>
      <c r="E1964" s="1" t="s">
        <v>345</v>
      </c>
      <c r="F1964" s="26">
        <v>9.8000000000000007</v>
      </c>
      <c r="G1964" s="25" t="s">
        <v>293</v>
      </c>
      <c r="H1964" s="25"/>
      <c r="BA1964" s="73" t="s">
        <v>355</v>
      </c>
      <c r="BB1964" s="48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357</v>
      </c>
      <c r="E1965" s="1" t="s">
        <v>347</v>
      </c>
      <c r="F1965" s="26">
        <v>4.6500000000000004</v>
      </c>
      <c r="G1965" s="25" t="s">
        <v>293</v>
      </c>
      <c r="H1965" s="25"/>
      <c r="BA1965" s="73" t="s">
        <v>355</v>
      </c>
      <c r="BB1965" s="48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357</v>
      </c>
      <c r="E1966" s="1" t="s">
        <v>128</v>
      </c>
      <c r="F1966" s="26">
        <v>4.5</v>
      </c>
      <c r="G1966" s="25" t="s">
        <v>293</v>
      </c>
      <c r="H1966" s="25"/>
      <c r="BA1966" s="73" t="s">
        <v>355</v>
      </c>
      <c r="BB1966" s="48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357</v>
      </c>
      <c r="E1967" s="1" t="s">
        <v>121</v>
      </c>
      <c r="F1967" s="26">
        <v>81</v>
      </c>
      <c r="G1967" s="25" t="s">
        <v>293</v>
      </c>
      <c r="H1967" s="25"/>
      <c r="BA1967" s="73" t="s">
        <v>355</v>
      </c>
      <c r="BB1967" s="48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357</v>
      </c>
      <c r="E1968" s="1" t="s">
        <v>115</v>
      </c>
      <c r="F1968" s="26">
        <v>98</v>
      </c>
      <c r="G1968" s="25" t="s">
        <v>293</v>
      </c>
      <c r="H1968" s="25"/>
      <c r="BA1968" s="73" t="s">
        <v>355</v>
      </c>
      <c r="BB1968" s="48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357</v>
      </c>
      <c r="E1969" s="1" t="s">
        <v>137</v>
      </c>
      <c r="F1969" s="26">
        <v>488</v>
      </c>
      <c r="G1969" s="25" t="s">
        <v>293</v>
      </c>
      <c r="H1969" s="25"/>
      <c r="BA1969" s="73" t="s">
        <v>355</v>
      </c>
      <c r="BB1969" s="48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357</v>
      </c>
      <c r="E1970" s="1" t="s">
        <v>348</v>
      </c>
      <c r="F1970" s="26">
        <v>429</v>
      </c>
      <c r="G1970" s="25" t="s">
        <v>293</v>
      </c>
      <c r="H1970" s="25"/>
      <c r="BA1970" s="73" t="s">
        <v>355</v>
      </c>
      <c r="BB1970" s="48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357</v>
      </c>
      <c r="E1971" s="1" t="s">
        <v>125</v>
      </c>
      <c r="F1971" s="26">
        <v>441</v>
      </c>
      <c r="G1971" s="25" t="s">
        <v>293</v>
      </c>
      <c r="H1971" s="25"/>
      <c r="BA1971" s="73" t="s">
        <v>355</v>
      </c>
      <c r="BB1971" s="48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357</v>
      </c>
      <c r="E1972" s="1" t="s">
        <v>126</v>
      </c>
      <c r="F1972" s="26">
        <v>151</v>
      </c>
      <c r="G1972" s="25" t="s">
        <v>293</v>
      </c>
      <c r="H1972" s="25"/>
      <c r="BA1972" s="73" t="s">
        <v>355</v>
      </c>
      <c r="BB1972" s="48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357</v>
      </c>
      <c r="E1973" s="1" t="s">
        <v>349</v>
      </c>
      <c r="F1973" s="26">
        <v>377</v>
      </c>
      <c r="G1973" s="25" t="s">
        <v>293</v>
      </c>
      <c r="H1973" s="25"/>
      <c r="BA1973" s="73" t="s">
        <v>355</v>
      </c>
      <c r="BB1973" s="48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357</v>
      </c>
      <c r="E1974" s="1" t="s">
        <v>350</v>
      </c>
      <c r="F1974" s="26">
        <v>87</v>
      </c>
      <c r="G1974" s="25" t="s">
        <v>293</v>
      </c>
      <c r="H1974" s="25"/>
      <c r="BA1974" s="73" t="s">
        <v>355</v>
      </c>
      <c r="BB1974" s="48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357</v>
      </c>
      <c r="E1975" s="1" t="s">
        <v>122</v>
      </c>
      <c r="F1975" s="26">
        <v>216</v>
      </c>
      <c r="G1975" s="25" t="s">
        <v>293</v>
      </c>
      <c r="H1975" s="25"/>
      <c r="BA1975" s="73" t="s">
        <v>355</v>
      </c>
      <c r="BB1975" s="48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357</v>
      </c>
      <c r="E1976" s="1" t="s">
        <v>124</v>
      </c>
      <c r="F1976" s="26">
        <v>104</v>
      </c>
      <c r="G1976" s="25" t="s">
        <v>293</v>
      </c>
      <c r="H1976" s="25"/>
      <c r="BA1976" s="73" t="s">
        <v>355</v>
      </c>
      <c r="BB1976" s="48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357</v>
      </c>
      <c r="E1977" s="1" t="s">
        <v>351</v>
      </c>
      <c r="F1977" s="26">
        <v>3.6</v>
      </c>
      <c r="G1977" s="25" t="s">
        <v>293</v>
      </c>
      <c r="H1977" s="25"/>
      <c r="BA1977" s="73" t="s">
        <v>355</v>
      </c>
      <c r="BB1977" s="48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357</v>
      </c>
      <c r="E1978" s="1" t="s">
        <v>353</v>
      </c>
      <c r="F1978" s="26">
        <v>15.7</v>
      </c>
      <c r="G1978" s="25" t="s">
        <v>293</v>
      </c>
      <c r="H1978" s="25"/>
      <c r="BA1978" s="73" t="s">
        <v>355</v>
      </c>
      <c r="BB1978" s="48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357</v>
      </c>
      <c r="E1979" s="1" t="s">
        <v>133</v>
      </c>
      <c r="F1979" s="26">
        <v>129</v>
      </c>
      <c r="G1979" s="25" t="s">
        <v>293</v>
      </c>
      <c r="H1979" s="25"/>
      <c r="BA1979" s="73" t="s">
        <v>355</v>
      </c>
      <c r="BB1979" s="48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357</v>
      </c>
      <c r="E1980" s="1" t="s">
        <v>135</v>
      </c>
      <c r="F1980" s="26">
        <v>6.6</v>
      </c>
      <c r="G1980" s="25" t="s">
        <v>293</v>
      </c>
      <c r="H1980" s="25"/>
      <c r="BA1980" s="73" t="s">
        <v>355</v>
      </c>
      <c r="BB1980" s="48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357</v>
      </c>
      <c r="E1981" s="1" t="s">
        <v>136</v>
      </c>
      <c r="F1981" s="26">
        <v>96</v>
      </c>
      <c r="G1981" s="25" t="s">
        <v>293</v>
      </c>
      <c r="H1981" s="25"/>
      <c r="BA1981" s="73" t="s">
        <v>355</v>
      </c>
      <c r="BB1981" s="48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357</v>
      </c>
      <c r="E1982" s="1" t="s">
        <v>339</v>
      </c>
      <c r="F1982" s="26">
        <v>1.28</v>
      </c>
      <c r="G1982" s="25" t="s">
        <v>293</v>
      </c>
      <c r="H1982" s="25"/>
      <c r="BA1982" s="73" t="s">
        <v>355</v>
      </c>
      <c r="BB1982" s="48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357</v>
      </c>
      <c r="E1983" s="1" t="s">
        <v>118</v>
      </c>
      <c r="F1983" s="26">
        <v>9.6999999999999993</v>
      </c>
      <c r="G1983" s="25" t="s">
        <v>293</v>
      </c>
      <c r="H1983" s="25"/>
      <c r="BA1983" s="73" t="s">
        <v>355</v>
      </c>
      <c r="BB1983" s="48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357</v>
      </c>
      <c r="E1984" s="1" t="s">
        <v>130</v>
      </c>
      <c r="F1984" s="26">
        <v>2.39</v>
      </c>
      <c r="G1984" s="25" t="s">
        <v>293</v>
      </c>
      <c r="H1984" s="25"/>
      <c r="BA1984" s="73" t="s">
        <v>355</v>
      </c>
      <c r="BB1984" s="48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357</v>
      </c>
      <c r="E1985" s="1" t="s">
        <v>341</v>
      </c>
      <c r="F1985" s="26">
        <v>1.1000000000000001</v>
      </c>
      <c r="G1985" s="25" t="s">
        <v>293</v>
      </c>
      <c r="H1985" s="25"/>
      <c r="BA1985" s="73" t="s">
        <v>355</v>
      </c>
      <c r="BB1985" s="48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357</v>
      </c>
      <c r="E1986" s="1" t="s">
        <v>127</v>
      </c>
      <c r="F1986" s="26">
        <v>4.57</v>
      </c>
      <c r="G1986" s="25" t="s">
        <v>293</v>
      </c>
      <c r="H1986" s="25"/>
      <c r="BA1986" s="73" t="s">
        <v>355</v>
      </c>
      <c r="BB1986" s="48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357</v>
      </c>
      <c r="E1987" s="1" t="s">
        <v>131</v>
      </c>
      <c r="F1987" s="26">
        <v>12</v>
      </c>
      <c r="G1987" s="25" t="s">
        <v>293</v>
      </c>
      <c r="H1987" s="25"/>
      <c r="BA1987" s="73" t="s">
        <v>355</v>
      </c>
      <c r="BB1987" s="48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357</v>
      </c>
      <c r="E1988" s="1" t="s">
        <v>342</v>
      </c>
      <c r="F1988" s="26">
        <v>185</v>
      </c>
      <c r="G1988" s="25" t="s">
        <v>293</v>
      </c>
      <c r="H1988" s="25"/>
      <c r="BA1988" s="73" t="s">
        <v>355</v>
      </c>
      <c r="BB1988" s="48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357</v>
      </c>
      <c r="E1989" s="1" t="s">
        <v>119</v>
      </c>
      <c r="F1989" s="26">
        <v>84</v>
      </c>
      <c r="G1989" s="25" t="s">
        <v>293</v>
      </c>
      <c r="H1989" s="25"/>
      <c r="BA1989" s="73" t="s">
        <v>355</v>
      </c>
      <c r="BB1989" s="48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357</v>
      </c>
      <c r="E1990" s="1" t="s">
        <v>120</v>
      </c>
      <c r="F1990" s="26">
        <v>27</v>
      </c>
      <c r="G1990" s="25" t="s">
        <v>293</v>
      </c>
      <c r="H1990" s="25"/>
      <c r="BA1990" s="73" t="s">
        <v>355</v>
      </c>
      <c r="BB1990" s="48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357</v>
      </c>
      <c r="E1991" s="1" t="s">
        <v>117</v>
      </c>
      <c r="F1991" s="26">
        <v>6.2</v>
      </c>
      <c r="G1991" s="25" t="s">
        <v>293</v>
      </c>
      <c r="H1991" s="25"/>
      <c r="BA1991" s="73" t="s">
        <v>355</v>
      </c>
      <c r="BB1991" s="48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357</v>
      </c>
      <c r="E1992" s="1" t="s">
        <v>344</v>
      </c>
      <c r="F1992" s="26">
        <v>68</v>
      </c>
      <c r="G1992" s="25" t="s">
        <v>293</v>
      </c>
      <c r="H1992" s="25"/>
      <c r="BA1992" s="73" t="s">
        <v>355</v>
      </c>
      <c r="BB1992" s="48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357</v>
      </c>
      <c r="E1993" s="1" t="s">
        <v>132</v>
      </c>
      <c r="F1993" s="26">
        <v>7.55</v>
      </c>
      <c r="G1993" s="25" t="s">
        <v>293</v>
      </c>
      <c r="H1993" s="25"/>
      <c r="BA1993" s="73" t="s">
        <v>355</v>
      </c>
      <c r="BB1993" s="48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357</v>
      </c>
      <c r="E1994" s="1" t="s">
        <v>111</v>
      </c>
      <c r="F1994" s="26">
        <v>279</v>
      </c>
      <c r="G1994" s="25" t="s">
        <v>293</v>
      </c>
      <c r="H1994" s="25"/>
      <c r="BA1994" s="73" t="s">
        <v>355</v>
      </c>
      <c r="BB1994" s="48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357</v>
      </c>
      <c r="E1995" s="1" t="s">
        <v>345</v>
      </c>
      <c r="F1995" s="26">
        <v>10</v>
      </c>
      <c r="G1995" s="25" t="s">
        <v>293</v>
      </c>
      <c r="H1995" s="25"/>
      <c r="BA1995" s="73" t="s">
        <v>355</v>
      </c>
      <c r="BB1995" s="48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357</v>
      </c>
      <c r="E1996" s="1" t="s">
        <v>347</v>
      </c>
      <c r="F1996" s="26">
        <v>4.3899999999999997</v>
      </c>
      <c r="G1996" s="25" t="s">
        <v>293</v>
      </c>
      <c r="H1996" s="25"/>
      <c r="BA1996" s="73" t="s">
        <v>355</v>
      </c>
      <c r="BB1996" s="48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357</v>
      </c>
      <c r="E1997" s="1" t="s">
        <v>128</v>
      </c>
      <c r="F1997" s="26">
        <v>4.3</v>
      </c>
      <c r="G1997" s="25" t="s">
        <v>293</v>
      </c>
      <c r="H1997" s="25"/>
      <c r="BA1997" s="73" t="s">
        <v>355</v>
      </c>
      <c r="BB1997" s="48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357</v>
      </c>
      <c r="E1998" s="1" t="s">
        <v>121</v>
      </c>
      <c r="F1998" s="26">
        <v>82</v>
      </c>
      <c r="G1998" s="25" t="s">
        <v>293</v>
      </c>
      <c r="H1998" s="25"/>
      <c r="BA1998" s="73" t="s">
        <v>355</v>
      </c>
      <c r="BB1998" s="48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357</v>
      </c>
      <c r="E1999" s="1" t="s">
        <v>115</v>
      </c>
      <c r="F1999" s="26">
        <v>96</v>
      </c>
      <c r="G1999" s="25" t="s">
        <v>293</v>
      </c>
      <c r="H1999" s="25"/>
      <c r="BA1999" s="73" t="s">
        <v>355</v>
      </c>
      <c r="BB1999" s="48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357</v>
      </c>
      <c r="E2000" s="1" t="s">
        <v>137</v>
      </c>
      <c r="F2000" s="26">
        <v>484</v>
      </c>
      <c r="G2000" s="25" t="s">
        <v>293</v>
      </c>
      <c r="H2000" s="25"/>
      <c r="BA2000" s="73" t="s">
        <v>355</v>
      </c>
      <c r="BB2000" s="48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357</v>
      </c>
      <c r="E2001" s="1" t="s">
        <v>348</v>
      </c>
      <c r="F2001" s="26">
        <v>434</v>
      </c>
      <c r="G2001" s="25" t="s">
        <v>293</v>
      </c>
      <c r="H2001" s="25"/>
      <c r="BA2001" s="73" t="s">
        <v>355</v>
      </c>
      <c r="BB2001" s="48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357</v>
      </c>
      <c r="E2002" s="1" t="s">
        <v>125</v>
      </c>
      <c r="F2002" s="26">
        <v>423</v>
      </c>
      <c r="G2002" s="25" t="s">
        <v>293</v>
      </c>
      <c r="H2002" s="25"/>
      <c r="BA2002" s="73" t="s">
        <v>355</v>
      </c>
      <c r="BB2002" s="48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357</v>
      </c>
      <c r="E2003" s="1" t="s">
        <v>126</v>
      </c>
      <c r="F2003" s="26">
        <v>148</v>
      </c>
      <c r="G2003" s="25" t="s">
        <v>293</v>
      </c>
      <c r="H2003" s="25"/>
      <c r="BA2003" s="73" t="s">
        <v>355</v>
      </c>
      <c r="BB2003" s="48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357</v>
      </c>
      <c r="E2004" s="1" t="s">
        <v>349</v>
      </c>
      <c r="F2004" s="26">
        <v>366</v>
      </c>
      <c r="G2004" s="25" t="s">
        <v>293</v>
      </c>
      <c r="H2004" s="25"/>
      <c r="BA2004" s="73" t="s">
        <v>355</v>
      </c>
      <c r="BB2004" s="48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357</v>
      </c>
      <c r="E2005" s="1" t="s">
        <v>350</v>
      </c>
      <c r="F2005" s="26">
        <v>86</v>
      </c>
      <c r="G2005" s="25" t="s">
        <v>293</v>
      </c>
      <c r="H2005" s="25"/>
      <c r="BA2005" s="73" t="s">
        <v>355</v>
      </c>
      <c r="BB2005" s="48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357</v>
      </c>
      <c r="E2006" s="1" t="s">
        <v>122</v>
      </c>
      <c r="F2006" s="26">
        <v>213</v>
      </c>
      <c r="G2006" s="25" t="s">
        <v>293</v>
      </c>
      <c r="H2006" s="25"/>
      <c r="BA2006" s="73" t="s">
        <v>355</v>
      </c>
      <c r="BB2006" s="48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357</v>
      </c>
      <c r="E2007" s="1" t="s">
        <v>124</v>
      </c>
      <c r="F2007" s="26">
        <v>107</v>
      </c>
      <c r="G2007" s="25" t="s">
        <v>293</v>
      </c>
      <c r="H2007" s="25"/>
      <c r="BA2007" s="73" t="s">
        <v>355</v>
      </c>
      <c r="BB2007" s="48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357</v>
      </c>
      <c r="E2008" s="1" t="s">
        <v>351</v>
      </c>
      <c r="F2008" s="26">
        <v>3.6</v>
      </c>
      <c r="G2008" s="25" t="s">
        <v>293</v>
      </c>
      <c r="H2008" s="25"/>
      <c r="BA2008" s="73" t="s">
        <v>355</v>
      </c>
      <c r="BB2008" s="48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357</v>
      </c>
      <c r="E2009" s="1" t="s">
        <v>353</v>
      </c>
      <c r="F2009" s="26">
        <v>20</v>
      </c>
      <c r="G2009" s="25" t="s">
        <v>293</v>
      </c>
      <c r="H2009" s="25"/>
      <c r="BA2009" s="73" t="s">
        <v>355</v>
      </c>
      <c r="BB2009" s="48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357</v>
      </c>
      <c r="E2010" s="1" t="s">
        <v>133</v>
      </c>
      <c r="F2010" s="26">
        <v>127</v>
      </c>
      <c r="G2010" s="25" t="s">
        <v>293</v>
      </c>
      <c r="H2010" s="25"/>
      <c r="BA2010" s="73" t="s">
        <v>355</v>
      </c>
      <c r="BB2010" s="48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357</v>
      </c>
      <c r="E2011" s="1" t="s">
        <v>135</v>
      </c>
      <c r="F2011" s="26">
        <v>6.5</v>
      </c>
      <c r="G2011" s="25" t="s">
        <v>293</v>
      </c>
      <c r="H2011" s="25"/>
      <c r="BA2011" s="73" t="s">
        <v>355</v>
      </c>
      <c r="BB2011" s="48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357</v>
      </c>
      <c r="E2012" s="1" t="s">
        <v>136</v>
      </c>
      <c r="F2012" s="26">
        <v>97</v>
      </c>
      <c r="G2012" s="25" t="s">
        <v>293</v>
      </c>
      <c r="H2012" s="25"/>
      <c r="BA2012" s="73" t="s">
        <v>355</v>
      </c>
      <c r="BB2012" s="48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357</v>
      </c>
      <c r="E2013" s="1" t="s">
        <v>339</v>
      </c>
      <c r="F2013" s="26">
        <v>1.18</v>
      </c>
      <c r="G2013" s="25" t="s">
        <v>293</v>
      </c>
      <c r="H2013" s="25"/>
      <c r="BA2013" s="73" t="s">
        <v>355</v>
      </c>
      <c r="BB2013" s="48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357</v>
      </c>
      <c r="E2014" s="1" t="s">
        <v>118</v>
      </c>
      <c r="F2014" s="26">
        <v>9.8000000000000007</v>
      </c>
      <c r="G2014" s="25" t="s">
        <v>293</v>
      </c>
      <c r="H2014" s="25"/>
      <c r="BA2014" s="73" t="s">
        <v>355</v>
      </c>
      <c r="BB2014" s="48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357</v>
      </c>
      <c r="E2015" s="1" t="s">
        <v>130</v>
      </c>
      <c r="F2015" s="26">
        <v>2.4</v>
      </c>
      <c r="G2015" s="25" t="s">
        <v>293</v>
      </c>
      <c r="H2015" s="25"/>
      <c r="BA2015" s="73" t="s">
        <v>355</v>
      </c>
      <c r="BB2015" s="48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357</v>
      </c>
      <c r="E2016" s="1" t="s">
        <v>341</v>
      </c>
      <c r="F2016" s="26">
        <v>1.0900000000000001</v>
      </c>
      <c r="G2016" s="25" t="s">
        <v>293</v>
      </c>
      <c r="H2016" s="25"/>
      <c r="BA2016" s="73" t="s">
        <v>355</v>
      </c>
      <c r="BB2016" s="48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357</v>
      </c>
      <c r="E2017" s="1" t="s">
        <v>127</v>
      </c>
      <c r="F2017" s="26">
        <v>4.57</v>
      </c>
      <c r="G2017" s="25" t="s">
        <v>293</v>
      </c>
      <c r="H2017" s="25"/>
      <c r="BA2017" s="73" t="s">
        <v>355</v>
      </c>
      <c r="BB2017" s="48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357</v>
      </c>
      <c r="E2018" s="1" t="s">
        <v>131</v>
      </c>
      <c r="F2018" s="26">
        <v>12.2</v>
      </c>
      <c r="G2018" s="25" t="s">
        <v>293</v>
      </c>
      <c r="H2018" s="25"/>
      <c r="BA2018" s="73" t="s">
        <v>355</v>
      </c>
      <c r="BB2018" s="48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357</v>
      </c>
      <c r="E2019" s="1" t="s">
        <v>342</v>
      </c>
      <c r="F2019" s="26">
        <v>186</v>
      </c>
      <c r="G2019" s="25" t="s">
        <v>293</v>
      </c>
      <c r="H2019" s="25"/>
      <c r="BA2019" s="73" t="s">
        <v>355</v>
      </c>
      <c r="BB2019" s="48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357</v>
      </c>
      <c r="E2020" s="1" t="s">
        <v>119</v>
      </c>
      <c r="F2020" s="26">
        <v>85</v>
      </c>
      <c r="G2020" s="25" t="s">
        <v>293</v>
      </c>
      <c r="H2020" s="25"/>
      <c r="BA2020" s="73" t="s">
        <v>355</v>
      </c>
      <c r="BB2020" s="48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357</v>
      </c>
      <c r="E2021" s="1" t="s">
        <v>120</v>
      </c>
      <c r="F2021" s="26">
        <v>26</v>
      </c>
      <c r="G2021" s="25" t="s">
        <v>293</v>
      </c>
      <c r="H2021" s="25"/>
      <c r="BA2021" s="73" t="s">
        <v>355</v>
      </c>
      <c r="BB2021" s="48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357</v>
      </c>
      <c r="E2022" s="1" t="s">
        <v>117</v>
      </c>
      <c r="F2022" s="26">
        <v>6.26</v>
      </c>
      <c r="G2022" s="25" t="s">
        <v>293</v>
      </c>
      <c r="H2022" s="25"/>
      <c r="BA2022" s="73" t="s">
        <v>355</v>
      </c>
      <c r="BB2022" s="48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357</v>
      </c>
      <c r="E2023" s="1" t="s">
        <v>344</v>
      </c>
      <c r="F2023" s="26">
        <v>69</v>
      </c>
      <c r="G2023" s="25" t="s">
        <v>293</v>
      </c>
      <c r="H2023" s="25"/>
      <c r="BA2023" s="73" t="s">
        <v>355</v>
      </c>
      <c r="BB2023" s="48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357</v>
      </c>
      <c r="E2024" s="1" t="s">
        <v>132</v>
      </c>
      <c r="F2024" s="26">
        <v>7.4</v>
      </c>
      <c r="G2024" s="25" t="s">
        <v>293</v>
      </c>
      <c r="H2024" s="25"/>
      <c r="BA2024" s="73" t="s">
        <v>355</v>
      </c>
      <c r="BB2024" s="48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357</v>
      </c>
      <c r="E2025" s="1" t="s">
        <v>111</v>
      </c>
      <c r="F2025" s="26">
        <v>281</v>
      </c>
      <c r="G2025" s="25" t="s">
        <v>293</v>
      </c>
      <c r="H2025" s="25"/>
      <c r="BA2025" s="73" t="s">
        <v>355</v>
      </c>
      <c r="BB2025" s="48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357</v>
      </c>
      <c r="E2026" s="1" t="s">
        <v>345</v>
      </c>
      <c r="F2026" s="26">
        <v>10.039999999999999</v>
      </c>
      <c r="G2026" s="25" t="s">
        <v>293</v>
      </c>
      <c r="H2026" s="25"/>
      <c r="BA2026" s="73" t="s">
        <v>355</v>
      </c>
      <c r="BB2026" s="48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357</v>
      </c>
      <c r="E2027" s="1" t="s">
        <v>347</v>
      </c>
      <c r="F2027" s="26">
        <v>4.5599999999999996</v>
      </c>
      <c r="G2027" s="25" t="s">
        <v>293</v>
      </c>
      <c r="H2027" s="25"/>
      <c r="BA2027" s="73" t="s">
        <v>355</v>
      </c>
      <c r="BB2027" s="48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357</v>
      </c>
      <c r="E2028" s="1" t="s">
        <v>128</v>
      </c>
      <c r="F2028" s="26">
        <v>4.4000000000000004</v>
      </c>
      <c r="G2028" s="25" t="s">
        <v>293</v>
      </c>
      <c r="H2028" s="25"/>
      <c r="BA2028" s="73" t="s">
        <v>355</v>
      </c>
      <c r="BB2028" s="48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357</v>
      </c>
      <c r="E2029" s="1" t="s">
        <v>121</v>
      </c>
      <c r="F2029" s="26">
        <v>78</v>
      </c>
      <c r="G2029" s="25" t="s">
        <v>293</v>
      </c>
      <c r="H2029" s="25"/>
      <c r="BA2029" s="73" t="s">
        <v>355</v>
      </c>
      <c r="BB2029" s="48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357</v>
      </c>
      <c r="E2030" s="1" t="s">
        <v>115</v>
      </c>
      <c r="F2030" s="26">
        <v>95</v>
      </c>
      <c r="G2030" s="25" t="s">
        <v>293</v>
      </c>
      <c r="H2030" s="25"/>
      <c r="BA2030" s="73" t="s">
        <v>355</v>
      </c>
      <c r="BB2030" s="48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357</v>
      </c>
      <c r="E2031" s="1" t="s">
        <v>137</v>
      </c>
      <c r="F2031" s="26">
        <v>485</v>
      </c>
      <c r="G2031" s="25" t="s">
        <v>293</v>
      </c>
      <c r="H2031" s="25"/>
      <c r="BA2031" s="73" t="s">
        <v>355</v>
      </c>
      <c r="BB2031" s="48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357</v>
      </c>
      <c r="E2032" s="1" t="s">
        <v>348</v>
      </c>
      <c r="F2032" s="26">
        <v>435</v>
      </c>
      <c r="G2032" s="25" t="s">
        <v>293</v>
      </c>
      <c r="H2032" s="25"/>
      <c r="BA2032" s="73" t="s">
        <v>355</v>
      </c>
      <c r="BB2032" s="48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357</v>
      </c>
      <c r="E2033" s="1" t="s">
        <v>125</v>
      </c>
      <c r="F2033" s="26">
        <v>421</v>
      </c>
      <c r="G2033" s="25" t="s">
        <v>293</v>
      </c>
      <c r="H2033" s="25"/>
      <c r="BA2033" s="73" t="s">
        <v>355</v>
      </c>
      <c r="BB2033" s="48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357</v>
      </c>
      <c r="E2034" s="1" t="s">
        <v>126</v>
      </c>
      <c r="F2034" s="26">
        <v>153</v>
      </c>
      <c r="G2034" s="25" t="s">
        <v>293</v>
      </c>
      <c r="H2034" s="25"/>
      <c r="BA2034" s="73" t="s">
        <v>355</v>
      </c>
      <c r="BB2034" s="48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357</v>
      </c>
      <c r="E2035" s="1" t="s">
        <v>349</v>
      </c>
      <c r="F2035" s="26">
        <v>372</v>
      </c>
      <c r="G2035" s="25" t="s">
        <v>293</v>
      </c>
      <c r="H2035" s="25"/>
      <c r="BA2035" s="73" t="s">
        <v>355</v>
      </c>
      <c r="BB2035" s="48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357</v>
      </c>
      <c r="E2036" s="1" t="s">
        <v>350</v>
      </c>
      <c r="F2036" s="26">
        <v>88</v>
      </c>
      <c r="G2036" s="25" t="s">
        <v>293</v>
      </c>
      <c r="H2036" s="25"/>
      <c r="BA2036" s="73" t="s">
        <v>355</v>
      </c>
      <c r="BB2036" s="48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357</v>
      </c>
      <c r="E2037" s="1" t="s">
        <v>122</v>
      </c>
      <c r="F2037" s="26">
        <v>215</v>
      </c>
      <c r="G2037" s="25" t="s">
        <v>293</v>
      </c>
      <c r="H2037" s="25"/>
      <c r="BA2037" s="73" t="s">
        <v>355</v>
      </c>
      <c r="BB2037" s="48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357</v>
      </c>
      <c r="E2038" s="1" t="s">
        <v>124</v>
      </c>
      <c r="F2038" s="26">
        <v>106</v>
      </c>
      <c r="G2038" s="25" t="s">
        <v>293</v>
      </c>
      <c r="H2038" s="25"/>
      <c r="BA2038" s="73" t="s">
        <v>355</v>
      </c>
      <c r="BB2038" s="48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357</v>
      </c>
      <c r="E2039" s="1" t="s">
        <v>351</v>
      </c>
      <c r="F2039" s="26">
        <v>3.56</v>
      </c>
      <c r="G2039" s="25" t="s">
        <v>293</v>
      </c>
      <c r="H2039" s="25"/>
      <c r="BA2039" s="73" t="s">
        <v>355</v>
      </c>
      <c r="BB2039" s="48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357</v>
      </c>
      <c r="E2040" s="1" t="s">
        <v>353</v>
      </c>
      <c r="F2040" s="26">
        <v>16.7</v>
      </c>
      <c r="G2040" s="25" t="s">
        <v>293</v>
      </c>
      <c r="H2040" s="25"/>
      <c r="BA2040" s="73" t="s">
        <v>355</v>
      </c>
      <c r="BB2040" s="48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357</v>
      </c>
      <c r="E2041" s="1" t="s">
        <v>133</v>
      </c>
      <c r="F2041" s="26">
        <v>127</v>
      </c>
      <c r="G2041" s="25" t="s">
        <v>293</v>
      </c>
      <c r="H2041" s="25"/>
      <c r="BA2041" s="73" t="s">
        <v>355</v>
      </c>
      <c r="BB2041" s="48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357</v>
      </c>
      <c r="E2042" s="1" t="s">
        <v>135</v>
      </c>
      <c r="F2042" s="26">
        <v>6.4</v>
      </c>
      <c r="G2042" s="25" t="s">
        <v>293</v>
      </c>
      <c r="H2042" s="25"/>
      <c r="BA2042" s="73" t="s">
        <v>355</v>
      </c>
      <c r="BB2042" s="48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357</v>
      </c>
      <c r="E2043" s="1" t="s">
        <v>136</v>
      </c>
      <c r="F2043" s="26">
        <v>95</v>
      </c>
      <c r="G2043" s="25" t="s">
        <v>293</v>
      </c>
      <c r="H2043" s="25"/>
      <c r="BA2043" s="73" t="s">
        <v>355</v>
      </c>
      <c r="BB2043" s="48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357</v>
      </c>
      <c r="E2044" s="1" t="s">
        <v>339</v>
      </c>
      <c r="F2044" s="26">
        <v>1.1299999999999999</v>
      </c>
      <c r="G2044" s="25" t="s">
        <v>293</v>
      </c>
      <c r="H2044" s="25"/>
      <c r="BA2044" s="73" t="s">
        <v>355</v>
      </c>
      <c r="BB2044" s="48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357</v>
      </c>
      <c r="E2045" s="1" t="s">
        <v>118</v>
      </c>
      <c r="F2045" s="26">
        <v>9.4</v>
      </c>
      <c r="G2045" s="25" t="s">
        <v>293</v>
      </c>
      <c r="H2045" s="25"/>
      <c r="BA2045" s="73" t="s">
        <v>355</v>
      </c>
      <c r="BB2045" s="48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357</v>
      </c>
      <c r="E2046" s="1" t="s">
        <v>130</v>
      </c>
      <c r="F2046" s="26">
        <v>2.38</v>
      </c>
      <c r="G2046" s="25" t="s">
        <v>293</v>
      </c>
      <c r="H2046" s="25"/>
      <c r="BA2046" s="73" t="s">
        <v>355</v>
      </c>
      <c r="BB2046" s="48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357</v>
      </c>
      <c r="E2047" s="1" t="s">
        <v>341</v>
      </c>
      <c r="F2047" s="26">
        <v>1.0900000000000001</v>
      </c>
      <c r="G2047" s="25" t="s">
        <v>293</v>
      </c>
      <c r="H2047" s="25"/>
      <c r="BA2047" s="73" t="s">
        <v>355</v>
      </c>
      <c r="BB2047" s="48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357</v>
      </c>
      <c r="E2048" s="1" t="s">
        <v>127</v>
      </c>
      <c r="F2048" s="26">
        <v>4.57</v>
      </c>
      <c r="G2048" s="25" t="s">
        <v>293</v>
      </c>
      <c r="H2048" s="25"/>
      <c r="BA2048" s="73" t="s">
        <v>355</v>
      </c>
      <c r="BB2048" s="48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357</v>
      </c>
      <c r="E2049" s="1" t="s">
        <v>131</v>
      </c>
      <c r="F2049" s="26">
        <v>12.4</v>
      </c>
      <c r="G2049" s="25" t="s">
        <v>293</v>
      </c>
      <c r="H2049" s="25"/>
      <c r="BA2049" s="73" t="s">
        <v>355</v>
      </c>
      <c r="BB2049" s="48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357</v>
      </c>
      <c r="E2050" s="1" t="s">
        <v>342</v>
      </c>
      <c r="F2050" s="26">
        <v>191</v>
      </c>
      <c r="G2050" s="25" t="s">
        <v>293</v>
      </c>
      <c r="H2050" s="25"/>
      <c r="BA2050" s="73" t="s">
        <v>355</v>
      </c>
      <c r="BB2050" s="48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357</v>
      </c>
      <c r="E2051" s="1" t="s">
        <v>119</v>
      </c>
      <c r="F2051" s="26">
        <v>85</v>
      </c>
      <c r="G2051" s="25" t="s">
        <v>293</v>
      </c>
      <c r="H2051" s="25"/>
      <c r="BA2051" s="73" t="s">
        <v>355</v>
      </c>
      <c r="BB2051" s="48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357</v>
      </c>
      <c r="E2052" s="1" t="s">
        <v>120</v>
      </c>
      <c r="F2052" s="26">
        <v>27</v>
      </c>
      <c r="G2052" s="25" t="s">
        <v>293</v>
      </c>
      <c r="H2052" s="25"/>
      <c r="BA2052" s="73" t="s">
        <v>355</v>
      </c>
      <c r="BB2052" s="48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357</v>
      </c>
      <c r="E2053" s="1" t="s">
        <v>117</v>
      </c>
      <c r="F2053" s="26">
        <v>6.43</v>
      </c>
      <c r="G2053" s="25" t="s">
        <v>293</v>
      </c>
      <c r="H2053" s="25"/>
      <c r="BA2053" s="73" t="s">
        <v>355</v>
      </c>
      <c r="BB2053" s="48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357</v>
      </c>
      <c r="E2054" s="1" t="s">
        <v>344</v>
      </c>
      <c r="F2054" s="26">
        <v>68</v>
      </c>
      <c r="G2054" s="25" t="s">
        <v>293</v>
      </c>
      <c r="H2054" s="25"/>
      <c r="BA2054" s="73" t="s">
        <v>355</v>
      </c>
      <c r="BB2054" s="48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357</v>
      </c>
      <c r="E2055" s="1" t="s">
        <v>132</v>
      </c>
      <c r="F2055" s="26">
        <v>7.18</v>
      </c>
      <c r="G2055" s="25" t="s">
        <v>293</v>
      </c>
      <c r="H2055" s="25"/>
      <c r="BA2055" s="73" t="s">
        <v>355</v>
      </c>
      <c r="BB2055" s="48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357</v>
      </c>
      <c r="E2056" s="1" t="s">
        <v>111</v>
      </c>
      <c r="F2056" s="26">
        <v>283</v>
      </c>
      <c r="G2056" s="25" t="s">
        <v>293</v>
      </c>
      <c r="H2056" s="25"/>
      <c r="BA2056" s="73" t="s">
        <v>355</v>
      </c>
      <c r="BB2056" s="48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357</v>
      </c>
      <c r="E2057" s="1" t="s">
        <v>345</v>
      </c>
      <c r="F2057" s="26">
        <v>9.94</v>
      </c>
      <c r="G2057" s="25" t="s">
        <v>293</v>
      </c>
      <c r="H2057" s="25"/>
      <c r="BA2057" s="73" t="s">
        <v>355</v>
      </c>
      <c r="BB2057" s="48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357</v>
      </c>
      <c r="E2058" s="1" t="s">
        <v>347</v>
      </c>
      <c r="F2058" s="26">
        <v>4.6500000000000004</v>
      </c>
      <c r="G2058" s="25" t="s">
        <v>293</v>
      </c>
      <c r="H2058" s="25"/>
      <c r="BA2058" s="73" t="s">
        <v>355</v>
      </c>
      <c r="BB2058" s="48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357</v>
      </c>
      <c r="E2059" s="1" t="s">
        <v>128</v>
      </c>
      <c r="F2059" s="26">
        <v>4.4000000000000004</v>
      </c>
      <c r="G2059" s="25" t="s">
        <v>293</v>
      </c>
      <c r="H2059" s="25"/>
      <c r="BA2059" s="73" t="s">
        <v>355</v>
      </c>
      <c r="BB2059" s="48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357</v>
      </c>
      <c r="E2060" s="1" t="s">
        <v>121</v>
      </c>
      <c r="F2060" s="26">
        <v>78</v>
      </c>
      <c r="G2060" s="25" t="s">
        <v>293</v>
      </c>
      <c r="H2060" s="25"/>
      <c r="BA2060" s="73" t="s">
        <v>355</v>
      </c>
      <c r="BB2060" s="48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357</v>
      </c>
      <c r="E2061" s="1" t="s">
        <v>115</v>
      </c>
      <c r="F2061" s="26">
        <v>95</v>
      </c>
      <c r="G2061" s="25" t="s">
        <v>293</v>
      </c>
      <c r="H2061" s="25"/>
      <c r="BA2061" s="73" t="s">
        <v>355</v>
      </c>
      <c r="BB2061" s="48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357</v>
      </c>
      <c r="E2062" s="1" t="s">
        <v>137</v>
      </c>
      <c r="F2062" s="26">
        <v>482</v>
      </c>
      <c r="G2062" s="25" t="s">
        <v>293</v>
      </c>
      <c r="H2062" s="25"/>
      <c r="BA2062" s="73" t="s">
        <v>355</v>
      </c>
      <c r="BB2062" s="48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357</v>
      </c>
      <c r="E2063" s="1" t="s">
        <v>348</v>
      </c>
      <c r="F2063" s="26">
        <v>430</v>
      </c>
      <c r="G2063" s="25" t="s">
        <v>293</v>
      </c>
      <c r="H2063" s="25"/>
      <c r="BA2063" s="73" t="s">
        <v>355</v>
      </c>
      <c r="BB2063" s="48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357</v>
      </c>
      <c r="E2064" s="1" t="s">
        <v>125</v>
      </c>
      <c r="F2064" s="26">
        <v>431</v>
      </c>
      <c r="G2064" s="25" t="s">
        <v>293</v>
      </c>
      <c r="H2064" s="25"/>
      <c r="BA2064" s="73" t="s">
        <v>355</v>
      </c>
      <c r="BB2064" s="48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357</v>
      </c>
      <c r="E2065" s="1" t="s">
        <v>126</v>
      </c>
      <c r="F2065" s="26">
        <v>156</v>
      </c>
      <c r="G2065" s="25" t="s">
        <v>293</v>
      </c>
      <c r="H2065" s="25"/>
      <c r="BA2065" s="73" t="s">
        <v>355</v>
      </c>
      <c r="BB2065" s="48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357</v>
      </c>
      <c r="E2066" s="1" t="s">
        <v>349</v>
      </c>
      <c r="F2066" s="26">
        <v>383</v>
      </c>
      <c r="G2066" s="25" t="s">
        <v>293</v>
      </c>
      <c r="H2066" s="25"/>
      <c r="BA2066" s="73" t="s">
        <v>355</v>
      </c>
      <c r="BB2066" s="48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357</v>
      </c>
      <c r="E2067" s="1" t="s">
        <v>350</v>
      </c>
      <c r="F2067" s="26">
        <v>86</v>
      </c>
      <c r="G2067" s="25" t="s">
        <v>293</v>
      </c>
      <c r="H2067" s="25"/>
      <c r="BA2067" s="73" t="s">
        <v>355</v>
      </c>
      <c r="BB2067" s="48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357</v>
      </c>
      <c r="E2068" s="1" t="s">
        <v>122</v>
      </c>
      <c r="F2068" s="26">
        <v>216</v>
      </c>
      <c r="G2068" s="25" t="s">
        <v>293</v>
      </c>
      <c r="H2068" s="25"/>
      <c r="BA2068" s="73" t="s">
        <v>355</v>
      </c>
      <c r="BB2068" s="48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357</v>
      </c>
      <c r="E2069" s="1" t="s">
        <v>124</v>
      </c>
      <c r="F2069" s="26">
        <v>102</v>
      </c>
      <c r="G2069" s="25" t="s">
        <v>293</v>
      </c>
      <c r="H2069" s="25"/>
      <c r="BA2069" s="73" t="s">
        <v>355</v>
      </c>
      <c r="BB2069" s="48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357</v>
      </c>
      <c r="E2070" s="1" t="s">
        <v>351</v>
      </c>
      <c r="F2070" s="26">
        <v>3.63</v>
      </c>
      <c r="G2070" s="25" t="s">
        <v>293</v>
      </c>
      <c r="H2070" s="25"/>
      <c r="BA2070" s="73" t="s">
        <v>355</v>
      </c>
      <c r="BB2070" s="48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357</v>
      </c>
      <c r="E2071" s="1" t="s">
        <v>353</v>
      </c>
      <c r="F2071" s="26">
        <v>18.3</v>
      </c>
      <c r="G2071" s="25" t="s">
        <v>293</v>
      </c>
      <c r="H2071" s="25"/>
      <c r="BA2071" s="73" t="s">
        <v>355</v>
      </c>
      <c r="BB2071" s="48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357</v>
      </c>
      <c r="E2072" s="1" t="s">
        <v>133</v>
      </c>
      <c r="F2072" s="26">
        <v>128</v>
      </c>
      <c r="G2072" s="25" t="s">
        <v>293</v>
      </c>
      <c r="H2072" s="25"/>
      <c r="BA2072" s="73" t="s">
        <v>355</v>
      </c>
      <c r="BB2072" s="48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357</v>
      </c>
      <c r="E2073" s="1" t="s">
        <v>135</v>
      </c>
      <c r="F2073" s="26">
        <v>6.6</v>
      </c>
      <c r="G2073" s="25" t="s">
        <v>293</v>
      </c>
      <c r="H2073" s="25"/>
      <c r="BA2073" s="73" t="s">
        <v>355</v>
      </c>
      <c r="BB2073" s="48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357</v>
      </c>
      <c r="E2074" s="1" t="s">
        <v>136</v>
      </c>
      <c r="F2074" s="26">
        <v>94</v>
      </c>
      <c r="G2074" s="25" t="s">
        <v>293</v>
      </c>
      <c r="H2074" s="25"/>
      <c r="BA2074" s="73" t="s">
        <v>355</v>
      </c>
      <c r="BB2074" s="48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357</v>
      </c>
      <c r="E2075" s="1" t="s">
        <v>339</v>
      </c>
      <c r="F2075" s="26">
        <v>1.07</v>
      </c>
      <c r="G2075" s="25" t="s">
        <v>293</v>
      </c>
      <c r="H2075" s="25"/>
      <c r="BA2075" s="73" t="s">
        <v>355</v>
      </c>
      <c r="BB2075" s="48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357</v>
      </c>
      <c r="E2076" s="1" t="s">
        <v>118</v>
      </c>
      <c r="F2076" s="26">
        <v>9.5</v>
      </c>
      <c r="G2076" s="25" t="s">
        <v>293</v>
      </c>
      <c r="H2076" s="25"/>
      <c r="BA2076" s="73" t="s">
        <v>355</v>
      </c>
      <c r="BB2076" s="48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357</v>
      </c>
      <c r="E2077" s="1" t="s">
        <v>130</v>
      </c>
      <c r="F2077" s="26">
        <v>2.4</v>
      </c>
      <c r="G2077" s="25" t="s">
        <v>293</v>
      </c>
      <c r="H2077" s="25"/>
      <c r="BA2077" s="73" t="s">
        <v>355</v>
      </c>
      <c r="BB2077" s="48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357</v>
      </c>
      <c r="E2078" s="1" t="s">
        <v>341</v>
      </c>
      <c r="F2078" s="26">
        <v>1.1100000000000001</v>
      </c>
      <c r="G2078" s="25" t="s">
        <v>293</v>
      </c>
      <c r="H2078" s="25"/>
      <c r="BA2078" s="73" t="s">
        <v>355</v>
      </c>
      <c r="BB2078" s="48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357</v>
      </c>
      <c r="E2079" s="1" t="s">
        <v>127</v>
      </c>
      <c r="F2079" s="26">
        <v>4.59</v>
      </c>
      <c r="G2079" s="25" t="s">
        <v>293</v>
      </c>
      <c r="H2079" s="25"/>
      <c r="BA2079" s="73" t="s">
        <v>355</v>
      </c>
      <c r="BB2079" s="48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357</v>
      </c>
      <c r="E2080" s="1" t="s">
        <v>131</v>
      </c>
      <c r="F2080" s="26">
        <v>12</v>
      </c>
      <c r="G2080" s="25" t="s">
        <v>293</v>
      </c>
      <c r="H2080" s="25"/>
      <c r="BA2080" s="73" t="s">
        <v>355</v>
      </c>
      <c r="BB2080" s="48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357</v>
      </c>
      <c r="E2081" s="1" t="s">
        <v>342</v>
      </c>
      <c r="F2081" s="26">
        <v>185</v>
      </c>
      <c r="G2081" s="25" t="s">
        <v>293</v>
      </c>
      <c r="H2081" s="25"/>
      <c r="BA2081" s="73" t="s">
        <v>355</v>
      </c>
      <c r="BB2081" s="48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357</v>
      </c>
      <c r="E2082" s="1" t="s">
        <v>119</v>
      </c>
      <c r="F2082" s="26">
        <v>83</v>
      </c>
      <c r="G2082" s="25" t="s">
        <v>293</v>
      </c>
      <c r="H2082" s="25"/>
      <c r="BA2082" s="73" t="s">
        <v>355</v>
      </c>
      <c r="BB2082" s="48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357</v>
      </c>
      <c r="E2083" s="1" t="s">
        <v>120</v>
      </c>
      <c r="F2083" s="26">
        <v>27</v>
      </c>
      <c r="G2083" s="25" t="s">
        <v>293</v>
      </c>
      <c r="H2083" s="25"/>
      <c r="BA2083" s="73" t="s">
        <v>355</v>
      </c>
      <c r="BB2083" s="48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357</v>
      </c>
      <c r="E2084" s="1" t="s">
        <v>117</v>
      </c>
      <c r="F2084" s="26">
        <v>6.33</v>
      </c>
      <c r="G2084" s="25" t="s">
        <v>293</v>
      </c>
      <c r="H2084" s="25"/>
      <c r="BA2084" s="73" t="s">
        <v>355</v>
      </c>
      <c r="BB2084" s="48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357</v>
      </c>
      <c r="E2085" s="1" t="s">
        <v>344</v>
      </c>
      <c r="F2085" s="26">
        <v>67</v>
      </c>
      <c r="G2085" s="25" t="s">
        <v>293</v>
      </c>
      <c r="H2085" s="25"/>
      <c r="BA2085" s="73" t="s">
        <v>355</v>
      </c>
      <c r="BB2085" s="48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357</v>
      </c>
      <c r="E2086" s="1" t="s">
        <v>132</v>
      </c>
      <c r="F2086" s="26">
        <v>7.09</v>
      </c>
      <c r="G2086" s="25" t="s">
        <v>293</v>
      </c>
      <c r="H2086" s="25"/>
      <c r="BA2086" s="73" t="s">
        <v>355</v>
      </c>
      <c r="BB2086" s="48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357</v>
      </c>
      <c r="E2087" s="1" t="s">
        <v>111</v>
      </c>
      <c r="F2087" s="26">
        <v>282</v>
      </c>
      <c r="G2087" s="25" t="s">
        <v>293</v>
      </c>
      <c r="H2087" s="25"/>
      <c r="BA2087" s="73" t="s">
        <v>355</v>
      </c>
      <c r="BB2087" s="48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357</v>
      </c>
      <c r="E2088" s="1" t="s">
        <v>345</v>
      </c>
      <c r="F2088" s="26">
        <v>9.99</v>
      </c>
      <c r="G2088" s="25" t="s">
        <v>293</v>
      </c>
      <c r="H2088" s="25"/>
      <c r="BA2088" s="73" t="s">
        <v>355</v>
      </c>
      <c r="BB2088" s="48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357</v>
      </c>
      <c r="E2089" s="1" t="s">
        <v>347</v>
      </c>
      <c r="F2089" s="26">
        <v>4.4000000000000004</v>
      </c>
      <c r="G2089" s="25" t="s">
        <v>293</v>
      </c>
      <c r="H2089" s="25"/>
      <c r="BA2089" s="73" t="s">
        <v>355</v>
      </c>
      <c r="BB2089" s="48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357</v>
      </c>
      <c r="E2090" s="1" t="s">
        <v>128</v>
      </c>
      <c r="F2090" s="26">
        <v>4.3</v>
      </c>
      <c r="G2090" s="25" t="s">
        <v>293</v>
      </c>
      <c r="H2090" s="25"/>
      <c r="BA2090" s="73" t="s">
        <v>355</v>
      </c>
      <c r="BB2090" s="48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357</v>
      </c>
      <c r="E2091" s="1" t="s">
        <v>121</v>
      </c>
      <c r="F2091" s="26">
        <v>77</v>
      </c>
      <c r="G2091" s="25" t="s">
        <v>293</v>
      </c>
      <c r="H2091" s="25"/>
      <c r="BA2091" s="73" t="s">
        <v>355</v>
      </c>
      <c r="BB2091" s="48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357</v>
      </c>
      <c r="E2092" s="1" t="s">
        <v>115</v>
      </c>
      <c r="F2092" s="26">
        <v>96</v>
      </c>
      <c r="G2092" s="25" t="s">
        <v>293</v>
      </c>
      <c r="H2092" s="25"/>
      <c r="BA2092" s="73" t="s">
        <v>355</v>
      </c>
      <c r="BB2092" s="48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357</v>
      </c>
      <c r="E2093" s="1" t="s">
        <v>137</v>
      </c>
      <c r="F2093" s="26">
        <v>487</v>
      </c>
      <c r="G2093" s="25" t="s">
        <v>293</v>
      </c>
      <c r="H2093" s="25"/>
      <c r="BA2093" s="73" t="s">
        <v>355</v>
      </c>
      <c r="BB2093" s="48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357</v>
      </c>
      <c r="E2094" s="1" t="s">
        <v>348</v>
      </c>
      <c r="F2094" s="26">
        <v>427</v>
      </c>
      <c r="G2094" s="25" t="s">
        <v>293</v>
      </c>
      <c r="H2094" s="25"/>
      <c r="BA2094" s="73" t="s">
        <v>355</v>
      </c>
      <c r="BB2094" s="48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357</v>
      </c>
      <c r="E2095" s="1" t="s">
        <v>125</v>
      </c>
      <c r="F2095" s="26">
        <v>416</v>
      </c>
      <c r="G2095" s="25" t="s">
        <v>293</v>
      </c>
      <c r="H2095" s="25"/>
      <c r="BA2095" s="73" t="s">
        <v>355</v>
      </c>
      <c r="BB2095" s="48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357</v>
      </c>
      <c r="E2096" s="1" t="s">
        <v>126</v>
      </c>
      <c r="F2096" s="26">
        <v>151</v>
      </c>
      <c r="G2096" s="25" t="s">
        <v>293</v>
      </c>
      <c r="H2096" s="25"/>
      <c r="BA2096" s="73" t="s">
        <v>355</v>
      </c>
      <c r="BB2096" s="48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357</v>
      </c>
      <c r="E2097" s="1" t="s">
        <v>349</v>
      </c>
      <c r="F2097" s="26">
        <v>366</v>
      </c>
      <c r="G2097" s="25" t="s">
        <v>293</v>
      </c>
      <c r="H2097" s="25"/>
      <c r="BA2097" s="73" t="s">
        <v>355</v>
      </c>
      <c r="BB2097" s="48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357</v>
      </c>
      <c r="E2098" s="1" t="s">
        <v>350</v>
      </c>
      <c r="F2098" s="26">
        <v>86</v>
      </c>
      <c r="G2098" s="25" t="s">
        <v>293</v>
      </c>
      <c r="H2098" s="25"/>
      <c r="BA2098" s="73" t="s">
        <v>355</v>
      </c>
      <c r="BB2098" s="48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357</v>
      </c>
      <c r="E2099" s="1" t="s">
        <v>122</v>
      </c>
      <c r="F2099" s="26">
        <v>217</v>
      </c>
      <c r="G2099" s="25" t="s">
        <v>293</v>
      </c>
      <c r="H2099" s="25"/>
      <c r="BA2099" s="73" t="s">
        <v>355</v>
      </c>
      <c r="BB2099" s="48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357</v>
      </c>
      <c r="E2100" s="1" t="s">
        <v>124</v>
      </c>
      <c r="F2100" s="26">
        <v>107</v>
      </c>
      <c r="G2100" s="25" t="s">
        <v>293</v>
      </c>
      <c r="H2100" s="25"/>
      <c r="BA2100" s="73" t="s">
        <v>355</v>
      </c>
      <c r="BB2100" s="48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357</v>
      </c>
      <c r="E2101" s="1" t="s">
        <v>351</v>
      </c>
      <c r="F2101" s="26">
        <v>3.65</v>
      </c>
      <c r="G2101" s="25" t="s">
        <v>293</v>
      </c>
      <c r="H2101" s="25"/>
      <c r="BA2101" s="73" t="s">
        <v>355</v>
      </c>
      <c r="BB2101" s="48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357</v>
      </c>
      <c r="E2102" s="1" t="s">
        <v>353</v>
      </c>
      <c r="F2102" s="26">
        <v>18.399999999999999</v>
      </c>
      <c r="G2102" s="25" t="s">
        <v>293</v>
      </c>
      <c r="H2102" s="25"/>
      <c r="BA2102" s="73" t="s">
        <v>355</v>
      </c>
      <c r="BB2102" s="48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357</v>
      </c>
      <c r="E2103" s="1" t="s">
        <v>133</v>
      </c>
      <c r="F2103" s="26">
        <v>126</v>
      </c>
      <c r="G2103" s="25" t="s">
        <v>293</v>
      </c>
      <c r="H2103" s="25"/>
      <c r="BA2103" s="73" t="s">
        <v>355</v>
      </c>
      <c r="BB2103" s="48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357</v>
      </c>
      <c r="E2104" s="1" t="s">
        <v>135</v>
      </c>
      <c r="F2104" s="26">
        <v>6.4</v>
      </c>
      <c r="G2104" s="25" t="s">
        <v>293</v>
      </c>
      <c r="H2104" s="25"/>
      <c r="BA2104" s="73" t="s">
        <v>355</v>
      </c>
      <c r="BB2104" s="48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357</v>
      </c>
      <c r="E2105" s="1" t="s">
        <v>136</v>
      </c>
      <c r="F2105" s="26">
        <v>96</v>
      </c>
      <c r="G2105" s="25" t="s">
        <v>293</v>
      </c>
      <c r="H2105" s="25"/>
      <c r="BA2105" s="73" t="s">
        <v>355</v>
      </c>
      <c r="BB2105" s="48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356</v>
      </c>
      <c r="E2106" s="1" t="s">
        <v>339</v>
      </c>
      <c r="F2106" s="26">
        <v>4.5999999999999996</v>
      </c>
      <c r="G2106" s="25" t="s">
        <v>293</v>
      </c>
      <c r="H2106" s="25"/>
      <c r="BA2106" s="73" t="s">
        <v>355</v>
      </c>
      <c r="BB2106" s="48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356</v>
      </c>
      <c r="E2107" s="1" t="s">
        <v>118</v>
      </c>
      <c r="F2107" s="26">
        <v>4.5</v>
      </c>
      <c r="G2107" s="25" t="s">
        <v>293</v>
      </c>
      <c r="H2107" s="25"/>
      <c r="BA2107" s="73" t="s">
        <v>355</v>
      </c>
      <c r="BB2107" s="48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356</v>
      </c>
      <c r="E2108" s="1" t="s">
        <v>130</v>
      </c>
      <c r="F2108" s="26">
        <v>3.75</v>
      </c>
      <c r="G2108" s="25" t="s">
        <v>293</v>
      </c>
      <c r="H2108" s="25"/>
      <c r="BA2108" s="73" t="s">
        <v>355</v>
      </c>
      <c r="BB2108" s="48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356</v>
      </c>
      <c r="E2109" s="1" t="s">
        <v>341</v>
      </c>
      <c r="F2109" s="26">
        <v>0.27</v>
      </c>
      <c r="G2109" s="25" t="s">
        <v>293</v>
      </c>
      <c r="H2109" s="25"/>
      <c r="BA2109" s="73" t="s">
        <v>355</v>
      </c>
      <c r="BB2109" s="48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356</v>
      </c>
      <c r="E2110" s="1" t="s">
        <v>127</v>
      </c>
      <c r="F2110" s="26">
        <v>1.18</v>
      </c>
      <c r="G2110" s="25" t="s">
        <v>293</v>
      </c>
      <c r="H2110" s="25"/>
      <c r="BA2110" s="73" t="s">
        <v>355</v>
      </c>
      <c r="BB2110" s="48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356</v>
      </c>
      <c r="E2111" s="1" t="s">
        <v>131</v>
      </c>
      <c r="F2111" s="26">
        <v>8.6999999999999993</v>
      </c>
      <c r="G2111" s="25" t="s">
        <v>293</v>
      </c>
      <c r="H2111" s="25"/>
      <c r="BA2111" s="73" t="s">
        <v>355</v>
      </c>
      <c r="BB2111" s="48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356</v>
      </c>
      <c r="E2112" s="1" t="s">
        <v>342</v>
      </c>
      <c r="F2112" s="26">
        <v>319</v>
      </c>
      <c r="G2112" s="25" t="s">
        <v>293</v>
      </c>
      <c r="H2112" s="25"/>
      <c r="BA2112" s="73" t="s">
        <v>355</v>
      </c>
      <c r="BB2112" s="48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356</v>
      </c>
      <c r="E2113" s="1" t="s">
        <v>119</v>
      </c>
      <c r="F2113" s="26">
        <v>231</v>
      </c>
      <c r="G2113" s="25" t="s">
        <v>293</v>
      </c>
      <c r="H2113" s="25"/>
      <c r="BA2113" s="73" t="s">
        <v>355</v>
      </c>
      <c r="BB2113" s="48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356</v>
      </c>
      <c r="E2114" s="1" t="s">
        <v>120</v>
      </c>
      <c r="F2114" s="26">
        <v>77</v>
      </c>
      <c r="G2114" s="25" t="s">
        <v>293</v>
      </c>
      <c r="H2114" s="25"/>
      <c r="BA2114" s="73" t="s">
        <v>355</v>
      </c>
      <c r="BB2114" s="48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356</v>
      </c>
      <c r="E2115" s="1" t="s">
        <v>117</v>
      </c>
      <c r="F2115" s="26">
        <v>2.77</v>
      </c>
      <c r="G2115" s="25" t="s">
        <v>293</v>
      </c>
      <c r="H2115" s="25"/>
      <c r="BA2115" s="73" t="s">
        <v>355</v>
      </c>
      <c r="BB2115" s="48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356</v>
      </c>
      <c r="E2116" s="1" t="s">
        <v>344</v>
      </c>
      <c r="F2116" s="26">
        <v>230</v>
      </c>
      <c r="G2116" s="25" t="s">
        <v>293</v>
      </c>
      <c r="H2116" s="25"/>
      <c r="BA2116" s="73" t="s">
        <v>355</v>
      </c>
      <c r="BB2116" s="48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356</v>
      </c>
      <c r="E2117" s="1" t="s">
        <v>132</v>
      </c>
      <c r="F2117" s="26">
        <v>3.5</v>
      </c>
      <c r="G2117" s="25" t="s">
        <v>293</v>
      </c>
      <c r="H2117" s="25"/>
      <c r="BA2117" s="73" t="s">
        <v>355</v>
      </c>
      <c r="BB2117" s="48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356</v>
      </c>
      <c r="E2118" s="1" t="s">
        <v>111</v>
      </c>
      <c r="F2118" s="26">
        <v>88</v>
      </c>
      <c r="G2118" s="25" t="s">
        <v>293</v>
      </c>
      <c r="H2118" s="25"/>
      <c r="BA2118" s="73" t="s">
        <v>355</v>
      </c>
      <c r="BB2118" s="48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356</v>
      </c>
      <c r="E2119" s="1" t="s">
        <v>345</v>
      </c>
      <c r="F2119" s="26">
        <v>5.0999999999999996</v>
      </c>
      <c r="G2119" s="25" t="s">
        <v>293</v>
      </c>
      <c r="H2119" s="25"/>
      <c r="BA2119" s="73" t="s">
        <v>355</v>
      </c>
      <c r="BB2119" s="48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356</v>
      </c>
      <c r="E2120" s="1" t="s">
        <v>347</v>
      </c>
      <c r="F2120" s="26">
        <v>2.15</v>
      </c>
      <c r="G2120" s="25" t="s">
        <v>293</v>
      </c>
      <c r="H2120" s="25"/>
      <c r="BA2120" s="73" t="s">
        <v>355</v>
      </c>
      <c r="BB2120" s="48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356</v>
      </c>
      <c r="E2121" s="1" t="s">
        <v>128</v>
      </c>
      <c r="F2121" s="26">
        <v>6.8</v>
      </c>
      <c r="G2121" s="25" t="s">
        <v>293</v>
      </c>
      <c r="H2121" s="25"/>
      <c r="BA2121" s="73" t="s">
        <v>355</v>
      </c>
      <c r="BB2121" s="48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356</v>
      </c>
      <c r="E2122" s="1" t="s">
        <v>121</v>
      </c>
      <c r="F2122" s="26">
        <v>158</v>
      </c>
      <c r="G2122" s="25" t="s">
        <v>293</v>
      </c>
      <c r="H2122" s="25"/>
      <c r="BA2122" s="73" t="s">
        <v>355</v>
      </c>
      <c r="BB2122" s="48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356</v>
      </c>
      <c r="E2123" s="1" t="s">
        <v>115</v>
      </c>
      <c r="F2123" s="26">
        <v>32</v>
      </c>
      <c r="G2123" s="25" t="s">
        <v>293</v>
      </c>
      <c r="H2123" s="25"/>
      <c r="BA2123" s="73" t="s">
        <v>355</v>
      </c>
      <c r="BB2123" s="48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356</v>
      </c>
      <c r="E2124" s="1" t="s">
        <v>137</v>
      </c>
      <c r="F2124" s="26">
        <v>75</v>
      </c>
      <c r="G2124" s="25" t="s">
        <v>293</v>
      </c>
      <c r="H2124" s="25"/>
      <c r="BA2124" s="73" t="s">
        <v>355</v>
      </c>
      <c r="BB2124" s="48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356</v>
      </c>
      <c r="E2125" s="1" t="s">
        <v>348</v>
      </c>
      <c r="F2125" s="26">
        <v>136</v>
      </c>
      <c r="G2125" s="25" t="s">
        <v>293</v>
      </c>
      <c r="H2125" s="25"/>
      <c r="BA2125" s="73" t="s">
        <v>355</v>
      </c>
      <c r="BB2125" s="48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356</v>
      </c>
      <c r="E2126" s="1" t="s">
        <v>125</v>
      </c>
      <c r="F2126" s="26">
        <v>115</v>
      </c>
      <c r="G2126" s="25" t="s">
        <v>293</v>
      </c>
      <c r="H2126" s="25"/>
      <c r="BA2126" s="73" t="s">
        <v>355</v>
      </c>
      <c r="BB2126" s="48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356</v>
      </c>
      <c r="E2127" s="1" t="s">
        <v>126</v>
      </c>
      <c r="F2127" s="26">
        <v>77</v>
      </c>
      <c r="G2127" s="25" t="s">
        <v>293</v>
      </c>
      <c r="H2127" s="25"/>
      <c r="BA2127" s="73" t="s">
        <v>355</v>
      </c>
      <c r="BB2127" s="48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356</v>
      </c>
      <c r="E2128" s="1" t="s">
        <v>349</v>
      </c>
      <c r="F2128" s="26">
        <v>161</v>
      </c>
      <c r="G2128" s="25" t="s">
        <v>293</v>
      </c>
      <c r="H2128" s="25"/>
      <c r="BA2128" s="73" t="s">
        <v>355</v>
      </c>
      <c r="BB2128" s="48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356</v>
      </c>
      <c r="E2129" s="1" t="s">
        <v>350</v>
      </c>
      <c r="F2129" s="26">
        <v>61</v>
      </c>
      <c r="G2129" s="25" t="s">
        <v>293</v>
      </c>
      <c r="H2129" s="25"/>
      <c r="BA2129" s="73" t="s">
        <v>355</v>
      </c>
      <c r="BB2129" s="48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356</v>
      </c>
      <c r="E2130" s="1" t="s">
        <v>122</v>
      </c>
      <c r="F2130" s="26">
        <v>47</v>
      </c>
      <c r="G2130" s="25" t="s">
        <v>293</v>
      </c>
      <c r="H2130" s="25"/>
      <c r="BA2130" s="73" t="s">
        <v>355</v>
      </c>
      <c r="BB2130" s="48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356</v>
      </c>
      <c r="E2131" s="1" t="s">
        <v>124</v>
      </c>
      <c r="F2131" s="26">
        <v>30</v>
      </c>
      <c r="G2131" s="25" t="s">
        <v>293</v>
      </c>
      <c r="H2131" s="25"/>
      <c r="BA2131" s="73" t="s">
        <v>355</v>
      </c>
      <c r="BB2131" s="48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356</v>
      </c>
      <c r="E2132" s="1" t="s">
        <v>351</v>
      </c>
      <c r="F2132" s="26">
        <v>0.98</v>
      </c>
      <c r="G2132" s="25" t="s">
        <v>293</v>
      </c>
      <c r="H2132" s="25"/>
      <c r="BA2132" s="73" t="s">
        <v>355</v>
      </c>
      <c r="BB2132" s="48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356</v>
      </c>
      <c r="E2133" s="1" t="s">
        <v>353</v>
      </c>
      <c r="F2133" s="26">
        <v>30.7</v>
      </c>
      <c r="G2133" s="25" t="s">
        <v>293</v>
      </c>
      <c r="H2133" s="25"/>
      <c r="BA2133" s="73" t="s">
        <v>355</v>
      </c>
      <c r="BB2133" s="48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356</v>
      </c>
      <c r="E2134" s="1" t="s">
        <v>133</v>
      </c>
      <c r="F2134" s="26">
        <v>143</v>
      </c>
      <c r="G2134" s="25" t="s">
        <v>293</v>
      </c>
      <c r="H2134" s="25"/>
      <c r="BA2134" s="73" t="s">
        <v>355</v>
      </c>
      <c r="BB2134" s="48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356</v>
      </c>
      <c r="E2135" s="1" t="s">
        <v>135</v>
      </c>
      <c r="F2135" s="26">
        <v>3.7</v>
      </c>
      <c r="G2135" s="25" t="s">
        <v>293</v>
      </c>
      <c r="H2135" s="25"/>
      <c r="BA2135" s="73" t="s">
        <v>355</v>
      </c>
      <c r="BB2135" s="48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356</v>
      </c>
      <c r="E2136" s="1" t="s">
        <v>136</v>
      </c>
      <c r="F2136" s="26">
        <v>117</v>
      </c>
      <c r="G2136" s="25" t="s">
        <v>293</v>
      </c>
      <c r="H2136" s="25"/>
      <c r="BA2136" s="73" t="s">
        <v>355</v>
      </c>
      <c r="BB2136" s="48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356</v>
      </c>
      <c r="E2137" s="1" t="s">
        <v>339</v>
      </c>
      <c r="F2137" s="26">
        <v>4.7</v>
      </c>
      <c r="G2137" s="25" t="s">
        <v>293</v>
      </c>
      <c r="H2137" s="25"/>
      <c r="BA2137" s="73" t="s">
        <v>355</v>
      </c>
      <c r="BB2137" s="48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356</v>
      </c>
      <c r="E2138" s="1" t="s">
        <v>118</v>
      </c>
      <c r="F2138" s="26">
        <v>4.5999999999999996</v>
      </c>
      <c r="G2138" s="25" t="s">
        <v>293</v>
      </c>
      <c r="H2138" s="25"/>
      <c r="BA2138" s="73" t="s">
        <v>355</v>
      </c>
      <c r="BB2138" s="48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356</v>
      </c>
      <c r="E2139" s="1" t="s">
        <v>130</v>
      </c>
      <c r="F2139" s="26">
        <v>3.86</v>
      </c>
      <c r="G2139" s="25" t="s">
        <v>293</v>
      </c>
      <c r="H2139" s="25"/>
      <c r="BA2139" s="73" t="s">
        <v>355</v>
      </c>
      <c r="BB2139" s="48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356</v>
      </c>
      <c r="E2140" s="1" t="s">
        <v>341</v>
      </c>
      <c r="F2140" s="26">
        <v>0.27</v>
      </c>
      <c r="G2140" s="25" t="s">
        <v>293</v>
      </c>
      <c r="H2140" s="25"/>
      <c r="BA2140" s="73" t="s">
        <v>355</v>
      </c>
      <c r="BB2140" s="48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356</v>
      </c>
      <c r="E2141" s="1" t="s">
        <v>127</v>
      </c>
      <c r="F2141" s="26">
        <v>1.1599999999999999</v>
      </c>
      <c r="G2141" s="25" t="s">
        <v>293</v>
      </c>
      <c r="H2141" s="25"/>
      <c r="BA2141" s="73" t="s">
        <v>355</v>
      </c>
      <c r="BB2141" s="48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356</v>
      </c>
      <c r="E2142" s="1" t="s">
        <v>131</v>
      </c>
      <c r="F2142" s="26">
        <v>8.5</v>
      </c>
      <c r="G2142" s="25" t="s">
        <v>293</v>
      </c>
      <c r="H2142" s="25"/>
      <c r="BA2142" s="73" t="s">
        <v>355</v>
      </c>
      <c r="BB2142" s="48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356</v>
      </c>
      <c r="E2143" s="1" t="s">
        <v>342</v>
      </c>
      <c r="F2143" s="26">
        <v>315</v>
      </c>
      <c r="G2143" s="25" t="s">
        <v>293</v>
      </c>
      <c r="H2143" s="25"/>
      <c r="BA2143" s="73" t="s">
        <v>355</v>
      </c>
      <c r="BB2143" s="48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356</v>
      </c>
      <c r="E2144" s="1" t="s">
        <v>119</v>
      </c>
      <c r="F2144" s="26">
        <v>228</v>
      </c>
      <c r="G2144" s="25" t="s">
        <v>293</v>
      </c>
      <c r="H2144" s="25"/>
      <c r="BA2144" s="73" t="s">
        <v>355</v>
      </c>
      <c r="BB2144" s="48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356</v>
      </c>
      <c r="E2145" s="1" t="s">
        <v>120</v>
      </c>
      <c r="F2145" s="26">
        <v>76</v>
      </c>
      <c r="G2145" s="25" t="s">
        <v>293</v>
      </c>
      <c r="H2145" s="25"/>
      <c r="BA2145" s="73" t="s">
        <v>355</v>
      </c>
      <c r="BB2145" s="48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356</v>
      </c>
      <c r="E2146" s="1" t="s">
        <v>117</v>
      </c>
      <c r="F2146" s="26">
        <v>2.62</v>
      </c>
      <c r="G2146" s="25" t="s">
        <v>293</v>
      </c>
      <c r="H2146" s="25"/>
      <c r="BA2146" s="73" t="s">
        <v>355</v>
      </c>
      <c r="BB2146" s="48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356</v>
      </c>
      <c r="E2147" s="1" t="s">
        <v>344</v>
      </c>
      <c r="F2147" s="26">
        <v>233</v>
      </c>
      <c r="G2147" s="25" t="s">
        <v>293</v>
      </c>
      <c r="H2147" s="25"/>
      <c r="BA2147" s="73" t="s">
        <v>355</v>
      </c>
      <c r="BB2147" s="48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356</v>
      </c>
      <c r="E2148" s="1" t="s">
        <v>132</v>
      </c>
      <c r="F2148" s="26">
        <v>3.8</v>
      </c>
      <c r="G2148" s="25" t="s">
        <v>293</v>
      </c>
      <c r="H2148" s="25"/>
      <c r="BA2148" s="73" t="s">
        <v>355</v>
      </c>
      <c r="BB2148" s="48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356</v>
      </c>
      <c r="E2149" s="1" t="s">
        <v>111</v>
      </c>
      <c r="F2149" s="26">
        <v>88</v>
      </c>
      <c r="G2149" s="25" t="s">
        <v>293</v>
      </c>
      <c r="H2149" s="25"/>
      <c r="BA2149" s="73" t="s">
        <v>355</v>
      </c>
      <c r="BB2149" s="48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356</v>
      </c>
      <c r="E2150" s="1" t="s">
        <v>345</v>
      </c>
      <c r="F2150" s="26">
        <v>5.05</v>
      </c>
      <c r="G2150" s="25" t="s">
        <v>293</v>
      </c>
      <c r="H2150" s="25"/>
      <c r="BA2150" s="73" t="s">
        <v>355</v>
      </c>
      <c r="BB2150" s="48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356</v>
      </c>
      <c r="E2151" s="1" t="s">
        <v>347</v>
      </c>
      <c r="F2151" s="26">
        <v>2.02</v>
      </c>
      <c r="G2151" s="25" t="s">
        <v>293</v>
      </c>
      <c r="H2151" s="25"/>
      <c r="BA2151" s="73" t="s">
        <v>355</v>
      </c>
      <c r="BB2151" s="48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356</v>
      </c>
      <c r="E2152" s="1" t="s">
        <v>128</v>
      </c>
      <c r="F2152" s="26">
        <v>6.8</v>
      </c>
      <c r="G2152" s="25" t="s">
        <v>293</v>
      </c>
      <c r="H2152" s="25"/>
      <c r="BA2152" s="73" t="s">
        <v>355</v>
      </c>
      <c r="BB2152" s="48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356</v>
      </c>
      <c r="E2153" s="1" t="s">
        <v>121</v>
      </c>
      <c r="F2153" s="26">
        <v>157</v>
      </c>
      <c r="G2153" s="25" t="s">
        <v>293</v>
      </c>
      <c r="H2153" s="25"/>
      <c r="BA2153" s="73" t="s">
        <v>355</v>
      </c>
      <c r="BB2153" s="48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356</v>
      </c>
      <c r="E2154" s="1" t="s">
        <v>115</v>
      </c>
      <c r="F2154" s="26">
        <v>33</v>
      </c>
      <c r="G2154" s="25" t="s">
        <v>293</v>
      </c>
      <c r="H2154" s="25"/>
      <c r="BA2154" s="73" t="s">
        <v>355</v>
      </c>
      <c r="BB2154" s="48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356</v>
      </c>
      <c r="E2155" s="1" t="s">
        <v>137</v>
      </c>
      <c r="F2155" s="26">
        <v>75</v>
      </c>
      <c r="G2155" s="25" t="s">
        <v>293</v>
      </c>
      <c r="H2155" s="25"/>
      <c r="BA2155" s="73" t="s">
        <v>355</v>
      </c>
      <c r="BB2155" s="48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356</v>
      </c>
      <c r="E2156" s="1" t="s">
        <v>348</v>
      </c>
      <c r="F2156" s="26">
        <v>136</v>
      </c>
      <c r="G2156" s="25" t="s">
        <v>293</v>
      </c>
      <c r="H2156" s="25"/>
      <c r="BA2156" s="73" t="s">
        <v>355</v>
      </c>
      <c r="BB2156" s="48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356</v>
      </c>
      <c r="E2157" s="1" t="s">
        <v>125</v>
      </c>
      <c r="F2157" s="26">
        <v>115</v>
      </c>
      <c r="G2157" s="25" t="s">
        <v>293</v>
      </c>
      <c r="H2157" s="25"/>
      <c r="BA2157" s="73" t="s">
        <v>355</v>
      </c>
      <c r="BB2157" s="48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356</v>
      </c>
      <c r="E2158" s="1" t="s">
        <v>126</v>
      </c>
      <c r="F2158" s="26">
        <v>77</v>
      </c>
      <c r="G2158" s="25" t="s">
        <v>293</v>
      </c>
      <c r="H2158" s="25"/>
      <c r="BA2158" s="73" t="s">
        <v>355</v>
      </c>
      <c r="BB2158" s="48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356</v>
      </c>
      <c r="E2159" s="1" t="s">
        <v>349</v>
      </c>
      <c r="F2159" s="26">
        <v>157</v>
      </c>
      <c r="G2159" s="25" t="s">
        <v>293</v>
      </c>
      <c r="H2159" s="25"/>
      <c r="BA2159" s="73" t="s">
        <v>355</v>
      </c>
      <c r="BB2159" s="48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356</v>
      </c>
      <c r="E2160" s="1" t="s">
        <v>350</v>
      </c>
      <c r="F2160" s="26">
        <v>59</v>
      </c>
      <c r="G2160" s="25" t="s">
        <v>293</v>
      </c>
      <c r="H2160" s="25"/>
      <c r="BA2160" s="73" t="s">
        <v>355</v>
      </c>
      <c r="BB2160" s="48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356</v>
      </c>
      <c r="E2161" s="1" t="s">
        <v>122</v>
      </c>
      <c r="F2161" s="26">
        <v>47</v>
      </c>
      <c r="G2161" s="25" t="s">
        <v>293</v>
      </c>
      <c r="H2161" s="25"/>
      <c r="BA2161" s="73" t="s">
        <v>355</v>
      </c>
      <c r="BB2161" s="48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356</v>
      </c>
      <c r="E2162" s="1" t="s">
        <v>124</v>
      </c>
      <c r="F2162" s="26">
        <v>29</v>
      </c>
      <c r="G2162" s="25" t="s">
        <v>293</v>
      </c>
      <c r="H2162" s="25"/>
      <c r="BA2162" s="73" t="s">
        <v>355</v>
      </c>
      <c r="BB2162" s="48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356</v>
      </c>
      <c r="E2163" s="1" t="s">
        <v>351</v>
      </c>
      <c r="F2163" s="26">
        <v>1.01</v>
      </c>
      <c r="G2163" s="25" t="s">
        <v>293</v>
      </c>
      <c r="H2163" s="25"/>
      <c r="BA2163" s="73" t="s">
        <v>355</v>
      </c>
      <c r="BB2163" s="48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356</v>
      </c>
      <c r="E2164" s="1" t="s">
        <v>353</v>
      </c>
      <c r="F2164" s="26">
        <v>25.9</v>
      </c>
      <c r="G2164" s="25" t="s">
        <v>293</v>
      </c>
      <c r="H2164" s="25"/>
      <c r="BA2164" s="73" t="s">
        <v>355</v>
      </c>
      <c r="BB2164" s="48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356</v>
      </c>
      <c r="E2165" s="1" t="s">
        <v>133</v>
      </c>
      <c r="F2165" s="26">
        <v>145</v>
      </c>
      <c r="G2165" s="25" t="s">
        <v>293</v>
      </c>
      <c r="H2165" s="25"/>
      <c r="BA2165" s="73" t="s">
        <v>355</v>
      </c>
      <c r="BB2165" s="48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356</v>
      </c>
      <c r="E2166" s="1" t="s">
        <v>135</v>
      </c>
      <c r="F2166" s="26">
        <v>3.8</v>
      </c>
      <c r="G2166" s="25" t="s">
        <v>293</v>
      </c>
      <c r="H2166" s="25"/>
      <c r="BA2166" s="73" t="s">
        <v>355</v>
      </c>
      <c r="BB2166" s="48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356</v>
      </c>
      <c r="E2167" s="1" t="s">
        <v>136</v>
      </c>
      <c r="F2167" s="26">
        <v>116</v>
      </c>
      <c r="G2167" s="25" t="s">
        <v>293</v>
      </c>
      <c r="H2167" s="25"/>
      <c r="BA2167" s="73" t="s">
        <v>355</v>
      </c>
      <c r="BB2167" s="48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356</v>
      </c>
      <c r="E2168" s="1" t="s">
        <v>339</v>
      </c>
      <c r="F2168" s="26">
        <v>4.6100000000000003</v>
      </c>
      <c r="G2168" s="25" t="s">
        <v>293</v>
      </c>
      <c r="H2168" s="25"/>
      <c r="BA2168" s="73" t="s">
        <v>355</v>
      </c>
      <c r="BB2168" s="48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356</v>
      </c>
      <c r="E2169" s="1" t="s">
        <v>118</v>
      </c>
      <c r="F2169" s="26">
        <v>4.4000000000000004</v>
      </c>
      <c r="G2169" s="25" t="s">
        <v>293</v>
      </c>
      <c r="H2169" s="25"/>
      <c r="BA2169" s="73" t="s">
        <v>355</v>
      </c>
      <c r="BB2169" s="48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356</v>
      </c>
      <c r="E2170" s="1" t="s">
        <v>130</v>
      </c>
      <c r="F2170" s="26">
        <v>3.73</v>
      </c>
      <c r="G2170" s="25" t="s">
        <v>293</v>
      </c>
      <c r="H2170" s="25"/>
      <c r="BA2170" s="73" t="s">
        <v>355</v>
      </c>
      <c r="BB2170" s="48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356</v>
      </c>
      <c r="E2171" s="1" t="s">
        <v>341</v>
      </c>
      <c r="F2171" s="26">
        <v>0.3</v>
      </c>
      <c r="G2171" s="25" t="s">
        <v>293</v>
      </c>
      <c r="H2171" s="25"/>
      <c r="BA2171" s="73" t="s">
        <v>355</v>
      </c>
      <c r="BB2171" s="48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356</v>
      </c>
      <c r="E2172" s="1" t="s">
        <v>127</v>
      </c>
      <c r="F2172" s="26">
        <v>1.18</v>
      </c>
      <c r="G2172" s="25" t="s">
        <v>293</v>
      </c>
      <c r="H2172" s="25"/>
      <c r="BA2172" s="73" t="s">
        <v>355</v>
      </c>
      <c r="BB2172" s="48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356</v>
      </c>
      <c r="E2173" s="1" t="s">
        <v>131</v>
      </c>
      <c r="F2173" s="26">
        <v>8.5</v>
      </c>
      <c r="G2173" s="25" t="s">
        <v>293</v>
      </c>
      <c r="H2173" s="25"/>
      <c r="BA2173" s="73" t="s">
        <v>355</v>
      </c>
      <c r="BB2173" s="48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356</v>
      </c>
      <c r="E2174" s="1" t="s">
        <v>342</v>
      </c>
      <c r="F2174" s="26">
        <v>347</v>
      </c>
      <c r="G2174" s="25" t="s">
        <v>293</v>
      </c>
      <c r="H2174" s="25"/>
      <c r="BA2174" s="73" t="s">
        <v>355</v>
      </c>
      <c r="BB2174" s="48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356</v>
      </c>
      <c r="E2175" s="1" t="s">
        <v>119</v>
      </c>
      <c r="F2175" s="26">
        <v>228</v>
      </c>
      <c r="G2175" s="25" t="s">
        <v>293</v>
      </c>
      <c r="H2175" s="25"/>
      <c r="BA2175" s="73" t="s">
        <v>355</v>
      </c>
      <c r="BB2175" s="48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356</v>
      </c>
      <c r="E2176" s="1" t="s">
        <v>120</v>
      </c>
      <c r="F2176" s="26">
        <v>79</v>
      </c>
      <c r="G2176" s="25" t="s">
        <v>293</v>
      </c>
      <c r="H2176" s="25"/>
      <c r="BA2176" s="73" t="s">
        <v>355</v>
      </c>
      <c r="BB2176" s="48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356</v>
      </c>
      <c r="E2177" s="1" t="s">
        <v>117</v>
      </c>
      <c r="F2177" s="26">
        <v>2.57</v>
      </c>
      <c r="G2177" s="25" t="s">
        <v>293</v>
      </c>
      <c r="H2177" s="25"/>
      <c r="BA2177" s="73" t="s">
        <v>355</v>
      </c>
      <c r="BB2177" s="48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356</v>
      </c>
      <c r="E2178" s="1" t="s">
        <v>344</v>
      </c>
      <c r="F2178" s="26">
        <v>235</v>
      </c>
      <c r="G2178" s="25" t="s">
        <v>293</v>
      </c>
      <c r="H2178" s="25"/>
      <c r="BA2178" s="73" t="s">
        <v>355</v>
      </c>
      <c r="BB2178" s="48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356</v>
      </c>
      <c r="E2179" s="1" t="s">
        <v>132</v>
      </c>
      <c r="F2179" s="26">
        <v>3.42</v>
      </c>
      <c r="G2179" s="25" t="s">
        <v>293</v>
      </c>
      <c r="H2179" s="25"/>
      <c r="BA2179" s="73" t="s">
        <v>355</v>
      </c>
      <c r="BB2179" s="48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356</v>
      </c>
      <c r="E2180" s="1" t="s">
        <v>111</v>
      </c>
      <c r="F2180" s="26">
        <v>87</v>
      </c>
      <c r="G2180" s="25" t="s">
        <v>293</v>
      </c>
      <c r="H2180" s="25"/>
      <c r="BA2180" s="73" t="s">
        <v>355</v>
      </c>
      <c r="BB2180" s="48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356</v>
      </c>
      <c r="E2181" s="1" t="s">
        <v>345</v>
      </c>
      <c r="F2181" s="26">
        <v>5.16</v>
      </c>
      <c r="G2181" s="25" t="s">
        <v>293</v>
      </c>
      <c r="H2181" s="25"/>
      <c r="BA2181" s="73" t="s">
        <v>355</v>
      </c>
      <c r="BB2181" s="48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356</v>
      </c>
      <c r="E2182" s="1" t="s">
        <v>347</v>
      </c>
      <c r="F2182" s="26">
        <v>2.11</v>
      </c>
      <c r="G2182" s="25" t="s">
        <v>293</v>
      </c>
      <c r="H2182" s="25"/>
      <c r="BA2182" s="73" t="s">
        <v>355</v>
      </c>
      <c r="BB2182" s="48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356</v>
      </c>
      <c r="E2183" s="1" t="s">
        <v>128</v>
      </c>
      <c r="F2183" s="26">
        <v>6.7</v>
      </c>
      <c r="G2183" s="25" t="s">
        <v>293</v>
      </c>
      <c r="H2183" s="25"/>
      <c r="BA2183" s="73" t="s">
        <v>355</v>
      </c>
      <c r="BB2183" s="48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356</v>
      </c>
      <c r="E2184" s="1" t="s">
        <v>121</v>
      </c>
      <c r="F2184" s="26">
        <v>157</v>
      </c>
      <c r="G2184" s="25" t="s">
        <v>293</v>
      </c>
      <c r="H2184" s="25"/>
      <c r="BA2184" s="73" t="s">
        <v>355</v>
      </c>
      <c r="BB2184" s="48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356</v>
      </c>
      <c r="E2185" s="1" t="s">
        <v>115</v>
      </c>
      <c r="F2185" s="26">
        <v>33</v>
      </c>
      <c r="G2185" s="25" t="s">
        <v>293</v>
      </c>
      <c r="H2185" s="25"/>
      <c r="BA2185" s="73" t="s">
        <v>355</v>
      </c>
      <c r="BB2185" s="48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356</v>
      </c>
      <c r="E2186" s="1" t="s">
        <v>137</v>
      </c>
      <c r="F2186" s="26">
        <v>75</v>
      </c>
      <c r="G2186" s="25" t="s">
        <v>293</v>
      </c>
      <c r="H2186" s="25"/>
      <c r="BA2186" s="73" t="s">
        <v>355</v>
      </c>
      <c r="BB2186" s="48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356</v>
      </c>
      <c r="E2187" s="1" t="s">
        <v>348</v>
      </c>
      <c r="F2187" s="26">
        <v>137</v>
      </c>
      <c r="G2187" s="25" t="s">
        <v>293</v>
      </c>
      <c r="H2187" s="25"/>
      <c r="BA2187" s="73" t="s">
        <v>355</v>
      </c>
      <c r="BB2187" s="48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356</v>
      </c>
      <c r="E2188" s="1" t="s">
        <v>125</v>
      </c>
      <c r="F2188" s="26">
        <v>105</v>
      </c>
      <c r="G2188" s="25" t="s">
        <v>293</v>
      </c>
      <c r="H2188" s="25"/>
      <c r="BA2188" s="73" t="s">
        <v>355</v>
      </c>
      <c r="BB2188" s="48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356</v>
      </c>
      <c r="E2189" s="1" t="s">
        <v>126</v>
      </c>
      <c r="F2189" s="26">
        <v>79</v>
      </c>
      <c r="G2189" s="25" t="s">
        <v>293</v>
      </c>
      <c r="H2189" s="25"/>
      <c r="BA2189" s="73" t="s">
        <v>355</v>
      </c>
      <c r="BB2189" s="48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356</v>
      </c>
      <c r="E2190" s="1" t="s">
        <v>349</v>
      </c>
      <c r="F2190" s="26">
        <v>147</v>
      </c>
      <c r="G2190" s="25" t="s">
        <v>293</v>
      </c>
      <c r="H2190" s="25"/>
      <c r="BA2190" s="73" t="s">
        <v>355</v>
      </c>
      <c r="BB2190" s="48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356</v>
      </c>
      <c r="E2191" s="1" t="s">
        <v>350</v>
      </c>
      <c r="F2191" s="26">
        <v>58</v>
      </c>
      <c r="G2191" s="25" t="s">
        <v>293</v>
      </c>
      <c r="H2191" s="25"/>
      <c r="BA2191" s="73" t="s">
        <v>355</v>
      </c>
      <c r="BB2191" s="48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356</v>
      </c>
      <c r="E2192" s="1" t="s">
        <v>122</v>
      </c>
      <c r="F2192" s="26">
        <v>47</v>
      </c>
      <c r="G2192" s="25" t="s">
        <v>293</v>
      </c>
      <c r="H2192" s="25"/>
      <c r="BA2192" s="73" t="s">
        <v>355</v>
      </c>
      <c r="BB2192" s="48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356</v>
      </c>
      <c r="E2193" s="1" t="s">
        <v>124</v>
      </c>
      <c r="F2193" s="26">
        <v>32</v>
      </c>
      <c r="G2193" s="25" t="s">
        <v>293</v>
      </c>
      <c r="H2193" s="25"/>
      <c r="BA2193" s="73" t="s">
        <v>355</v>
      </c>
      <c r="BB2193" s="48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356</v>
      </c>
      <c r="E2194" s="1" t="s">
        <v>351</v>
      </c>
      <c r="F2194" s="26">
        <v>0.94</v>
      </c>
      <c r="G2194" s="25" t="s">
        <v>293</v>
      </c>
      <c r="H2194" s="25"/>
      <c r="BA2194" s="73" t="s">
        <v>355</v>
      </c>
      <c r="BB2194" s="48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356</v>
      </c>
      <c r="E2195" s="1" t="s">
        <v>353</v>
      </c>
      <c r="F2195" s="26">
        <v>32.9</v>
      </c>
      <c r="G2195" s="25" t="s">
        <v>293</v>
      </c>
      <c r="H2195" s="25"/>
      <c r="BA2195" s="73" t="s">
        <v>355</v>
      </c>
      <c r="BB2195" s="48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356</v>
      </c>
      <c r="E2196" s="1" t="s">
        <v>133</v>
      </c>
      <c r="F2196" s="26">
        <v>143</v>
      </c>
      <c r="G2196" s="25" t="s">
        <v>293</v>
      </c>
      <c r="H2196" s="25"/>
      <c r="BA2196" s="73" t="s">
        <v>355</v>
      </c>
      <c r="BB2196" s="48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356</v>
      </c>
      <c r="E2197" s="1" t="s">
        <v>135</v>
      </c>
      <c r="F2197" s="26">
        <v>3.7</v>
      </c>
      <c r="G2197" s="25" t="s">
        <v>293</v>
      </c>
      <c r="H2197" s="25"/>
      <c r="BA2197" s="73" t="s">
        <v>355</v>
      </c>
      <c r="BB2197" s="48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356</v>
      </c>
      <c r="E2198" s="1" t="s">
        <v>136</v>
      </c>
      <c r="F2198" s="26">
        <v>120</v>
      </c>
      <c r="G2198" s="25" t="s">
        <v>293</v>
      </c>
      <c r="H2198" s="25"/>
      <c r="BA2198" s="73" t="s">
        <v>355</v>
      </c>
      <c r="BB2198" s="48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356</v>
      </c>
      <c r="E2199" s="1" t="s">
        <v>339</v>
      </c>
      <c r="F2199" s="26">
        <v>4.67</v>
      </c>
      <c r="G2199" s="25" t="s">
        <v>293</v>
      </c>
      <c r="H2199" s="25"/>
      <c r="BA2199" s="73" t="s">
        <v>355</v>
      </c>
      <c r="BB2199" s="48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356</v>
      </c>
      <c r="E2200" s="1" t="s">
        <v>118</v>
      </c>
      <c r="F2200" s="26">
        <v>4.5999999999999996</v>
      </c>
      <c r="G2200" s="25" t="s">
        <v>293</v>
      </c>
      <c r="H2200" s="25"/>
      <c r="BA2200" s="73" t="s">
        <v>355</v>
      </c>
      <c r="BB2200" s="48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356</v>
      </c>
      <c r="E2201" s="1" t="s">
        <v>130</v>
      </c>
      <c r="F2201" s="26">
        <v>3.8</v>
      </c>
      <c r="G2201" s="25" t="s">
        <v>293</v>
      </c>
      <c r="H2201" s="25"/>
      <c r="BA2201" s="73" t="s">
        <v>355</v>
      </c>
      <c r="BB2201" s="48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356</v>
      </c>
      <c r="E2202" s="1" t="s">
        <v>341</v>
      </c>
      <c r="F2202" s="26">
        <v>0.28999999999999998</v>
      </c>
      <c r="G2202" s="25" t="s">
        <v>293</v>
      </c>
      <c r="H2202" s="25"/>
      <c r="BA2202" s="73" t="s">
        <v>355</v>
      </c>
      <c r="BB2202" s="48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356</v>
      </c>
      <c r="E2203" s="1" t="s">
        <v>127</v>
      </c>
      <c r="F2203" s="26">
        <v>1.1599999999999999</v>
      </c>
      <c r="G2203" s="25" t="s">
        <v>293</v>
      </c>
      <c r="H2203" s="25"/>
      <c r="BA2203" s="73" t="s">
        <v>355</v>
      </c>
      <c r="BB2203" s="48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356</v>
      </c>
      <c r="E2204" s="1" t="s">
        <v>131</v>
      </c>
      <c r="F2204" s="26">
        <v>8.5</v>
      </c>
      <c r="G2204" s="25" t="s">
        <v>293</v>
      </c>
      <c r="H2204" s="25"/>
      <c r="BA2204" s="73" t="s">
        <v>355</v>
      </c>
      <c r="BB2204" s="48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356</v>
      </c>
      <c r="E2205" s="1" t="s">
        <v>342</v>
      </c>
      <c r="F2205" s="26">
        <v>350</v>
      </c>
      <c r="G2205" s="25" t="s">
        <v>293</v>
      </c>
      <c r="H2205" s="25"/>
      <c r="BA2205" s="73" t="s">
        <v>355</v>
      </c>
      <c r="BB2205" s="48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356</v>
      </c>
      <c r="E2206" s="1" t="s">
        <v>119</v>
      </c>
      <c r="F2206" s="26">
        <v>227</v>
      </c>
      <c r="G2206" s="25" t="s">
        <v>293</v>
      </c>
      <c r="H2206" s="25"/>
      <c r="BA2206" s="73" t="s">
        <v>355</v>
      </c>
      <c r="BB2206" s="48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356</v>
      </c>
      <c r="E2207" s="1" t="s">
        <v>120</v>
      </c>
      <c r="F2207" s="26">
        <v>78</v>
      </c>
      <c r="G2207" s="25" t="s">
        <v>293</v>
      </c>
      <c r="H2207" s="25"/>
      <c r="BA2207" s="73" t="s">
        <v>355</v>
      </c>
      <c r="BB2207" s="48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356</v>
      </c>
      <c r="E2208" s="1" t="s">
        <v>117</v>
      </c>
      <c r="F2208" s="26">
        <v>2.68</v>
      </c>
      <c r="G2208" s="25" t="s">
        <v>293</v>
      </c>
      <c r="H2208" s="25"/>
      <c r="BA2208" s="73" t="s">
        <v>355</v>
      </c>
      <c r="BB2208" s="48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356</v>
      </c>
      <c r="E2209" s="1" t="s">
        <v>344</v>
      </c>
      <c r="F2209" s="26">
        <v>231</v>
      </c>
      <c r="G2209" s="25" t="s">
        <v>293</v>
      </c>
      <c r="H2209" s="25"/>
      <c r="BA2209" s="73" t="s">
        <v>355</v>
      </c>
      <c r="BB2209" s="48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356</v>
      </c>
      <c r="E2210" s="1" t="s">
        <v>132</v>
      </c>
      <c r="F2210" s="26">
        <v>3.57</v>
      </c>
      <c r="G2210" s="25" t="s">
        <v>293</v>
      </c>
      <c r="H2210" s="25"/>
      <c r="BA2210" s="73" t="s">
        <v>355</v>
      </c>
      <c r="BB2210" s="48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356</v>
      </c>
      <c r="E2211" s="1" t="s">
        <v>111</v>
      </c>
      <c r="F2211" s="26">
        <v>88</v>
      </c>
      <c r="G2211" s="25" t="s">
        <v>293</v>
      </c>
      <c r="H2211" s="25"/>
      <c r="BA2211" s="73" t="s">
        <v>355</v>
      </c>
      <c r="BB2211" s="48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356</v>
      </c>
      <c r="E2212" s="1" t="s">
        <v>345</v>
      </c>
      <c r="F2212" s="26">
        <v>5.0599999999999996</v>
      </c>
      <c r="G2212" s="25" t="s">
        <v>293</v>
      </c>
      <c r="H2212" s="25"/>
      <c r="BA2212" s="73" t="s">
        <v>355</v>
      </c>
      <c r="BB2212" s="48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356</v>
      </c>
      <c r="E2213" s="1" t="s">
        <v>347</v>
      </c>
      <c r="F2213" s="26">
        <v>2.06</v>
      </c>
      <c r="G2213" s="25" t="s">
        <v>293</v>
      </c>
      <c r="H2213" s="25"/>
      <c r="BA2213" s="73" t="s">
        <v>355</v>
      </c>
      <c r="BB2213" s="48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356</v>
      </c>
      <c r="E2214" s="1" t="s">
        <v>128</v>
      </c>
      <c r="F2214" s="26">
        <v>6.9</v>
      </c>
      <c r="G2214" s="25" t="s">
        <v>293</v>
      </c>
      <c r="H2214" s="25"/>
      <c r="BA2214" s="73" t="s">
        <v>355</v>
      </c>
      <c r="BB2214" s="48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356</v>
      </c>
      <c r="E2215" s="1" t="s">
        <v>121</v>
      </c>
      <c r="F2215" s="26">
        <v>157</v>
      </c>
      <c r="G2215" s="25" t="s">
        <v>293</v>
      </c>
      <c r="H2215" s="25"/>
      <c r="BA2215" s="73" t="s">
        <v>355</v>
      </c>
      <c r="BB2215" s="48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356</v>
      </c>
      <c r="E2216" s="1" t="s">
        <v>115</v>
      </c>
      <c r="F2216" s="26">
        <v>34</v>
      </c>
      <c r="G2216" s="25" t="s">
        <v>293</v>
      </c>
      <c r="H2216" s="25"/>
      <c r="BA2216" s="73" t="s">
        <v>355</v>
      </c>
      <c r="BB2216" s="48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356</v>
      </c>
      <c r="E2217" s="1" t="s">
        <v>137</v>
      </c>
      <c r="F2217" s="26">
        <v>74</v>
      </c>
      <c r="G2217" s="25" t="s">
        <v>293</v>
      </c>
      <c r="H2217" s="25"/>
      <c r="BA2217" s="73" t="s">
        <v>355</v>
      </c>
      <c r="BB2217" s="48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356</v>
      </c>
      <c r="E2218" s="1" t="s">
        <v>348</v>
      </c>
      <c r="F2218" s="26">
        <v>138</v>
      </c>
      <c r="G2218" s="25" t="s">
        <v>293</v>
      </c>
      <c r="H2218" s="25"/>
      <c r="BA2218" s="73" t="s">
        <v>355</v>
      </c>
      <c r="BB2218" s="48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356</v>
      </c>
      <c r="E2219" s="1" t="s">
        <v>125</v>
      </c>
      <c r="F2219" s="26">
        <v>113</v>
      </c>
      <c r="G2219" s="25" t="s">
        <v>293</v>
      </c>
      <c r="H2219" s="25"/>
      <c r="BA2219" s="73" t="s">
        <v>355</v>
      </c>
      <c r="BB2219" s="48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356</v>
      </c>
      <c r="E2220" s="1" t="s">
        <v>126</v>
      </c>
      <c r="F2220" s="26">
        <v>79</v>
      </c>
      <c r="G2220" s="25" t="s">
        <v>293</v>
      </c>
      <c r="H2220" s="25"/>
      <c r="BA2220" s="73" t="s">
        <v>355</v>
      </c>
      <c r="BB2220" s="48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356</v>
      </c>
      <c r="E2221" s="1" t="s">
        <v>349</v>
      </c>
      <c r="F2221" s="26">
        <v>156</v>
      </c>
      <c r="G2221" s="25" t="s">
        <v>293</v>
      </c>
      <c r="H2221" s="25"/>
      <c r="BA2221" s="73" t="s">
        <v>355</v>
      </c>
      <c r="BB2221" s="48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356</v>
      </c>
      <c r="E2222" s="1" t="s">
        <v>350</v>
      </c>
      <c r="F2222" s="26">
        <v>60</v>
      </c>
      <c r="G2222" s="25" t="s">
        <v>293</v>
      </c>
      <c r="H2222" s="25"/>
      <c r="BA2222" s="73" t="s">
        <v>355</v>
      </c>
      <c r="BB2222" s="48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356</v>
      </c>
      <c r="E2223" s="1" t="s">
        <v>122</v>
      </c>
      <c r="F2223" s="26">
        <v>46</v>
      </c>
      <c r="G2223" s="25" t="s">
        <v>293</v>
      </c>
      <c r="H2223" s="25"/>
      <c r="BA2223" s="73" t="s">
        <v>355</v>
      </c>
      <c r="BB2223" s="48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356</v>
      </c>
      <c r="E2224" s="1" t="s">
        <v>124</v>
      </c>
      <c r="F2224" s="26">
        <v>31</v>
      </c>
      <c r="G2224" s="25" t="s">
        <v>293</v>
      </c>
      <c r="H2224" s="25"/>
      <c r="BA2224" s="73" t="s">
        <v>355</v>
      </c>
      <c r="BB2224" s="48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356</v>
      </c>
      <c r="E2225" s="1" t="s">
        <v>351</v>
      </c>
      <c r="F2225" s="26">
        <v>0.99</v>
      </c>
      <c r="G2225" s="25" t="s">
        <v>293</v>
      </c>
      <c r="H2225" s="25"/>
      <c r="BA2225" s="73" t="s">
        <v>355</v>
      </c>
      <c r="BB2225" s="48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356</v>
      </c>
      <c r="E2226" s="1" t="s">
        <v>353</v>
      </c>
      <c r="F2226" s="26">
        <v>26.1</v>
      </c>
      <c r="G2226" s="25" t="s">
        <v>293</v>
      </c>
      <c r="H2226" s="25"/>
      <c r="BA2226" s="73" t="s">
        <v>355</v>
      </c>
      <c r="BB2226" s="48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356</v>
      </c>
      <c r="E2227" s="1" t="s">
        <v>133</v>
      </c>
      <c r="F2227" s="26">
        <v>143</v>
      </c>
      <c r="G2227" s="25" t="s">
        <v>293</v>
      </c>
      <c r="H2227" s="25"/>
      <c r="BA2227" s="73" t="s">
        <v>355</v>
      </c>
      <c r="BB2227" s="48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356</v>
      </c>
      <c r="E2228" s="1" t="s">
        <v>135</v>
      </c>
      <c r="F2228" s="26">
        <v>3.7</v>
      </c>
      <c r="G2228" s="25" t="s">
        <v>293</v>
      </c>
      <c r="H2228" s="25"/>
      <c r="BA2228" s="73" t="s">
        <v>355</v>
      </c>
      <c r="BB2228" s="48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356</v>
      </c>
      <c r="E2229" s="1" t="s">
        <v>136</v>
      </c>
      <c r="F2229" s="26">
        <v>117</v>
      </c>
      <c r="G2229" s="25" t="s">
        <v>293</v>
      </c>
      <c r="H2229" s="25"/>
      <c r="BA2229" s="73" t="s">
        <v>355</v>
      </c>
      <c r="BB2229" s="48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356</v>
      </c>
      <c r="E2230" s="1" t="s">
        <v>339</v>
      </c>
      <c r="F2230" s="26">
        <v>4.62</v>
      </c>
      <c r="G2230" s="25" t="s">
        <v>293</v>
      </c>
      <c r="H2230" s="25"/>
      <c r="BA2230" s="73" t="s">
        <v>355</v>
      </c>
      <c r="BB2230" s="48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356</v>
      </c>
      <c r="E2231" s="1" t="s">
        <v>118</v>
      </c>
      <c r="F2231" s="26">
        <v>4.5999999999999996</v>
      </c>
      <c r="G2231" s="25" t="s">
        <v>293</v>
      </c>
      <c r="H2231" s="25"/>
      <c r="BA2231" s="73" t="s">
        <v>355</v>
      </c>
      <c r="BB2231" s="48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356</v>
      </c>
      <c r="E2232" s="1" t="s">
        <v>130</v>
      </c>
      <c r="F2232" s="26">
        <v>3.77</v>
      </c>
      <c r="G2232" s="25" t="s">
        <v>293</v>
      </c>
      <c r="H2232" s="25"/>
      <c r="BA2232" s="73" t="s">
        <v>355</v>
      </c>
      <c r="BB2232" s="48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356</v>
      </c>
      <c r="E2233" s="1" t="s">
        <v>341</v>
      </c>
      <c r="F2233" s="26">
        <v>0.27</v>
      </c>
      <c r="G2233" s="25" t="s">
        <v>293</v>
      </c>
      <c r="H2233" s="25"/>
      <c r="BA2233" s="73" t="s">
        <v>355</v>
      </c>
      <c r="BB2233" s="48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356</v>
      </c>
      <c r="E2234" s="1" t="s">
        <v>127</v>
      </c>
      <c r="F2234" s="26">
        <v>1.1599999999999999</v>
      </c>
      <c r="G2234" s="25" t="s">
        <v>293</v>
      </c>
      <c r="H2234" s="25"/>
      <c r="BA2234" s="73" t="s">
        <v>355</v>
      </c>
      <c r="BB2234" s="48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356</v>
      </c>
      <c r="E2235" s="1" t="s">
        <v>131</v>
      </c>
      <c r="F2235" s="26">
        <v>8.6</v>
      </c>
      <c r="G2235" s="25" t="s">
        <v>293</v>
      </c>
      <c r="H2235" s="25"/>
      <c r="BA2235" s="73" t="s">
        <v>355</v>
      </c>
      <c r="BB2235" s="48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356</v>
      </c>
      <c r="E2236" s="1" t="s">
        <v>342</v>
      </c>
      <c r="F2236" s="26">
        <v>333</v>
      </c>
      <c r="G2236" s="25" t="s">
        <v>293</v>
      </c>
      <c r="H2236" s="25"/>
      <c r="BA2236" s="73" t="s">
        <v>355</v>
      </c>
      <c r="BB2236" s="48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356</v>
      </c>
      <c r="E2237" s="1" t="s">
        <v>119</v>
      </c>
      <c r="F2237" s="26">
        <v>227</v>
      </c>
      <c r="G2237" s="25" t="s">
        <v>293</v>
      </c>
      <c r="H2237" s="25"/>
      <c r="BA2237" s="73" t="s">
        <v>355</v>
      </c>
      <c r="BB2237" s="48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356</v>
      </c>
      <c r="E2238" s="1" t="s">
        <v>120</v>
      </c>
      <c r="F2238" s="26">
        <v>76</v>
      </c>
      <c r="G2238" s="25" t="s">
        <v>293</v>
      </c>
      <c r="H2238" s="25"/>
      <c r="BA2238" s="73" t="s">
        <v>355</v>
      </c>
      <c r="BB2238" s="48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356</v>
      </c>
      <c r="E2239" s="1" t="s">
        <v>117</v>
      </c>
      <c r="F2239" s="26">
        <v>2.64</v>
      </c>
      <c r="G2239" s="25" t="s">
        <v>293</v>
      </c>
      <c r="H2239" s="25"/>
      <c r="BA2239" s="73" t="s">
        <v>355</v>
      </c>
      <c r="BB2239" s="48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356</v>
      </c>
      <c r="E2240" s="1" t="s">
        <v>344</v>
      </c>
      <c r="F2240" s="26">
        <v>235</v>
      </c>
      <c r="G2240" s="25" t="s">
        <v>293</v>
      </c>
      <c r="H2240" s="25"/>
      <c r="BA2240" s="73" t="s">
        <v>355</v>
      </c>
      <c r="BB2240" s="48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356</v>
      </c>
      <c r="E2241" s="1" t="s">
        <v>132</v>
      </c>
      <c r="F2241" s="26">
        <v>3.64</v>
      </c>
      <c r="G2241" s="25" t="s">
        <v>293</v>
      </c>
      <c r="H2241" s="25"/>
      <c r="BA2241" s="73" t="s">
        <v>355</v>
      </c>
      <c r="BB2241" s="48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356</v>
      </c>
      <c r="E2242" s="1" t="s">
        <v>111</v>
      </c>
      <c r="F2242" s="26">
        <v>88</v>
      </c>
      <c r="G2242" s="25" t="s">
        <v>293</v>
      </c>
      <c r="H2242" s="25"/>
      <c r="BA2242" s="73" t="s">
        <v>355</v>
      </c>
      <c r="BB2242" s="48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356</v>
      </c>
      <c r="E2243" s="1" t="s">
        <v>345</v>
      </c>
      <c r="F2243" s="26">
        <v>5.12</v>
      </c>
      <c r="G2243" s="25" t="s">
        <v>293</v>
      </c>
      <c r="H2243" s="25"/>
      <c r="BA2243" s="73" t="s">
        <v>355</v>
      </c>
      <c r="BB2243" s="48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356</v>
      </c>
      <c r="E2244" s="1" t="s">
        <v>347</v>
      </c>
      <c r="F2244" s="26">
        <v>2.04</v>
      </c>
      <c r="G2244" s="25" t="s">
        <v>293</v>
      </c>
      <c r="H2244" s="25"/>
      <c r="BA2244" s="73" t="s">
        <v>355</v>
      </c>
      <c r="BB2244" s="48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356</v>
      </c>
      <c r="E2245" s="1" t="s">
        <v>128</v>
      </c>
      <c r="F2245" s="26">
        <v>6.9</v>
      </c>
      <c r="G2245" s="25" t="s">
        <v>293</v>
      </c>
      <c r="H2245" s="25"/>
      <c r="BA2245" s="73" t="s">
        <v>355</v>
      </c>
      <c r="BB2245" s="48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356</v>
      </c>
      <c r="E2246" s="1" t="s">
        <v>121</v>
      </c>
      <c r="F2246" s="26">
        <v>158</v>
      </c>
      <c r="G2246" s="25" t="s">
        <v>293</v>
      </c>
      <c r="H2246" s="25"/>
      <c r="BA2246" s="73" t="s">
        <v>355</v>
      </c>
      <c r="BB2246" s="48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356</v>
      </c>
      <c r="E2247" s="1" t="s">
        <v>115</v>
      </c>
      <c r="F2247" s="26">
        <v>33</v>
      </c>
      <c r="G2247" s="25" t="s">
        <v>293</v>
      </c>
      <c r="H2247" s="25"/>
      <c r="BA2247" s="73" t="s">
        <v>355</v>
      </c>
      <c r="BB2247" s="48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356</v>
      </c>
      <c r="E2248" s="1" t="s">
        <v>137</v>
      </c>
      <c r="F2248" s="26">
        <v>73</v>
      </c>
      <c r="G2248" s="25" t="s">
        <v>293</v>
      </c>
      <c r="H2248" s="25"/>
      <c r="BA2248" s="73" t="s">
        <v>355</v>
      </c>
      <c r="BB2248" s="48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356</v>
      </c>
      <c r="E2249" s="1" t="s">
        <v>348</v>
      </c>
      <c r="F2249" s="26">
        <v>136</v>
      </c>
      <c r="G2249" s="25" t="s">
        <v>293</v>
      </c>
      <c r="H2249" s="25"/>
      <c r="BA2249" s="73" t="s">
        <v>355</v>
      </c>
      <c r="BB2249" s="48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356</v>
      </c>
      <c r="E2250" s="1" t="s">
        <v>125</v>
      </c>
      <c r="F2250" s="26">
        <v>113</v>
      </c>
      <c r="G2250" s="25" t="s">
        <v>293</v>
      </c>
      <c r="H2250" s="25"/>
      <c r="BA2250" s="73" t="s">
        <v>355</v>
      </c>
      <c r="BB2250" s="48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356</v>
      </c>
      <c r="E2251" s="1" t="s">
        <v>126</v>
      </c>
      <c r="F2251" s="26">
        <v>79</v>
      </c>
      <c r="G2251" s="25" t="s">
        <v>293</v>
      </c>
      <c r="H2251" s="25"/>
      <c r="BA2251" s="73" t="s">
        <v>355</v>
      </c>
      <c r="BB2251" s="48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356</v>
      </c>
      <c r="E2252" s="1" t="s">
        <v>349</v>
      </c>
      <c r="F2252" s="26">
        <v>151</v>
      </c>
      <c r="G2252" s="25" t="s">
        <v>293</v>
      </c>
      <c r="H2252" s="25"/>
      <c r="BA2252" s="73" t="s">
        <v>355</v>
      </c>
      <c r="BB2252" s="48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356</v>
      </c>
      <c r="E2253" s="1" t="s">
        <v>350</v>
      </c>
      <c r="F2253" s="26">
        <v>60</v>
      </c>
      <c r="G2253" s="25" t="s">
        <v>293</v>
      </c>
      <c r="H2253" s="25"/>
      <c r="BA2253" s="73" t="s">
        <v>355</v>
      </c>
      <c r="BB2253" s="48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356</v>
      </c>
      <c r="E2254" s="1" t="s">
        <v>122</v>
      </c>
      <c r="F2254" s="26">
        <v>47</v>
      </c>
      <c r="G2254" s="25" t="s">
        <v>293</v>
      </c>
      <c r="H2254" s="25"/>
      <c r="BA2254" s="73" t="s">
        <v>355</v>
      </c>
      <c r="BB2254" s="48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356</v>
      </c>
      <c r="E2255" s="1" t="s">
        <v>124</v>
      </c>
      <c r="F2255" s="26">
        <v>30</v>
      </c>
      <c r="G2255" s="25" t="s">
        <v>293</v>
      </c>
      <c r="H2255" s="25"/>
      <c r="BA2255" s="73" t="s">
        <v>355</v>
      </c>
      <c r="BB2255" s="48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356</v>
      </c>
      <c r="E2256" s="1" t="s">
        <v>351</v>
      </c>
      <c r="F2256" s="26">
        <v>0.93</v>
      </c>
      <c r="G2256" s="25" t="s">
        <v>293</v>
      </c>
      <c r="H2256" s="25"/>
      <c r="BA2256" s="73" t="s">
        <v>355</v>
      </c>
      <c r="BB2256" s="48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356</v>
      </c>
      <c r="E2257" s="1" t="s">
        <v>353</v>
      </c>
      <c r="F2257" s="26">
        <v>33.4</v>
      </c>
      <c r="G2257" s="25" t="s">
        <v>293</v>
      </c>
      <c r="H2257" s="25"/>
      <c r="BA2257" s="73" t="s">
        <v>355</v>
      </c>
      <c r="BB2257" s="48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356</v>
      </c>
      <c r="E2258" s="1" t="s">
        <v>133</v>
      </c>
      <c r="F2258" s="26">
        <v>146</v>
      </c>
      <c r="G2258" s="25" t="s">
        <v>293</v>
      </c>
      <c r="H2258" s="25"/>
      <c r="BA2258" s="73" t="s">
        <v>355</v>
      </c>
      <c r="BB2258" s="48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356</v>
      </c>
      <c r="E2259" s="1" t="s">
        <v>135</v>
      </c>
      <c r="F2259" s="26">
        <v>3.7</v>
      </c>
      <c r="G2259" s="25" t="s">
        <v>293</v>
      </c>
      <c r="H2259" s="25"/>
      <c r="BA2259" s="73" t="s">
        <v>355</v>
      </c>
      <c r="BB2259" s="48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356</v>
      </c>
      <c r="E2260" s="1" t="s">
        <v>136</v>
      </c>
      <c r="F2260" s="26">
        <v>115</v>
      </c>
      <c r="G2260" s="25" t="s">
        <v>293</v>
      </c>
      <c r="H2260" s="25"/>
      <c r="BA2260" s="73" t="s">
        <v>355</v>
      </c>
      <c r="BB2260" s="48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356</v>
      </c>
      <c r="E2261" s="1" t="s">
        <v>339</v>
      </c>
      <c r="F2261" s="26">
        <v>4.7</v>
      </c>
      <c r="G2261" s="25" t="s">
        <v>293</v>
      </c>
      <c r="H2261" s="25"/>
      <c r="BA2261" s="73" t="s">
        <v>355</v>
      </c>
      <c r="BB2261" s="48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356</v>
      </c>
      <c r="E2262" s="1" t="s">
        <v>118</v>
      </c>
      <c r="F2262" s="26">
        <v>4.5999999999999996</v>
      </c>
      <c r="G2262" s="25" t="s">
        <v>293</v>
      </c>
      <c r="H2262" s="25"/>
      <c r="BA2262" s="73" t="s">
        <v>355</v>
      </c>
      <c r="BB2262" s="48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356</v>
      </c>
      <c r="E2263" s="1" t="s">
        <v>130</v>
      </c>
      <c r="F2263" s="26">
        <v>3.78</v>
      </c>
      <c r="G2263" s="25" t="s">
        <v>293</v>
      </c>
      <c r="H2263" s="25"/>
      <c r="BA2263" s="73" t="s">
        <v>355</v>
      </c>
      <c r="BB2263" s="48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356</v>
      </c>
      <c r="E2264" s="1" t="s">
        <v>341</v>
      </c>
      <c r="F2264" s="26">
        <v>0.29399999999999998</v>
      </c>
      <c r="G2264" s="25" t="s">
        <v>293</v>
      </c>
      <c r="H2264" s="25"/>
      <c r="BA2264" s="73" t="s">
        <v>355</v>
      </c>
      <c r="BB2264" s="48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356</v>
      </c>
      <c r="E2265" s="1" t="s">
        <v>127</v>
      </c>
      <c r="F2265" s="26">
        <v>1.1439999999999999</v>
      </c>
      <c r="G2265" s="25" t="s">
        <v>293</v>
      </c>
      <c r="H2265" s="25"/>
      <c r="BA2265" s="73" t="s">
        <v>355</v>
      </c>
      <c r="BB2265" s="48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356</v>
      </c>
      <c r="E2266" s="1" t="s">
        <v>131</v>
      </c>
      <c r="F2266" s="26">
        <v>8.6</v>
      </c>
      <c r="G2266" s="25" t="s">
        <v>293</v>
      </c>
      <c r="H2266" s="25"/>
      <c r="BA2266" s="73" t="s">
        <v>355</v>
      </c>
      <c r="BB2266" s="48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356</v>
      </c>
      <c r="E2267" s="1" t="s">
        <v>342</v>
      </c>
      <c r="F2267" s="26">
        <v>348</v>
      </c>
      <c r="G2267" s="25" t="s">
        <v>293</v>
      </c>
      <c r="H2267" s="25"/>
      <c r="BA2267" s="73" t="s">
        <v>355</v>
      </c>
      <c r="BB2267" s="48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356</v>
      </c>
      <c r="E2268" s="1" t="s">
        <v>119</v>
      </c>
      <c r="F2268" s="26">
        <v>238</v>
      </c>
      <c r="G2268" s="25" t="s">
        <v>293</v>
      </c>
      <c r="H2268" s="25"/>
      <c r="BA2268" s="73" t="s">
        <v>355</v>
      </c>
      <c r="BB2268" s="48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356</v>
      </c>
      <c r="E2269" s="1" t="s">
        <v>120</v>
      </c>
      <c r="F2269" s="26">
        <v>77</v>
      </c>
      <c r="G2269" s="25" t="s">
        <v>293</v>
      </c>
      <c r="H2269" s="25"/>
      <c r="BA2269" s="73" t="s">
        <v>355</v>
      </c>
      <c r="BB2269" s="48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356</v>
      </c>
      <c r="E2270" s="1" t="s">
        <v>117</v>
      </c>
      <c r="F2270" s="26">
        <v>2.64</v>
      </c>
      <c r="G2270" s="25" t="s">
        <v>293</v>
      </c>
      <c r="H2270" s="25"/>
      <c r="BA2270" s="73" t="s">
        <v>355</v>
      </c>
      <c r="BB2270" s="48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356</v>
      </c>
      <c r="E2271" s="1" t="s">
        <v>344</v>
      </c>
      <c r="F2271" s="26">
        <v>231</v>
      </c>
      <c r="G2271" s="25" t="s">
        <v>293</v>
      </c>
      <c r="H2271" s="25"/>
      <c r="BA2271" s="73" t="s">
        <v>355</v>
      </c>
      <c r="BB2271" s="48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356</v>
      </c>
      <c r="E2272" s="1" t="s">
        <v>132</v>
      </c>
      <c r="F2272" s="26">
        <v>3.6</v>
      </c>
      <c r="G2272" s="25" t="s">
        <v>293</v>
      </c>
      <c r="H2272" s="25"/>
      <c r="BA2272" s="73" t="s">
        <v>355</v>
      </c>
      <c r="BB2272" s="48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356</v>
      </c>
      <c r="E2273" s="1" t="s">
        <v>111</v>
      </c>
      <c r="F2273" s="26">
        <v>87</v>
      </c>
      <c r="G2273" s="25" t="s">
        <v>293</v>
      </c>
      <c r="H2273" s="25"/>
      <c r="BA2273" s="73" t="s">
        <v>355</v>
      </c>
      <c r="BB2273" s="48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356</v>
      </c>
      <c r="E2274" s="1" t="s">
        <v>345</v>
      </c>
      <c r="F2274" s="26">
        <v>5.27</v>
      </c>
      <c r="G2274" s="25" t="s">
        <v>293</v>
      </c>
      <c r="H2274" s="25"/>
      <c r="BA2274" s="73" t="s">
        <v>355</v>
      </c>
      <c r="BB2274" s="48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356</v>
      </c>
      <c r="E2275" s="1" t="s">
        <v>347</v>
      </c>
      <c r="F2275" s="26">
        <v>2.0499999999999998</v>
      </c>
      <c r="G2275" s="25" t="s">
        <v>293</v>
      </c>
      <c r="H2275" s="25"/>
      <c r="BA2275" s="73" t="s">
        <v>355</v>
      </c>
      <c r="BB2275" s="48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356</v>
      </c>
      <c r="E2276" s="1" t="s">
        <v>128</v>
      </c>
      <c r="F2276" s="26">
        <v>6.8</v>
      </c>
      <c r="G2276" s="25" t="s">
        <v>293</v>
      </c>
      <c r="H2276" s="25"/>
      <c r="BA2276" s="73" t="s">
        <v>355</v>
      </c>
      <c r="BB2276" s="48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356</v>
      </c>
      <c r="E2277" s="1" t="s">
        <v>121</v>
      </c>
      <c r="F2277" s="26">
        <v>160</v>
      </c>
      <c r="G2277" s="25" t="s">
        <v>293</v>
      </c>
      <c r="H2277" s="25"/>
      <c r="BA2277" s="73" t="s">
        <v>355</v>
      </c>
      <c r="BB2277" s="48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356</v>
      </c>
      <c r="E2278" s="1" t="s">
        <v>115</v>
      </c>
      <c r="F2278" s="26">
        <v>34</v>
      </c>
      <c r="G2278" s="25" t="s">
        <v>293</v>
      </c>
      <c r="H2278" s="25"/>
      <c r="BA2278" s="73" t="s">
        <v>355</v>
      </c>
      <c r="BB2278" s="48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356</v>
      </c>
      <c r="E2279" s="1" t="s">
        <v>137</v>
      </c>
      <c r="F2279" s="26">
        <v>75</v>
      </c>
      <c r="G2279" s="25" t="s">
        <v>293</v>
      </c>
      <c r="H2279" s="25"/>
      <c r="BA2279" s="73" t="s">
        <v>355</v>
      </c>
      <c r="BB2279" s="48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356</v>
      </c>
      <c r="E2280" s="1" t="s">
        <v>348</v>
      </c>
      <c r="F2280" s="26">
        <v>138</v>
      </c>
      <c r="G2280" s="25" t="s">
        <v>293</v>
      </c>
      <c r="H2280" s="25"/>
      <c r="BA2280" s="73" t="s">
        <v>355</v>
      </c>
      <c r="BB2280" s="48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356</v>
      </c>
      <c r="E2281" s="1" t="s">
        <v>125</v>
      </c>
      <c r="F2281" s="26">
        <v>113</v>
      </c>
      <c r="G2281" s="25" t="s">
        <v>293</v>
      </c>
      <c r="H2281" s="25"/>
      <c r="BA2281" s="73" t="s">
        <v>355</v>
      </c>
      <c r="BB2281" s="48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356</v>
      </c>
      <c r="E2282" s="1" t="s">
        <v>126</v>
      </c>
      <c r="F2282" s="26">
        <v>79</v>
      </c>
      <c r="G2282" s="25" t="s">
        <v>293</v>
      </c>
      <c r="H2282" s="25"/>
      <c r="BA2282" s="73" t="s">
        <v>355</v>
      </c>
      <c r="BB2282" s="48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356</v>
      </c>
      <c r="E2283" s="1" t="s">
        <v>349</v>
      </c>
      <c r="F2283" s="26">
        <v>159</v>
      </c>
      <c r="G2283" s="25" t="s">
        <v>293</v>
      </c>
      <c r="H2283" s="25"/>
      <c r="BA2283" s="73" t="s">
        <v>355</v>
      </c>
      <c r="BB2283" s="48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356</v>
      </c>
      <c r="E2284" s="1" t="s">
        <v>350</v>
      </c>
      <c r="F2284" s="26">
        <v>58</v>
      </c>
      <c r="G2284" s="25" t="s">
        <v>293</v>
      </c>
      <c r="H2284" s="25"/>
      <c r="BA2284" s="73" t="s">
        <v>355</v>
      </c>
      <c r="BB2284" s="48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356</v>
      </c>
      <c r="E2285" s="1" t="s">
        <v>122</v>
      </c>
      <c r="F2285" s="26">
        <v>47</v>
      </c>
      <c r="G2285" s="25" t="s">
        <v>293</v>
      </c>
      <c r="H2285" s="25"/>
      <c r="BA2285" s="73" t="s">
        <v>355</v>
      </c>
      <c r="BB2285" s="48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356</v>
      </c>
      <c r="E2286" s="1" t="s">
        <v>124</v>
      </c>
      <c r="F2286" s="26">
        <v>32</v>
      </c>
      <c r="G2286" s="25" t="s">
        <v>293</v>
      </c>
      <c r="H2286" s="25"/>
      <c r="BA2286" s="73" t="s">
        <v>355</v>
      </c>
      <c r="BB2286" s="48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356</v>
      </c>
      <c r="E2287" s="1" t="s">
        <v>351</v>
      </c>
      <c r="F2287" s="26">
        <v>0.95</v>
      </c>
      <c r="G2287" s="25" t="s">
        <v>293</v>
      </c>
      <c r="H2287" s="25"/>
      <c r="BA2287" s="73" t="s">
        <v>355</v>
      </c>
      <c r="BB2287" s="48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356</v>
      </c>
      <c r="E2288" s="1" t="s">
        <v>353</v>
      </c>
      <c r="F2288" s="26">
        <v>32</v>
      </c>
      <c r="G2288" s="25" t="s">
        <v>293</v>
      </c>
      <c r="H2288" s="25"/>
      <c r="BA2288" s="73" t="s">
        <v>355</v>
      </c>
      <c r="BB2288" s="48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356</v>
      </c>
      <c r="E2289" s="1" t="s">
        <v>133</v>
      </c>
      <c r="F2289" s="26">
        <v>147</v>
      </c>
      <c r="G2289" s="25" t="s">
        <v>293</v>
      </c>
      <c r="H2289" s="25"/>
      <c r="BA2289" s="73" t="s">
        <v>355</v>
      </c>
      <c r="BB2289" s="48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356</v>
      </c>
      <c r="E2290" s="1" t="s">
        <v>135</v>
      </c>
      <c r="F2290" s="26">
        <v>3.8</v>
      </c>
      <c r="G2290" s="25" t="s">
        <v>293</v>
      </c>
      <c r="H2290" s="25"/>
      <c r="BA2290" s="73" t="s">
        <v>355</v>
      </c>
      <c r="BB2290" s="48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356</v>
      </c>
      <c r="E2291" s="1" t="s">
        <v>136</v>
      </c>
      <c r="F2291" s="26">
        <v>117</v>
      </c>
      <c r="G2291" s="25" t="s">
        <v>293</v>
      </c>
      <c r="H2291" s="25"/>
      <c r="BA2291" s="73" t="s">
        <v>355</v>
      </c>
      <c r="BB2291" s="48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356</v>
      </c>
      <c r="E2292" s="1" t="s">
        <v>339</v>
      </c>
      <c r="F2292" s="26">
        <v>4.6399999999999997</v>
      </c>
      <c r="G2292" s="25" t="s">
        <v>293</v>
      </c>
      <c r="H2292" s="25"/>
      <c r="BA2292" s="73" t="s">
        <v>355</v>
      </c>
      <c r="BB2292" s="48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356</v>
      </c>
      <c r="E2293" s="1" t="s">
        <v>118</v>
      </c>
      <c r="F2293" s="26">
        <v>4.7</v>
      </c>
      <c r="G2293" s="25" t="s">
        <v>293</v>
      </c>
      <c r="H2293" s="25"/>
      <c r="BA2293" s="73" t="s">
        <v>355</v>
      </c>
      <c r="BB2293" s="48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356</v>
      </c>
      <c r="E2294" s="1" t="s">
        <v>130</v>
      </c>
      <c r="F2294" s="26">
        <v>3.76</v>
      </c>
      <c r="G2294" s="25" t="s">
        <v>293</v>
      </c>
      <c r="H2294" s="25"/>
      <c r="BA2294" s="73" t="s">
        <v>355</v>
      </c>
      <c r="BB2294" s="48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356</v>
      </c>
      <c r="E2295" s="1" t="s">
        <v>341</v>
      </c>
      <c r="F2295" s="26">
        <v>0.29699999999999999</v>
      </c>
      <c r="G2295" s="25" t="s">
        <v>293</v>
      </c>
      <c r="H2295" s="25"/>
      <c r="BA2295" s="73" t="s">
        <v>355</v>
      </c>
      <c r="BB2295" s="48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356</v>
      </c>
      <c r="E2296" s="1" t="s">
        <v>127</v>
      </c>
      <c r="F2296" s="26">
        <v>1.1859999999999999</v>
      </c>
      <c r="G2296" s="25" t="s">
        <v>293</v>
      </c>
      <c r="H2296" s="25"/>
      <c r="BA2296" s="73" t="s">
        <v>355</v>
      </c>
      <c r="BB2296" s="48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356</v>
      </c>
      <c r="E2297" s="1" t="s">
        <v>131</v>
      </c>
      <c r="F2297" s="26">
        <v>8.6</v>
      </c>
      <c r="G2297" s="25" t="s">
        <v>293</v>
      </c>
      <c r="H2297" s="25"/>
      <c r="BA2297" s="73" t="s">
        <v>355</v>
      </c>
      <c r="BB2297" s="48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356</v>
      </c>
      <c r="E2298" s="1" t="s">
        <v>342</v>
      </c>
      <c r="F2298" s="26">
        <v>341</v>
      </c>
      <c r="G2298" s="25" t="s">
        <v>293</v>
      </c>
      <c r="H2298" s="25"/>
      <c r="BA2298" s="73" t="s">
        <v>355</v>
      </c>
      <c r="BB2298" s="48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356</v>
      </c>
      <c r="E2299" s="1" t="s">
        <v>119</v>
      </c>
      <c r="F2299" s="26">
        <v>234</v>
      </c>
      <c r="G2299" s="25" t="s">
        <v>293</v>
      </c>
      <c r="H2299" s="25"/>
      <c r="BA2299" s="73" t="s">
        <v>355</v>
      </c>
      <c r="BB2299" s="48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356</v>
      </c>
      <c r="E2300" s="1" t="s">
        <v>120</v>
      </c>
      <c r="F2300" s="26">
        <v>75</v>
      </c>
      <c r="G2300" s="25" t="s">
        <v>293</v>
      </c>
      <c r="H2300" s="25"/>
      <c r="BA2300" s="73" t="s">
        <v>355</v>
      </c>
      <c r="BB2300" s="48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356</v>
      </c>
      <c r="E2301" s="1" t="s">
        <v>117</v>
      </c>
      <c r="F2301" s="26">
        <v>2.59</v>
      </c>
      <c r="G2301" s="25" t="s">
        <v>293</v>
      </c>
      <c r="H2301" s="25"/>
      <c r="BA2301" s="73" t="s">
        <v>355</v>
      </c>
      <c r="BB2301" s="48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356</v>
      </c>
      <c r="E2302" s="1" t="s">
        <v>344</v>
      </c>
      <c r="F2302" s="26">
        <v>232</v>
      </c>
      <c r="G2302" s="25" t="s">
        <v>293</v>
      </c>
      <c r="H2302" s="25"/>
      <c r="BA2302" s="73" t="s">
        <v>355</v>
      </c>
      <c r="BB2302" s="48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356</v>
      </c>
      <c r="E2303" s="1" t="s">
        <v>132</v>
      </c>
      <c r="F2303" s="26">
        <v>3.63</v>
      </c>
      <c r="G2303" s="25" t="s">
        <v>293</v>
      </c>
      <c r="H2303" s="25"/>
      <c r="BA2303" s="73" t="s">
        <v>355</v>
      </c>
      <c r="BB2303" s="48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356</v>
      </c>
      <c r="E2304" s="1" t="s">
        <v>111</v>
      </c>
      <c r="F2304" s="26">
        <v>89</v>
      </c>
      <c r="G2304" s="25" t="s">
        <v>293</v>
      </c>
      <c r="H2304" s="25"/>
      <c r="BA2304" s="73" t="s">
        <v>355</v>
      </c>
      <c r="BB2304" s="48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356</v>
      </c>
      <c r="E2305" s="1" t="s">
        <v>345</v>
      </c>
      <c r="F2305" s="26">
        <v>5.05</v>
      </c>
      <c r="G2305" s="25" t="s">
        <v>293</v>
      </c>
      <c r="H2305" s="25"/>
      <c r="BA2305" s="73" t="s">
        <v>355</v>
      </c>
      <c r="BB2305" s="48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356</v>
      </c>
      <c r="E2306" s="1" t="s">
        <v>347</v>
      </c>
      <c r="F2306" s="26">
        <v>1.9</v>
      </c>
      <c r="G2306" s="25" t="s">
        <v>293</v>
      </c>
      <c r="H2306" s="25"/>
      <c r="BA2306" s="73" t="s">
        <v>355</v>
      </c>
      <c r="BB2306" s="48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356</v>
      </c>
      <c r="E2307" s="1" t="s">
        <v>128</v>
      </c>
      <c r="F2307" s="26">
        <v>6.7</v>
      </c>
      <c r="G2307" s="25" t="s">
        <v>293</v>
      </c>
      <c r="H2307" s="25"/>
      <c r="BA2307" s="73" t="s">
        <v>355</v>
      </c>
      <c r="BB2307" s="48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356</v>
      </c>
      <c r="E2308" s="1" t="s">
        <v>121</v>
      </c>
      <c r="F2308" s="26">
        <v>159</v>
      </c>
      <c r="G2308" s="25" t="s">
        <v>293</v>
      </c>
      <c r="H2308" s="25"/>
      <c r="BA2308" s="73" t="s">
        <v>355</v>
      </c>
      <c r="BB2308" s="48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356</v>
      </c>
      <c r="E2309" s="1" t="s">
        <v>115</v>
      </c>
      <c r="F2309" s="26">
        <v>32</v>
      </c>
      <c r="G2309" s="25" t="s">
        <v>293</v>
      </c>
      <c r="H2309" s="25"/>
      <c r="BA2309" s="73" t="s">
        <v>355</v>
      </c>
      <c r="BB2309" s="48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356</v>
      </c>
      <c r="E2310" s="1" t="s">
        <v>137</v>
      </c>
      <c r="F2310" s="26">
        <v>76</v>
      </c>
      <c r="G2310" s="25" t="s">
        <v>293</v>
      </c>
      <c r="H2310" s="25"/>
      <c r="BA2310" s="73" t="s">
        <v>355</v>
      </c>
      <c r="BB2310" s="48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356</v>
      </c>
      <c r="E2311" s="1" t="s">
        <v>348</v>
      </c>
      <c r="F2311" s="26">
        <v>136</v>
      </c>
      <c r="G2311" s="25" t="s">
        <v>293</v>
      </c>
      <c r="H2311" s="25"/>
      <c r="BA2311" s="73" t="s">
        <v>355</v>
      </c>
      <c r="BB2311" s="48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356</v>
      </c>
      <c r="E2312" s="1" t="s">
        <v>125</v>
      </c>
      <c r="F2312" s="26">
        <v>115</v>
      </c>
      <c r="G2312" s="25" t="s">
        <v>293</v>
      </c>
      <c r="H2312" s="25"/>
      <c r="BA2312" s="73" t="s">
        <v>355</v>
      </c>
      <c r="BB2312" s="48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356</v>
      </c>
      <c r="E2313" s="1" t="s">
        <v>126</v>
      </c>
      <c r="F2313" s="26">
        <v>79</v>
      </c>
      <c r="G2313" s="25" t="s">
        <v>293</v>
      </c>
      <c r="H2313" s="25"/>
      <c r="BA2313" s="73" t="s">
        <v>355</v>
      </c>
      <c r="BB2313" s="48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356</v>
      </c>
      <c r="E2314" s="1" t="s">
        <v>349</v>
      </c>
      <c r="F2314" s="26">
        <v>153</v>
      </c>
      <c r="G2314" s="25" t="s">
        <v>293</v>
      </c>
      <c r="H2314" s="25"/>
      <c r="BA2314" s="73" t="s">
        <v>355</v>
      </c>
      <c r="BB2314" s="48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356</v>
      </c>
      <c r="E2315" s="1" t="s">
        <v>350</v>
      </c>
      <c r="F2315" s="26">
        <v>61</v>
      </c>
      <c r="G2315" s="25" t="s">
        <v>293</v>
      </c>
      <c r="H2315" s="25"/>
      <c r="BA2315" s="73" t="s">
        <v>355</v>
      </c>
      <c r="BB2315" s="48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356</v>
      </c>
      <c r="E2316" s="1" t="s">
        <v>122</v>
      </c>
      <c r="F2316" s="26">
        <v>47</v>
      </c>
      <c r="G2316" s="25" t="s">
        <v>293</v>
      </c>
      <c r="H2316" s="25"/>
      <c r="BA2316" s="73" t="s">
        <v>355</v>
      </c>
      <c r="BB2316" s="48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356</v>
      </c>
      <c r="E2317" s="1" t="s">
        <v>124</v>
      </c>
      <c r="F2317" s="26">
        <v>31</v>
      </c>
      <c r="G2317" s="25" t="s">
        <v>293</v>
      </c>
      <c r="H2317" s="25"/>
      <c r="BA2317" s="73" t="s">
        <v>355</v>
      </c>
      <c r="BB2317" s="48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356</v>
      </c>
      <c r="E2318" s="1" t="s">
        <v>351</v>
      </c>
      <c r="F2318" s="26">
        <v>0.93</v>
      </c>
      <c r="G2318" s="25" t="s">
        <v>293</v>
      </c>
      <c r="H2318" s="25"/>
      <c r="BA2318" s="73" t="s">
        <v>355</v>
      </c>
      <c r="BB2318" s="48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356</v>
      </c>
      <c r="E2319" s="1" t="s">
        <v>353</v>
      </c>
      <c r="F2319" s="26">
        <v>35.5</v>
      </c>
      <c r="G2319" s="25" t="s">
        <v>293</v>
      </c>
      <c r="H2319" s="25"/>
      <c r="BA2319" s="73" t="s">
        <v>355</v>
      </c>
      <c r="BB2319" s="48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356</v>
      </c>
      <c r="E2320" s="1" t="s">
        <v>133</v>
      </c>
      <c r="F2320" s="26">
        <v>145</v>
      </c>
      <c r="G2320" s="25" t="s">
        <v>293</v>
      </c>
      <c r="H2320" s="25"/>
      <c r="BA2320" s="73" t="s">
        <v>355</v>
      </c>
      <c r="BB2320" s="48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356</v>
      </c>
      <c r="E2321" s="1" t="s">
        <v>135</v>
      </c>
      <c r="F2321" s="26">
        <v>3.8</v>
      </c>
      <c r="G2321" s="25" t="s">
        <v>293</v>
      </c>
      <c r="H2321" s="25"/>
      <c r="BA2321" s="73" t="s">
        <v>355</v>
      </c>
      <c r="BB2321" s="48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356</v>
      </c>
      <c r="E2322" s="1" t="s">
        <v>136</v>
      </c>
      <c r="F2322" s="26">
        <v>118</v>
      </c>
      <c r="G2322" s="25" t="s">
        <v>293</v>
      </c>
      <c r="H2322" s="25"/>
      <c r="BA2322" s="73" t="s">
        <v>355</v>
      </c>
      <c r="BB2322" s="48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356</v>
      </c>
      <c r="E2323" s="1" t="s">
        <v>339</v>
      </c>
      <c r="F2323" s="26">
        <v>4.62</v>
      </c>
      <c r="G2323" s="25" t="s">
        <v>293</v>
      </c>
      <c r="H2323" s="25"/>
      <c r="BA2323" s="73" t="s">
        <v>355</v>
      </c>
      <c r="BB2323" s="48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356</v>
      </c>
      <c r="E2324" s="1" t="s">
        <v>118</v>
      </c>
      <c r="F2324" s="26">
        <v>4.5</v>
      </c>
      <c r="G2324" s="25" t="s">
        <v>293</v>
      </c>
      <c r="H2324" s="25"/>
      <c r="BA2324" s="73" t="s">
        <v>355</v>
      </c>
      <c r="BB2324" s="48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356</v>
      </c>
      <c r="E2325" s="1" t="s">
        <v>130</v>
      </c>
      <c r="F2325" s="26">
        <v>3.85</v>
      </c>
      <c r="G2325" s="25" t="s">
        <v>293</v>
      </c>
      <c r="H2325" s="25"/>
      <c r="BA2325" s="73" t="s">
        <v>355</v>
      </c>
      <c r="BB2325" s="48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356</v>
      </c>
      <c r="E2326" s="1" t="s">
        <v>341</v>
      </c>
      <c r="F2326" s="26">
        <v>0.29399999999999998</v>
      </c>
      <c r="G2326" s="25" t="s">
        <v>293</v>
      </c>
      <c r="H2326" s="25"/>
      <c r="BA2326" s="73" t="s">
        <v>355</v>
      </c>
      <c r="BB2326" s="48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356</v>
      </c>
      <c r="E2327" s="1" t="s">
        <v>127</v>
      </c>
      <c r="F2327" s="26">
        <v>1.173</v>
      </c>
      <c r="G2327" s="25" t="s">
        <v>293</v>
      </c>
      <c r="H2327" s="25"/>
      <c r="BA2327" s="73" t="s">
        <v>355</v>
      </c>
      <c r="BB2327" s="48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356</v>
      </c>
      <c r="E2328" s="1" t="s">
        <v>131</v>
      </c>
      <c r="F2328" s="26">
        <v>8.5</v>
      </c>
      <c r="G2328" s="25" t="s">
        <v>293</v>
      </c>
      <c r="H2328" s="25"/>
      <c r="BA2328" s="73" t="s">
        <v>355</v>
      </c>
      <c r="BB2328" s="48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356</v>
      </c>
      <c r="E2329" s="1" t="s">
        <v>342</v>
      </c>
      <c r="F2329" s="26">
        <v>347</v>
      </c>
      <c r="G2329" s="25" t="s">
        <v>293</v>
      </c>
      <c r="H2329" s="25"/>
      <c r="BA2329" s="73" t="s">
        <v>355</v>
      </c>
      <c r="BB2329" s="48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356</v>
      </c>
      <c r="E2330" s="1" t="s">
        <v>119</v>
      </c>
      <c r="F2330" s="26">
        <v>237</v>
      </c>
      <c r="G2330" s="25" t="s">
        <v>293</v>
      </c>
      <c r="H2330" s="25"/>
      <c r="BA2330" s="73" t="s">
        <v>355</v>
      </c>
      <c r="BB2330" s="48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356</v>
      </c>
      <c r="E2331" s="1" t="s">
        <v>120</v>
      </c>
      <c r="F2331" s="26">
        <v>78</v>
      </c>
      <c r="G2331" s="25" t="s">
        <v>293</v>
      </c>
      <c r="H2331" s="25"/>
      <c r="BA2331" s="73" t="s">
        <v>355</v>
      </c>
      <c r="BB2331" s="48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356</v>
      </c>
      <c r="E2332" s="1" t="s">
        <v>117</v>
      </c>
      <c r="F2332" s="26">
        <v>2.71</v>
      </c>
      <c r="G2332" s="25" t="s">
        <v>293</v>
      </c>
      <c r="H2332" s="25"/>
      <c r="BA2332" s="73" t="s">
        <v>355</v>
      </c>
      <c r="BB2332" s="48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356</v>
      </c>
      <c r="E2333" s="1" t="s">
        <v>344</v>
      </c>
      <c r="F2333" s="26">
        <v>235</v>
      </c>
      <c r="G2333" s="25" t="s">
        <v>293</v>
      </c>
      <c r="H2333" s="25"/>
      <c r="BA2333" s="73" t="s">
        <v>355</v>
      </c>
      <c r="BB2333" s="48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356</v>
      </c>
      <c r="E2334" s="1" t="s">
        <v>132</v>
      </c>
      <c r="F2334" s="26">
        <v>3.43</v>
      </c>
      <c r="G2334" s="25" t="s">
        <v>293</v>
      </c>
      <c r="H2334" s="25"/>
      <c r="BA2334" s="73" t="s">
        <v>355</v>
      </c>
      <c r="BB2334" s="48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356</v>
      </c>
      <c r="E2335" s="1" t="s">
        <v>111</v>
      </c>
      <c r="F2335" s="26">
        <v>89</v>
      </c>
      <c r="G2335" s="25" t="s">
        <v>293</v>
      </c>
      <c r="H2335" s="25"/>
      <c r="BA2335" s="73" t="s">
        <v>355</v>
      </c>
      <c r="BB2335" s="48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356</v>
      </c>
      <c r="E2336" s="1" t="s">
        <v>345</v>
      </c>
      <c r="F2336" s="26">
        <v>5</v>
      </c>
      <c r="G2336" s="25" t="s">
        <v>293</v>
      </c>
      <c r="H2336" s="25"/>
      <c r="BA2336" s="73" t="s">
        <v>355</v>
      </c>
      <c r="BB2336" s="48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356</v>
      </c>
      <c r="E2337" s="1" t="s">
        <v>347</v>
      </c>
      <c r="F2337" s="26">
        <v>1.89</v>
      </c>
      <c r="G2337" s="25" t="s">
        <v>293</v>
      </c>
      <c r="H2337" s="25"/>
      <c r="BA2337" s="73" t="s">
        <v>355</v>
      </c>
      <c r="BB2337" s="48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356</v>
      </c>
      <c r="E2338" s="1" t="s">
        <v>128</v>
      </c>
      <c r="F2338" s="26">
        <v>6.9</v>
      </c>
      <c r="G2338" s="25" t="s">
        <v>293</v>
      </c>
      <c r="H2338" s="25"/>
      <c r="BA2338" s="73" t="s">
        <v>355</v>
      </c>
      <c r="BB2338" s="48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356</v>
      </c>
      <c r="E2339" s="1" t="s">
        <v>121</v>
      </c>
      <c r="F2339" s="26">
        <v>159</v>
      </c>
      <c r="G2339" s="25" t="s">
        <v>293</v>
      </c>
      <c r="H2339" s="25"/>
      <c r="BA2339" s="73" t="s">
        <v>355</v>
      </c>
      <c r="BB2339" s="48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356</v>
      </c>
      <c r="E2340" s="1" t="s">
        <v>115</v>
      </c>
      <c r="F2340" s="26">
        <v>33</v>
      </c>
      <c r="G2340" s="25" t="s">
        <v>293</v>
      </c>
      <c r="H2340" s="25"/>
      <c r="BA2340" s="73" t="s">
        <v>355</v>
      </c>
      <c r="BB2340" s="48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356</v>
      </c>
      <c r="E2341" s="1" t="s">
        <v>137</v>
      </c>
      <c r="F2341" s="26">
        <v>74</v>
      </c>
      <c r="G2341" s="25" t="s">
        <v>293</v>
      </c>
      <c r="H2341" s="25"/>
      <c r="BA2341" s="73" t="s">
        <v>355</v>
      </c>
      <c r="BB2341" s="48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356</v>
      </c>
      <c r="E2342" s="1" t="s">
        <v>348</v>
      </c>
      <c r="F2342" s="26">
        <v>137</v>
      </c>
      <c r="G2342" s="25" t="s">
        <v>293</v>
      </c>
      <c r="H2342" s="25"/>
      <c r="BA2342" s="73" t="s">
        <v>355</v>
      </c>
      <c r="BB2342" s="48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356</v>
      </c>
      <c r="E2343" s="1" t="s">
        <v>125</v>
      </c>
      <c r="F2343" s="26">
        <v>117</v>
      </c>
      <c r="G2343" s="25" t="s">
        <v>293</v>
      </c>
      <c r="H2343" s="25"/>
      <c r="BA2343" s="73" t="s">
        <v>355</v>
      </c>
      <c r="BB2343" s="48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356</v>
      </c>
      <c r="E2344" s="1" t="s">
        <v>126</v>
      </c>
      <c r="F2344" s="26">
        <v>80</v>
      </c>
      <c r="G2344" s="25" t="s">
        <v>293</v>
      </c>
      <c r="H2344" s="25"/>
      <c r="BA2344" s="73" t="s">
        <v>355</v>
      </c>
      <c r="BB2344" s="48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356</v>
      </c>
      <c r="E2345" s="1" t="s">
        <v>349</v>
      </c>
      <c r="F2345" s="26">
        <v>155</v>
      </c>
      <c r="G2345" s="25" t="s">
        <v>293</v>
      </c>
      <c r="H2345" s="25"/>
      <c r="BA2345" s="73" t="s">
        <v>355</v>
      </c>
      <c r="BB2345" s="48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356</v>
      </c>
      <c r="E2346" s="1" t="s">
        <v>350</v>
      </c>
      <c r="F2346" s="26">
        <v>59</v>
      </c>
      <c r="G2346" s="25" t="s">
        <v>293</v>
      </c>
      <c r="H2346" s="25"/>
      <c r="BA2346" s="73" t="s">
        <v>355</v>
      </c>
      <c r="BB2346" s="48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356</v>
      </c>
      <c r="E2347" s="1" t="s">
        <v>122</v>
      </c>
      <c r="F2347" s="26">
        <v>47</v>
      </c>
      <c r="G2347" s="25" t="s">
        <v>293</v>
      </c>
      <c r="H2347" s="25"/>
      <c r="BA2347" s="73" t="s">
        <v>355</v>
      </c>
      <c r="BB2347" s="48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356</v>
      </c>
      <c r="E2348" s="1" t="s">
        <v>124</v>
      </c>
      <c r="F2348" s="26">
        <v>30</v>
      </c>
      <c r="G2348" s="25" t="s">
        <v>293</v>
      </c>
      <c r="H2348" s="25"/>
      <c r="BA2348" s="73" t="s">
        <v>355</v>
      </c>
      <c r="BB2348" s="48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356</v>
      </c>
      <c r="E2349" s="1" t="s">
        <v>351</v>
      </c>
      <c r="F2349" s="26">
        <v>0.94</v>
      </c>
      <c r="G2349" s="25" t="s">
        <v>293</v>
      </c>
      <c r="H2349" s="25"/>
      <c r="BA2349" s="73" t="s">
        <v>355</v>
      </c>
      <c r="BB2349" s="48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356</v>
      </c>
      <c r="E2350" s="1" t="s">
        <v>353</v>
      </c>
      <c r="F2350" s="26">
        <v>33.5</v>
      </c>
      <c r="G2350" s="25" t="s">
        <v>293</v>
      </c>
      <c r="H2350" s="25"/>
      <c r="BA2350" s="73" t="s">
        <v>355</v>
      </c>
      <c r="BB2350" s="48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356</v>
      </c>
      <c r="E2351" s="1" t="s">
        <v>133</v>
      </c>
      <c r="F2351" s="26">
        <v>147</v>
      </c>
      <c r="G2351" s="25" t="s">
        <v>293</v>
      </c>
      <c r="H2351" s="25"/>
      <c r="BA2351" s="73" t="s">
        <v>355</v>
      </c>
      <c r="BB2351" s="48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356</v>
      </c>
      <c r="E2352" s="1" t="s">
        <v>135</v>
      </c>
      <c r="F2352" s="26">
        <v>3.9</v>
      </c>
      <c r="G2352" s="25" t="s">
        <v>293</v>
      </c>
      <c r="H2352" s="25"/>
      <c r="BA2352" s="73" t="s">
        <v>355</v>
      </c>
      <c r="BB2352" s="48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356</v>
      </c>
      <c r="E2353" s="1" t="s">
        <v>136</v>
      </c>
      <c r="F2353" s="26">
        <v>117</v>
      </c>
      <c r="G2353" s="25" t="s">
        <v>293</v>
      </c>
      <c r="H2353" s="25"/>
      <c r="BA2353" s="73" t="s">
        <v>355</v>
      </c>
      <c r="BB2353" s="48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356</v>
      </c>
      <c r="E2354" s="1" t="s">
        <v>339</v>
      </c>
      <c r="F2354" s="26">
        <v>4.71</v>
      </c>
      <c r="G2354" s="25" t="s">
        <v>293</v>
      </c>
      <c r="H2354" s="25"/>
      <c r="BA2354" s="73" t="s">
        <v>355</v>
      </c>
      <c r="BB2354" s="48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356</v>
      </c>
      <c r="E2355" s="1" t="s">
        <v>118</v>
      </c>
      <c r="F2355" s="26">
        <v>4.5999999999999996</v>
      </c>
      <c r="G2355" s="25" t="s">
        <v>293</v>
      </c>
      <c r="H2355" s="25"/>
      <c r="BA2355" s="73" t="s">
        <v>355</v>
      </c>
      <c r="BB2355" s="48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356</v>
      </c>
      <c r="E2356" s="1" t="s">
        <v>130</v>
      </c>
      <c r="F2356" s="26">
        <v>3.84</v>
      </c>
      <c r="G2356" s="25" t="s">
        <v>293</v>
      </c>
      <c r="H2356" s="25"/>
      <c r="BA2356" s="73" t="s">
        <v>355</v>
      </c>
      <c r="BB2356" s="48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356</v>
      </c>
      <c r="E2357" s="1" t="s">
        <v>341</v>
      </c>
      <c r="F2357" s="26">
        <v>0.29699999999999999</v>
      </c>
      <c r="G2357" s="25" t="s">
        <v>293</v>
      </c>
      <c r="H2357" s="25"/>
      <c r="BA2357" s="73" t="s">
        <v>355</v>
      </c>
      <c r="BB2357" s="48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356</v>
      </c>
      <c r="E2358" s="1" t="s">
        <v>127</v>
      </c>
      <c r="F2358" s="26">
        <v>1.1419999999999999</v>
      </c>
      <c r="G2358" s="25" t="s">
        <v>293</v>
      </c>
      <c r="H2358" s="25"/>
      <c r="BA2358" s="73" t="s">
        <v>355</v>
      </c>
      <c r="BB2358" s="48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356</v>
      </c>
      <c r="E2359" s="1" t="s">
        <v>131</v>
      </c>
      <c r="F2359" s="26">
        <v>8.8000000000000007</v>
      </c>
      <c r="G2359" s="25" t="s">
        <v>293</v>
      </c>
      <c r="H2359" s="25"/>
      <c r="BA2359" s="73" t="s">
        <v>355</v>
      </c>
      <c r="BB2359" s="48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356</v>
      </c>
      <c r="E2360" s="1" t="s">
        <v>342</v>
      </c>
      <c r="F2360" s="26">
        <v>330</v>
      </c>
      <c r="G2360" s="25" t="s">
        <v>293</v>
      </c>
      <c r="H2360" s="25"/>
      <c r="BA2360" s="73" t="s">
        <v>355</v>
      </c>
      <c r="BB2360" s="48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356</v>
      </c>
      <c r="E2361" s="1" t="s">
        <v>119</v>
      </c>
      <c r="F2361" s="26">
        <v>237</v>
      </c>
      <c r="G2361" s="25" t="s">
        <v>293</v>
      </c>
      <c r="H2361" s="25"/>
      <c r="BA2361" s="73" t="s">
        <v>355</v>
      </c>
      <c r="BB2361" s="48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356</v>
      </c>
      <c r="E2362" s="1" t="s">
        <v>120</v>
      </c>
      <c r="F2362" s="26">
        <v>77</v>
      </c>
      <c r="G2362" s="25" t="s">
        <v>293</v>
      </c>
      <c r="H2362" s="25"/>
      <c r="BA2362" s="73" t="s">
        <v>355</v>
      </c>
      <c r="BB2362" s="48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356</v>
      </c>
      <c r="E2363" s="1" t="s">
        <v>117</v>
      </c>
      <c r="F2363" s="26">
        <v>2.67</v>
      </c>
      <c r="G2363" s="25" t="s">
        <v>293</v>
      </c>
      <c r="H2363" s="25"/>
      <c r="BA2363" s="73" t="s">
        <v>355</v>
      </c>
      <c r="BB2363" s="48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356</v>
      </c>
      <c r="E2364" s="1" t="s">
        <v>344</v>
      </c>
      <c r="F2364" s="26">
        <v>231</v>
      </c>
      <c r="G2364" s="25" t="s">
        <v>293</v>
      </c>
      <c r="H2364" s="25"/>
      <c r="BA2364" s="73" t="s">
        <v>355</v>
      </c>
      <c r="BB2364" s="48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356</v>
      </c>
      <c r="E2365" s="1" t="s">
        <v>132</v>
      </c>
      <c r="F2365" s="26">
        <v>3.49</v>
      </c>
      <c r="G2365" s="25" t="s">
        <v>293</v>
      </c>
      <c r="H2365" s="25"/>
      <c r="BA2365" s="73" t="s">
        <v>355</v>
      </c>
      <c r="BB2365" s="48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356</v>
      </c>
      <c r="E2366" s="1" t="s">
        <v>111</v>
      </c>
      <c r="F2366" s="26">
        <v>88</v>
      </c>
      <c r="G2366" s="25" t="s">
        <v>293</v>
      </c>
      <c r="H2366" s="25"/>
      <c r="BA2366" s="73" t="s">
        <v>355</v>
      </c>
      <c r="BB2366" s="48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356</v>
      </c>
      <c r="E2367" s="1" t="s">
        <v>345</v>
      </c>
      <c r="F2367" s="26">
        <v>5.27</v>
      </c>
      <c r="G2367" s="25" t="s">
        <v>293</v>
      </c>
      <c r="H2367" s="25"/>
      <c r="BA2367" s="73" t="s">
        <v>355</v>
      </c>
      <c r="BB2367" s="48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356</v>
      </c>
      <c r="E2368" s="1" t="s">
        <v>347</v>
      </c>
      <c r="F2368" s="26">
        <v>1.99</v>
      </c>
      <c r="G2368" s="25" t="s">
        <v>293</v>
      </c>
      <c r="H2368" s="25"/>
      <c r="BA2368" s="73" t="s">
        <v>355</v>
      </c>
      <c r="BB2368" s="48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356</v>
      </c>
      <c r="E2369" s="1" t="s">
        <v>128</v>
      </c>
      <c r="F2369" s="26">
        <v>6.7</v>
      </c>
      <c r="G2369" s="25" t="s">
        <v>293</v>
      </c>
      <c r="H2369" s="25"/>
      <c r="BA2369" s="73" t="s">
        <v>355</v>
      </c>
      <c r="BB2369" s="48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356</v>
      </c>
      <c r="E2370" s="1" t="s">
        <v>121</v>
      </c>
      <c r="F2370" s="26">
        <v>161</v>
      </c>
      <c r="G2370" s="25" t="s">
        <v>293</v>
      </c>
      <c r="H2370" s="25"/>
      <c r="BA2370" s="73" t="s">
        <v>355</v>
      </c>
      <c r="BB2370" s="48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356</v>
      </c>
      <c r="E2371" s="1" t="s">
        <v>115</v>
      </c>
      <c r="F2371" s="26">
        <v>35</v>
      </c>
      <c r="G2371" s="25" t="s">
        <v>293</v>
      </c>
      <c r="H2371" s="25"/>
      <c r="BA2371" s="73" t="s">
        <v>355</v>
      </c>
      <c r="BB2371" s="48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356</v>
      </c>
      <c r="E2372" s="1" t="s">
        <v>137</v>
      </c>
      <c r="F2372" s="26">
        <v>75</v>
      </c>
      <c r="G2372" s="25" t="s">
        <v>293</v>
      </c>
      <c r="H2372" s="25"/>
      <c r="BA2372" s="73" t="s">
        <v>355</v>
      </c>
      <c r="BB2372" s="48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356</v>
      </c>
      <c r="E2373" s="1" t="s">
        <v>348</v>
      </c>
      <c r="F2373" s="26">
        <v>140</v>
      </c>
      <c r="G2373" s="25" t="s">
        <v>293</v>
      </c>
      <c r="H2373" s="25"/>
      <c r="BA2373" s="73" t="s">
        <v>355</v>
      </c>
      <c r="BB2373" s="48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356</v>
      </c>
      <c r="E2374" s="1" t="s">
        <v>125</v>
      </c>
      <c r="F2374" s="26">
        <v>110</v>
      </c>
      <c r="G2374" s="25" t="s">
        <v>293</v>
      </c>
      <c r="H2374" s="25"/>
      <c r="BA2374" s="73" t="s">
        <v>355</v>
      </c>
      <c r="BB2374" s="48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356</v>
      </c>
      <c r="E2375" s="1" t="s">
        <v>126</v>
      </c>
      <c r="F2375" s="26">
        <v>79</v>
      </c>
      <c r="G2375" s="25" t="s">
        <v>293</v>
      </c>
      <c r="H2375" s="25"/>
      <c r="BA2375" s="73" t="s">
        <v>355</v>
      </c>
      <c r="BB2375" s="48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356</v>
      </c>
      <c r="E2376" s="1" t="s">
        <v>349</v>
      </c>
      <c r="F2376" s="26">
        <v>166</v>
      </c>
      <c r="G2376" s="25" t="s">
        <v>293</v>
      </c>
      <c r="H2376" s="25"/>
      <c r="BA2376" s="73" t="s">
        <v>355</v>
      </c>
      <c r="BB2376" s="48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356</v>
      </c>
      <c r="E2377" s="1" t="s">
        <v>350</v>
      </c>
      <c r="F2377" s="26">
        <v>61</v>
      </c>
      <c r="G2377" s="25" t="s">
        <v>293</v>
      </c>
      <c r="H2377" s="25"/>
      <c r="BA2377" s="73" t="s">
        <v>355</v>
      </c>
      <c r="BB2377" s="48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356</v>
      </c>
      <c r="E2378" s="1" t="s">
        <v>122</v>
      </c>
      <c r="F2378" s="26">
        <v>45</v>
      </c>
      <c r="G2378" s="25" t="s">
        <v>293</v>
      </c>
      <c r="H2378" s="25"/>
      <c r="BA2378" s="73" t="s">
        <v>355</v>
      </c>
      <c r="BB2378" s="48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356</v>
      </c>
      <c r="E2379" s="1" t="s">
        <v>124</v>
      </c>
      <c r="F2379" s="26">
        <v>31</v>
      </c>
      <c r="G2379" s="25" t="s">
        <v>293</v>
      </c>
      <c r="H2379" s="25"/>
      <c r="BA2379" s="73" t="s">
        <v>355</v>
      </c>
      <c r="BB2379" s="48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356</v>
      </c>
      <c r="E2380" s="1" t="s">
        <v>351</v>
      </c>
      <c r="F2380" s="26">
        <v>0.99</v>
      </c>
      <c r="G2380" s="25" t="s">
        <v>293</v>
      </c>
      <c r="H2380" s="25"/>
      <c r="BA2380" s="73" t="s">
        <v>355</v>
      </c>
      <c r="BB2380" s="48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356</v>
      </c>
      <c r="E2381" s="1" t="s">
        <v>353</v>
      </c>
      <c r="F2381" s="26">
        <v>36.1</v>
      </c>
      <c r="G2381" s="25" t="s">
        <v>293</v>
      </c>
      <c r="H2381" s="25"/>
      <c r="BA2381" s="73" t="s">
        <v>355</v>
      </c>
      <c r="BB2381" s="48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356</v>
      </c>
      <c r="E2382" s="1" t="s">
        <v>133</v>
      </c>
      <c r="F2382" s="26">
        <v>148</v>
      </c>
      <c r="G2382" s="25" t="s">
        <v>293</v>
      </c>
      <c r="H2382" s="25"/>
      <c r="BA2382" s="73" t="s">
        <v>355</v>
      </c>
      <c r="BB2382" s="48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356</v>
      </c>
      <c r="E2383" s="1" t="s">
        <v>135</v>
      </c>
      <c r="F2383" s="26">
        <v>3.8</v>
      </c>
      <c r="G2383" s="25" t="s">
        <v>293</v>
      </c>
      <c r="H2383" s="25"/>
      <c r="BA2383" s="73" t="s">
        <v>355</v>
      </c>
      <c r="BB2383" s="48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356</v>
      </c>
      <c r="E2384" s="1" t="s">
        <v>136</v>
      </c>
      <c r="F2384" s="26">
        <v>116</v>
      </c>
      <c r="G2384" s="25" t="s">
        <v>293</v>
      </c>
      <c r="H2384" s="25"/>
      <c r="BA2384" s="73" t="s">
        <v>355</v>
      </c>
      <c r="BB2384" s="48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356</v>
      </c>
      <c r="E2385" s="1" t="s">
        <v>339</v>
      </c>
      <c r="F2385" s="26">
        <v>4.72</v>
      </c>
      <c r="G2385" s="25" t="s">
        <v>293</v>
      </c>
      <c r="H2385" s="25"/>
      <c r="BA2385" s="73" t="s">
        <v>355</v>
      </c>
      <c r="BB2385" s="48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356</v>
      </c>
      <c r="E2386" s="1" t="s">
        <v>118</v>
      </c>
      <c r="F2386" s="26">
        <v>4.5</v>
      </c>
      <c r="G2386" s="25" t="s">
        <v>293</v>
      </c>
      <c r="H2386" s="25"/>
      <c r="BA2386" s="73" t="s">
        <v>355</v>
      </c>
      <c r="BB2386" s="48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356</v>
      </c>
      <c r="E2387" s="1" t="s">
        <v>130</v>
      </c>
      <c r="F2387" s="26">
        <v>3.9</v>
      </c>
      <c r="G2387" s="25" t="s">
        <v>293</v>
      </c>
      <c r="H2387" s="25"/>
      <c r="BA2387" s="73" t="s">
        <v>355</v>
      </c>
      <c r="BB2387" s="48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356</v>
      </c>
      <c r="E2388" s="1" t="s">
        <v>341</v>
      </c>
      <c r="F2388" s="26">
        <v>0.29499999999999998</v>
      </c>
      <c r="G2388" s="25" t="s">
        <v>293</v>
      </c>
      <c r="H2388" s="25"/>
      <c r="BA2388" s="73" t="s">
        <v>355</v>
      </c>
      <c r="BB2388" s="48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356</v>
      </c>
      <c r="E2389" s="1" t="s">
        <v>127</v>
      </c>
      <c r="F2389" s="26">
        <v>1.1639999999999999</v>
      </c>
      <c r="G2389" s="25" t="s">
        <v>293</v>
      </c>
      <c r="H2389" s="25"/>
      <c r="BA2389" s="73" t="s">
        <v>355</v>
      </c>
      <c r="BB2389" s="48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356</v>
      </c>
      <c r="E2390" s="1" t="s">
        <v>131</v>
      </c>
      <c r="F2390" s="26">
        <v>8.5</v>
      </c>
      <c r="G2390" s="25" t="s">
        <v>293</v>
      </c>
      <c r="H2390" s="25"/>
      <c r="BA2390" s="73" t="s">
        <v>355</v>
      </c>
      <c r="BB2390" s="48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356</v>
      </c>
      <c r="E2391" s="1" t="s">
        <v>342</v>
      </c>
      <c r="F2391" s="26">
        <v>332</v>
      </c>
      <c r="G2391" s="25" t="s">
        <v>293</v>
      </c>
      <c r="H2391" s="25"/>
      <c r="BA2391" s="73" t="s">
        <v>355</v>
      </c>
      <c r="BB2391" s="48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356</v>
      </c>
      <c r="E2392" s="1" t="s">
        <v>119</v>
      </c>
      <c r="F2392" s="26">
        <v>240</v>
      </c>
      <c r="G2392" s="25" t="s">
        <v>293</v>
      </c>
      <c r="H2392" s="25"/>
      <c r="BA2392" s="73" t="s">
        <v>355</v>
      </c>
      <c r="BB2392" s="48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356</v>
      </c>
      <c r="E2393" s="1" t="s">
        <v>120</v>
      </c>
      <c r="F2393" s="26">
        <v>76</v>
      </c>
      <c r="G2393" s="25" t="s">
        <v>293</v>
      </c>
      <c r="H2393" s="25"/>
      <c r="BA2393" s="73" t="s">
        <v>355</v>
      </c>
      <c r="BB2393" s="48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356</v>
      </c>
      <c r="E2394" s="1" t="s">
        <v>117</v>
      </c>
      <c r="F2394" s="26">
        <v>2.83</v>
      </c>
      <c r="G2394" s="25" t="s">
        <v>293</v>
      </c>
      <c r="H2394" s="25"/>
      <c r="BA2394" s="73" t="s">
        <v>355</v>
      </c>
      <c r="BB2394" s="48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356</v>
      </c>
      <c r="E2395" s="1" t="s">
        <v>344</v>
      </c>
      <c r="F2395" s="26">
        <v>233</v>
      </c>
      <c r="G2395" s="25" t="s">
        <v>293</v>
      </c>
      <c r="H2395" s="25"/>
      <c r="BA2395" s="73" t="s">
        <v>355</v>
      </c>
      <c r="BB2395" s="48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356</v>
      </c>
      <c r="E2396" s="1" t="s">
        <v>132</v>
      </c>
      <c r="F2396" s="26">
        <v>3.61</v>
      </c>
      <c r="G2396" s="25" t="s">
        <v>293</v>
      </c>
      <c r="H2396" s="25"/>
      <c r="BA2396" s="73" t="s">
        <v>355</v>
      </c>
      <c r="BB2396" s="48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356</v>
      </c>
      <c r="E2397" s="1" t="s">
        <v>111</v>
      </c>
      <c r="F2397" s="26">
        <v>90</v>
      </c>
      <c r="G2397" s="25" t="s">
        <v>293</v>
      </c>
      <c r="H2397" s="25"/>
      <c r="BA2397" s="73" t="s">
        <v>355</v>
      </c>
      <c r="BB2397" s="48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356</v>
      </c>
      <c r="E2398" s="1" t="s">
        <v>345</v>
      </c>
      <c r="F2398" s="26">
        <v>5.19</v>
      </c>
      <c r="G2398" s="25" t="s">
        <v>293</v>
      </c>
      <c r="H2398" s="25"/>
      <c r="BA2398" s="73" t="s">
        <v>355</v>
      </c>
      <c r="BB2398" s="48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356</v>
      </c>
      <c r="E2399" s="1" t="s">
        <v>347</v>
      </c>
      <c r="F2399" s="26">
        <v>1.93</v>
      </c>
      <c r="G2399" s="25" t="s">
        <v>293</v>
      </c>
      <c r="H2399" s="25"/>
      <c r="BA2399" s="73" t="s">
        <v>355</v>
      </c>
      <c r="BB2399" s="48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356</v>
      </c>
      <c r="E2400" s="1" t="s">
        <v>128</v>
      </c>
      <c r="F2400" s="26">
        <v>7</v>
      </c>
      <c r="G2400" s="25" t="s">
        <v>293</v>
      </c>
      <c r="H2400" s="25"/>
      <c r="BA2400" s="73" t="s">
        <v>355</v>
      </c>
      <c r="BB2400" s="48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356</v>
      </c>
      <c r="E2401" s="1" t="s">
        <v>121</v>
      </c>
      <c r="F2401" s="26">
        <v>165</v>
      </c>
      <c r="G2401" s="25" t="s">
        <v>293</v>
      </c>
      <c r="H2401" s="25"/>
      <c r="BA2401" s="73" t="s">
        <v>355</v>
      </c>
      <c r="BB2401" s="48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356</v>
      </c>
      <c r="E2402" s="1" t="s">
        <v>115</v>
      </c>
      <c r="F2402" s="26">
        <v>36</v>
      </c>
      <c r="G2402" s="25" t="s">
        <v>293</v>
      </c>
      <c r="H2402" s="25"/>
      <c r="BA2402" s="73" t="s">
        <v>355</v>
      </c>
      <c r="BB2402" s="48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356</v>
      </c>
      <c r="E2403" s="1" t="s">
        <v>137</v>
      </c>
      <c r="F2403" s="26">
        <v>75</v>
      </c>
      <c r="G2403" s="25" t="s">
        <v>293</v>
      </c>
      <c r="H2403" s="25"/>
      <c r="BA2403" s="73" t="s">
        <v>355</v>
      </c>
      <c r="BB2403" s="48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356</v>
      </c>
      <c r="E2404" s="1" t="s">
        <v>348</v>
      </c>
      <c r="F2404" s="26">
        <v>139</v>
      </c>
      <c r="G2404" s="25" t="s">
        <v>293</v>
      </c>
      <c r="H2404" s="25"/>
      <c r="BA2404" s="73" t="s">
        <v>355</v>
      </c>
      <c r="BB2404" s="48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356</v>
      </c>
      <c r="E2405" s="1" t="s">
        <v>125</v>
      </c>
      <c r="F2405" s="26">
        <v>112</v>
      </c>
      <c r="G2405" s="25" t="s">
        <v>293</v>
      </c>
      <c r="H2405" s="25"/>
      <c r="BA2405" s="73" t="s">
        <v>355</v>
      </c>
      <c r="BB2405" s="48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356</v>
      </c>
      <c r="E2406" s="1" t="s">
        <v>126</v>
      </c>
      <c r="F2406" s="26">
        <v>80</v>
      </c>
      <c r="G2406" s="25" t="s">
        <v>293</v>
      </c>
      <c r="H2406" s="25"/>
      <c r="BA2406" s="73" t="s">
        <v>355</v>
      </c>
      <c r="BB2406" s="48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356</v>
      </c>
      <c r="E2407" s="1" t="s">
        <v>349</v>
      </c>
      <c r="F2407" s="26">
        <v>148</v>
      </c>
      <c r="G2407" s="25" t="s">
        <v>293</v>
      </c>
      <c r="H2407" s="25"/>
      <c r="BA2407" s="73" t="s">
        <v>355</v>
      </c>
      <c r="BB2407" s="48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356</v>
      </c>
      <c r="E2408" s="1" t="s">
        <v>350</v>
      </c>
      <c r="F2408" s="26">
        <v>61</v>
      </c>
      <c r="G2408" s="25" t="s">
        <v>293</v>
      </c>
      <c r="H2408" s="25"/>
      <c r="BA2408" s="73" t="s">
        <v>355</v>
      </c>
      <c r="BB2408" s="48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356</v>
      </c>
      <c r="E2409" s="1" t="s">
        <v>122</v>
      </c>
      <c r="F2409" s="26">
        <v>46</v>
      </c>
      <c r="G2409" s="25" t="s">
        <v>293</v>
      </c>
      <c r="H2409" s="25"/>
      <c r="BA2409" s="73" t="s">
        <v>355</v>
      </c>
      <c r="BB2409" s="48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356</v>
      </c>
      <c r="E2410" s="1" t="s">
        <v>124</v>
      </c>
      <c r="F2410" s="26">
        <v>31</v>
      </c>
      <c r="G2410" s="25" t="s">
        <v>293</v>
      </c>
      <c r="H2410" s="25"/>
      <c r="BA2410" s="73" t="s">
        <v>355</v>
      </c>
      <c r="BB2410" s="48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356</v>
      </c>
      <c r="E2411" s="1" t="s">
        <v>351</v>
      </c>
      <c r="F2411" s="26">
        <v>0.95</v>
      </c>
      <c r="G2411" s="25" t="s">
        <v>293</v>
      </c>
      <c r="H2411" s="25"/>
      <c r="BA2411" s="73" t="s">
        <v>355</v>
      </c>
      <c r="BB2411" s="48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356</v>
      </c>
      <c r="E2412" s="1" t="s">
        <v>353</v>
      </c>
      <c r="F2412" s="26">
        <v>34.700000000000003</v>
      </c>
      <c r="G2412" s="25" t="s">
        <v>293</v>
      </c>
      <c r="H2412" s="25"/>
      <c r="BA2412" s="73" t="s">
        <v>355</v>
      </c>
      <c r="BB2412" s="48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356</v>
      </c>
      <c r="E2413" s="1" t="s">
        <v>133</v>
      </c>
      <c r="F2413" s="26">
        <v>148</v>
      </c>
      <c r="G2413" s="25" t="s">
        <v>293</v>
      </c>
      <c r="H2413" s="25"/>
      <c r="BA2413" s="73" t="s">
        <v>355</v>
      </c>
      <c r="BB2413" s="48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356</v>
      </c>
      <c r="E2414" s="1" t="s">
        <v>135</v>
      </c>
      <c r="F2414" s="26">
        <v>3.8</v>
      </c>
      <c r="G2414" s="25" t="s">
        <v>293</v>
      </c>
      <c r="H2414" s="25"/>
      <c r="BA2414" s="73" t="s">
        <v>355</v>
      </c>
      <c r="BB2414" s="48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356</v>
      </c>
      <c r="E2415" s="1" t="s">
        <v>136</v>
      </c>
      <c r="F2415" s="26">
        <v>116</v>
      </c>
      <c r="G2415" s="25" t="s">
        <v>293</v>
      </c>
      <c r="H2415" s="25"/>
      <c r="BA2415" s="73" t="s">
        <v>355</v>
      </c>
      <c r="BB2415" s="48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356</v>
      </c>
      <c r="E2416" s="1" t="s">
        <v>339</v>
      </c>
      <c r="F2416" s="26">
        <v>4.6900000000000004</v>
      </c>
      <c r="G2416" s="25" t="s">
        <v>293</v>
      </c>
      <c r="H2416" s="25"/>
      <c r="BA2416" s="73" t="s">
        <v>355</v>
      </c>
      <c r="BB2416" s="48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356</v>
      </c>
      <c r="E2417" s="1" t="s">
        <v>118</v>
      </c>
      <c r="F2417" s="26">
        <v>4.4000000000000004</v>
      </c>
      <c r="G2417" s="25" t="s">
        <v>293</v>
      </c>
      <c r="H2417" s="25"/>
      <c r="BA2417" s="73" t="s">
        <v>355</v>
      </c>
      <c r="BB2417" s="48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356</v>
      </c>
      <c r="E2418" s="1" t="s">
        <v>130</v>
      </c>
      <c r="F2418" s="26">
        <v>3.86</v>
      </c>
      <c r="G2418" s="25" t="s">
        <v>293</v>
      </c>
      <c r="H2418" s="25"/>
      <c r="BA2418" s="73" t="s">
        <v>355</v>
      </c>
      <c r="BB2418" s="48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356</v>
      </c>
      <c r="E2419" s="1" t="s">
        <v>341</v>
      </c>
      <c r="F2419" s="26">
        <v>0.28999999999999998</v>
      </c>
      <c r="G2419" s="25" t="s">
        <v>293</v>
      </c>
      <c r="H2419" s="25"/>
      <c r="BA2419" s="73" t="s">
        <v>355</v>
      </c>
      <c r="BB2419" s="48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356</v>
      </c>
      <c r="E2420" s="1" t="s">
        <v>127</v>
      </c>
      <c r="F2420" s="26">
        <v>1.19</v>
      </c>
      <c r="G2420" s="25" t="s">
        <v>293</v>
      </c>
      <c r="H2420" s="25"/>
      <c r="BA2420" s="73" t="s">
        <v>355</v>
      </c>
      <c r="BB2420" s="48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356</v>
      </c>
      <c r="E2421" s="1" t="s">
        <v>131</v>
      </c>
      <c r="F2421" s="26">
        <v>8.6</v>
      </c>
      <c r="G2421" s="25" t="s">
        <v>293</v>
      </c>
      <c r="H2421" s="25"/>
      <c r="BA2421" s="73" t="s">
        <v>355</v>
      </c>
      <c r="BB2421" s="48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356</v>
      </c>
      <c r="E2422" s="1" t="s">
        <v>342</v>
      </c>
      <c r="F2422" s="26">
        <v>339</v>
      </c>
      <c r="G2422" s="25" t="s">
        <v>293</v>
      </c>
      <c r="H2422" s="25"/>
      <c r="BA2422" s="73" t="s">
        <v>355</v>
      </c>
      <c r="BB2422" s="48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356</v>
      </c>
      <c r="E2423" s="1" t="s">
        <v>119</v>
      </c>
      <c r="F2423" s="26">
        <v>239</v>
      </c>
      <c r="G2423" s="25" t="s">
        <v>293</v>
      </c>
      <c r="H2423" s="25"/>
      <c r="BA2423" s="73" t="s">
        <v>355</v>
      </c>
      <c r="BB2423" s="48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356</v>
      </c>
      <c r="E2424" s="1" t="s">
        <v>120</v>
      </c>
      <c r="F2424" s="26">
        <v>76</v>
      </c>
      <c r="G2424" s="25" t="s">
        <v>293</v>
      </c>
      <c r="H2424" s="25"/>
      <c r="BA2424" s="73" t="s">
        <v>355</v>
      </c>
      <c r="BB2424" s="48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356</v>
      </c>
      <c r="E2425" s="1" t="s">
        <v>117</v>
      </c>
      <c r="F2425" s="26">
        <v>2.81</v>
      </c>
      <c r="G2425" s="25" t="s">
        <v>293</v>
      </c>
      <c r="H2425" s="25"/>
      <c r="BA2425" s="73" t="s">
        <v>355</v>
      </c>
      <c r="BB2425" s="48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356</v>
      </c>
      <c r="E2426" s="1" t="s">
        <v>344</v>
      </c>
      <c r="F2426" s="26">
        <v>231</v>
      </c>
      <c r="G2426" s="25" t="s">
        <v>293</v>
      </c>
      <c r="H2426" s="25"/>
      <c r="BA2426" s="73" t="s">
        <v>355</v>
      </c>
      <c r="BB2426" s="48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356</v>
      </c>
      <c r="E2427" s="1" t="s">
        <v>132</v>
      </c>
      <c r="F2427" s="26">
        <v>3.58</v>
      </c>
      <c r="G2427" s="25" t="s">
        <v>293</v>
      </c>
      <c r="H2427" s="25"/>
      <c r="BA2427" s="73" t="s">
        <v>355</v>
      </c>
      <c r="BB2427" s="48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356</v>
      </c>
      <c r="E2428" s="1" t="s">
        <v>111</v>
      </c>
      <c r="F2428" s="26">
        <v>88</v>
      </c>
      <c r="G2428" s="25" t="s">
        <v>293</v>
      </c>
      <c r="H2428" s="25"/>
      <c r="BA2428" s="73" t="s">
        <v>355</v>
      </c>
      <c r="BB2428" s="48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356</v>
      </c>
      <c r="E2429" s="1" t="s">
        <v>345</v>
      </c>
      <c r="F2429" s="26">
        <v>5.09</v>
      </c>
      <c r="G2429" s="25" t="s">
        <v>293</v>
      </c>
      <c r="H2429" s="25"/>
      <c r="BA2429" s="73" t="s">
        <v>355</v>
      </c>
      <c r="BB2429" s="48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356</v>
      </c>
      <c r="E2430" s="1" t="s">
        <v>347</v>
      </c>
      <c r="F2430" s="26">
        <v>1.95</v>
      </c>
      <c r="G2430" s="25" t="s">
        <v>293</v>
      </c>
      <c r="H2430" s="25"/>
      <c r="BA2430" s="73" t="s">
        <v>355</v>
      </c>
      <c r="BB2430" s="48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356</v>
      </c>
      <c r="E2431" s="1" t="s">
        <v>128</v>
      </c>
      <c r="F2431" s="26">
        <v>6.7</v>
      </c>
      <c r="G2431" s="25" t="s">
        <v>293</v>
      </c>
      <c r="H2431" s="25"/>
      <c r="BA2431" s="73" t="s">
        <v>355</v>
      </c>
      <c r="BB2431" s="48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356</v>
      </c>
      <c r="E2432" s="1" t="s">
        <v>121</v>
      </c>
      <c r="F2432" s="26">
        <v>166</v>
      </c>
      <c r="G2432" s="25" t="s">
        <v>293</v>
      </c>
      <c r="H2432" s="25"/>
      <c r="BA2432" s="73" t="s">
        <v>355</v>
      </c>
      <c r="BB2432" s="48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356</v>
      </c>
      <c r="E2433" s="1" t="s">
        <v>115</v>
      </c>
      <c r="F2433" s="26">
        <v>35</v>
      </c>
      <c r="G2433" s="25" t="s">
        <v>293</v>
      </c>
      <c r="H2433" s="25"/>
      <c r="BA2433" s="73" t="s">
        <v>355</v>
      </c>
      <c r="BB2433" s="48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356</v>
      </c>
      <c r="E2434" s="1" t="s">
        <v>137</v>
      </c>
      <c r="F2434" s="26">
        <v>74</v>
      </c>
      <c r="G2434" s="25" t="s">
        <v>293</v>
      </c>
      <c r="H2434" s="25"/>
      <c r="BA2434" s="73" t="s">
        <v>355</v>
      </c>
      <c r="BB2434" s="48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356</v>
      </c>
      <c r="E2435" s="1" t="s">
        <v>348</v>
      </c>
      <c r="F2435" s="26">
        <v>140</v>
      </c>
      <c r="G2435" s="25" t="s">
        <v>293</v>
      </c>
      <c r="H2435" s="25"/>
      <c r="BA2435" s="73" t="s">
        <v>355</v>
      </c>
      <c r="BB2435" s="48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356</v>
      </c>
      <c r="E2436" s="1" t="s">
        <v>125</v>
      </c>
      <c r="F2436" s="26">
        <v>112</v>
      </c>
      <c r="G2436" s="25" t="s">
        <v>293</v>
      </c>
      <c r="H2436" s="25"/>
      <c r="BA2436" s="73" t="s">
        <v>355</v>
      </c>
      <c r="BB2436" s="48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356</v>
      </c>
      <c r="E2437" s="1" t="s">
        <v>126</v>
      </c>
      <c r="F2437" s="26">
        <v>78</v>
      </c>
      <c r="G2437" s="25" t="s">
        <v>293</v>
      </c>
      <c r="H2437" s="25"/>
      <c r="BA2437" s="73" t="s">
        <v>355</v>
      </c>
      <c r="BB2437" s="48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356</v>
      </c>
      <c r="E2438" s="1" t="s">
        <v>349</v>
      </c>
      <c r="F2438" s="26">
        <v>165</v>
      </c>
      <c r="G2438" s="25" t="s">
        <v>293</v>
      </c>
      <c r="H2438" s="25"/>
      <c r="BA2438" s="73" t="s">
        <v>355</v>
      </c>
      <c r="BB2438" s="48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356</v>
      </c>
      <c r="E2439" s="1" t="s">
        <v>350</v>
      </c>
      <c r="F2439" s="26">
        <v>59</v>
      </c>
      <c r="G2439" s="25" t="s">
        <v>293</v>
      </c>
      <c r="H2439" s="25"/>
      <c r="BA2439" s="73" t="s">
        <v>355</v>
      </c>
      <c r="BB2439" s="48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356</v>
      </c>
      <c r="E2440" s="1" t="s">
        <v>122</v>
      </c>
      <c r="F2440" s="26">
        <v>46</v>
      </c>
      <c r="G2440" s="25" t="s">
        <v>293</v>
      </c>
      <c r="H2440" s="25"/>
      <c r="BA2440" s="73" t="s">
        <v>355</v>
      </c>
      <c r="BB2440" s="48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356</v>
      </c>
      <c r="E2441" s="1" t="s">
        <v>124</v>
      </c>
      <c r="F2441" s="26">
        <v>30</v>
      </c>
      <c r="G2441" s="25" t="s">
        <v>293</v>
      </c>
      <c r="H2441" s="25"/>
      <c r="BA2441" s="73" t="s">
        <v>355</v>
      </c>
      <c r="BB2441" s="48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356</v>
      </c>
      <c r="E2442" s="1" t="s">
        <v>351</v>
      </c>
      <c r="F2442" s="26">
        <v>0.96</v>
      </c>
      <c r="G2442" s="25" t="s">
        <v>293</v>
      </c>
      <c r="H2442" s="25"/>
      <c r="BA2442" s="73" t="s">
        <v>355</v>
      </c>
      <c r="BB2442" s="48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356</v>
      </c>
      <c r="E2443" s="1" t="s">
        <v>353</v>
      </c>
      <c r="F2443" s="26">
        <v>29</v>
      </c>
      <c r="G2443" s="25" t="s">
        <v>293</v>
      </c>
      <c r="H2443" s="25"/>
      <c r="BA2443" s="73" t="s">
        <v>355</v>
      </c>
      <c r="BB2443" s="48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356</v>
      </c>
      <c r="E2444" s="1" t="s">
        <v>133</v>
      </c>
      <c r="F2444" s="26">
        <v>146</v>
      </c>
      <c r="G2444" s="25" t="s">
        <v>293</v>
      </c>
      <c r="H2444" s="25"/>
      <c r="BA2444" s="73" t="s">
        <v>355</v>
      </c>
      <c r="BB2444" s="48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356</v>
      </c>
      <c r="E2445" s="1" t="s">
        <v>135</v>
      </c>
      <c r="F2445" s="26">
        <v>3.9</v>
      </c>
      <c r="G2445" s="25" t="s">
        <v>293</v>
      </c>
      <c r="H2445" s="25"/>
      <c r="BA2445" s="73" t="s">
        <v>355</v>
      </c>
      <c r="BB2445" s="48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356</v>
      </c>
      <c r="E2446" s="1" t="s">
        <v>136</v>
      </c>
      <c r="F2446" s="26">
        <v>120</v>
      </c>
      <c r="G2446" s="25" t="s">
        <v>293</v>
      </c>
      <c r="H2446" s="25"/>
      <c r="BA2446" s="73" t="s">
        <v>355</v>
      </c>
      <c r="BB2446" s="48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356</v>
      </c>
      <c r="E2447" s="1" t="s">
        <v>339</v>
      </c>
      <c r="F2447" s="26">
        <v>4.59</v>
      </c>
      <c r="G2447" s="25" t="s">
        <v>293</v>
      </c>
      <c r="H2447" s="25"/>
      <c r="BA2447" s="73" t="s">
        <v>355</v>
      </c>
      <c r="BB2447" s="48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356</v>
      </c>
      <c r="E2448" s="1" t="s">
        <v>118</v>
      </c>
      <c r="F2448" s="26">
        <v>4.4000000000000004</v>
      </c>
      <c r="G2448" s="25" t="s">
        <v>293</v>
      </c>
      <c r="H2448" s="25"/>
      <c r="BA2448" s="73" t="s">
        <v>355</v>
      </c>
      <c r="BB2448" s="48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356</v>
      </c>
      <c r="E2449" s="1" t="s">
        <v>130</v>
      </c>
      <c r="F2449" s="26">
        <v>3.76</v>
      </c>
      <c r="G2449" s="25" t="s">
        <v>293</v>
      </c>
      <c r="H2449" s="25"/>
      <c r="BA2449" s="73" t="s">
        <v>355</v>
      </c>
      <c r="BB2449" s="48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356</v>
      </c>
      <c r="E2450" s="1" t="s">
        <v>341</v>
      </c>
      <c r="F2450" s="26">
        <v>0.28999999999999998</v>
      </c>
      <c r="G2450" s="25" t="s">
        <v>293</v>
      </c>
      <c r="H2450" s="25"/>
      <c r="BA2450" s="73" t="s">
        <v>355</v>
      </c>
      <c r="BB2450" s="48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356</v>
      </c>
      <c r="E2451" s="1" t="s">
        <v>127</v>
      </c>
      <c r="F2451" s="26">
        <v>1.2</v>
      </c>
      <c r="G2451" s="25" t="s">
        <v>293</v>
      </c>
      <c r="H2451" s="25"/>
      <c r="BA2451" s="73" t="s">
        <v>355</v>
      </c>
      <c r="BB2451" s="48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356</v>
      </c>
      <c r="E2452" s="1" t="s">
        <v>131</v>
      </c>
      <c r="F2452" s="26">
        <v>8.6</v>
      </c>
      <c r="G2452" s="25" t="s">
        <v>293</v>
      </c>
      <c r="H2452" s="25"/>
      <c r="BA2452" s="73" t="s">
        <v>355</v>
      </c>
      <c r="BB2452" s="48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356</v>
      </c>
      <c r="E2453" s="1" t="s">
        <v>342</v>
      </c>
      <c r="F2453" s="26">
        <v>336</v>
      </c>
      <c r="G2453" s="25" t="s">
        <v>293</v>
      </c>
      <c r="H2453" s="25"/>
      <c r="BA2453" s="73" t="s">
        <v>355</v>
      </c>
      <c r="BB2453" s="48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356</v>
      </c>
      <c r="E2454" s="1" t="s">
        <v>119</v>
      </c>
      <c r="F2454" s="26">
        <v>236</v>
      </c>
      <c r="G2454" s="25" t="s">
        <v>293</v>
      </c>
      <c r="H2454" s="25"/>
      <c r="BA2454" s="73" t="s">
        <v>355</v>
      </c>
      <c r="BB2454" s="48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356</v>
      </c>
      <c r="E2455" s="1" t="s">
        <v>120</v>
      </c>
      <c r="F2455" s="26">
        <v>77</v>
      </c>
      <c r="G2455" s="25" t="s">
        <v>293</v>
      </c>
      <c r="H2455" s="25"/>
      <c r="BA2455" s="73" t="s">
        <v>355</v>
      </c>
      <c r="BB2455" s="48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356</v>
      </c>
      <c r="E2456" s="1" t="s">
        <v>117</v>
      </c>
      <c r="F2456" s="26">
        <v>2.84</v>
      </c>
      <c r="G2456" s="25" t="s">
        <v>293</v>
      </c>
      <c r="H2456" s="25"/>
      <c r="BA2456" s="73" t="s">
        <v>355</v>
      </c>
      <c r="BB2456" s="48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356</v>
      </c>
      <c r="E2457" s="1" t="s">
        <v>344</v>
      </c>
      <c r="F2457" s="26">
        <v>232</v>
      </c>
      <c r="G2457" s="25" t="s">
        <v>293</v>
      </c>
      <c r="H2457" s="25"/>
      <c r="BA2457" s="73" t="s">
        <v>355</v>
      </c>
      <c r="BB2457" s="48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356</v>
      </c>
      <c r="E2458" s="1" t="s">
        <v>132</v>
      </c>
      <c r="F2458" s="26">
        <v>3.76</v>
      </c>
      <c r="G2458" s="25" t="s">
        <v>293</v>
      </c>
      <c r="H2458" s="25"/>
      <c r="BA2458" s="73" t="s">
        <v>355</v>
      </c>
      <c r="BB2458" s="48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356</v>
      </c>
      <c r="E2459" s="1" t="s">
        <v>111</v>
      </c>
      <c r="F2459" s="26">
        <v>89</v>
      </c>
      <c r="G2459" s="25" t="s">
        <v>293</v>
      </c>
      <c r="H2459" s="25"/>
      <c r="BA2459" s="73" t="s">
        <v>355</v>
      </c>
      <c r="BB2459" s="48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356</v>
      </c>
      <c r="E2460" s="1" t="s">
        <v>345</v>
      </c>
      <c r="F2460" s="26">
        <v>5.04</v>
      </c>
      <c r="G2460" s="25" t="s">
        <v>293</v>
      </c>
      <c r="H2460" s="25"/>
      <c r="BA2460" s="73" t="s">
        <v>355</v>
      </c>
      <c r="BB2460" s="48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356</v>
      </c>
      <c r="E2461" s="1" t="s">
        <v>347</v>
      </c>
      <c r="F2461" s="26">
        <v>2.11</v>
      </c>
      <c r="G2461" s="25" t="s">
        <v>293</v>
      </c>
      <c r="H2461" s="25"/>
      <c r="BA2461" s="73" t="s">
        <v>355</v>
      </c>
      <c r="BB2461" s="48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356</v>
      </c>
      <c r="E2462" s="1" t="s">
        <v>128</v>
      </c>
      <c r="F2462" s="26">
        <v>6.9</v>
      </c>
      <c r="G2462" s="25" t="s">
        <v>293</v>
      </c>
      <c r="H2462" s="25"/>
      <c r="BA2462" s="73" t="s">
        <v>355</v>
      </c>
      <c r="BB2462" s="48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356</v>
      </c>
      <c r="E2463" s="1" t="s">
        <v>121</v>
      </c>
      <c r="F2463" s="26">
        <v>163</v>
      </c>
      <c r="G2463" s="25" t="s">
        <v>293</v>
      </c>
      <c r="H2463" s="25"/>
      <c r="BA2463" s="73" t="s">
        <v>355</v>
      </c>
      <c r="BB2463" s="48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356</v>
      </c>
      <c r="E2464" s="1" t="s">
        <v>115</v>
      </c>
      <c r="F2464" s="26">
        <v>35</v>
      </c>
      <c r="G2464" s="25" t="s">
        <v>293</v>
      </c>
      <c r="H2464" s="25"/>
      <c r="BA2464" s="73" t="s">
        <v>355</v>
      </c>
      <c r="BB2464" s="48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356</v>
      </c>
      <c r="E2465" s="1" t="s">
        <v>137</v>
      </c>
      <c r="F2465" s="26">
        <v>75</v>
      </c>
      <c r="G2465" s="25" t="s">
        <v>293</v>
      </c>
      <c r="H2465" s="25"/>
      <c r="BA2465" s="73" t="s">
        <v>355</v>
      </c>
      <c r="BB2465" s="48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356</v>
      </c>
      <c r="E2466" s="1" t="s">
        <v>348</v>
      </c>
      <c r="F2466" s="26">
        <v>141</v>
      </c>
      <c r="G2466" s="25" t="s">
        <v>293</v>
      </c>
      <c r="H2466" s="25"/>
      <c r="BA2466" s="73" t="s">
        <v>355</v>
      </c>
      <c r="BB2466" s="48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356</v>
      </c>
      <c r="E2467" s="1" t="s">
        <v>125</v>
      </c>
      <c r="F2467" s="26">
        <v>115</v>
      </c>
      <c r="G2467" s="25" t="s">
        <v>293</v>
      </c>
      <c r="H2467" s="25"/>
      <c r="BA2467" s="73" t="s">
        <v>355</v>
      </c>
      <c r="BB2467" s="48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356</v>
      </c>
      <c r="E2468" s="1" t="s">
        <v>126</v>
      </c>
      <c r="F2468" s="26">
        <v>79</v>
      </c>
      <c r="G2468" s="25" t="s">
        <v>293</v>
      </c>
      <c r="H2468" s="25"/>
      <c r="BA2468" s="73" t="s">
        <v>355</v>
      </c>
      <c r="BB2468" s="48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356</v>
      </c>
      <c r="E2469" s="1" t="s">
        <v>349</v>
      </c>
      <c r="F2469" s="26">
        <v>165</v>
      </c>
      <c r="G2469" s="25" t="s">
        <v>293</v>
      </c>
      <c r="H2469" s="25"/>
      <c r="BA2469" s="73" t="s">
        <v>355</v>
      </c>
      <c r="BB2469" s="48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356</v>
      </c>
      <c r="E2470" s="1" t="s">
        <v>350</v>
      </c>
      <c r="F2470" s="26">
        <v>60</v>
      </c>
      <c r="G2470" s="25" t="s">
        <v>293</v>
      </c>
      <c r="H2470" s="25"/>
      <c r="BA2470" s="73" t="s">
        <v>355</v>
      </c>
      <c r="BB2470" s="48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356</v>
      </c>
      <c r="E2471" s="1" t="s">
        <v>122</v>
      </c>
      <c r="F2471" s="26">
        <v>46</v>
      </c>
      <c r="G2471" s="25" t="s">
        <v>293</v>
      </c>
      <c r="H2471" s="25"/>
      <c r="BA2471" s="73" t="s">
        <v>355</v>
      </c>
      <c r="BB2471" s="48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356</v>
      </c>
      <c r="E2472" s="1" t="s">
        <v>124</v>
      </c>
      <c r="F2472" s="26">
        <v>31</v>
      </c>
      <c r="G2472" s="25" t="s">
        <v>293</v>
      </c>
      <c r="H2472" s="25"/>
      <c r="BA2472" s="73" t="s">
        <v>355</v>
      </c>
      <c r="BB2472" s="48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356</v>
      </c>
      <c r="E2473" s="1" t="s">
        <v>351</v>
      </c>
      <c r="F2473" s="26">
        <v>0.95</v>
      </c>
      <c r="G2473" s="25" t="s">
        <v>293</v>
      </c>
      <c r="H2473" s="25"/>
      <c r="BA2473" s="73" t="s">
        <v>355</v>
      </c>
      <c r="BB2473" s="48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356</v>
      </c>
      <c r="E2474" s="1" t="s">
        <v>353</v>
      </c>
      <c r="F2474" s="26">
        <v>33</v>
      </c>
      <c r="G2474" s="25" t="s">
        <v>293</v>
      </c>
      <c r="H2474" s="25"/>
      <c r="BA2474" s="73" t="s">
        <v>355</v>
      </c>
      <c r="BB2474" s="48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356</v>
      </c>
      <c r="E2475" s="1" t="s">
        <v>133</v>
      </c>
      <c r="F2475" s="26">
        <v>143</v>
      </c>
      <c r="G2475" s="25" t="s">
        <v>293</v>
      </c>
      <c r="H2475" s="25"/>
      <c r="BA2475" s="73" t="s">
        <v>355</v>
      </c>
      <c r="BB2475" s="48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356</v>
      </c>
      <c r="E2476" s="1" t="s">
        <v>135</v>
      </c>
      <c r="F2476" s="26">
        <v>3.8</v>
      </c>
      <c r="G2476" s="25" t="s">
        <v>293</v>
      </c>
      <c r="H2476" s="25"/>
      <c r="BA2476" s="73" t="s">
        <v>355</v>
      </c>
      <c r="BB2476" s="48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356</v>
      </c>
      <c r="E2477" s="1" t="s">
        <v>136</v>
      </c>
      <c r="F2477" s="26">
        <v>118</v>
      </c>
      <c r="G2477" s="25" t="s">
        <v>293</v>
      </c>
      <c r="H2477" s="25"/>
      <c r="BA2477" s="73" t="s">
        <v>355</v>
      </c>
      <c r="BB2477" s="48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356</v>
      </c>
      <c r="E2478" s="1" t="s">
        <v>339</v>
      </c>
      <c r="F2478" s="26">
        <v>4.68</v>
      </c>
      <c r="G2478" s="25" t="s">
        <v>293</v>
      </c>
      <c r="H2478" s="25"/>
      <c r="BA2478" s="73" t="s">
        <v>355</v>
      </c>
      <c r="BB2478" s="48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356</v>
      </c>
      <c r="E2479" s="1" t="s">
        <v>118</v>
      </c>
      <c r="F2479" s="26">
        <v>4.5</v>
      </c>
      <c r="G2479" s="25" t="s">
        <v>293</v>
      </c>
      <c r="H2479" s="25"/>
      <c r="BA2479" s="73" t="s">
        <v>355</v>
      </c>
      <c r="BB2479" s="48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356</v>
      </c>
      <c r="E2480" s="1" t="s">
        <v>130</v>
      </c>
      <c r="F2480" s="26">
        <v>3.69</v>
      </c>
      <c r="G2480" s="25" t="s">
        <v>293</v>
      </c>
      <c r="H2480" s="25"/>
      <c r="BA2480" s="73" t="s">
        <v>355</v>
      </c>
      <c r="BB2480" s="48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356</v>
      </c>
      <c r="E2481" s="1" t="s">
        <v>341</v>
      </c>
      <c r="F2481" s="26">
        <v>0.28000000000000003</v>
      </c>
      <c r="G2481" s="25" t="s">
        <v>293</v>
      </c>
      <c r="H2481" s="25"/>
      <c r="BA2481" s="73" t="s">
        <v>355</v>
      </c>
      <c r="BB2481" s="48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356</v>
      </c>
      <c r="E2482" s="1" t="s">
        <v>127</v>
      </c>
      <c r="F2482" s="26">
        <v>1.1200000000000001</v>
      </c>
      <c r="G2482" s="25" t="s">
        <v>293</v>
      </c>
      <c r="H2482" s="25"/>
      <c r="BA2482" s="73" t="s">
        <v>355</v>
      </c>
      <c r="BB2482" s="48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356</v>
      </c>
      <c r="E2483" s="1" t="s">
        <v>131</v>
      </c>
      <c r="F2483" s="26">
        <v>8.6</v>
      </c>
      <c r="G2483" s="25" t="s">
        <v>293</v>
      </c>
      <c r="H2483" s="25"/>
      <c r="BA2483" s="73" t="s">
        <v>355</v>
      </c>
      <c r="BB2483" s="48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356</v>
      </c>
      <c r="E2484" s="1" t="s">
        <v>342</v>
      </c>
      <c r="F2484" s="26">
        <v>333</v>
      </c>
      <c r="G2484" s="25" t="s">
        <v>293</v>
      </c>
      <c r="H2484" s="25"/>
      <c r="BA2484" s="73" t="s">
        <v>355</v>
      </c>
      <c r="BB2484" s="48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356</v>
      </c>
      <c r="E2485" s="1" t="s">
        <v>119</v>
      </c>
      <c r="F2485" s="26">
        <v>247</v>
      </c>
      <c r="G2485" s="25" t="s">
        <v>293</v>
      </c>
      <c r="H2485" s="25"/>
      <c r="BA2485" s="73" t="s">
        <v>355</v>
      </c>
      <c r="BB2485" s="48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356</v>
      </c>
      <c r="E2486" s="1" t="s">
        <v>120</v>
      </c>
      <c r="F2486" s="26">
        <v>78</v>
      </c>
      <c r="G2486" s="25" t="s">
        <v>293</v>
      </c>
      <c r="H2486" s="25"/>
      <c r="BA2486" s="73" t="s">
        <v>355</v>
      </c>
      <c r="BB2486" s="48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356</v>
      </c>
      <c r="E2487" s="1" t="s">
        <v>117</v>
      </c>
      <c r="F2487" s="26">
        <v>2.71</v>
      </c>
      <c r="G2487" s="25" t="s">
        <v>293</v>
      </c>
      <c r="H2487" s="25"/>
      <c r="BA2487" s="73" t="s">
        <v>355</v>
      </c>
      <c r="BB2487" s="48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356</v>
      </c>
      <c r="E2488" s="1" t="s">
        <v>344</v>
      </c>
      <c r="F2488" s="26">
        <v>232</v>
      </c>
      <c r="G2488" s="25" t="s">
        <v>293</v>
      </c>
      <c r="H2488" s="25"/>
      <c r="BA2488" s="73" t="s">
        <v>355</v>
      </c>
      <c r="BB2488" s="48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356</v>
      </c>
      <c r="E2489" s="1" t="s">
        <v>132</v>
      </c>
      <c r="F2489" s="26">
        <v>3.6</v>
      </c>
      <c r="G2489" s="25" t="s">
        <v>293</v>
      </c>
      <c r="H2489" s="25"/>
      <c r="BA2489" s="73" t="s">
        <v>355</v>
      </c>
      <c r="BB2489" s="48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356</v>
      </c>
      <c r="E2490" s="1" t="s">
        <v>111</v>
      </c>
      <c r="F2490" s="26">
        <v>88</v>
      </c>
      <c r="G2490" s="25" t="s">
        <v>293</v>
      </c>
      <c r="H2490" s="25"/>
      <c r="BA2490" s="73" t="s">
        <v>355</v>
      </c>
      <c r="BB2490" s="48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356</v>
      </c>
      <c r="E2491" s="1" t="s">
        <v>345</v>
      </c>
      <c r="F2491" s="26">
        <v>5.0999999999999996</v>
      </c>
      <c r="G2491" s="25" t="s">
        <v>293</v>
      </c>
      <c r="H2491" s="25"/>
      <c r="BA2491" s="73" t="s">
        <v>355</v>
      </c>
      <c r="BB2491" s="48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356</v>
      </c>
      <c r="E2492" s="1" t="s">
        <v>347</v>
      </c>
      <c r="F2492" s="26">
        <v>2.0699999999999998</v>
      </c>
      <c r="G2492" s="25" t="s">
        <v>293</v>
      </c>
      <c r="H2492" s="25"/>
      <c r="BA2492" s="73" t="s">
        <v>355</v>
      </c>
      <c r="BB2492" s="48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356</v>
      </c>
      <c r="E2493" s="1" t="s">
        <v>128</v>
      </c>
      <c r="F2493" s="26">
        <v>6.9</v>
      </c>
      <c r="G2493" s="25" t="s">
        <v>293</v>
      </c>
      <c r="H2493" s="25"/>
      <c r="BA2493" s="73" t="s">
        <v>355</v>
      </c>
      <c r="BB2493" s="48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356</v>
      </c>
      <c r="E2494" s="1" t="s">
        <v>121</v>
      </c>
      <c r="F2494" s="26">
        <v>159</v>
      </c>
      <c r="G2494" s="25" t="s">
        <v>293</v>
      </c>
      <c r="H2494" s="25"/>
      <c r="BA2494" s="73" t="s">
        <v>355</v>
      </c>
      <c r="BB2494" s="48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356</v>
      </c>
      <c r="E2495" s="1" t="s">
        <v>115</v>
      </c>
      <c r="F2495" s="26">
        <v>34</v>
      </c>
      <c r="G2495" s="25" t="s">
        <v>293</v>
      </c>
      <c r="H2495" s="25"/>
      <c r="BA2495" s="73" t="s">
        <v>355</v>
      </c>
      <c r="BB2495" s="48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356</v>
      </c>
      <c r="E2496" s="1" t="s">
        <v>137</v>
      </c>
      <c r="F2496" s="26">
        <v>74</v>
      </c>
      <c r="G2496" s="25" t="s">
        <v>293</v>
      </c>
      <c r="H2496" s="25"/>
      <c r="BA2496" s="73" t="s">
        <v>355</v>
      </c>
      <c r="BB2496" s="48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356</v>
      </c>
      <c r="E2497" s="1" t="s">
        <v>348</v>
      </c>
      <c r="F2497" s="26">
        <v>141</v>
      </c>
      <c r="G2497" s="25" t="s">
        <v>293</v>
      </c>
      <c r="H2497" s="25"/>
      <c r="BA2497" s="73" t="s">
        <v>355</v>
      </c>
      <c r="BB2497" s="48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356</v>
      </c>
      <c r="E2498" s="1" t="s">
        <v>125</v>
      </c>
      <c r="F2498" s="26">
        <v>115</v>
      </c>
      <c r="G2498" s="25" t="s">
        <v>293</v>
      </c>
      <c r="H2498" s="25"/>
      <c r="BA2498" s="73" t="s">
        <v>355</v>
      </c>
      <c r="BB2498" s="48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356</v>
      </c>
      <c r="E2499" s="1" t="s">
        <v>126</v>
      </c>
      <c r="F2499" s="26">
        <v>81</v>
      </c>
      <c r="G2499" s="25" t="s">
        <v>293</v>
      </c>
      <c r="H2499" s="25"/>
      <c r="BA2499" s="73" t="s">
        <v>355</v>
      </c>
      <c r="BB2499" s="48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356</v>
      </c>
      <c r="E2500" s="1" t="s">
        <v>349</v>
      </c>
      <c r="F2500" s="26">
        <v>165</v>
      </c>
      <c r="G2500" s="25" t="s">
        <v>293</v>
      </c>
      <c r="H2500" s="25"/>
      <c r="BA2500" s="73" t="s">
        <v>355</v>
      </c>
      <c r="BB2500" s="48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356</v>
      </c>
      <c r="E2501" s="1" t="s">
        <v>350</v>
      </c>
      <c r="F2501" s="26">
        <v>60</v>
      </c>
      <c r="G2501" s="25" t="s">
        <v>293</v>
      </c>
      <c r="H2501" s="25"/>
      <c r="BA2501" s="73" t="s">
        <v>355</v>
      </c>
      <c r="BB2501" s="48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356</v>
      </c>
      <c r="E2502" s="1" t="s">
        <v>122</v>
      </c>
      <c r="F2502" s="26">
        <v>47</v>
      </c>
      <c r="G2502" s="25" t="s">
        <v>293</v>
      </c>
      <c r="H2502" s="25"/>
      <c r="BA2502" s="73" t="s">
        <v>355</v>
      </c>
      <c r="BB2502" s="48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356</v>
      </c>
      <c r="E2503" s="1" t="s">
        <v>124</v>
      </c>
      <c r="F2503" s="26">
        <v>30</v>
      </c>
      <c r="G2503" s="25" t="s">
        <v>293</v>
      </c>
      <c r="H2503" s="25"/>
      <c r="BA2503" s="73" t="s">
        <v>355</v>
      </c>
      <c r="BB2503" s="48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356</v>
      </c>
      <c r="E2504" s="1" t="s">
        <v>351</v>
      </c>
      <c r="F2504" s="26">
        <v>0.98</v>
      </c>
      <c r="G2504" s="25" t="s">
        <v>293</v>
      </c>
      <c r="H2504" s="25"/>
      <c r="BA2504" s="73" t="s">
        <v>355</v>
      </c>
      <c r="BB2504" s="48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356</v>
      </c>
      <c r="E2505" s="1" t="s">
        <v>353</v>
      </c>
      <c r="F2505" s="26">
        <v>35.4</v>
      </c>
      <c r="G2505" s="25" t="s">
        <v>293</v>
      </c>
      <c r="H2505" s="25"/>
      <c r="BA2505" s="73" t="s">
        <v>355</v>
      </c>
      <c r="BB2505" s="48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356</v>
      </c>
      <c r="E2506" s="1" t="s">
        <v>133</v>
      </c>
      <c r="F2506" s="26">
        <v>143</v>
      </c>
      <c r="G2506" s="25" t="s">
        <v>293</v>
      </c>
      <c r="H2506" s="25"/>
      <c r="BA2506" s="73" t="s">
        <v>355</v>
      </c>
      <c r="BB2506" s="48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356</v>
      </c>
      <c r="E2507" s="1" t="s">
        <v>135</v>
      </c>
      <c r="F2507" s="26">
        <v>3.7</v>
      </c>
      <c r="G2507" s="25" t="s">
        <v>293</v>
      </c>
      <c r="H2507" s="25"/>
      <c r="BA2507" s="73" t="s">
        <v>355</v>
      </c>
      <c r="BB2507" s="48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356</v>
      </c>
      <c r="E2508" s="1" t="s">
        <v>136</v>
      </c>
      <c r="F2508" s="26">
        <v>118</v>
      </c>
      <c r="G2508" s="25" t="s">
        <v>293</v>
      </c>
      <c r="H2508" s="25"/>
      <c r="BA2508" s="73" t="s">
        <v>355</v>
      </c>
      <c r="BB2508" s="48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356</v>
      </c>
      <c r="E2509" s="1" t="s">
        <v>339</v>
      </c>
      <c r="F2509" s="26">
        <v>4.66</v>
      </c>
      <c r="G2509" s="25" t="s">
        <v>293</v>
      </c>
      <c r="H2509" s="25"/>
      <c r="BA2509" s="73" t="s">
        <v>355</v>
      </c>
      <c r="BB2509" s="48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356</v>
      </c>
      <c r="E2510" s="1" t="s">
        <v>118</v>
      </c>
      <c r="F2510" s="26">
        <v>4.5</v>
      </c>
      <c r="G2510" s="25" t="s">
        <v>293</v>
      </c>
      <c r="H2510" s="25"/>
      <c r="BA2510" s="73" t="s">
        <v>355</v>
      </c>
      <c r="BB2510" s="48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356</v>
      </c>
      <c r="E2511" s="1" t="s">
        <v>130</v>
      </c>
      <c r="F2511" s="26">
        <v>3.79</v>
      </c>
      <c r="G2511" s="25" t="s">
        <v>293</v>
      </c>
      <c r="H2511" s="25"/>
      <c r="BA2511" s="73" t="s">
        <v>355</v>
      </c>
      <c r="BB2511" s="48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356</v>
      </c>
      <c r="E2512" s="1" t="s">
        <v>341</v>
      </c>
      <c r="F2512" s="26">
        <v>0.29399999999999998</v>
      </c>
      <c r="G2512" s="25" t="s">
        <v>293</v>
      </c>
      <c r="H2512" s="25"/>
      <c r="BA2512" s="73" t="s">
        <v>355</v>
      </c>
      <c r="BB2512" s="48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356</v>
      </c>
      <c r="E2513" s="1" t="s">
        <v>127</v>
      </c>
      <c r="F2513" s="26">
        <v>1.1399999999999999</v>
      </c>
      <c r="G2513" s="25" t="s">
        <v>293</v>
      </c>
      <c r="H2513" s="25"/>
      <c r="BA2513" s="73" t="s">
        <v>355</v>
      </c>
      <c r="BB2513" s="48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356</v>
      </c>
      <c r="E2514" s="1" t="s">
        <v>131</v>
      </c>
      <c r="F2514" s="26">
        <v>8.6</v>
      </c>
      <c r="G2514" s="25" t="s">
        <v>293</v>
      </c>
      <c r="H2514" s="25"/>
      <c r="BA2514" s="73" t="s">
        <v>355</v>
      </c>
      <c r="BB2514" s="48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356</v>
      </c>
      <c r="E2515" s="1" t="s">
        <v>342</v>
      </c>
      <c r="F2515" s="26">
        <v>347</v>
      </c>
      <c r="G2515" s="25" t="s">
        <v>293</v>
      </c>
      <c r="H2515" s="25"/>
      <c r="BA2515" s="73" t="s">
        <v>355</v>
      </c>
      <c r="BB2515" s="48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356</v>
      </c>
      <c r="E2516" s="1" t="s">
        <v>119</v>
      </c>
      <c r="F2516" s="26">
        <v>239</v>
      </c>
      <c r="G2516" s="25" t="s">
        <v>293</v>
      </c>
      <c r="H2516" s="25"/>
      <c r="BA2516" s="73" t="s">
        <v>355</v>
      </c>
      <c r="BB2516" s="48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356</v>
      </c>
      <c r="E2517" s="1" t="s">
        <v>120</v>
      </c>
      <c r="F2517" s="26">
        <v>77</v>
      </c>
      <c r="G2517" s="25" t="s">
        <v>293</v>
      </c>
      <c r="H2517" s="25"/>
      <c r="BA2517" s="73" t="s">
        <v>355</v>
      </c>
      <c r="BB2517" s="48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356</v>
      </c>
      <c r="E2518" s="1" t="s">
        <v>117</v>
      </c>
      <c r="F2518" s="26">
        <v>2.75</v>
      </c>
      <c r="G2518" s="25" t="s">
        <v>293</v>
      </c>
      <c r="H2518" s="25"/>
      <c r="BA2518" s="73" t="s">
        <v>355</v>
      </c>
      <c r="BB2518" s="48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356</v>
      </c>
      <c r="E2519" s="1" t="s">
        <v>344</v>
      </c>
      <c r="F2519" s="26">
        <v>234</v>
      </c>
      <c r="G2519" s="25" t="s">
        <v>293</v>
      </c>
      <c r="H2519" s="25"/>
      <c r="BA2519" s="73" t="s">
        <v>355</v>
      </c>
      <c r="BB2519" s="48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356</v>
      </c>
      <c r="E2520" s="1" t="s">
        <v>132</v>
      </c>
      <c r="F2520" s="26">
        <v>3.65</v>
      </c>
      <c r="G2520" s="25" t="s">
        <v>293</v>
      </c>
      <c r="H2520" s="25"/>
      <c r="BA2520" s="73" t="s">
        <v>355</v>
      </c>
      <c r="BB2520" s="48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356</v>
      </c>
      <c r="E2521" s="1" t="s">
        <v>111</v>
      </c>
      <c r="F2521" s="26">
        <v>89</v>
      </c>
      <c r="G2521" s="25" t="s">
        <v>293</v>
      </c>
      <c r="H2521" s="25"/>
      <c r="BA2521" s="73" t="s">
        <v>355</v>
      </c>
      <c r="BB2521" s="48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356</v>
      </c>
      <c r="E2522" s="1" t="s">
        <v>345</v>
      </c>
      <c r="F2522" s="26">
        <v>5.1100000000000003</v>
      </c>
      <c r="G2522" s="25" t="s">
        <v>293</v>
      </c>
      <c r="H2522" s="25"/>
      <c r="BA2522" s="73" t="s">
        <v>355</v>
      </c>
      <c r="BB2522" s="48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356</v>
      </c>
      <c r="E2523" s="1" t="s">
        <v>347</v>
      </c>
      <c r="F2523" s="26">
        <v>1.96</v>
      </c>
      <c r="G2523" s="25" t="s">
        <v>293</v>
      </c>
      <c r="H2523" s="25"/>
      <c r="BA2523" s="73" t="s">
        <v>355</v>
      </c>
      <c r="BB2523" s="48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356</v>
      </c>
      <c r="E2524" s="1" t="s">
        <v>128</v>
      </c>
      <c r="F2524" s="26">
        <v>6.9</v>
      </c>
      <c r="G2524" s="25" t="s">
        <v>293</v>
      </c>
      <c r="H2524" s="25"/>
      <c r="BA2524" s="73" t="s">
        <v>355</v>
      </c>
      <c r="BB2524" s="48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356</v>
      </c>
      <c r="E2525" s="1" t="s">
        <v>121</v>
      </c>
      <c r="F2525" s="26">
        <v>161</v>
      </c>
      <c r="G2525" s="25" t="s">
        <v>293</v>
      </c>
      <c r="H2525" s="25"/>
      <c r="BA2525" s="73" t="s">
        <v>355</v>
      </c>
      <c r="BB2525" s="48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356</v>
      </c>
      <c r="E2526" s="1" t="s">
        <v>115</v>
      </c>
      <c r="F2526" s="26">
        <v>33</v>
      </c>
      <c r="G2526" s="25" t="s">
        <v>293</v>
      </c>
      <c r="H2526" s="25"/>
      <c r="BA2526" s="73" t="s">
        <v>355</v>
      </c>
      <c r="BB2526" s="48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356</v>
      </c>
      <c r="E2527" s="1" t="s">
        <v>137</v>
      </c>
      <c r="F2527" s="26">
        <v>75</v>
      </c>
      <c r="G2527" s="25" t="s">
        <v>293</v>
      </c>
      <c r="H2527" s="25"/>
      <c r="BA2527" s="73" t="s">
        <v>355</v>
      </c>
      <c r="BB2527" s="48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356</v>
      </c>
      <c r="E2528" s="1" t="s">
        <v>348</v>
      </c>
      <c r="F2528" s="26">
        <v>140</v>
      </c>
      <c r="G2528" s="25" t="s">
        <v>293</v>
      </c>
      <c r="H2528" s="25"/>
      <c r="BA2528" s="73" t="s">
        <v>355</v>
      </c>
      <c r="BB2528" s="48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356</v>
      </c>
      <c r="E2529" s="1" t="s">
        <v>125</v>
      </c>
      <c r="F2529" s="26">
        <v>123</v>
      </c>
      <c r="G2529" s="25" t="s">
        <v>293</v>
      </c>
      <c r="H2529" s="25"/>
      <c r="BA2529" s="73" t="s">
        <v>355</v>
      </c>
      <c r="BB2529" s="48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356</v>
      </c>
      <c r="E2530" s="1" t="s">
        <v>126</v>
      </c>
      <c r="F2530" s="26">
        <v>80</v>
      </c>
      <c r="G2530" s="25" t="s">
        <v>293</v>
      </c>
      <c r="H2530" s="25"/>
      <c r="BA2530" s="73" t="s">
        <v>355</v>
      </c>
      <c r="BB2530" s="48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356</v>
      </c>
      <c r="E2531" s="1" t="s">
        <v>349</v>
      </c>
      <c r="F2531" s="26">
        <v>159</v>
      </c>
      <c r="G2531" s="25" t="s">
        <v>293</v>
      </c>
      <c r="H2531" s="25"/>
      <c r="BA2531" s="73" t="s">
        <v>355</v>
      </c>
      <c r="BB2531" s="48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356</v>
      </c>
      <c r="E2532" s="1" t="s">
        <v>350</v>
      </c>
      <c r="F2532" s="26">
        <v>60</v>
      </c>
      <c r="G2532" s="25" t="s">
        <v>293</v>
      </c>
      <c r="H2532" s="25"/>
      <c r="BA2532" s="73" t="s">
        <v>355</v>
      </c>
      <c r="BB2532" s="48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356</v>
      </c>
      <c r="E2533" s="1" t="s">
        <v>122</v>
      </c>
      <c r="F2533" s="26">
        <v>45</v>
      </c>
      <c r="G2533" s="25" t="s">
        <v>293</v>
      </c>
      <c r="H2533" s="25"/>
      <c r="BA2533" s="73" t="s">
        <v>355</v>
      </c>
      <c r="BB2533" s="48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356</v>
      </c>
      <c r="E2534" s="1" t="s">
        <v>124</v>
      </c>
      <c r="F2534" s="26">
        <v>29</v>
      </c>
      <c r="G2534" s="25" t="s">
        <v>293</v>
      </c>
      <c r="H2534" s="25"/>
      <c r="BA2534" s="73" t="s">
        <v>355</v>
      </c>
      <c r="BB2534" s="48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356</v>
      </c>
      <c r="E2535" s="1" t="s">
        <v>351</v>
      </c>
      <c r="F2535" s="26">
        <v>0.95</v>
      </c>
      <c r="G2535" s="25" t="s">
        <v>293</v>
      </c>
      <c r="H2535" s="25"/>
      <c r="BA2535" s="73" t="s">
        <v>355</v>
      </c>
      <c r="BB2535" s="48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356</v>
      </c>
      <c r="E2536" s="1" t="s">
        <v>353</v>
      </c>
      <c r="F2536" s="26">
        <v>32.4</v>
      </c>
      <c r="G2536" s="25" t="s">
        <v>293</v>
      </c>
      <c r="H2536" s="25"/>
      <c r="BA2536" s="73" t="s">
        <v>355</v>
      </c>
      <c r="BB2536" s="48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356</v>
      </c>
      <c r="E2537" s="1" t="s">
        <v>133</v>
      </c>
      <c r="F2537" s="26">
        <v>143</v>
      </c>
      <c r="G2537" s="25" t="s">
        <v>293</v>
      </c>
      <c r="H2537" s="25"/>
      <c r="BA2537" s="73" t="s">
        <v>355</v>
      </c>
      <c r="BB2537" s="48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356</v>
      </c>
      <c r="E2538" s="1" t="s">
        <v>135</v>
      </c>
      <c r="F2538" s="26">
        <v>3.7</v>
      </c>
      <c r="G2538" s="25" t="s">
        <v>293</v>
      </c>
      <c r="H2538" s="25"/>
      <c r="BA2538" s="73" t="s">
        <v>355</v>
      </c>
      <c r="BB2538" s="48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356</v>
      </c>
      <c r="E2539" s="1" t="s">
        <v>136</v>
      </c>
      <c r="F2539" s="26">
        <v>116</v>
      </c>
      <c r="G2539" s="25" t="s">
        <v>293</v>
      </c>
      <c r="H2539" s="25"/>
      <c r="BA2539" s="73" t="s">
        <v>355</v>
      </c>
      <c r="BB2539" s="48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356</v>
      </c>
      <c r="E2540" s="1" t="s">
        <v>339</v>
      </c>
      <c r="F2540" s="26">
        <v>4.62</v>
      </c>
      <c r="G2540" s="25" t="s">
        <v>293</v>
      </c>
      <c r="H2540" s="25"/>
      <c r="BA2540" s="73" t="s">
        <v>355</v>
      </c>
      <c r="BB2540" s="48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356</v>
      </c>
      <c r="E2541" s="1" t="s">
        <v>118</v>
      </c>
      <c r="F2541" s="26">
        <v>4.4000000000000004</v>
      </c>
      <c r="G2541" s="25" t="s">
        <v>293</v>
      </c>
      <c r="H2541" s="25"/>
      <c r="BA2541" s="73" t="s">
        <v>355</v>
      </c>
      <c r="BB2541" s="48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356</v>
      </c>
      <c r="E2542" s="1" t="s">
        <v>130</v>
      </c>
      <c r="F2542" s="26">
        <v>3.74</v>
      </c>
      <c r="G2542" s="25" t="s">
        <v>293</v>
      </c>
      <c r="H2542" s="25"/>
      <c r="BA2542" s="73" t="s">
        <v>355</v>
      </c>
      <c r="BB2542" s="48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356</v>
      </c>
      <c r="E2543" s="1" t="s">
        <v>341</v>
      </c>
      <c r="F2543" s="26">
        <v>0.3</v>
      </c>
      <c r="G2543" s="25" t="s">
        <v>293</v>
      </c>
      <c r="H2543" s="25"/>
      <c r="BA2543" s="73" t="s">
        <v>355</v>
      </c>
      <c r="BB2543" s="48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356</v>
      </c>
      <c r="E2544" s="1" t="s">
        <v>127</v>
      </c>
      <c r="F2544" s="26">
        <v>1.17</v>
      </c>
      <c r="G2544" s="25" t="s">
        <v>293</v>
      </c>
      <c r="H2544" s="25"/>
      <c r="BA2544" s="73" t="s">
        <v>355</v>
      </c>
      <c r="BB2544" s="48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356</v>
      </c>
      <c r="E2545" s="1" t="s">
        <v>131</v>
      </c>
      <c r="F2545" s="26">
        <v>8.6</v>
      </c>
      <c r="G2545" s="25" t="s">
        <v>293</v>
      </c>
      <c r="H2545" s="25"/>
      <c r="BA2545" s="73" t="s">
        <v>355</v>
      </c>
      <c r="BB2545" s="48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356</v>
      </c>
      <c r="E2546" s="1" t="s">
        <v>342</v>
      </c>
      <c r="F2546" s="26">
        <v>347</v>
      </c>
      <c r="G2546" s="25" t="s">
        <v>293</v>
      </c>
      <c r="H2546" s="25"/>
      <c r="BA2546" s="73" t="s">
        <v>355</v>
      </c>
      <c r="BB2546" s="48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356</v>
      </c>
      <c r="E2547" s="1" t="s">
        <v>119</v>
      </c>
      <c r="F2547" s="26">
        <v>241</v>
      </c>
      <c r="G2547" s="25" t="s">
        <v>293</v>
      </c>
      <c r="H2547" s="25"/>
      <c r="BA2547" s="73" t="s">
        <v>355</v>
      </c>
      <c r="BB2547" s="48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356</v>
      </c>
      <c r="E2548" s="1" t="s">
        <v>120</v>
      </c>
      <c r="F2548" s="26">
        <v>80</v>
      </c>
      <c r="G2548" s="25" t="s">
        <v>293</v>
      </c>
      <c r="H2548" s="25"/>
      <c r="BA2548" s="73" t="s">
        <v>355</v>
      </c>
      <c r="BB2548" s="48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356</v>
      </c>
      <c r="E2549" s="1" t="s">
        <v>117</v>
      </c>
      <c r="F2549" s="26">
        <v>2.76</v>
      </c>
      <c r="G2549" s="25" t="s">
        <v>293</v>
      </c>
      <c r="H2549" s="25"/>
      <c r="BA2549" s="73" t="s">
        <v>355</v>
      </c>
      <c r="BB2549" s="48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356</v>
      </c>
      <c r="E2550" s="1" t="s">
        <v>344</v>
      </c>
      <c r="F2550" s="26">
        <v>229</v>
      </c>
      <c r="G2550" s="25" t="s">
        <v>293</v>
      </c>
      <c r="H2550" s="25"/>
      <c r="BA2550" s="73" t="s">
        <v>355</v>
      </c>
      <c r="BB2550" s="48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356</v>
      </c>
      <c r="E2551" s="1" t="s">
        <v>132</v>
      </c>
      <c r="F2551" s="26">
        <v>3.58</v>
      </c>
      <c r="G2551" s="25" t="s">
        <v>293</v>
      </c>
      <c r="H2551" s="25"/>
      <c r="BA2551" s="73" t="s">
        <v>355</v>
      </c>
      <c r="BB2551" s="48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356</v>
      </c>
      <c r="E2552" s="1" t="s">
        <v>111</v>
      </c>
      <c r="F2552" s="26">
        <v>86</v>
      </c>
      <c r="G2552" s="25" t="s">
        <v>293</v>
      </c>
      <c r="H2552" s="25"/>
      <c r="BA2552" s="73" t="s">
        <v>355</v>
      </c>
      <c r="BB2552" s="48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356</v>
      </c>
      <c r="E2553" s="1" t="s">
        <v>345</v>
      </c>
      <c r="F2553" s="26">
        <v>5.0599999999999996</v>
      </c>
      <c r="G2553" s="25" t="s">
        <v>293</v>
      </c>
      <c r="H2553" s="25"/>
      <c r="BA2553" s="73" t="s">
        <v>355</v>
      </c>
      <c r="BB2553" s="48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356</v>
      </c>
      <c r="E2554" s="1" t="s">
        <v>347</v>
      </c>
      <c r="F2554" s="26">
        <v>2.0699999999999998</v>
      </c>
      <c r="G2554" s="25" t="s">
        <v>293</v>
      </c>
      <c r="H2554" s="25"/>
      <c r="BA2554" s="73" t="s">
        <v>355</v>
      </c>
      <c r="BB2554" s="48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356</v>
      </c>
      <c r="E2555" s="1" t="s">
        <v>128</v>
      </c>
      <c r="F2555" s="26">
        <v>6.7</v>
      </c>
      <c r="G2555" s="25" t="s">
        <v>293</v>
      </c>
      <c r="H2555" s="25"/>
      <c r="BA2555" s="73" t="s">
        <v>355</v>
      </c>
      <c r="BB2555" s="48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356</v>
      </c>
      <c r="E2556" s="1" t="s">
        <v>121</v>
      </c>
      <c r="F2556" s="26">
        <v>155</v>
      </c>
      <c r="G2556" s="25" t="s">
        <v>293</v>
      </c>
      <c r="H2556" s="25"/>
      <c r="BA2556" s="73" t="s">
        <v>355</v>
      </c>
      <c r="BB2556" s="48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356</v>
      </c>
      <c r="E2557" s="1" t="s">
        <v>115</v>
      </c>
      <c r="F2557" s="26">
        <v>33</v>
      </c>
      <c r="G2557" s="25" t="s">
        <v>293</v>
      </c>
      <c r="H2557" s="25"/>
      <c r="BA2557" s="73" t="s">
        <v>355</v>
      </c>
      <c r="BB2557" s="48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356</v>
      </c>
      <c r="E2558" s="1" t="s">
        <v>137</v>
      </c>
      <c r="F2558" s="26">
        <v>75</v>
      </c>
      <c r="G2558" s="25" t="s">
        <v>293</v>
      </c>
      <c r="H2558" s="25"/>
      <c r="BA2558" s="73" t="s">
        <v>355</v>
      </c>
      <c r="BB2558" s="48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356</v>
      </c>
      <c r="E2559" s="1" t="s">
        <v>348</v>
      </c>
      <c r="F2559" s="26">
        <v>144</v>
      </c>
      <c r="G2559" s="25" t="s">
        <v>293</v>
      </c>
      <c r="H2559" s="25"/>
      <c r="BA2559" s="73" t="s">
        <v>355</v>
      </c>
      <c r="BB2559" s="48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356</v>
      </c>
      <c r="E2560" s="1" t="s">
        <v>125</v>
      </c>
      <c r="F2560" s="26">
        <v>106</v>
      </c>
      <c r="G2560" s="25" t="s">
        <v>293</v>
      </c>
      <c r="H2560" s="25"/>
      <c r="BA2560" s="73" t="s">
        <v>355</v>
      </c>
      <c r="BB2560" s="48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356</v>
      </c>
      <c r="E2561" s="1" t="s">
        <v>126</v>
      </c>
      <c r="F2561" s="26">
        <v>80</v>
      </c>
      <c r="G2561" s="25" t="s">
        <v>293</v>
      </c>
      <c r="H2561" s="25"/>
      <c r="BA2561" s="73" t="s">
        <v>355</v>
      </c>
      <c r="BB2561" s="48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356</v>
      </c>
      <c r="E2562" s="1" t="s">
        <v>349</v>
      </c>
      <c r="F2562" s="26">
        <v>153</v>
      </c>
      <c r="G2562" s="25" t="s">
        <v>293</v>
      </c>
      <c r="H2562" s="25"/>
      <c r="BA2562" s="73" t="s">
        <v>355</v>
      </c>
      <c r="BB2562" s="48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356</v>
      </c>
      <c r="E2563" s="1" t="s">
        <v>350</v>
      </c>
      <c r="F2563" s="26">
        <v>60</v>
      </c>
      <c r="G2563" s="25" t="s">
        <v>293</v>
      </c>
      <c r="H2563" s="25"/>
      <c r="BA2563" s="73" t="s">
        <v>355</v>
      </c>
      <c r="BB2563" s="48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356</v>
      </c>
      <c r="E2564" s="1" t="s">
        <v>122</v>
      </c>
      <c r="F2564" s="26">
        <v>49</v>
      </c>
      <c r="G2564" s="25" t="s">
        <v>293</v>
      </c>
      <c r="H2564" s="25"/>
      <c r="BA2564" s="73" t="s">
        <v>355</v>
      </c>
      <c r="BB2564" s="48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356</v>
      </c>
      <c r="E2565" s="1" t="s">
        <v>124</v>
      </c>
      <c r="F2565" s="26">
        <v>33</v>
      </c>
      <c r="G2565" s="25" t="s">
        <v>293</v>
      </c>
      <c r="H2565" s="25"/>
      <c r="BA2565" s="73" t="s">
        <v>355</v>
      </c>
      <c r="BB2565" s="48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356</v>
      </c>
      <c r="E2566" s="1" t="s">
        <v>351</v>
      </c>
      <c r="F2566" s="26">
        <v>0.97</v>
      </c>
      <c r="G2566" s="25" t="s">
        <v>293</v>
      </c>
      <c r="H2566" s="25"/>
      <c r="BA2566" s="73" t="s">
        <v>355</v>
      </c>
      <c r="BB2566" s="48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356</v>
      </c>
      <c r="E2567" s="1" t="s">
        <v>353</v>
      </c>
      <c r="F2567" s="26">
        <v>35.4</v>
      </c>
      <c r="G2567" s="25" t="s">
        <v>293</v>
      </c>
      <c r="H2567" s="25"/>
      <c r="BA2567" s="73" t="s">
        <v>355</v>
      </c>
      <c r="BB2567" s="48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356</v>
      </c>
      <c r="E2568" s="1" t="s">
        <v>133</v>
      </c>
      <c r="F2568" s="26">
        <v>142</v>
      </c>
      <c r="G2568" s="25" t="s">
        <v>293</v>
      </c>
      <c r="H2568" s="25"/>
      <c r="BA2568" s="73" t="s">
        <v>355</v>
      </c>
      <c r="BB2568" s="48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356</v>
      </c>
      <c r="E2569" s="1" t="s">
        <v>135</v>
      </c>
      <c r="F2569" s="26">
        <v>3.6</v>
      </c>
      <c r="G2569" s="25" t="s">
        <v>293</v>
      </c>
      <c r="H2569" s="25"/>
      <c r="BA2569" s="73" t="s">
        <v>355</v>
      </c>
      <c r="BB2569" s="48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356</v>
      </c>
      <c r="E2570" s="1" t="s">
        <v>136</v>
      </c>
      <c r="F2570" s="26">
        <v>117</v>
      </c>
      <c r="G2570" s="25" t="s">
        <v>293</v>
      </c>
      <c r="H2570" s="25"/>
      <c r="BA2570" s="73" t="s">
        <v>355</v>
      </c>
      <c r="BB2570" s="48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356</v>
      </c>
      <c r="E2571" s="1" t="s">
        <v>339</v>
      </c>
      <c r="F2571" s="26">
        <v>4.58</v>
      </c>
      <c r="G2571" s="25" t="s">
        <v>293</v>
      </c>
      <c r="H2571" s="25"/>
      <c r="BA2571" s="73" t="s">
        <v>355</v>
      </c>
      <c r="BB2571" s="48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356</v>
      </c>
      <c r="E2572" s="1" t="s">
        <v>118</v>
      </c>
      <c r="F2572" s="26">
        <v>4.5</v>
      </c>
      <c r="G2572" s="25" t="s">
        <v>293</v>
      </c>
      <c r="H2572" s="25"/>
      <c r="BA2572" s="73" t="s">
        <v>355</v>
      </c>
      <c r="BB2572" s="48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356</v>
      </c>
      <c r="E2573" s="1" t="s">
        <v>130</v>
      </c>
      <c r="F2573" s="26">
        <v>3.82</v>
      </c>
      <c r="G2573" s="25" t="s">
        <v>293</v>
      </c>
      <c r="H2573" s="25"/>
      <c r="BA2573" s="73" t="s">
        <v>355</v>
      </c>
      <c r="BB2573" s="48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356</v>
      </c>
      <c r="E2574" s="1" t="s">
        <v>341</v>
      </c>
      <c r="F2574" s="26">
        <v>0.3</v>
      </c>
      <c r="G2574" s="25" t="s">
        <v>293</v>
      </c>
      <c r="H2574" s="25"/>
      <c r="BA2574" s="73" t="s">
        <v>355</v>
      </c>
      <c r="BB2574" s="48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356</v>
      </c>
      <c r="E2575" s="1" t="s">
        <v>127</v>
      </c>
      <c r="F2575" s="26">
        <v>1.1599999999999999</v>
      </c>
      <c r="G2575" s="25" t="s">
        <v>293</v>
      </c>
      <c r="H2575" s="25"/>
      <c r="BA2575" s="73" t="s">
        <v>355</v>
      </c>
      <c r="BB2575" s="48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356</v>
      </c>
      <c r="E2576" s="1" t="s">
        <v>131</v>
      </c>
      <c r="F2576" s="26">
        <v>9</v>
      </c>
      <c r="G2576" s="25" t="s">
        <v>293</v>
      </c>
      <c r="H2576" s="25"/>
      <c r="BA2576" s="73" t="s">
        <v>355</v>
      </c>
      <c r="BB2576" s="48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356</v>
      </c>
      <c r="E2577" s="1" t="s">
        <v>342</v>
      </c>
      <c r="F2577" s="26">
        <v>336</v>
      </c>
      <c r="G2577" s="25" t="s">
        <v>293</v>
      </c>
      <c r="H2577" s="25"/>
      <c r="BA2577" s="73" t="s">
        <v>355</v>
      </c>
      <c r="BB2577" s="48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356</v>
      </c>
      <c r="E2578" s="1" t="s">
        <v>119</v>
      </c>
      <c r="F2578" s="26">
        <v>241</v>
      </c>
      <c r="G2578" s="25" t="s">
        <v>293</v>
      </c>
      <c r="H2578" s="25"/>
      <c r="BA2578" s="73" t="s">
        <v>355</v>
      </c>
      <c r="BB2578" s="48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356</v>
      </c>
      <c r="E2579" s="1" t="s">
        <v>120</v>
      </c>
      <c r="F2579" s="26">
        <v>79</v>
      </c>
      <c r="G2579" s="25" t="s">
        <v>293</v>
      </c>
      <c r="H2579" s="25"/>
      <c r="BA2579" s="73" t="s">
        <v>355</v>
      </c>
      <c r="BB2579" s="48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356</v>
      </c>
      <c r="E2580" s="1" t="s">
        <v>117</v>
      </c>
      <c r="F2580" s="26">
        <v>2.71</v>
      </c>
      <c r="G2580" s="25" t="s">
        <v>293</v>
      </c>
      <c r="H2580" s="25"/>
      <c r="BA2580" s="73" t="s">
        <v>355</v>
      </c>
      <c r="BB2580" s="48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356</v>
      </c>
      <c r="E2581" s="1" t="s">
        <v>344</v>
      </c>
      <c r="F2581" s="26">
        <v>231</v>
      </c>
      <c r="G2581" s="25" t="s">
        <v>293</v>
      </c>
      <c r="H2581" s="25"/>
      <c r="BA2581" s="73" t="s">
        <v>355</v>
      </c>
      <c r="BB2581" s="48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356</v>
      </c>
      <c r="E2582" s="1" t="s">
        <v>132</v>
      </c>
      <c r="F2582" s="26">
        <v>3.44</v>
      </c>
      <c r="G2582" s="25" t="s">
        <v>293</v>
      </c>
      <c r="H2582" s="25"/>
      <c r="BA2582" s="73" t="s">
        <v>355</v>
      </c>
      <c r="BB2582" s="48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356</v>
      </c>
      <c r="E2583" s="1" t="s">
        <v>111</v>
      </c>
      <c r="F2583" s="26">
        <v>88</v>
      </c>
      <c r="G2583" s="25" t="s">
        <v>293</v>
      </c>
      <c r="H2583" s="25"/>
      <c r="BA2583" s="73" t="s">
        <v>355</v>
      </c>
      <c r="BB2583" s="48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356</v>
      </c>
      <c r="E2584" s="1" t="s">
        <v>345</v>
      </c>
      <c r="F2584" s="26">
        <v>5.0999999999999996</v>
      </c>
      <c r="G2584" s="25" t="s">
        <v>293</v>
      </c>
      <c r="H2584" s="25"/>
      <c r="BA2584" s="73" t="s">
        <v>355</v>
      </c>
      <c r="BB2584" s="48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356</v>
      </c>
      <c r="E2585" s="1" t="s">
        <v>347</v>
      </c>
      <c r="F2585" s="26">
        <v>2.17</v>
      </c>
      <c r="G2585" s="25" t="s">
        <v>293</v>
      </c>
      <c r="H2585" s="25"/>
      <c r="BA2585" s="73" t="s">
        <v>355</v>
      </c>
      <c r="BB2585" s="48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356</v>
      </c>
      <c r="E2586" s="1" t="s">
        <v>128</v>
      </c>
      <c r="F2586" s="26">
        <v>6.8</v>
      </c>
      <c r="G2586" s="25" t="s">
        <v>293</v>
      </c>
      <c r="H2586" s="25"/>
      <c r="BA2586" s="73" t="s">
        <v>355</v>
      </c>
      <c r="BB2586" s="48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356</v>
      </c>
      <c r="E2587" s="1" t="s">
        <v>121</v>
      </c>
      <c r="F2587" s="26">
        <v>157</v>
      </c>
      <c r="G2587" s="25" t="s">
        <v>293</v>
      </c>
      <c r="H2587" s="25"/>
      <c r="BA2587" s="73" t="s">
        <v>355</v>
      </c>
      <c r="BB2587" s="48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356</v>
      </c>
      <c r="E2588" s="1" t="s">
        <v>115</v>
      </c>
      <c r="F2588" s="26">
        <v>33</v>
      </c>
      <c r="G2588" s="25" t="s">
        <v>293</v>
      </c>
      <c r="H2588" s="25"/>
      <c r="BA2588" s="73" t="s">
        <v>355</v>
      </c>
      <c r="BB2588" s="48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356</v>
      </c>
      <c r="E2589" s="1" t="s">
        <v>137</v>
      </c>
      <c r="F2589" s="26">
        <v>76</v>
      </c>
      <c r="G2589" s="25" t="s">
        <v>293</v>
      </c>
      <c r="H2589" s="25"/>
      <c r="BA2589" s="73" t="s">
        <v>355</v>
      </c>
      <c r="BB2589" s="48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356</v>
      </c>
      <c r="E2590" s="1" t="s">
        <v>348</v>
      </c>
      <c r="F2590" s="26">
        <v>142</v>
      </c>
      <c r="G2590" s="25" t="s">
        <v>293</v>
      </c>
      <c r="H2590" s="25"/>
      <c r="BA2590" s="73" t="s">
        <v>355</v>
      </c>
      <c r="BB2590" s="48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356</v>
      </c>
      <c r="E2591" s="1" t="s">
        <v>125</v>
      </c>
      <c r="F2591" s="26">
        <v>108</v>
      </c>
      <c r="G2591" s="25" t="s">
        <v>293</v>
      </c>
      <c r="H2591" s="25"/>
      <c r="BA2591" s="73" t="s">
        <v>355</v>
      </c>
      <c r="BB2591" s="48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356</v>
      </c>
      <c r="E2592" s="1" t="s">
        <v>126</v>
      </c>
      <c r="F2592" s="26">
        <v>80</v>
      </c>
      <c r="G2592" s="25" t="s">
        <v>293</v>
      </c>
      <c r="H2592" s="25"/>
      <c r="BA2592" s="73" t="s">
        <v>355</v>
      </c>
      <c r="BB2592" s="48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356</v>
      </c>
      <c r="E2593" s="1" t="s">
        <v>349</v>
      </c>
      <c r="F2593" s="26">
        <v>165</v>
      </c>
      <c r="G2593" s="25" t="s">
        <v>293</v>
      </c>
      <c r="H2593" s="25"/>
      <c r="BA2593" s="73" t="s">
        <v>355</v>
      </c>
      <c r="BB2593" s="48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356</v>
      </c>
      <c r="E2594" s="1" t="s">
        <v>350</v>
      </c>
      <c r="F2594" s="26">
        <v>60</v>
      </c>
      <c r="G2594" s="25" t="s">
        <v>293</v>
      </c>
      <c r="H2594" s="25"/>
      <c r="BA2594" s="73" t="s">
        <v>355</v>
      </c>
      <c r="BB2594" s="48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356</v>
      </c>
      <c r="E2595" s="1" t="s">
        <v>122</v>
      </c>
      <c r="F2595" s="26">
        <v>48</v>
      </c>
      <c r="G2595" s="25" t="s">
        <v>293</v>
      </c>
      <c r="H2595" s="25"/>
      <c r="BA2595" s="73" t="s">
        <v>355</v>
      </c>
      <c r="BB2595" s="48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356</v>
      </c>
      <c r="E2596" s="1" t="s">
        <v>124</v>
      </c>
      <c r="F2596" s="26">
        <v>32</v>
      </c>
      <c r="G2596" s="25" t="s">
        <v>293</v>
      </c>
      <c r="H2596" s="25"/>
      <c r="BA2596" s="73" t="s">
        <v>355</v>
      </c>
      <c r="BB2596" s="48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356</v>
      </c>
      <c r="E2597" s="1" t="s">
        <v>351</v>
      </c>
      <c r="F2597" s="26">
        <v>1.01</v>
      </c>
      <c r="G2597" s="25" t="s">
        <v>293</v>
      </c>
      <c r="H2597" s="25"/>
      <c r="BA2597" s="73" t="s">
        <v>355</v>
      </c>
      <c r="BB2597" s="48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356</v>
      </c>
      <c r="E2598" s="1" t="s">
        <v>353</v>
      </c>
      <c r="F2598" s="26">
        <v>35.6</v>
      </c>
      <c r="G2598" s="25" t="s">
        <v>293</v>
      </c>
      <c r="H2598" s="25"/>
      <c r="BA2598" s="73" t="s">
        <v>355</v>
      </c>
      <c r="BB2598" s="48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356</v>
      </c>
      <c r="E2599" s="1" t="s">
        <v>133</v>
      </c>
      <c r="F2599" s="26">
        <v>146</v>
      </c>
      <c r="G2599" s="25" t="s">
        <v>293</v>
      </c>
      <c r="H2599" s="25"/>
      <c r="BA2599" s="73" t="s">
        <v>355</v>
      </c>
      <c r="BB2599" s="48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356</v>
      </c>
      <c r="E2600" s="1" t="s">
        <v>135</v>
      </c>
      <c r="F2600" s="26">
        <v>3.8</v>
      </c>
      <c r="G2600" s="25" t="s">
        <v>293</v>
      </c>
      <c r="H2600" s="25"/>
      <c r="BA2600" s="73" t="s">
        <v>355</v>
      </c>
      <c r="BB2600" s="48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356</v>
      </c>
      <c r="E2601" s="1" t="s">
        <v>136</v>
      </c>
      <c r="F2601" s="26">
        <v>120</v>
      </c>
      <c r="G2601" s="25" t="s">
        <v>293</v>
      </c>
      <c r="H2601" s="25"/>
      <c r="BA2601" s="73" t="s">
        <v>355</v>
      </c>
      <c r="BB2601" s="48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356</v>
      </c>
      <c r="E2602" s="1" t="s">
        <v>339</v>
      </c>
      <c r="F2602" s="26">
        <v>4.63</v>
      </c>
      <c r="G2602" s="25" t="s">
        <v>293</v>
      </c>
      <c r="H2602" s="25"/>
      <c r="BA2602" s="73" t="s">
        <v>355</v>
      </c>
      <c r="BB2602" s="48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356</v>
      </c>
      <c r="E2603" s="1" t="s">
        <v>118</v>
      </c>
      <c r="F2603" s="26">
        <v>4.5999999999999996</v>
      </c>
      <c r="G2603" s="25" t="s">
        <v>293</v>
      </c>
      <c r="H2603" s="25"/>
      <c r="BA2603" s="73" t="s">
        <v>355</v>
      </c>
      <c r="BB2603" s="48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356</v>
      </c>
      <c r="E2604" s="1" t="s">
        <v>130</v>
      </c>
      <c r="F2604" s="26">
        <v>3.82</v>
      </c>
      <c r="G2604" s="25" t="s">
        <v>293</v>
      </c>
      <c r="H2604" s="25"/>
      <c r="BA2604" s="73" t="s">
        <v>355</v>
      </c>
      <c r="BB2604" s="48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356</v>
      </c>
      <c r="E2605" s="1" t="s">
        <v>341</v>
      </c>
      <c r="F2605" s="26">
        <v>0.28999999999999998</v>
      </c>
      <c r="G2605" s="25" t="s">
        <v>293</v>
      </c>
      <c r="H2605" s="25"/>
      <c r="BA2605" s="73" t="s">
        <v>355</v>
      </c>
      <c r="BB2605" s="48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356</v>
      </c>
      <c r="E2606" s="1" t="s">
        <v>127</v>
      </c>
      <c r="F2606" s="26">
        <v>1.1399999999999999</v>
      </c>
      <c r="G2606" s="25" t="s">
        <v>293</v>
      </c>
      <c r="H2606" s="25"/>
      <c r="BA2606" s="73" t="s">
        <v>355</v>
      </c>
      <c r="BB2606" s="48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356</v>
      </c>
      <c r="E2607" s="1" t="s">
        <v>131</v>
      </c>
      <c r="F2607" s="26">
        <v>9</v>
      </c>
      <c r="G2607" s="25" t="s">
        <v>293</v>
      </c>
      <c r="H2607" s="25"/>
      <c r="BA2607" s="73" t="s">
        <v>355</v>
      </c>
      <c r="BB2607" s="48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356</v>
      </c>
      <c r="E2608" s="1" t="s">
        <v>342</v>
      </c>
      <c r="F2608" s="26">
        <v>342</v>
      </c>
      <c r="G2608" s="25" t="s">
        <v>293</v>
      </c>
      <c r="H2608" s="25"/>
      <c r="BA2608" s="73" t="s">
        <v>355</v>
      </c>
      <c r="BB2608" s="48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356</v>
      </c>
      <c r="E2609" s="1" t="s">
        <v>119</v>
      </c>
      <c r="F2609" s="26">
        <v>238</v>
      </c>
      <c r="G2609" s="25" t="s">
        <v>293</v>
      </c>
      <c r="H2609" s="25"/>
      <c r="BA2609" s="73" t="s">
        <v>355</v>
      </c>
      <c r="BB2609" s="48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356</v>
      </c>
      <c r="E2610" s="1" t="s">
        <v>120</v>
      </c>
      <c r="F2610" s="26">
        <v>77</v>
      </c>
      <c r="G2610" s="25" t="s">
        <v>293</v>
      </c>
      <c r="H2610" s="25"/>
      <c r="BA2610" s="73" t="s">
        <v>355</v>
      </c>
      <c r="BB2610" s="48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356</v>
      </c>
      <c r="E2611" s="1" t="s">
        <v>117</v>
      </c>
      <c r="F2611" s="26">
        <v>2.82</v>
      </c>
      <c r="G2611" s="25" t="s">
        <v>293</v>
      </c>
      <c r="H2611" s="25"/>
      <c r="BA2611" s="73" t="s">
        <v>355</v>
      </c>
      <c r="BB2611" s="48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356</v>
      </c>
      <c r="E2612" s="1" t="s">
        <v>344</v>
      </c>
      <c r="F2612" s="26">
        <v>232</v>
      </c>
      <c r="G2612" s="25" t="s">
        <v>293</v>
      </c>
      <c r="H2612" s="25"/>
      <c r="BA2612" s="73" t="s">
        <v>355</v>
      </c>
      <c r="BB2612" s="48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356</v>
      </c>
      <c r="E2613" s="1" t="s">
        <v>132</v>
      </c>
      <c r="F2613" s="26">
        <v>3.56</v>
      </c>
      <c r="G2613" s="25" t="s">
        <v>293</v>
      </c>
      <c r="H2613" s="25"/>
      <c r="BA2613" s="73" t="s">
        <v>355</v>
      </c>
      <c r="BB2613" s="48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356</v>
      </c>
      <c r="E2614" s="1" t="s">
        <v>111</v>
      </c>
      <c r="F2614" s="26">
        <v>87</v>
      </c>
      <c r="G2614" s="25" t="s">
        <v>293</v>
      </c>
      <c r="H2614" s="25"/>
      <c r="BA2614" s="73" t="s">
        <v>355</v>
      </c>
      <c r="BB2614" s="48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356</v>
      </c>
      <c r="E2615" s="1" t="s">
        <v>345</v>
      </c>
      <c r="F2615" s="26">
        <v>5.08</v>
      </c>
      <c r="G2615" s="25" t="s">
        <v>293</v>
      </c>
      <c r="H2615" s="25"/>
      <c r="BA2615" s="73" t="s">
        <v>355</v>
      </c>
      <c r="BB2615" s="48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356</v>
      </c>
      <c r="E2616" s="1" t="s">
        <v>347</v>
      </c>
      <c r="F2616" s="26">
        <v>2.2200000000000002</v>
      </c>
      <c r="G2616" s="25" t="s">
        <v>293</v>
      </c>
      <c r="H2616" s="25"/>
      <c r="BA2616" s="73" t="s">
        <v>355</v>
      </c>
      <c r="BB2616" s="48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356</v>
      </c>
      <c r="E2617" s="1" t="s">
        <v>128</v>
      </c>
      <c r="F2617" s="26">
        <v>6.7</v>
      </c>
      <c r="G2617" s="25" t="s">
        <v>293</v>
      </c>
      <c r="H2617" s="25"/>
      <c r="BA2617" s="73" t="s">
        <v>355</v>
      </c>
      <c r="BB2617" s="48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356</v>
      </c>
      <c r="E2618" s="1" t="s">
        <v>121</v>
      </c>
      <c r="F2618" s="26">
        <v>158</v>
      </c>
      <c r="G2618" s="25" t="s">
        <v>293</v>
      </c>
      <c r="H2618" s="25"/>
      <c r="BA2618" s="73" t="s">
        <v>355</v>
      </c>
      <c r="BB2618" s="48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356</v>
      </c>
      <c r="E2619" s="1" t="s">
        <v>115</v>
      </c>
      <c r="F2619" s="26">
        <v>34</v>
      </c>
      <c r="G2619" s="25" t="s">
        <v>293</v>
      </c>
      <c r="H2619" s="25"/>
      <c r="BA2619" s="73" t="s">
        <v>355</v>
      </c>
      <c r="BB2619" s="48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356</v>
      </c>
      <c r="E2620" s="1" t="s">
        <v>137</v>
      </c>
      <c r="F2620" s="26">
        <v>75</v>
      </c>
      <c r="G2620" s="25" t="s">
        <v>293</v>
      </c>
      <c r="H2620" s="25"/>
      <c r="BA2620" s="73" t="s">
        <v>355</v>
      </c>
      <c r="BB2620" s="48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356</v>
      </c>
      <c r="E2621" s="1" t="s">
        <v>348</v>
      </c>
      <c r="F2621" s="26">
        <v>142</v>
      </c>
      <c r="G2621" s="25" t="s">
        <v>293</v>
      </c>
      <c r="H2621" s="25"/>
      <c r="BA2621" s="73" t="s">
        <v>355</v>
      </c>
      <c r="BB2621" s="48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356</v>
      </c>
      <c r="E2622" s="1" t="s">
        <v>125</v>
      </c>
      <c r="F2622" s="26">
        <v>114</v>
      </c>
      <c r="G2622" s="25" t="s">
        <v>293</v>
      </c>
      <c r="H2622" s="25"/>
      <c r="BA2622" s="73" t="s">
        <v>355</v>
      </c>
      <c r="BB2622" s="48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356</v>
      </c>
      <c r="E2623" s="1" t="s">
        <v>126</v>
      </c>
      <c r="F2623" s="26">
        <v>78</v>
      </c>
      <c r="G2623" s="25" t="s">
        <v>293</v>
      </c>
      <c r="H2623" s="25"/>
      <c r="BA2623" s="73" t="s">
        <v>355</v>
      </c>
      <c r="BB2623" s="48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356</v>
      </c>
      <c r="E2624" s="1" t="s">
        <v>349</v>
      </c>
      <c r="F2624" s="26">
        <v>167</v>
      </c>
      <c r="G2624" s="25" t="s">
        <v>293</v>
      </c>
      <c r="H2624" s="25"/>
      <c r="BA2624" s="73" t="s">
        <v>355</v>
      </c>
      <c r="BB2624" s="48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356</v>
      </c>
      <c r="E2625" s="1" t="s">
        <v>350</v>
      </c>
      <c r="F2625" s="26">
        <v>61</v>
      </c>
      <c r="G2625" s="25" t="s">
        <v>293</v>
      </c>
      <c r="H2625" s="25"/>
      <c r="BA2625" s="73" t="s">
        <v>355</v>
      </c>
      <c r="BB2625" s="48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356</v>
      </c>
      <c r="E2626" s="1" t="s">
        <v>122</v>
      </c>
      <c r="F2626" s="26">
        <v>46</v>
      </c>
      <c r="G2626" s="25" t="s">
        <v>293</v>
      </c>
      <c r="H2626" s="25"/>
      <c r="BA2626" s="73" t="s">
        <v>355</v>
      </c>
      <c r="BB2626" s="48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356</v>
      </c>
      <c r="E2627" s="1" t="s">
        <v>124</v>
      </c>
      <c r="F2627" s="26">
        <v>31</v>
      </c>
      <c r="G2627" s="25" t="s">
        <v>293</v>
      </c>
      <c r="H2627" s="25"/>
      <c r="BA2627" s="73" t="s">
        <v>355</v>
      </c>
      <c r="BB2627" s="48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356</v>
      </c>
      <c r="E2628" s="1" t="s">
        <v>351</v>
      </c>
      <c r="F2628" s="26">
        <v>0.94</v>
      </c>
      <c r="G2628" s="25" t="s">
        <v>293</v>
      </c>
      <c r="H2628" s="25"/>
      <c r="BA2628" s="73" t="s">
        <v>355</v>
      </c>
      <c r="BB2628" s="48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356</v>
      </c>
      <c r="E2629" s="1" t="s">
        <v>353</v>
      </c>
      <c r="F2629" s="26">
        <v>34.799999999999997</v>
      </c>
      <c r="G2629" s="25" t="s">
        <v>293</v>
      </c>
      <c r="H2629" s="25"/>
      <c r="BA2629" s="73" t="s">
        <v>355</v>
      </c>
      <c r="BB2629" s="48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356</v>
      </c>
      <c r="E2630" s="1" t="s">
        <v>133</v>
      </c>
      <c r="F2630" s="26">
        <v>149</v>
      </c>
      <c r="G2630" s="25" t="s">
        <v>293</v>
      </c>
      <c r="H2630" s="25"/>
      <c r="BA2630" s="73" t="s">
        <v>355</v>
      </c>
      <c r="BB2630" s="48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356</v>
      </c>
      <c r="E2631" s="1" t="s">
        <v>135</v>
      </c>
      <c r="F2631" s="26">
        <v>3.9</v>
      </c>
      <c r="G2631" s="25" t="s">
        <v>293</v>
      </c>
      <c r="H2631" s="25"/>
      <c r="BA2631" s="73" t="s">
        <v>355</v>
      </c>
      <c r="BB2631" s="48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356</v>
      </c>
      <c r="E2632" s="1" t="s">
        <v>136</v>
      </c>
      <c r="F2632" s="26">
        <v>118</v>
      </c>
      <c r="G2632" s="25" t="s">
        <v>293</v>
      </c>
      <c r="H2632" s="25"/>
      <c r="BA2632" s="73" t="s">
        <v>355</v>
      </c>
      <c r="BB2632" s="48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356</v>
      </c>
      <c r="E2633" s="1" t="s">
        <v>339</v>
      </c>
      <c r="F2633" s="26">
        <v>4.62</v>
      </c>
      <c r="G2633" s="25" t="s">
        <v>293</v>
      </c>
      <c r="H2633" s="25"/>
      <c r="BA2633" s="73" t="s">
        <v>355</v>
      </c>
      <c r="BB2633" s="48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356</v>
      </c>
      <c r="E2634" s="1" t="s">
        <v>118</v>
      </c>
      <c r="F2634" s="26">
        <v>4.7</v>
      </c>
      <c r="G2634" s="25" t="s">
        <v>293</v>
      </c>
      <c r="H2634" s="25"/>
      <c r="BA2634" s="73" t="s">
        <v>355</v>
      </c>
      <c r="BB2634" s="48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356</v>
      </c>
      <c r="E2635" s="1" t="s">
        <v>130</v>
      </c>
      <c r="F2635" s="26">
        <v>3.93</v>
      </c>
      <c r="G2635" s="25" t="s">
        <v>293</v>
      </c>
      <c r="H2635" s="25"/>
      <c r="BA2635" s="73" t="s">
        <v>355</v>
      </c>
      <c r="BB2635" s="48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356</v>
      </c>
      <c r="E2636" s="1" t="s">
        <v>341</v>
      </c>
      <c r="F2636" s="26">
        <v>0.30399999999999999</v>
      </c>
      <c r="G2636" s="25" t="s">
        <v>293</v>
      </c>
      <c r="H2636" s="25"/>
      <c r="BA2636" s="73" t="s">
        <v>355</v>
      </c>
      <c r="BB2636" s="48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356</v>
      </c>
      <c r="E2637" s="1" t="s">
        <v>127</v>
      </c>
      <c r="F2637" s="26">
        <v>1.18</v>
      </c>
      <c r="G2637" s="25" t="s">
        <v>293</v>
      </c>
      <c r="H2637" s="25"/>
      <c r="BA2637" s="73" t="s">
        <v>355</v>
      </c>
      <c r="BB2637" s="48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356</v>
      </c>
      <c r="E2638" s="1" t="s">
        <v>131</v>
      </c>
      <c r="F2638" s="26">
        <v>8.6999999999999993</v>
      </c>
      <c r="G2638" s="25" t="s">
        <v>293</v>
      </c>
      <c r="H2638" s="25"/>
      <c r="BA2638" s="73" t="s">
        <v>355</v>
      </c>
      <c r="BB2638" s="48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356</v>
      </c>
      <c r="E2639" s="1" t="s">
        <v>342</v>
      </c>
      <c r="F2639" s="26">
        <v>333</v>
      </c>
      <c r="G2639" s="25" t="s">
        <v>293</v>
      </c>
      <c r="H2639" s="25"/>
      <c r="BA2639" s="73" t="s">
        <v>355</v>
      </c>
      <c r="BB2639" s="48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356</v>
      </c>
      <c r="E2640" s="1" t="s">
        <v>119</v>
      </c>
      <c r="F2640" s="26">
        <v>243</v>
      </c>
      <c r="G2640" s="25" t="s">
        <v>293</v>
      </c>
      <c r="H2640" s="25"/>
      <c r="BA2640" s="73" t="s">
        <v>355</v>
      </c>
      <c r="BB2640" s="48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356</v>
      </c>
      <c r="E2641" s="1" t="s">
        <v>120</v>
      </c>
      <c r="F2641" s="26">
        <v>80</v>
      </c>
      <c r="G2641" s="25" t="s">
        <v>293</v>
      </c>
      <c r="H2641" s="25"/>
      <c r="BA2641" s="73" t="s">
        <v>355</v>
      </c>
      <c r="BB2641" s="48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356</v>
      </c>
      <c r="E2642" s="1" t="s">
        <v>117</v>
      </c>
      <c r="F2642" s="26">
        <v>2.65</v>
      </c>
      <c r="G2642" s="25" t="s">
        <v>293</v>
      </c>
      <c r="H2642" s="25"/>
      <c r="BA2642" s="73" t="s">
        <v>355</v>
      </c>
      <c r="BB2642" s="48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356</v>
      </c>
      <c r="E2643" s="1" t="s">
        <v>344</v>
      </c>
      <c r="F2643" s="26">
        <v>234</v>
      </c>
      <c r="G2643" s="25" t="s">
        <v>293</v>
      </c>
      <c r="H2643" s="25"/>
      <c r="BA2643" s="73" t="s">
        <v>355</v>
      </c>
      <c r="BB2643" s="48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356</v>
      </c>
      <c r="E2644" s="1" t="s">
        <v>132</v>
      </c>
      <c r="F2644" s="26">
        <v>3.36</v>
      </c>
      <c r="G2644" s="25" t="s">
        <v>293</v>
      </c>
      <c r="H2644" s="25"/>
      <c r="BA2644" s="73" t="s">
        <v>355</v>
      </c>
      <c r="BB2644" s="48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356</v>
      </c>
      <c r="E2645" s="1" t="s">
        <v>111</v>
      </c>
      <c r="F2645" s="26">
        <v>89</v>
      </c>
      <c r="G2645" s="25" t="s">
        <v>293</v>
      </c>
      <c r="H2645" s="25"/>
      <c r="BA2645" s="73" t="s">
        <v>355</v>
      </c>
      <c r="BB2645" s="48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356</v>
      </c>
      <c r="E2646" s="1" t="s">
        <v>345</v>
      </c>
      <c r="F2646" s="26">
        <v>5.0999999999999996</v>
      </c>
      <c r="G2646" s="25" t="s">
        <v>293</v>
      </c>
      <c r="H2646" s="25"/>
      <c r="BA2646" s="73" t="s">
        <v>355</v>
      </c>
      <c r="BB2646" s="48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356</v>
      </c>
      <c r="E2647" s="1" t="s">
        <v>347</v>
      </c>
      <c r="F2647" s="26">
        <v>2.12</v>
      </c>
      <c r="G2647" s="25" t="s">
        <v>293</v>
      </c>
      <c r="H2647" s="25"/>
      <c r="BA2647" s="73" t="s">
        <v>355</v>
      </c>
      <c r="BB2647" s="48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356</v>
      </c>
      <c r="E2648" s="1" t="s">
        <v>128</v>
      </c>
      <c r="F2648" s="26">
        <v>6.8</v>
      </c>
      <c r="G2648" s="25" t="s">
        <v>293</v>
      </c>
      <c r="H2648" s="25"/>
      <c r="BA2648" s="73" t="s">
        <v>355</v>
      </c>
      <c r="BB2648" s="48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356</v>
      </c>
      <c r="E2649" s="1" t="s">
        <v>121</v>
      </c>
      <c r="F2649" s="26">
        <v>160</v>
      </c>
      <c r="G2649" s="25" t="s">
        <v>293</v>
      </c>
      <c r="H2649" s="25"/>
      <c r="BA2649" s="73" t="s">
        <v>355</v>
      </c>
      <c r="BB2649" s="48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356</v>
      </c>
      <c r="E2650" s="1" t="s">
        <v>115</v>
      </c>
      <c r="F2650" s="26">
        <v>34</v>
      </c>
      <c r="G2650" s="25" t="s">
        <v>293</v>
      </c>
      <c r="H2650" s="25"/>
      <c r="BA2650" s="73" t="s">
        <v>355</v>
      </c>
      <c r="BB2650" s="48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356</v>
      </c>
      <c r="E2651" s="1" t="s">
        <v>137</v>
      </c>
      <c r="F2651" s="26">
        <v>76</v>
      </c>
      <c r="G2651" s="25" t="s">
        <v>293</v>
      </c>
      <c r="H2651" s="25"/>
      <c r="BA2651" s="73" t="s">
        <v>355</v>
      </c>
      <c r="BB2651" s="48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356</v>
      </c>
      <c r="E2652" s="1" t="s">
        <v>348</v>
      </c>
      <c r="F2652" s="26">
        <v>143</v>
      </c>
      <c r="G2652" s="25" t="s">
        <v>293</v>
      </c>
      <c r="H2652" s="25"/>
      <c r="BA2652" s="73" t="s">
        <v>355</v>
      </c>
      <c r="BB2652" s="48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356</v>
      </c>
      <c r="E2653" s="1" t="s">
        <v>125</v>
      </c>
      <c r="F2653" s="26">
        <v>109</v>
      </c>
      <c r="G2653" s="25" t="s">
        <v>293</v>
      </c>
      <c r="H2653" s="25"/>
      <c r="BA2653" s="73" t="s">
        <v>355</v>
      </c>
      <c r="BB2653" s="48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356</v>
      </c>
      <c r="E2654" s="1" t="s">
        <v>126</v>
      </c>
      <c r="F2654" s="26">
        <v>79</v>
      </c>
      <c r="G2654" s="25" t="s">
        <v>293</v>
      </c>
      <c r="H2654" s="25"/>
      <c r="BA2654" s="73" t="s">
        <v>355</v>
      </c>
      <c r="BB2654" s="48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356</v>
      </c>
      <c r="E2655" s="1" t="s">
        <v>349</v>
      </c>
      <c r="F2655" s="26">
        <v>169</v>
      </c>
      <c r="G2655" s="25" t="s">
        <v>293</v>
      </c>
      <c r="H2655" s="25"/>
      <c r="BA2655" s="73" t="s">
        <v>355</v>
      </c>
      <c r="BB2655" s="48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356</v>
      </c>
      <c r="E2656" s="1" t="s">
        <v>350</v>
      </c>
      <c r="F2656" s="26">
        <v>62</v>
      </c>
      <c r="G2656" s="25" t="s">
        <v>293</v>
      </c>
      <c r="H2656" s="25"/>
      <c r="BA2656" s="73" t="s">
        <v>355</v>
      </c>
      <c r="BB2656" s="48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356</v>
      </c>
      <c r="E2657" s="1" t="s">
        <v>122</v>
      </c>
      <c r="F2657" s="26">
        <v>46</v>
      </c>
      <c r="G2657" s="25" t="s">
        <v>293</v>
      </c>
      <c r="H2657" s="25"/>
      <c r="BA2657" s="73" t="s">
        <v>355</v>
      </c>
      <c r="BB2657" s="48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356</v>
      </c>
      <c r="E2658" s="1" t="s">
        <v>124</v>
      </c>
      <c r="F2658" s="26">
        <v>32</v>
      </c>
      <c r="G2658" s="25" t="s">
        <v>293</v>
      </c>
      <c r="H2658" s="25"/>
      <c r="BA2658" s="73" t="s">
        <v>355</v>
      </c>
      <c r="BB2658" s="48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356</v>
      </c>
      <c r="E2659" s="1" t="s">
        <v>351</v>
      </c>
      <c r="F2659" s="26">
        <v>0.98</v>
      </c>
      <c r="G2659" s="25" t="s">
        <v>293</v>
      </c>
      <c r="H2659" s="25"/>
      <c r="BA2659" s="73" t="s">
        <v>355</v>
      </c>
      <c r="BB2659" s="48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356</v>
      </c>
      <c r="E2660" s="1" t="s">
        <v>353</v>
      </c>
      <c r="F2660" s="26">
        <v>39.799999999999997</v>
      </c>
      <c r="G2660" s="25" t="s">
        <v>293</v>
      </c>
      <c r="H2660" s="25"/>
      <c r="BA2660" s="73" t="s">
        <v>355</v>
      </c>
      <c r="BB2660" s="48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356</v>
      </c>
      <c r="E2661" s="1" t="s">
        <v>133</v>
      </c>
      <c r="F2661" s="26">
        <v>146</v>
      </c>
      <c r="G2661" s="25" t="s">
        <v>293</v>
      </c>
      <c r="H2661" s="25"/>
      <c r="BA2661" s="73" t="s">
        <v>355</v>
      </c>
      <c r="BB2661" s="48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356</v>
      </c>
      <c r="E2662" s="1" t="s">
        <v>135</v>
      </c>
      <c r="F2662" s="26">
        <v>3.9</v>
      </c>
      <c r="G2662" s="25" t="s">
        <v>293</v>
      </c>
      <c r="H2662" s="25"/>
      <c r="BA2662" s="73" t="s">
        <v>355</v>
      </c>
      <c r="BB2662" s="48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356</v>
      </c>
      <c r="E2663" s="1" t="s">
        <v>136</v>
      </c>
      <c r="F2663" s="26">
        <v>116</v>
      </c>
      <c r="G2663" s="25" t="s">
        <v>293</v>
      </c>
      <c r="H2663" s="25"/>
      <c r="BA2663" s="73" t="s">
        <v>355</v>
      </c>
      <c r="BB2663" s="48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357</v>
      </c>
      <c r="E2664" s="1" t="s">
        <v>339</v>
      </c>
      <c r="F2664" s="26">
        <v>1.1499999999999999</v>
      </c>
      <c r="G2664" s="25" t="s">
        <v>293</v>
      </c>
      <c r="H2664" s="25"/>
      <c r="BA2664" s="73" t="s">
        <v>355</v>
      </c>
      <c r="BB2664" s="48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357</v>
      </c>
      <c r="E2665" s="1" t="s">
        <v>118</v>
      </c>
      <c r="F2665" s="26">
        <v>9.6999999999999993</v>
      </c>
      <c r="G2665" s="25" t="s">
        <v>293</v>
      </c>
      <c r="H2665" s="25"/>
      <c r="BA2665" s="73" t="s">
        <v>355</v>
      </c>
      <c r="BB2665" s="48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357</v>
      </c>
      <c r="E2666" s="1" t="s">
        <v>130</v>
      </c>
      <c r="F2666" s="26">
        <v>2.4700000000000002</v>
      </c>
      <c r="G2666" s="25" t="s">
        <v>293</v>
      </c>
      <c r="H2666" s="25"/>
      <c r="BA2666" s="73" t="s">
        <v>355</v>
      </c>
      <c r="BB2666" s="48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357</v>
      </c>
      <c r="E2667" s="1" t="s">
        <v>341</v>
      </c>
      <c r="F2667" s="26">
        <v>1.06</v>
      </c>
      <c r="G2667" s="25" t="s">
        <v>293</v>
      </c>
      <c r="H2667" s="25"/>
      <c r="BA2667" s="73" t="s">
        <v>355</v>
      </c>
      <c r="BB2667" s="48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357</v>
      </c>
      <c r="E2668" s="1" t="s">
        <v>127</v>
      </c>
      <c r="F2668" s="26">
        <v>4.49</v>
      </c>
      <c r="G2668" s="25" t="s">
        <v>293</v>
      </c>
      <c r="H2668" s="25"/>
      <c r="BA2668" s="73" t="s">
        <v>355</v>
      </c>
      <c r="BB2668" s="48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357</v>
      </c>
      <c r="E2669" s="1" t="s">
        <v>131</v>
      </c>
      <c r="F2669" s="26">
        <v>12.1</v>
      </c>
      <c r="G2669" s="25" t="s">
        <v>293</v>
      </c>
      <c r="H2669" s="25"/>
      <c r="BA2669" s="73" t="s">
        <v>355</v>
      </c>
      <c r="BB2669" s="48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357</v>
      </c>
      <c r="E2670" s="1" t="s">
        <v>342</v>
      </c>
      <c r="F2670" s="26">
        <v>184</v>
      </c>
      <c r="G2670" s="25" t="s">
        <v>293</v>
      </c>
      <c r="H2670" s="25"/>
      <c r="BA2670" s="73" t="s">
        <v>355</v>
      </c>
      <c r="BB2670" s="48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357</v>
      </c>
      <c r="E2671" s="1" t="s">
        <v>119</v>
      </c>
      <c r="F2671" s="26">
        <v>82</v>
      </c>
      <c r="G2671" s="25" t="s">
        <v>293</v>
      </c>
      <c r="H2671" s="25"/>
      <c r="BA2671" s="73" t="s">
        <v>355</v>
      </c>
      <c r="BB2671" s="48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357</v>
      </c>
      <c r="E2672" s="1" t="s">
        <v>120</v>
      </c>
      <c r="F2672" s="26">
        <v>27</v>
      </c>
      <c r="G2672" s="25" t="s">
        <v>293</v>
      </c>
      <c r="H2672" s="25"/>
      <c r="BA2672" s="73" t="s">
        <v>355</v>
      </c>
      <c r="BB2672" s="48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357</v>
      </c>
      <c r="E2673" s="1" t="s">
        <v>117</v>
      </c>
      <c r="F2673" s="26">
        <v>6.38</v>
      </c>
      <c r="G2673" s="25" t="s">
        <v>293</v>
      </c>
      <c r="H2673" s="25"/>
      <c r="BA2673" s="73" t="s">
        <v>355</v>
      </c>
      <c r="BB2673" s="48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357</v>
      </c>
      <c r="E2674" s="1" t="s">
        <v>344</v>
      </c>
      <c r="F2674" s="26">
        <v>67</v>
      </c>
      <c r="G2674" s="25" t="s">
        <v>293</v>
      </c>
      <c r="H2674" s="25"/>
      <c r="BA2674" s="73" t="s">
        <v>355</v>
      </c>
      <c r="BB2674" s="48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357</v>
      </c>
      <c r="E2675" s="1" t="s">
        <v>132</v>
      </c>
      <c r="F2675" s="26">
        <v>7.08</v>
      </c>
      <c r="G2675" s="25" t="s">
        <v>293</v>
      </c>
      <c r="H2675" s="25"/>
      <c r="BA2675" s="73" t="s">
        <v>355</v>
      </c>
      <c r="BB2675" s="48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357</v>
      </c>
      <c r="E2676" s="1" t="s">
        <v>111</v>
      </c>
      <c r="F2676" s="26">
        <v>281</v>
      </c>
      <c r="G2676" s="25" t="s">
        <v>293</v>
      </c>
      <c r="H2676" s="25"/>
      <c r="BA2676" s="73" t="s">
        <v>355</v>
      </c>
      <c r="BB2676" s="48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357</v>
      </c>
      <c r="E2677" s="1" t="s">
        <v>345</v>
      </c>
      <c r="F2677" s="26">
        <v>10.1</v>
      </c>
      <c r="G2677" s="25" t="s">
        <v>293</v>
      </c>
      <c r="H2677" s="25"/>
      <c r="BA2677" s="73" t="s">
        <v>355</v>
      </c>
      <c r="BB2677" s="48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357</v>
      </c>
      <c r="E2678" s="1" t="s">
        <v>347</v>
      </c>
      <c r="F2678" s="26">
        <v>4.58</v>
      </c>
      <c r="G2678" s="25" t="s">
        <v>293</v>
      </c>
      <c r="H2678" s="25"/>
      <c r="BA2678" s="73" t="s">
        <v>355</v>
      </c>
      <c r="BB2678" s="48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357</v>
      </c>
      <c r="E2679" s="1" t="s">
        <v>128</v>
      </c>
      <c r="F2679" s="26">
        <v>4.4000000000000004</v>
      </c>
      <c r="G2679" s="25" t="s">
        <v>293</v>
      </c>
      <c r="H2679" s="25"/>
      <c r="BA2679" s="73" t="s">
        <v>355</v>
      </c>
      <c r="BB2679" s="48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357</v>
      </c>
      <c r="E2680" s="1" t="s">
        <v>121</v>
      </c>
      <c r="F2680" s="26">
        <v>80</v>
      </c>
      <c r="G2680" s="25" t="s">
        <v>293</v>
      </c>
      <c r="H2680" s="25"/>
      <c r="BA2680" s="73" t="s">
        <v>355</v>
      </c>
      <c r="BB2680" s="48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357</v>
      </c>
      <c r="E2681" s="1" t="s">
        <v>115</v>
      </c>
      <c r="F2681" s="26">
        <v>97</v>
      </c>
      <c r="G2681" s="25" t="s">
        <v>293</v>
      </c>
      <c r="H2681" s="25"/>
      <c r="BA2681" s="73" t="s">
        <v>355</v>
      </c>
      <c r="BB2681" s="48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357</v>
      </c>
      <c r="E2682" s="1" t="s">
        <v>137</v>
      </c>
      <c r="F2682" s="26">
        <v>484</v>
      </c>
      <c r="G2682" s="25" t="s">
        <v>293</v>
      </c>
      <c r="H2682" s="25"/>
      <c r="BA2682" s="73" t="s">
        <v>355</v>
      </c>
      <c r="BB2682" s="48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357</v>
      </c>
      <c r="E2683" s="1" t="s">
        <v>348</v>
      </c>
      <c r="F2683" s="26">
        <v>424</v>
      </c>
      <c r="G2683" s="25" t="s">
        <v>293</v>
      </c>
      <c r="H2683" s="25"/>
      <c r="BA2683" s="73" t="s">
        <v>355</v>
      </c>
      <c r="BB2683" s="48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357</v>
      </c>
      <c r="E2684" s="1" t="s">
        <v>125</v>
      </c>
      <c r="F2684" s="26">
        <v>430</v>
      </c>
      <c r="G2684" s="25" t="s">
        <v>293</v>
      </c>
      <c r="H2684" s="25"/>
      <c r="BA2684" s="73" t="s">
        <v>355</v>
      </c>
      <c r="BB2684" s="48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357</v>
      </c>
      <c r="E2685" s="1" t="s">
        <v>126</v>
      </c>
      <c r="F2685" s="26">
        <v>149</v>
      </c>
      <c r="G2685" s="25" t="s">
        <v>293</v>
      </c>
      <c r="H2685" s="25"/>
      <c r="BA2685" s="73" t="s">
        <v>355</v>
      </c>
      <c r="BB2685" s="48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357</v>
      </c>
      <c r="E2686" s="1" t="s">
        <v>349</v>
      </c>
      <c r="F2686" s="26">
        <v>380</v>
      </c>
      <c r="G2686" s="25" t="s">
        <v>293</v>
      </c>
      <c r="H2686" s="25"/>
      <c r="BA2686" s="73" t="s">
        <v>355</v>
      </c>
      <c r="BB2686" s="48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357</v>
      </c>
      <c r="E2687" s="1" t="s">
        <v>350</v>
      </c>
      <c r="F2687" s="26">
        <v>87</v>
      </c>
      <c r="G2687" s="25" t="s">
        <v>293</v>
      </c>
      <c r="H2687" s="25"/>
      <c r="BA2687" s="73" t="s">
        <v>355</v>
      </c>
      <c r="BB2687" s="48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357</v>
      </c>
      <c r="E2688" s="1" t="s">
        <v>122</v>
      </c>
      <c r="F2688" s="26">
        <v>219</v>
      </c>
      <c r="G2688" s="25" t="s">
        <v>293</v>
      </c>
      <c r="H2688" s="25"/>
      <c r="BA2688" s="73" t="s">
        <v>355</v>
      </c>
      <c r="BB2688" s="48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357</v>
      </c>
      <c r="E2689" s="1" t="s">
        <v>124</v>
      </c>
      <c r="F2689" s="26">
        <v>102</v>
      </c>
      <c r="G2689" s="25" t="s">
        <v>293</v>
      </c>
      <c r="H2689" s="25"/>
      <c r="BA2689" s="73" t="s">
        <v>355</v>
      </c>
      <c r="BB2689" s="48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357</v>
      </c>
      <c r="E2690" s="1" t="s">
        <v>351</v>
      </c>
      <c r="F2690" s="26">
        <v>3.57</v>
      </c>
      <c r="G2690" s="25" t="s">
        <v>293</v>
      </c>
      <c r="H2690" s="25"/>
      <c r="BA2690" s="73" t="s">
        <v>355</v>
      </c>
      <c r="BB2690" s="48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357</v>
      </c>
      <c r="E2691" s="1" t="s">
        <v>353</v>
      </c>
      <c r="F2691" s="26">
        <v>15.2</v>
      </c>
      <c r="G2691" s="25" t="s">
        <v>293</v>
      </c>
      <c r="H2691" s="25"/>
      <c r="BA2691" s="73" t="s">
        <v>355</v>
      </c>
      <c r="BB2691" s="48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357</v>
      </c>
      <c r="E2692" s="1" t="s">
        <v>133</v>
      </c>
      <c r="F2692" s="26">
        <v>125</v>
      </c>
      <c r="G2692" s="25" t="s">
        <v>293</v>
      </c>
      <c r="H2692" s="25"/>
      <c r="BA2692" s="73" t="s">
        <v>355</v>
      </c>
      <c r="BB2692" s="48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357</v>
      </c>
      <c r="E2693" s="1" t="s">
        <v>135</v>
      </c>
      <c r="F2693" s="26">
        <v>6.4</v>
      </c>
      <c r="G2693" s="25" t="s">
        <v>293</v>
      </c>
      <c r="H2693" s="25"/>
      <c r="BA2693" s="73" t="s">
        <v>355</v>
      </c>
      <c r="BB2693" s="48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357</v>
      </c>
      <c r="E2694" s="1" t="s">
        <v>136</v>
      </c>
      <c r="F2694" s="26">
        <v>96</v>
      </c>
      <c r="G2694" s="25" t="s">
        <v>293</v>
      </c>
      <c r="H2694" s="25"/>
      <c r="BA2694" s="73" t="s">
        <v>355</v>
      </c>
      <c r="BB2694" s="48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357</v>
      </c>
      <c r="E2695" s="1" t="s">
        <v>339</v>
      </c>
      <c r="F2695" s="26">
        <v>1.1299999999999999</v>
      </c>
      <c r="G2695" s="25" t="s">
        <v>293</v>
      </c>
      <c r="H2695" s="25"/>
      <c r="BA2695" s="73" t="s">
        <v>355</v>
      </c>
      <c r="BB2695" s="48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357</v>
      </c>
      <c r="E2696" s="1" t="s">
        <v>118</v>
      </c>
      <c r="F2696" s="26">
        <v>9.4</v>
      </c>
      <c r="G2696" s="25" t="s">
        <v>293</v>
      </c>
      <c r="H2696" s="25"/>
      <c r="BA2696" s="73" t="s">
        <v>355</v>
      </c>
      <c r="BB2696" s="48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357</v>
      </c>
      <c r="E2697" s="1" t="s">
        <v>130</v>
      </c>
      <c r="F2697" s="26">
        <v>2.4500000000000002</v>
      </c>
      <c r="G2697" s="25" t="s">
        <v>293</v>
      </c>
      <c r="H2697" s="25"/>
      <c r="BA2697" s="73" t="s">
        <v>355</v>
      </c>
      <c r="BB2697" s="48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357</v>
      </c>
      <c r="E2698" s="1" t="s">
        <v>341</v>
      </c>
      <c r="F2698" s="26">
        <v>1.04</v>
      </c>
      <c r="G2698" s="25" t="s">
        <v>293</v>
      </c>
      <c r="H2698" s="25"/>
      <c r="BA2698" s="73" t="s">
        <v>355</v>
      </c>
      <c r="BB2698" s="48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357</v>
      </c>
      <c r="E2699" s="1" t="s">
        <v>127</v>
      </c>
      <c r="F2699" s="26">
        <v>4.4800000000000004</v>
      </c>
      <c r="G2699" s="25" t="s">
        <v>293</v>
      </c>
      <c r="H2699" s="25"/>
      <c r="BA2699" s="73" t="s">
        <v>355</v>
      </c>
      <c r="BB2699" s="48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357</v>
      </c>
      <c r="E2700" s="1" t="s">
        <v>131</v>
      </c>
      <c r="F2700" s="26">
        <v>11.8</v>
      </c>
      <c r="G2700" s="25" t="s">
        <v>293</v>
      </c>
      <c r="H2700" s="25"/>
      <c r="BA2700" s="73" t="s">
        <v>355</v>
      </c>
      <c r="BB2700" s="48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357</v>
      </c>
      <c r="E2701" s="1" t="s">
        <v>342</v>
      </c>
      <c r="F2701" s="26">
        <v>188</v>
      </c>
      <c r="G2701" s="25" t="s">
        <v>293</v>
      </c>
      <c r="H2701" s="25"/>
      <c r="BA2701" s="73" t="s">
        <v>355</v>
      </c>
      <c r="BB2701" s="48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357</v>
      </c>
      <c r="E2702" s="1" t="s">
        <v>119</v>
      </c>
      <c r="F2702" s="26">
        <v>84</v>
      </c>
      <c r="G2702" s="25" t="s">
        <v>293</v>
      </c>
      <c r="H2702" s="25"/>
      <c r="BA2702" s="73" t="s">
        <v>355</v>
      </c>
      <c r="BB2702" s="48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357</v>
      </c>
      <c r="E2703" s="1" t="s">
        <v>120</v>
      </c>
      <c r="F2703" s="26">
        <v>26</v>
      </c>
      <c r="G2703" s="25" t="s">
        <v>293</v>
      </c>
      <c r="H2703" s="25"/>
      <c r="BA2703" s="73" t="s">
        <v>355</v>
      </c>
      <c r="BB2703" s="48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357</v>
      </c>
      <c r="E2704" s="1" t="s">
        <v>117</v>
      </c>
      <c r="F2704" s="26">
        <v>6.22</v>
      </c>
      <c r="G2704" s="25" t="s">
        <v>293</v>
      </c>
      <c r="H2704" s="25"/>
      <c r="BA2704" s="73" t="s">
        <v>355</v>
      </c>
      <c r="BB2704" s="48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357</v>
      </c>
      <c r="E2705" s="1" t="s">
        <v>344</v>
      </c>
      <c r="F2705" s="26">
        <v>69</v>
      </c>
      <c r="G2705" s="25" t="s">
        <v>293</v>
      </c>
      <c r="H2705" s="25"/>
      <c r="BA2705" s="73" t="s">
        <v>355</v>
      </c>
      <c r="BB2705" s="48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357</v>
      </c>
      <c r="E2706" s="1" t="s">
        <v>132</v>
      </c>
      <c r="F2706" s="26">
        <v>7.29</v>
      </c>
      <c r="G2706" s="25" t="s">
        <v>293</v>
      </c>
      <c r="H2706" s="25"/>
      <c r="BA2706" s="73" t="s">
        <v>355</v>
      </c>
      <c r="BB2706" s="48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357</v>
      </c>
      <c r="E2707" s="1" t="s">
        <v>111</v>
      </c>
      <c r="F2707" s="26">
        <v>284</v>
      </c>
      <c r="G2707" s="25" t="s">
        <v>293</v>
      </c>
      <c r="H2707" s="25"/>
      <c r="BA2707" s="73" t="s">
        <v>355</v>
      </c>
      <c r="BB2707" s="48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357</v>
      </c>
      <c r="E2708" s="1" t="s">
        <v>345</v>
      </c>
      <c r="F2708" s="26">
        <v>10.08</v>
      </c>
      <c r="G2708" s="25" t="s">
        <v>293</v>
      </c>
      <c r="H2708" s="25"/>
      <c r="BA2708" s="73" t="s">
        <v>355</v>
      </c>
      <c r="BB2708" s="48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357</v>
      </c>
      <c r="E2709" s="1" t="s">
        <v>347</v>
      </c>
      <c r="F2709" s="26">
        <v>4.59</v>
      </c>
      <c r="G2709" s="25" t="s">
        <v>293</v>
      </c>
      <c r="H2709" s="25"/>
      <c r="BA2709" s="73" t="s">
        <v>355</v>
      </c>
      <c r="BB2709" s="48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357</v>
      </c>
      <c r="E2710" s="1" t="s">
        <v>128</v>
      </c>
      <c r="F2710" s="26">
        <v>4.3</v>
      </c>
      <c r="G2710" s="25" t="s">
        <v>293</v>
      </c>
      <c r="H2710" s="25"/>
      <c r="BA2710" s="73" t="s">
        <v>355</v>
      </c>
      <c r="BB2710" s="48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357</v>
      </c>
      <c r="E2711" s="1" t="s">
        <v>121</v>
      </c>
      <c r="F2711" s="26">
        <v>81</v>
      </c>
      <c r="G2711" s="25" t="s">
        <v>293</v>
      </c>
      <c r="H2711" s="25"/>
      <c r="BA2711" s="73" t="s">
        <v>355</v>
      </c>
      <c r="BB2711" s="48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357</v>
      </c>
      <c r="E2712" s="1" t="s">
        <v>115</v>
      </c>
      <c r="F2712" s="26">
        <v>96</v>
      </c>
      <c r="G2712" s="25" t="s">
        <v>293</v>
      </c>
      <c r="H2712" s="25"/>
      <c r="BA2712" s="73" t="s">
        <v>355</v>
      </c>
      <c r="BB2712" s="48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357</v>
      </c>
      <c r="E2713" s="1" t="s">
        <v>137</v>
      </c>
      <c r="F2713" s="26">
        <v>478</v>
      </c>
      <c r="G2713" s="25" t="s">
        <v>293</v>
      </c>
      <c r="H2713" s="25"/>
      <c r="BA2713" s="73" t="s">
        <v>355</v>
      </c>
      <c r="BB2713" s="48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357</v>
      </c>
      <c r="E2714" s="1" t="s">
        <v>348</v>
      </c>
      <c r="F2714" s="26">
        <v>422</v>
      </c>
      <c r="G2714" s="25" t="s">
        <v>293</v>
      </c>
      <c r="H2714" s="25"/>
      <c r="BA2714" s="73" t="s">
        <v>355</v>
      </c>
      <c r="BB2714" s="48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357</v>
      </c>
      <c r="E2715" s="1" t="s">
        <v>125</v>
      </c>
      <c r="F2715" s="26">
        <v>424</v>
      </c>
      <c r="G2715" s="25" t="s">
        <v>293</v>
      </c>
      <c r="H2715" s="25"/>
      <c r="BA2715" s="73" t="s">
        <v>355</v>
      </c>
      <c r="BB2715" s="48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357</v>
      </c>
      <c r="E2716" s="1" t="s">
        <v>126</v>
      </c>
      <c r="F2716" s="26">
        <v>147</v>
      </c>
      <c r="G2716" s="25" t="s">
        <v>293</v>
      </c>
      <c r="H2716" s="25"/>
      <c r="BA2716" s="73" t="s">
        <v>355</v>
      </c>
      <c r="BB2716" s="48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357</v>
      </c>
      <c r="E2717" s="1" t="s">
        <v>349</v>
      </c>
      <c r="F2717" s="26">
        <v>365</v>
      </c>
      <c r="G2717" s="25" t="s">
        <v>293</v>
      </c>
      <c r="H2717" s="25"/>
      <c r="BA2717" s="73" t="s">
        <v>355</v>
      </c>
      <c r="BB2717" s="48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357</v>
      </c>
      <c r="E2718" s="1" t="s">
        <v>350</v>
      </c>
      <c r="F2718" s="26">
        <v>87</v>
      </c>
      <c r="G2718" s="25" t="s">
        <v>293</v>
      </c>
      <c r="H2718" s="25"/>
      <c r="BA2718" s="73" t="s">
        <v>355</v>
      </c>
      <c r="BB2718" s="48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357</v>
      </c>
      <c r="E2719" s="1" t="s">
        <v>122</v>
      </c>
      <c r="F2719" s="26">
        <v>216</v>
      </c>
      <c r="G2719" s="25" t="s">
        <v>293</v>
      </c>
      <c r="H2719" s="25"/>
      <c r="BA2719" s="73" t="s">
        <v>355</v>
      </c>
      <c r="BB2719" s="48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357</v>
      </c>
      <c r="E2720" s="1" t="s">
        <v>124</v>
      </c>
      <c r="F2720" s="26">
        <v>101</v>
      </c>
      <c r="G2720" s="25" t="s">
        <v>293</v>
      </c>
      <c r="H2720" s="25"/>
      <c r="BA2720" s="73" t="s">
        <v>355</v>
      </c>
      <c r="BB2720" s="48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357</v>
      </c>
      <c r="E2721" s="1" t="s">
        <v>351</v>
      </c>
      <c r="F2721" s="26">
        <v>3.6</v>
      </c>
      <c r="G2721" s="25" t="s">
        <v>293</v>
      </c>
      <c r="H2721" s="25"/>
      <c r="BA2721" s="73" t="s">
        <v>355</v>
      </c>
      <c r="BB2721" s="48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357</v>
      </c>
      <c r="E2722" s="1" t="s">
        <v>353</v>
      </c>
      <c r="F2722" s="26">
        <v>18.600000000000001</v>
      </c>
      <c r="G2722" s="25" t="s">
        <v>293</v>
      </c>
      <c r="H2722" s="25"/>
      <c r="BA2722" s="73" t="s">
        <v>355</v>
      </c>
      <c r="BB2722" s="48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357</v>
      </c>
      <c r="E2723" s="1" t="s">
        <v>133</v>
      </c>
      <c r="F2723" s="26">
        <v>126</v>
      </c>
      <c r="G2723" s="25" t="s">
        <v>293</v>
      </c>
      <c r="H2723" s="25"/>
      <c r="BA2723" s="73" t="s">
        <v>355</v>
      </c>
      <c r="BB2723" s="48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357</v>
      </c>
      <c r="E2724" s="1" t="s">
        <v>135</v>
      </c>
      <c r="F2724" s="26">
        <v>6.4</v>
      </c>
      <c r="G2724" s="25" t="s">
        <v>293</v>
      </c>
      <c r="H2724" s="25"/>
      <c r="BA2724" s="73" t="s">
        <v>355</v>
      </c>
      <c r="BB2724" s="48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357</v>
      </c>
      <c r="E2725" s="1" t="s">
        <v>136</v>
      </c>
      <c r="F2725" s="26">
        <v>97</v>
      </c>
      <c r="G2725" s="25" t="s">
        <v>293</v>
      </c>
      <c r="H2725" s="25"/>
      <c r="BA2725" s="73" t="s">
        <v>355</v>
      </c>
      <c r="BB2725" s="48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357</v>
      </c>
      <c r="E2726" s="1" t="s">
        <v>339</v>
      </c>
      <c r="F2726" s="26">
        <v>1.0900000000000001</v>
      </c>
      <c r="G2726" s="25" t="s">
        <v>293</v>
      </c>
      <c r="H2726" s="25"/>
      <c r="BA2726" s="73" t="s">
        <v>355</v>
      </c>
      <c r="BB2726" s="48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357</v>
      </c>
      <c r="E2727" s="1" t="s">
        <v>118</v>
      </c>
      <c r="F2727" s="26">
        <v>9.3000000000000007</v>
      </c>
      <c r="G2727" s="25" t="s">
        <v>293</v>
      </c>
      <c r="H2727" s="25"/>
      <c r="BA2727" s="73" t="s">
        <v>355</v>
      </c>
      <c r="BB2727" s="48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357</v>
      </c>
      <c r="E2728" s="1" t="s">
        <v>130</v>
      </c>
      <c r="F2728" s="26">
        <v>2.44</v>
      </c>
      <c r="G2728" s="25" t="s">
        <v>293</v>
      </c>
      <c r="H2728" s="25"/>
      <c r="BA2728" s="73" t="s">
        <v>355</v>
      </c>
      <c r="BB2728" s="48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357</v>
      </c>
      <c r="E2729" s="1" t="s">
        <v>341</v>
      </c>
      <c r="F2729" s="26">
        <v>1.1000000000000001</v>
      </c>
      <c r="G2729" s="25" t="s">
        <v>293</v>
      </c>
      <c r="H2729" s="25"/>
      <c r="BA2729" s="73" t="s">
        <v>355</v>
      </c>
      <c r="BB2729" s="48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357</v>
      </c>
      <c r="E2730" s="1" t="s">
        <v>127</v>
      </c>
      <c r="F2730" s="26">
        <v>4.59</v>
      </c>
      <c r="G2730" s="25" t="s">
        <v>293</v>
      </c>
      <c r="H2730" s="25"/>
      <c r="BA2730" s="73" t="s">
        <v>355</v>
      </c>
      <c r="BB2730" s="48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357</v>
      </c>
      <c r="E2731" s="1" t="s">
        <v>131</v>
      </c>
      <c r="F2731" s="26">
        <v>11.7</v>
      </c>
      <c r="G2731" s="25" t="s">
        <v>293</v>
      </c>
      <c r="H2731" s="25"/>
      <c r="BA2731" s="73" t="s">
        <v>355</v>
      </c>
      <c r="BB2731" s="48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357</v>
      </c>
      <c r="E2732" s="1" t="s">
        <v>342</v>
      </c>
      <c r="F2732" s="26">
        <v>200</v>
      </c>
      <c r="G2732" s="25" t="s">
        <v>293</v>
      </c>
      <c r="H2732" s="25"/>
      <c r="BA2732" s="73" t="s">
        <v>355</v>
      </c>
      <c r="BB2732" s="48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357</v>
      </c>
      <c r="E2733" s="1" t="s">
        <v>119</v>
      </c>
      <c r="F2733" s="26">
        <v>82</v>
      </c>
      <c r="G2733" s="25" t="s">
        <v>293</v>
      </c>
      <c r="H2733" s="25"/>
      <c r="BA2733" s="73" t="s">
        <v>355</v>
      </c>
      <c r="BB2733" s="48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357</v>
      </c>
      <c r="E2734" s="1" t="s">
        <v>120</v>
      </c>
      <c r="F2734" s="26">
        <v>27</v>
      </c>
      <c r="G2734" s="25" t="s">
        <v>293</v>
      </c>
      <c r="H2734" s="25"/>
      <c r="BA2734" s="73" t="s">
        <v>355</v>
      </c>
      <c r="BB2734" s="48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357</v>
      </c>
      <c r="E2735" s="1" t="s">
        <v>117</v>
      </c>
      <c r="F2735" s="26">
        <v>6.18</v>
      </c>
      <c r="G2735" s="25" t="s">
        <v>293</v>
      </c>
      <c r="H2735" s="25"/>
      <c r="BA2735" s="73" t="s">
        <v>355</v>
      </c>
      <c r="BB2735" s="48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357</v>
      </c>
      <c r="E2736" s="1" t="s">
        <v>344</v>
      </c>
      <c r="F2736" s="26">
        <v>68</v>
      </c>
      <c r="G2736" s="25" t="s">
        <v>293</v>
      </c>
      <c r="H2736" s="25"/>
      <c r="BA2736" s="73" t="s">
        <v>355</v>
      </c>
      <c r="BB2736" s="48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357</v>
      </c>
      <c r="E2737" s="1" t="s">
        <v>132</v>
      </c>
      <c r="F2737" s="26">
        <v>7.14</v>
      </c>
      <c r="G2737" s="25" t="s">
        <v>293</v>
      </c>
      <c r="H2737" s="25"/>
      <c r="BA2737" s="73" t="s">
        <v>355</v>
      </c>
      <c r="BB2737" s="48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357</v>
      </c>
      <c r="E2738" s="1" t="s">
        <v>111</v>
      </c>
      <c r="F2738" s="26">
        <v>280</v>
      </c>
      <c r="G2738" s="25" t="s">
        <v>293</v>
      </c>
      <c r="H2738" s="25"/>
      <c r="BA2738" s="73" t="s">
        <v>355</v>
      </c>
      <c r="BB2738" s="48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357</v>
      </c>
      <c r="E2739" s="1" t="s">
        <v>345</v>
      </c>
      <c r="F2739" s="26">
        <v>9.99</v>
      </c>
      <c r="G2739" s="25" t="s">
        <v>293</v>
      </c>
      <c r="H2739" s="25"/>
      <c r="BA2739" s="73" t="s">
        <v>355</v>
      </c>
      <c r="BB2739" s="48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357</v>
      </c>
      <c r="E2740" s="1" t="s">
        <v>347</v>
      </c>
      <c r="F2740" s="26">
        <v>4.7</v>
      </c>
      <c r="G2740" s="25" t="s">
        <v>293</v>
      </c>
      <c r="H2740" s="25"/>
      <c r="BA2740" s="73" t="s">
        <v>355</v>
      </c>
      <c r="BB2740" s="48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357</v>
      </c>
      <c r="E2741" s="1" t="s">
        <v>128</v>
      </c>
      <c r="F2741" s="26">
        <v>4.3</v>
      </c>
      <c r="G2741" s="25" t="s">
        <v>293</v>
      </c>
      <c r="H2741" s="25"/>
      <c r="BA2741" s="73" t="s">
        <v>355</v>
      </c>
      <c r="BB2741" s="48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357</v>
      </c>
      <c r="E2742" s="1" t="s">
        <v>121</v>
      </c>
      <c r="F2742" s="26">
        <v>77</v>
      </c>
      <c r="G2742" s="25" t="s">
        <v>293</v>
      </c>
      <c r="H2742" s="25"/>
      <c r="BA2742" s="73" t="s">
        <v>355</v>
      </c>
      <c r="BB2742" s="48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357</v>
      </c>
      <c r="E2743" s="1" t="s">
        <v>115</v>
      </c>
      <c r="F2743" s="26">
        <v>97</v>
      </c>
      <c r="G2743" s="25" t="s">
        <v>293</v>
      </c>
      <c r="H2743" s="25"/>
      <c r="BA2743" s="73" t="s">
        <v>355</v>
      </c>
      <c r="BB2743" s="48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357</v>
      </c>
      <c r="E2744" s="1" t="s">
        <v>137</v>
      </c>
      <c r="F2744" s="26">
        <v>480</v>
      </c>
      <c r="G2744" s="25" t="s">
        <v>293</v>
      </c>
      <c r="H2744" s="25"/>
      <c r="BA2744" s="73" t="s">
        <v>355</v>
      </c>
      <c r="BB2744" s="48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357</v>
      </c>
      <c r="E2745" s="1" t="s">
        <v>348</v>
      </c>
      <c r="F2745" s="26">
        <v>425</v>
      </c>
      <c r="G2745" s="25" t="s">
        <v>293</v>
      </c>
      <c r="H2745" s="25"/>
      <c r="BA2745" s="73" t="s">
        <v>355</v>
      </c>
      <c r="BB2745" s="48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357</v>
      </c>
      <c r="E2746" s="1" t="s">
        <v>125</v>
      </c>
      <c r="F2746" s="26">
        <v>407</v>
      </c>
      <c r="G2746" s="25" t="s">
        <v>293</v>
      </c>
      <c r="H2746" s="25"/>
      <c r="BA2746" s="73" t="s">
        <v>355</v>
      </c>
      <c r="BB2746" s="48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357</v>
      </c>
      <c r="E2747" s="1" t="s">
        <v>126</v>
      </c>
      <c r="F2747" s="26">
        <v>153</v>
      </c>
      <c r="G2747" s="25" t="s">
        <v>293</v>
      </c>
      <c r="H2747" s="25"/>
      <c r="BA2747" s="73" t="s">
        <v>355</v>
      </c>
      <c r="BB2747" s="48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357</v>
      </c>
      <c r="E2748" s="1" t="s">
        <v>349</v>
      </c>
      <c r="F2748" s="26">
        <v>361</v>
      </c>
      <c r="G2748" s="25" t="s">
        <v>293</v>
      </c>
      <c r="H2748" s="25"/>
      <c r="BA2748" s="73" t="s">
        <v>355</v>
      </c>
      <c r="BB2748" s="48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357</v>
      </c>
      <c r="E2749" s="1" t="s">
        <v>350</v>
      </c>
      <c r="F2749" s="26">
        <v>84</v>
      </c>
      <c r="G2749" s="25" t="s">
        <v>293</v>
      </c>
      <c r="H2749" s="25"/>
      <c r="BA2749" s="73" t="s">
        <v>355</v>
      </c>
      <c r="BB2749" s="48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357</v>
      </c>
      <c r="E2750" s="1" t="s">
        <v>122</v>
      </c>
      <c r="F2750" s="26">
        <v>215</v>
      </c>
      <c r="G2750" s="25" t="s">
        <v>293</v>
      </c>
      <c r="H2750" s="25"/>
      <c r="BA2750" s="73" t="s">
        <v>355</v>
      </c>
      <c r="BB2750" s="48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357</v>
      </c>
      <c r="E2751" s="1" t="s">
        <v>124</v>
      </c>
      <c r="F2751" s="26">
        <v>107</v>
      </c>
      <c r="G2751" s="25" t="s">
        <v>293</v>
      </c>
      <c r="H2751" s="25"/>
      <c r="BA2751" s="73" t="s">
        <v>355</v>
      </c>
      <c r="BB2751" s="48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357</v>
      </c>
      <c r="E2752" s="1" t="s">
        <v>351</v>
      </c>
      <c r="F2752" s="26">
        <v>3.52</v>
      </c>
      <c r="G2752" s="25" t="s">
        <v>293</v>
      </c>
      <c r="H2752" s="25"/>
      <c r="BA2752" s="73" t="s">
        <v>355</v>
      </c>
      <c r="BB2752" s="48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357</v>
      </c>
      <c r="E2753" s="1" t="s">
        <v>353</v>
      </c>
      <c r="F2753" s="26">
        <v>17.7</v>
      </c>
      <c r="G2753" s="25" t="s">
        <v>293</v>
      </c>
      <c r="H2753" s="25"/>
      <c r="BA2753" s="73" t="s">
        <v>355</v>
      </c>
      <c r="BB2753" s="48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357</v>
      </c>
      <c r="E2754" s="1" t="s">
        <v>133</v>
      </c>
      <c r="F2754" s="26">
        <v>125</v>
      </c>
      <c r="G2754" s="25" t="s">
        <v>293</v>
      </c>
      <c r="H2754" s="25"/>
      <c r="BA2754" s="73" t="s">
        <v>355</v>
      </c>
      <c r="BB2754" s="48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357</v>
      </c>
      <c r="E2755" s="1" t="s">
        <v>135</v>
      </c>
      <c r="F2755" s="26">
        <v>6.4</v>
      </c>
      <c r="G2755" s="25" t="s">
        <v>293</v>
      </c>
      <c r="H2755" s="25"/>
      <c r="BA2755" s="73" t="s">
        <v>355</v>
      </c>
      <c r="BB2755" s="48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357</v>
      </c>
      <c r="E2756" s="1" t="s">
        <v>136</v>
      </c>
      <c r="F2756" s="26">
        <v>97</v>
      </c>
      <c r="G2756" s="25" t="s">
        <v>293</v>
      </c>
      <c r="H2756" s="25"/>
      <c r="BA2756" s="73" t="s">
        <v>355</v>
      </c>
      <c r="BB2756" s="48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357</v>
      </c>
      <c r="E2757" s="1" t="s">
        <v>339</v>
      </c>
      <c r="F2757" s="26">
        <v>1.1100000000000001</v>
      </c>
      <c r="G2757" s="25" t="s">
        <v>293</v>
      </c>
      <c r="H2757" s="25"/>
      <c r="BA2757" s="73" t="s">
        <v>355</v>
      </c>
      <c r="BB2757" s="48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357</v>
      </c>
      <c r="E2758" s="1" t="s">
        <v>118</v>
      </c>
      <c r="F2758" s="26">
        <v>9.5</v>
      </c>
      <c r="G2758" s="25" t="s">
        <v>293</v>
      </c>
      <c r="H2758" s="25"/>
      <c r="BA2758" s="73" t="s">
        <v>355</v>
      </c>
      <c r="BB2758" s="48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357</v>
      </c>
      <c r="E2759" s="1" t="s">
        <v>130</v>
      </c>
      <c r="F2759" s="26">
        <v>2.42</v>
      </c>
      <c r="G2759" s="25" t="s">
        <v>293</v>
      </c>
      <c r="H2759" s="25"/>
      <c r="BA2759" s="73" t="s">
        <v>355</v>
      </c>
      <c r="BB2759" s="48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357</v>
      </c>
      <c r="E2760" s="1" t="s">
        <v>341</v>
      </c>
      <c r="F2760" s="26">
        <v>1.091</v>
      </c>
      <c r="G2760" s="25" t="s">
        <v>293</v>
      </c>
      <c r="H2760" s="25"/>
      <c r="BA2760" s="73" t="s">
        <v>355</v>
      </c>
      <c r="BB2760" s="48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357</v>
      </c>
      <c r="E2761" s="1" t="s">
        <v>127</v>
      </c>
      <c r="F2761" s="26">
        <v>4.5999999999999996</v>
      </c>
      <c r="G2761" s="25" t="s">
        <v>293</v>
      </c>
      <c r="H2761" s="25"/>
      <c r="BA2761" s="73" t="s">
        <v>355</v>
      </c>
      <c r="BB2761" s="48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357</v>
      </c>
      <c r="E2762" s="1" t="s">
        <v>131</v>
      </c>
      <c r="F2762" s="26">
        <v>11.8</v>
      </c>
      <c r="G2762" s="25" t="s">
        <v>293</v>
      </c>
      <c r="H2762" s="25"/>
      <c r="BA2762" s="73" t="s">
        <v>355</v>
      </c>
      <c r="BB2762" s="48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357</v>
      </c>
      <c r="E2763" s="1" t="s">
        <v>342</v>
      </c>
      <c r="F2763" s="26">
        <v>202</v>
      </c>
      <c r="G2763" s="25" t="s">
        <v>293</v>
      </c>
      <c r="H2763" s="25"/>
      <c r="BA2763" s="73" t="s">
        <v>355</v>
      </c>
      <c r="BB2763" s="48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357</v>
      </c>
      <c r="E2764" s="1" t="s">
        <v>119</v>
      </c>
      <c r="F2764" s="26">
        <v>81</v>
      </c>
      <c r="G2764" s="25" t="s">
        <v>293</v>
      </c>
      <c r="H2764" s="25"/>
      <c r="BA2764" s="73" t="s">
        <v>355</v>
      </c>
      <c r="BB2764" s="48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357</v>
      </c>
      <c r="E2765" s="1" t="s">
        <v>120</v>
      </c>
      <c r="F2765" s="26">
        <v>27</v>
      </c>
      <c r="G2765" s="25" t="s">
        <v>293</v>
      </c>
      <c r="H2765" s="25"/>
      <c r="BA2765" s="73" t="s">
        <v>355</v>
      </c>
      <c r="BB2765" s="48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357</v>
      </c>
      <c r="E2766" s="1" t="s">
        <v>117</v>
      </c>
      <c r="F2766" s="26">
        <v>6.23</v>
      </c>
      <c r="G2766" s="25" t="s">
        <v>293</v>
      </c>
      <c r="H2766" s="25"/>
      <c r="BA2766" s="73" t="s">
        <v>355</v>
      </c>
      <c r="BB2766" s="48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357</v>
      </c>
      <c r="E2767" s="1" t="s">
        <v>344</v>
      </c>
      <c r="F2767" s="26">
        <v>68</v>
      </c>
      <c r="G2767" s="25" t="s">
        <v>293</v>
      </c>
      <c r="H2767" s="25"/>
      <c r="BA2767" s="73" t="s">
        <v>355</v>
      </c>
      <c r="BB2767" s="48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357</v>
      </c>
      <c r="E2768" s="1" t="s">
        <v>132</v>
      </c>
      <c r="F2768" s="26">
        <v>7.13</v>
      </c>
      <c r="G2768" s="25" t="s">
        <v>293</v>
      </c>
      <c r="H2768" s="25"/>
      <c r="BA2768" s="73" t="s">
        <v>355</v>
      </c>
      <c r="BB2768" s="48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357</v>
      </c>
      <c r="E2769" s="1" t="s">
        <v>111</v>
      </c>
      <c r="F2769" s="26">
        <v>278</v>
      </c>
      <c r="G2769" s="25" t="s">
        <v>293</v>
      </c>
      <c r="H2769" s="25"/>
      <c r="BA2769" s="73" t="s">
        <v>355</v>
      </c>
      <c r="BB2769" s="48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357</v>
      </c>
      <c r="E2770" s="1" t="s">
        <v>345</v>
      </c>
      <c r="F2770" s="26">
        <v>9.89</v>
      </c>
      <c r="G2770" s="25" t="s">
        <v>293</v>
      </c>
      <c r="H2770" s="25"/>
      <c r="BA2770" s="73" t="s">
        <v>355</v>
      </c>
      <c r="BB2770" s="48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357</v>
      </c>
      <c r="E2771" s="1" t="s">
        <v>347</v>
      </c>
      <c r="F2771" s="26">
        <v>4.34</v>
      </c>
      <c r="G2771" s="25" t="s">
        <v>293</v>
      </c>
      <c r="H2771" s="25"/>
      <c r="BA2771" s="73" t="s">
        <v>355</v>
      </c>
      <c r="BB2771" s="48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357</v>
      </c>
      <c r="E2772" s="1" t="s">
        <v>128</v>
      </c>
      <c r="F2772" s="26">
        <v>4.4000000000000004</v>
      </c>
      <c r="G2772" s="25" t="s">
        <v>293</v>
      </c>
      <c r="H2772" s="25"/>
      <c r="BA2772" s="73" t="s">
        <v>355</v>
      </c>
      <c r="BB2772" s="48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357</v>
      </c>
      <c r="E2773" s="1" t="s">
        <v>121</v>
      </c>
      <c r="F2773" s="26">
        <v>78</v>
      </c>
      <c r="G2773" s="25" t="s">
        <v>293</v>
      </c>
      <c r="H2773" s="25"/>
      <c r="BA2773" s="73" t="s">
        <v>355</v>
      </c>
      <c r="BB2773" s="48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357</v>
      </c>
      <c r="E2774" s="1" t="s">
        <v>115</v>
      </c>
      <c r="F2774" s="26">
        <v>98</v>
      </c>
      <c r="G2774" s="25" t="s">
        <v>293</v>
      </c>
      <c r="H2774" s="25"/>
      <c r="BA2774" s="73" t="s">
        <v>355</v>
      </c>
      <c r="BB2774" s="48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357</v>
      </c>
      <c r="E2775" s="1" t="s">
        <v>137</v>
      </c>
      <c r="F2775" s="26">
        <v>478</v>
      </c>
      <c r="G2775" s="25" t="s">
        <v>293</v>
      </c>
      <c r="H2775" s="25"/>
      <c r="BA2775" s="73" t="s">
        <v>355</v>
      </c>
      <c r="BB2775" s="48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357</v>
      </c>
      <c r="E2776" s="1" t="s">
        <v>348</v>
      </c>
      <c r="F2776" s="26">
        <v>430</v>
      </c>
      <c r="G2776" s="25" t="s">
        <v>293</v>
      </c>
      <c r="H2776" s="25"/>
      <c r="BA2776" s="73" t="s">
        <v>355</v>
      </c>
      <c r="BB2776" s="48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357</v>
      </c>
      <c r="E2777" s="1" t="s">
        <v>125</v>
      </c>
      <c r="F2777" s="26">
        <v>418</v>
      </c>
      <c r="G2777" s="25" t="s">
        <v>293</v>
      </c>
      <c r="H2777" s="25"/>
      <c r="BA2777" s="73" t="s">
        <v>355</v>
      </c>
      <c r="BB2777" s="48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357</v>
      </c>
      <c r="E2778" s="1" t="s">
        <v>126</v>
      </c>
      <c r="F2778" s="26">
        <v>154</v>
      </c>
      <c r="G2778" s="25" t="s">
        <v>293</v>
      </c>
      <c r="H2778" s="25"/>
      <c r="BA2778" s="73" t="s">
        <v>355</v>
      </c>
      <c r="BB2778" s="48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357</v>
      </c>
      <c r="E2779" s="1" t="s">
        <v>349</v>
      </c>
      <c r="F2779" s="26">
        <v>383</v>
      </c>
      <c r="G2779" s="25" t="s">
        <v>293</v>
      </c>
      <c r="H2779" s="25"/>
      <c r="BA2779" s="73" t="s">
        <v>355</v>
      </c>
      <c r="BB2779" s="48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357</v>
      </c>
      <c r="E2780" s="1" t="s">
        <v>350</v>
      </c>
      <c r="F2780" s="26">
        <v>89</v>
      </c>
      <c r="G2780" s="25" t="s">
        <v>293</v>
      </c>
      <c r="H2780" s="25"/>
      <c r="BA2780" s="73" t="s">
        <v>355</v>
      </c>
      <c r="BB2780" s="48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357</v>
      </c>
      <c r="E2781" s="1" t="s">
        <v>122</v>
      </c>
      <c r="F2781" s="26">
        <v>217</v>
      </c>
      <c r="G2781" s="25" t="s">
        <v>293</v>
      </c>
      <c r="H2781" s="25"/>
      <c r="BA2781" s="73" t="s">
        <v>355</v>
      </c>
      <c r="BB2781" s="48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357</v>
      </c>
      <c r="E2782" s="1" t="s">
        <v>124</v>
      </c>
      <c r="F2782" s="26">
        <v>106</v>
      </c>
      <c r="G2782" s="25" t="s">
        <v>293</v>
      </c>
      <c r="H2782" s="25"/>
      <c r="BA2782" s="73" t="s">
        <v>355</v>
      </c>
      <c r="BB2782" s="48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357</v>
      </c>
      <c r="E2783" s="1" t="s">
        <v>351</v>
      </c>
      <c r="F2783" s="26">
        <v>3.53</v>
      </c>
      <c r="G2783" s="25" t="s">
        <v>293</v>
      </c>
      <c r="H2783" s="25"/>
      <c r="BA2783" s="73" t="s">
        <v>355</v>
      </c>
      <c r="BB2783" s="48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357</v>
      </c>
      <c r="E2784" s="1" t="s">
        <v>353</v>
      </c>
      <c r="F2784" s="26">
        <v>19.3</v>
      </c>
      <c r="G2784" s="25" t="s">
        <v>293</v>
      </c>
      <c r="H2784" s="25"/>
      <c r="BA2784" s="73" t="s">
        <v>355</v>
      </c>
      <c r="BB2784" s="48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357</v>
      </c>
      <c r="E2785" s="1" t="s">
        <v>133</v>
      </c>
      <c r="F2785" s="26">
        <v>128</v>
      </c>
      <c r="G2785" s="25" t="s">
        <v>293</v>
      </c>
      <c r="H2785" s="25"/>
      <c r="BA2785" s="73" t="s">
        <v>355</v>
      </c>
      <c r="BB2785" s="48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357</v>
      </c>
      <c r="E2786" s="1" t="s">
        <v>135</v>
      </c>
      <c r="F2786" s="26">
        <v>6.6</v>
      </c>
      <c r="G2786" s="25" t="s">
        <v>293</v>
      </c>
      <c r="H2786" s="25"/>
      <c r="BA2786" s="73" t="s">
        <v>355</v>
      </c>
      <c r="BB2786" s="48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357</v>
      </c>
      <c r="E2787" s="1" t="s">
        <v>136</v>
      </c>
      <c r="F2787" s="26">
        <v>94</v>
      </c>
      <c r="G2787" s="25" t="s">
        <v>293</v>
      </c>
      <c r="H2787" s="25"/>
      <c r="BA2787" s="73" t="s">
        <v>355</v>
      </c>
      <c r="BB2787" s="48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357</v>
      </c>
      <c r="E2788" s="1" t="s">
        <v>339</v>
      </c>
      <c r="F2788" s="26">
        <v>1.1599999999999999</v>
      </c>
      <c r="G2788" s="25" t="s">
        <v>293</v>
      </c>
      <c r="H2788" s="25"/>
      <c r="BA2788" s="73" t="s">
        <v>355</v>
      </c>
      <c r="BB2788" s="48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357</v>
      </c>
      <c r="E2789" s="1" t="s">
        <v>118</v>
      </c>
      <c r="F2789" s="26">
        <v>9.4</v>
      </c>
      <c r="G2789" s="25" t="s">
        <v>293</v>
      </c>
      <c r="H2789" s="25"/>
      <c r="BA2789" s="73" t="s">
        <v>355</v>
      </c>
      <c r="BB2789" s="48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357</v>
      </c>
      <c r="E2790" s="1" t="s">
        <v>130</v>
      </c>
      <c r="F2790" s="26">
        <v>2.36</v>
      </c>
      <c r="G2790" s="25" t="s">
        <v>293</v>
      </c>
      <c r="H2790" s="25"/>
      <c r="BA2790" s="73" t="s">
        <v>355</v>
      </c>
      <c r="BB2790" s="48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357</v>
      </c>
      <c r="E2791" s="1" t="s">
        <v>341</v>
      </c>
      <c r="F2791" s="26">
        <v>1.08</v>
      </c>
      <c r="G2791" s="25" t="s">
        <v>293</v>
      </c>
      <c r="H2791" s="25"/>
      <c r="BA2791" s="73" t="s">
        <v>355</v>
      </c>
      <c r="BB2791" s="48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357</v>
      </c>
      <c r="E2792" s="1" t="s">
        <v>127</v>
      </c>
      <c r="F2792" s="26">
        <v>4.5</v>
      </c>
      <c r="G2792" s="25" t="s">
        <v>293</v>
      </c>
      <c r="H2792" s="25"/>
      <c r="BA2792" s="73" t="s">
        <v>355</v>
      </c>
      <c r="BB2792" s="48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357</v>
      </c>
      <c r="E2793" s="1" t="s">
        <v>131</v>
      </c>
      <c r="F2793" s="26">
        <v>11.8</v>
      </c>
      <c r="G2793" s="25" t="s">
        <v>293</v>
      </c>
      <c r="H2793" s="25"/>
      <c r="BA2793" s="73" t="s">
        <v>355</v>
      </c>
      <c r="BB2793" s="48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357</v>
      </c>
      <c r="E2794" s="1" t="s">
        <v>342</v>
      </c>
      <c r="F2794" s="26">
        <v>196</v>
      </c>
      <c r="G2794" s="25" t="s">
        <v>293</v>
      </c>
      <c r="H2794" s="25"/>
      <c r="BA2794" s="73" t="s">
        <v>355</v>
      </c>
      <c r="BB2794" s="48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357</v>
      </c>
      <c r="E2795" s="1" t="s">
        <v>119</v>
      </c>
      <c r="F2795" s="26">
        <v>83</v>
      </c>
      <c r="G2795" s="25" t="s">
        <v>293</v>
      </c>
      <c r="H2795" s="25"/>
      <c r="BA2795" s="73" t="s">
        <v>355</v>
      </c>
      <c r="BB2795" s="48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357</v>
      </c>
      <c r="E2796" s="1" t="s">
        <v>120</v>
      </c>
      <c r="F2796" s="26">
        <v>27</v>
      </c>
      <c r="G2796" s="25" t="s">
        <v>293</v>
      </c>
      <c r="H2796" s="25"/>
      <c r="BA2796" s="73" t="s">
        <v>355</v>
      </c>
      <c r="BB2796" s="48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357</v>
      </c>
      <c r="E2797" s="1" t="s">
        <v>117</v>
      </c>
      <c r="F2797" s="26">
        <v>6.2</v>
      </c>
      <c r="G2797" s="25" t="s">
        <v>293</v>
      </c>
      <c r="H2797" s="25"/>
      <c r="BA2797" s="73" t="s">
        <v>355</v>
      </c>
      <c r="BB2797" s="48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357</v>
      </c>
      <c r="E2798" s="1" t="s">
        <v>344</v>
      </c>
      <c r="F2798" s="26">
        <v>69</v>
      </c>
      <c r="G2798" s="25" t="s">
        <v>293</v>
      </c>
      <c r="H2798" s="25"/>
      <c r="BA2798" s="73" t="s">
        <v>355</v>
      </c>
      <c r="BB2798" s="48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357</v>
      </c>
      <c r="E2799" s="1" t="s">
        <v>132</v>
      </c>
      <c r="F2799" s="26">
        <v>7.16</v>
      </c>
      <c r="G2799" s="25" t="s">
        <v>293</v>
      </c>
      <c r="H2799" s="25"/>
      <c r="BA2799" s="73" t="s">
        <v>355</v>
      </c>
      <c r="BB2799" s="48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357</v>
      </c>
      <c r="E2800" s="1" t="s">
        <v>111</v>
      </c>
      <c r="F2800" s="26">
        <v>283</v>
      </c>
      <c r="G2800" s="25" t="s">
        <v>293</v>
      </c>
      <c r="H2800" s="25"/>
      <c r="BA2800" s="73" t="s">
        <v>355</v>
      </c>
      <c r="BB2800" s="48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357</v>
      </c>
      <c r="E2801" s="1" t="s">
        <v>345</v>
      </c>
      <c r="F2801" s="26">
        <v>10.119999999999999</v>
      </c>
      <c r="G2801" s="25" t="s">
        <v>293</v>
      </c>
      <c r="H2801" s="25"/>
      <c r="BA2801" s="73" t="s">
        <v>355</v>
      </c>
      <c r="BB2801" s="48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357</v>
      </c>
      <c r="E2802" s="1" t="s">
        <v>347</v>
      </c>
      <c r="F2802" s="26">
        <v>4.45</v>
      </c>
      <c r="G2802" s="25" t="s">
        <v>293</v>
      </c>
      <c r="H2802" s="25"/>
      <c r="BA2802" s="73" t="s">
        <v>355</v>
      </c>
      <c r="BB2802" s="48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357</v>
      </c>
      <c r="E2803" s="1" t="s">
        <v>128</v>
      </c>
      <c r="F2803" s="26">
        <v>4.3</v>
      </c>
      <c r="G2803" s="25" t="s">
        <v>293</v>
      </c>
      <c r="H2803" s="25"/>
      <c r="BA2803" s="73" t="s">
        <v>355</v>
      </c>
      <c r="BB2803" s="48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357</v>
      </c>
      <c r="E2804" s="1" t="s">
        <v>121</v>
      </c>
      <c r="F2804" s="26">
        <v>77</v>
      </c>
      <c r="G2804" s="25" t="s">
        <v>293</v>
      </c>
      <c r="H2804" s="25"/>
      <c r="BA2804" s="73" t="s">
        <v>355</v>
      </c>
      <c r="BB2804" s="48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357</v>
      </c>
      <c r="E2805" s="1" t="s">
        <v>115</v>
      </c>
      <c r="F2805" s="26">
        <v>97</v>
      </c>
      <c r="G2805" s="25" t="s">
        <v>293</v>
      </c>
      <c r="H2805" s="25"/>
      <c r="BA2805" s="73" t="s">
        <v>355</v>
      </c>
      <c r="BB2805" s="48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357</v>
      </c>
      <c r="E2806" s="1" t="s">
        <v>137</v>
      </c>
      <c r="F2806" s="26">
        <v>481</v>
      </c>
      <c r="G2806" s="25" t="s">
        <v>293</v>
      </c>
      <c r="H2806" s="25"/>
      <c r="BA2806" s="73" t="s">
        <v>355</v>
      </c>
      <c r="BB2806" s="48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357</v>
      </c>
      <c r="E2807" s="1" t="s">
        <v>348</v>
      </c>
      <c r="F2807" s="26">
        <v>425</v>
      </c>
      <c r="G2807" s="25" t="s">
        <v>293</v>
      </c>
      <c r="H2807" s="25"/>
      <c r="BA2807" s="73" t="s">
        <v>355</v>
      </c>
      <c r="BB2807" s="48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357</v>
      </c>
      <c r="E2808" s="1" t="s">
        <v>125</v>
      </c>
      <c r="F2808" s="26">
        <v>418</v>
      </c>
      <c r="G2808" s="25" t="s">
        <v>293</v>
      </c>
      <c r="H2808" s="25"/>
      <c r="BA2808" s="73" t="s">
        <v>355</v>
      </c>
      <c r="BB2808" s="48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357</v>
      </c>
      <c r="E2809" s="1" t="s">
        <v>126</v>
      </c>
      <c r="F2809" s="26">
        <v>154</v>
      </c>
      <c r="G2809" s="25" t="s">
        <v>293</v>
      </c>
      <c r="H2809" s="25"/>
      <c r="BA2809" s="73" t="s">
        <v>355</v>
      </c>
      <c r="BB2809" s="48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357</v>
      </c>
      <c r="E2810" s="1" t="s">
        <v>349</v>
      </c>
      <c r="F2810" s="26">
        <v>370</v>
      </c>
      <c r="G2810" s="25" t="s">
        <v>293</v>
      </c>
      <c r="H2810" s="25"/>
      <c r="BA2810" s="73" t="s">
        <v>355</v>
      </c>
      <c r="BB2810" s="48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357</v>
      </c>
      <c r="E2811" s="1" t="s">
        <v>350</v>
      </c>
      <c r="F2811" s="26">
        <v>87</v>
      </c>
      <c r="G2811" s="25" t="s">
        <v>293</v>
      </c>
      <c r="H2811" s="25"/>
      <c r="BA2811" s="73" t="s">
        <v>355</v>
      </c>
      <c r="BB2811" s="48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357</v>
      </c>
      <c r="E2812" s="1" t="s">
        <v>122</v>
      </c>
      <c r="F2812" s="26">
        <v>220</v>
      </c>
      <c r="G2812" s="25" t="s">
        <v>293</v>
      </c>
      <c r="H2812" s="25"/>
      <c r="BA2812" s="73" t="s">
        <v>355</v>
      </c>
      <c r="BB2812" s="48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357</v>
      </c>
      <c r="E2813" s="1" t="s">
        <v>124</v>
      </c>
      <c r="F2813" s="26">
        <v>104</v>
      </c>
      <c r="G2813" s="25" t="s">
        <v>293</v>
      </c>
      <c r="H2813" s="25"/>
      <c r="BA2813" s="73" t="s">
        <v>355</v>
      </c>
      <c r="BB2813" s="48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357</v>
      </c>
      <c r="E2814" s="1" t="s">
        <v>351</v>
      </c>
      <c r="F2814" s="26">
        <v>3.57</v>
      </c>
      <c r="G2814" s="25" t="s">
        <v>293</v>
      </c>
      <c r="H2814" s="25"/>
      <c r="BA2814" s="73" t="s">
        <v>355</v>
      </c>
      <c r="BB2814" s="48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357</v>
      </c>
      <c r="E2815" s="1" t="s">
        <v>353</v>
      </c>
      <c r="F2815" s="26">
        <v>19.3</v>
      </c>
      <c r="G2815" s="25" t="s">
        <v>293</v>
      </c>
      <c r="H2815" s="25"/>
      <c r="BA2815" s="73" t="s">
        <v>355</v>
      </c>
      <c r="BB2815" s="48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357</v>
      </c>
      <c r="E2816" s="1" t="s">
        <v>133</v>
      </c>
      <c r="F2816" s="26">
        <v>128</v>
      </c>
      <c r="G2816" s="25" t="s">
        <v>293</v>
      </c>
      <c r="H2816" s="25"/>
      <c r="BA2816" s="73" t="s">
        <v>355</v>
      </c>
      <c r="BB2816" s="48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357</v>
      </c>
      <c r="E2817" s="1" t="s">
        <v>135</v>
      </c>
      <c r="F2817" s="26">
        <v>6.4</v>
      </c>
      <c r="G2817" s="25" t="s">
        <v>293</v>
      </c>
      <c r="H2817" s="25"/>
      <c r="BA2817" s="73" t="s">
        <v>355</v>
      </c>
      <c r="BB2817" s="48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357</v>
      </c>
      <c r="E2818" s="1" t="s">
        <v>136</v>
      </c>
      <c r="F2818" s="26">
        <v>95</v>
      </c>
      <c r="G2818" s="25" t="s">
        <v>293</v>
      </c>
      <c r="H2818" s="25"/>
      <c r="BA2818" s="73" t="s">
        <v>355</v>
      </c>
      <c r="BB2818" s="48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357</v>
      </c>
      <c r="E2819" s="1" t="s">
        <v>339</v>
      </c>
      <c r="F2819" s="26">
        <v>1.19</v>
      </c>
      <c r="G2819" s="25" t="s">
        <v>293</v>
      </c>
      <c r="H2819" s="25"/>
      <c r="BA2819" s="73" t="s">
        <v>355</v>
      </c>
      <c r="BB2819" s="48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357</v>
      </c>
      <c r="E2820" s="1" t="s">
        <v>118</v>
      </c>
      <c r="F2820" s="26">
        <v>9.6</v>
      </c>
      <c r="G2820" s="25" t="s">
        <v>293</v>
      </c>
      <c r="H2820" s="25"/>
      <c r="BA2820" s="73" t="s">
        <v>355</v>
      </c>
      <c r="BB2820" s="48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357</v>
      </c>
      <c r="E2821" s="1" t="s">
        <v>130</v>
      </c>
      <c r="F2821" s="26">
        <v>2.4</v>
      </c>
      <c r="G2821" s="25" t="s">
        <v>293</v>
      </c>
      <c r="H2821" s="25"/>
      <c r="BA2821" s="73" t="s">
        <v>355</v>
      </c>
      <c r="BB2821" s="48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357</v>
      </c>
      <c r="E2822" s="1" t="s">
        <v>341</v>
      </c>
      <c r="F2822" s="26">
        <v>1.099</v>
      </c>
      <c r="G2822" s="25" t="s">
        <v>293</v>
      </c>
      <c r="H2822" s="25"/>
      <c r="BA2822" s="73" t="s">
        <v>355</v>
      </c>
      <c r="BB2822" s="48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357</v>
      </c>
      <c r="E2823" s="1" t="s">
        <v>127</v>
      </c>
      <c r="F2823" s="26">
        <v>4.6660000000000004</v>
      </c>
      <c r="G2823" s="25" t="s">
        <v>293</v>
      </c>
      <c r="H2823" s="25"/>
      <c r="BA2823" s="73" t="s">
        <v>355</v>
      </c>
      <c r="BB2823" s="48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357</v>
      </c>
      <c r="E2824" s="1" t="s">
        <v>131</v>
      </c>
      <c r="F2824" s="26">
        <v>11.8</v>
      </c>
      <c r="G2824" s="25" t="s">
        <v>293</v>
      </c>
      <c r="H2824" s="25"/>
      <c r="BA2824" s="73" t="s">
        <v>355</v>
      </c>
      <c r="BB2824" s="48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357</v>
      </c>
      <c r="E2825" s="1" t="s">
        <v>342</v>
      </c>
      <c r="F2825" s="26">
        <v>200</v>
      </c>
      <c r="G2825" s="25" t="s">
        <v>293</v>
      </c>
      <c r="H2825" s="25"/>
      <c r="BA2825" s="73" t="s">
        <v>355</v>
      </c>
      <c r="BB2825" s="48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357</v>
      </c>
      <c r="E2826" s="1" t="s">
        <v>119</v>
      </c>
      <c r="F2826" s="26">
        <v>84</v>
      </c>
      <c r="G2826" s="25" t="s">
        <v>293</v>
      </c>
      <c r="H2826" s="25"/>
      <c r="BA2826" s="73" t="s">
        <v>355</v>
      </c>
      <c r="BB2826" s="48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357</v>
      </c>
      <c r="E2827" s="1" t="s">
        <v>120</v>
      </c>
      <c r="F2827" s="26">
        <v>27</v>
      </c>
      <c r="G2827" s="25" t="s">
        <v>293</v>
      </c>
      <c r="H2827" s="25"/>
      <c r="BA2827" s="73" t="s">
        <v>355</v>
      </c>
      <c r="BB2827" s="48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357</v>
      </c>
      <c r="E2828" s="1" t="s">
        <v>117</v>
      </c>
      <c r="F2828" s="26">
        <v>6.33</v>
      </c>
      <c r="G2828" s="25" t="s">
        <v>293</v>
      </c>
      <c r="H2828" s="25"/>
      <c r="BA2828" s="73" t="s">
        <v>355</v>
      </c>
      <c r="BB2828" s="48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357</v>
      </c>
      <c r="E2829" s="1" t="s">
        <v>344</v>
      </c>
      <c r="F2829" s="26">
        <v>68</v>
      </c>
      <c r="G2829" s="25" t="s">
        <v>293</v>
      </c>
      <c r="H2829" s="25"/>
      <c r="BA2829" s="73" t="s">
        <v>355</v>
      </c>
      <c r="BB2829" s="48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357</v>
      </c>
      <c r="E2830" s="1" t="s">
        <v>132</v>
      </c>
      <c r="F2830" s="26">
        <v>7.45</v>
      </c>
      <c r="G2830" s="25" t="s">
        <v>293</v>
      </c>
      <c r="H2830" s="25"/>
      <c r="BA2830" s="73" t="s">
        <v>355</v>
      </c>
      <c r="BB2830" s="48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357</v>
      </c>
      <c r="E2831" s="1" t="s">
        <v>111</v>
      </c>
      <c r="F2831" s="26">
        <v>287</v>
      </c>
      <c r="G2831" s="25" t="s">
        <v>293</v>
      </c>
      <c r="H2831" s="25"/>
      <c r="BA2831" s="73" t="s">
        <v>355</v>
      </c>
      <c r="BB2831" s="48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357</v>
      </c>
      <c r="E2832" s="1" t="s">
        <v>345</v>
      </c>
      <c r="F2832" s="26">
        <v>9.94</v>
      </c>
      <c r="G2832" s="25" t="s">
        <v>293</v>
      </c>
      <c r="H2832" s="25"/>
      <c r="BA2832" s="73" t="s">
        <v>355</v>
      </c>
      <c r="BB2832" s="48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357</v>
      </c>
      <c r="E2833" s="1" t="s">
        <v>347</v>
      </c>
      <c r="F2833" s="26">
        <v>4.3499999999999996</v>
      </c>
      <c r="G2833" s="25" t="s">
        <v>293</v>
      </c>
      <c r="H2833" s="25"/>
      <c r="BA2833" s="73" t="s">
        <v>355</v>
      </c>
      <c r="BB2833" s="48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357</v>
      </c>
      <c r="E2834" s="1" t="s">
        <v>128</v>
      </c>
      <c r="F2834" s="26">
        <v>4.3</v>
      </c>
      <c r="G2834" s="25" t="s">
        <v>293</v>
      </c>
      <c r="H2834" s="25"/>
      <c r="BA2834" s="73" t="s">
        <v>355</v>
      </c>
      <c r="BB2834" s="48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357</v>
      </c>
      <c r="E2835" s="1" t="s">
        <v>121</v>
      </c>
      <c r="F2835" s="26">
        <v>78</v>
      </c>
      <c r="G2835" s="25" t="s">
        <v>293</v>
      </c>
      <c r="H2835" s="25"/>
      <c r="BA2835" s="73" t="s">
        <v>355</v>
      </c>
      <c r="BB2835" s="48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357</v>
      </c>
      <c r="E2836" s="1" t="s">
        <v>115</v>
      </c>
      <c r="F2836" s="26">
        <v>98</v>
      </c>
      <c r="G2836" s="25" t="s">
        <v>293</v>
      </c>
      <c r="H2836" s="25"/>
      <c r="BA2836" s="73" t="s">
        <v>355</v>
      </c>
      <c r="BB2836" s="48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357</v>
      </c>
      <c r="E2837" s="1" t="s">
        <v>137</v>
      </c>
      <c r="F2837" s="26">
        <v>494</v>
      </c>
      <c r="G2837" s="25" t="s">
        <v>293</v>
      </c>
      <c r="H2837" s="25"/>
      <c r="BA2837" s="73" t="s">
        <v>355</v>
      </c>
      <c r="BB2837" s="48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357</v>
      </c>
      <c r="E2838" s="1" t="s">
        <v>348</v>
      </c>
      <c r="F2838" s="26">
        <v>433</v>
      </c>
      <c r="G2838" s="25" t="s">
        <v>293</v>
      </c>
      <c r="H2838" s="25"/>
      <c r="BA2838" s="73" t="s">
        <v>355</v>
      </c>
      <c r="BB2838" s="48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357</v>
      </c>
      <c r="E2839" s="1" t="s">
        <v>125</v>
      </c>
      <c r="F2839" s="26">
        <v>422</v>
      </c>
      <c r="G2839" s="25" t="s">
        <v>293</v>
      </c>
      <c r="H2839" s="25"/>
      <c r="BA2839" s="73" t="s">
        <v>355</v>
      </c>
      <c r="BB2839" s="48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357</v>
      </c>
      <c r="E2840" s="1" t="s">
        <v>126</v>
      </c>
      <c r="F2840" s="26">
        <v>151</v>
      </c>
      <c r="G2840" s="25" t="s">
        <v>293</v>
      </c>
      <c r="H2840" s="25"/>
      <c r="BA2840" s="73" t="s">
        <v>355</v>
      </c>
      <c r="BB2840" s="48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357</v>
      </c>
      <c r="E2841" s="1" t="s">
        <v>349</v>
      </c>
      <c r="F2841" s="26">
        <v>389</v>
      </c>
      <c r="G2841" s="25" t="s">
        <v>293</v>
      </c>
      <c r="H2841" s="25"/>
      <c r="BA2841" s="73" t="s">
        <v>355</v>
      </c>
      <c r="BB2841" s="48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357</v>
      </c>
      <c r="E2842" s="1" t="s">
        <v>350</v>
      </c>
      <c r="F2842" s="26">
        <v>84</v>
      </c>
      <c r="G2842" s="25" t="s">
        <v>293</v>
      </c>
      <c r="H2842" s="25"/>
      <c r="BA2842" s="73" t="s">
        <v>355</v>
      </c>
      <c r="BB2842" s="48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357</v>
      </c>
      <c r="E2843" s="1" t="s">
        <v>122</v>
      </c>
      <c r="F2843" s="26">
        <v>222</v>
      </c>
      <c r="G2843" s="25" t="s">
        <v>293</v>
      </c>
      <c r="H2843" s="25"/>
      <c r="BA2843" s="73" t="s">
        <v>355</v>
      </c>
      <c r="BB2843" s="48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357</v>
      </c>
      <c r="E2844" s="1" t="s">
        <v>124</v>
      </c>
      <c r="F2844" s="26">
        <v>105</v>
      </c>
      <c r="G2844" s="25" t="s">
        <v>293</v>
      </c>
      <c r="H2844" s="25"/>
      <c r="BA2844" s="73" t="s">
        <v>355</v>
      </c>
      <c r="BB2844" s="48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357</v>
      </c>
      <c r="E2845" s="1" t="s">
        <v>351</v>
      </c>
      <c r="F2845" s="26">
        <v>3.49</v>
      </c>
      <c r="G2845" s="25" t="s">
        <v>293</v>
      </c>
      <c r="H2845" s="25"/>
      <c r="BA2845" s="73" t="s">
        <v>355</v>
      </c>
      <c r="BB2845" s="48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357</v>
      </c>
      <c r="E2846" s="1" t="s">
        <v>353</v>
      </c>
      <c r="F2846" s="26">
        <v>16.8</v>
      </c>
      <c r="G2846" s="25" t="s">
        <v>293</v>
      </c>
      <c r="H2846" s="25"/>
      <c r="BA2846" s="73" t="s">
        <v>355</v>
      </c>
      <c r="BB2846" s="48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357</v>
      </c>
      <c r="E2847" s="1" t="s">
        <v>133</v>
      </c>
      <c r="F2847" s="26">
        <v>129</v>
      </c>
      <c r="G2847" s="25" t="s">
        <v>293</v>
      </c>
      <c r="H2847" s="25"/>
      <c r="BA2847" s="73" t="s">
        <v>355</v>
      </c>
      <c r="BB2847" s="48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357</v>
      </c>
      <c r="E2848" s="1" t="s">
        <v>135</v>
      </c>
      <c r="F2848" s="26">
        <v>6.6</v>
      </c>
      <c r="G2848" s="25" t="s">
        <v>293</v>
      </c>
      <c r="H2848" s="25"/>
      <c r="BA2848" s="73" t="s">
        <v>355</v>
      </c>
      <c r="BB2848" s="48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357</v>
      </c>
      <c r="E2849" s="1" t="s">
        <v>136</v>
      </c>
      <c r="F2849" s="26">
        <v>96</v>
      </c>
      <c r="G2849" s="25" t="s">
        <v>293</v>
      </c>
      <c r="H2849" s="25"/>
      <c r="BA2849" s="73" t="s">
        <v>355</v>
      </c>
      <c r="BB2849" s="48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357</v>
      </c>
      <c r="E2850" s="1" t="s">
        <v>339</v>
      </c>
      <c r="F2850" s="26">
        <v>1.08</v>
      </c>
      <c r="G2850" s="25" t="s">
        <v>293</v>
      </c>
      <c r="H2850" s="25"/>
      <c r="BA2850" s="73" t="s">
        <v>355</v>
      </c>
      <c r="BB2850" s="48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357</v>
      </c>
      <c r="E2851" s="1" t="s">
        <v>118</v>
      </c>
      <c r="F2851" s="26">
        <v>9.8000000000000007</v>
      </c>
      <c r="G2851" s="25" t="s">
        <v>293</v>
      </c>
      <c r="H2851" s="25"/>
      <c r="BA2851" s="73" t="s">
        <v>355</v>
      </c>
      <c r="BB2851" s="48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357</v>
      </c>
      <c r="E2852" s="1" t="s">
        <v>130</v>
      </c>
      <c r="F2852" s="26">
        <v>2.41</v>
      </c>
      <c r="G2852" s="25" t="s">
        <v>293</v>
      </c>
      <c r="H2852" s="25"/>
      <c r="BA2852" s="73" t="s">
        <v>355</v>
      </c>
      <c r="BB2852" s="48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357</v>
      </c>
      <c r="E2853" s="1" t="s">
        <v>341</v>
      </c>
      <c r="F2853" s="26">
        <v>1.079</v>
      </c>
      <c r="G2853" s="25" t="s">
        <v>293</v>
      </c>
      <c r="H2853" s="25"/>
      <c r="BA2853" s="73" t="s">
        <v>355</v>
      </c>
      <c r="BB2853" s="48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357</v>
      </c>
      <c r="E2854" s="1" t="s">
        <v>127</v>
      </c>
      <c r="F2854" s="26">
        <v>4.5449999999999999</v>
      </c>
      <c r="G2854" s="25" t="s">
        <v>293</v>
      </c>
      <c r="H2854" s="25"/>
      <c r="BA2854" s="73" t="s">
        <v>355</v>
      </c>
      <c r="BB2854" s="48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357</v>
      </c>
      <c r="E2855" s="1" t="s">
        <v>131</v>
      </c>
      <c r="F2855" s="26">
        <v>11.7</v>
      </c>
      <c r="G2855" s="25" t="s">
        <v>293</v>
      </c>
      <c r="H2855" s="25"/>
      <c r="BA2855" s="73" t="s">
        <v>355</v>
      </c>
      <c r="BB2855" s="48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357</v>
      </c>
      <c r="E2856" s="1" t="s">
        <v>342</v>
      </c>
      <c r="F2856" s="26">
        <v>203</v>
      </c>
      <c r="G2856" s="25" t="s">
        <v>293</v>
      </c>
      <c r="H2856" s="25"/>
      <c r="BA2856" s="73" t="s">
        <v>355</v>
      </c>
      <c r="BB2856" s="48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357</v>
      </c>
      <c r="E2857" s="1" t="s">
        <v>119</v>
      </c>
      <c r="F2857" s="26">
        <v>87</v>
      </c>
      <c r="G2857" s="25" t="s">
        <v>293</v>
      </c>
      <c r="H2857" s="25"/>
      <c r="BA2857" s="73" t="s">
        <v>355</v>
      </c>
      <c r="BB2857" s="48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357</v>
      </c>
      <c r="E2858" s="1" t="s">
        <v>120</v>
      </c>
      <c r="F2858" s="26">
        <v>27</v>
      </c>
      <c r="G2858" s="25" t="s">
        <v>293</v>
      </c>
      <c r="H2858" s="25"/>
      <c r="BA2858" s="73" t="s">
        <v>355</v>
      </c>
      <c r="BB2858" s="48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357</v>
      </c>
      <c r="E2859" s="1" t="s">
        <v>117</v>
      </c>
      <c r="F2859" s="26">
        <v>6.3</v>
      </c>
      <c r="G2859" s="25" t="s">
        <v>293</v>
      </c>
      <c r="H2859" s="25"/>
      <c r="BA2859" s="73" t="s">
        <v>355</v>
      </c>
      <c r="BB2859" s="48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357</v>
      </c>
      <c r="E2860" s="1" t="s">
        <v>344</v>
      </c>
      <c r="F2860" s="26">
        <v>69</v>
      </c>
      <c r="G2860" s="25" t="s">
        <v>293</v>
      </c>
      <c r="H2860" s="25"/>
      <c r="BA2860" s="73" t="s">
        <v>355</v>
      </c>
      <c r="BB2860" s="48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357</v>
      </c>
      <c r="E2861" s="1" t="s">
        <v>132</v>
      </c>
      <c r="F2861" s="26">
        <v>7.39</v>
      </c>
      <c r="G2861" s="25" t="s">
        <v>293</v>
      </c>
      <c r="H2861" s="25"/>
      <c r="BA2861" s="73" t="s">
        <v>355</v>
      </c>
      <c r="BB2861" s="48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357</v>
      </c>
      <c r="E2862" s="1" t="s">
        <v>111</v>
      </c>
      <c r="F2862" s="26">
        <v>287</v>
      </c>
      <c r="G2862" s="25" t="s">
        <v>293</v>
      </c>
      <c r="H2862" s="25"/>
      <c r="BA2862" s="73" t="s">
        <v>355</v>
      </c>
      <c r="BB2862" s="48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357</v>
      </c>
      <c r="E2863" s="1" t="s">
        <v>345</v>
      </c>
      <c r="F2863" s="26">
        <v>9.99</v>
      </c>
      <c r="G2863" s="25" t="s">
        <v>293</v>
      </c>
      <c r="H2863" s="25"/>
      <c r="BA2863" s="73" t="s">
        <v>355</v>
      </c>
      <c r="BB2863" s="48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357</v>
      </c>
      <c r="E2864" s="1" t="s">
        <v>347</v>
      </c>
      <c r="F2864" s="26">
        <v>4.1500000000000004</v>
      </c>
      <c r="G2864" s="25" t="s">
        <v>293</v>
      </c>
      <c r="H2864" s="25"/>
      <c r="BA2864" s="73" t="s">
        <v>355</v>
      </c>
      <c r="BB2864" s="48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357</v>
      </c>
      <c r="E2865" s="1" t="s">
        <v>128</v>
      </c>
      <c r="F2865" s="26">
        <v>4.2</v>
      </c>
      <c r="G2865" s="25" t="s">
        <v>293</v>
      </c>
      <c r="H2865" s="25"/>
      <c r="BA2865" s="73" t="s">
        <v>355</v>
      </c>
      <c r="BB2865" s="48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357</v>
      </c>
      <c r="E2866" s="1" t="s">
        <v>121</v>
      </c>
      <c r="F2866" s="26">
        <v>80</v>
      </c>
      <c r="G2866" s="25" t="s">
        <v>293</v>
      </c>
      <c r="H2866" s="25"/>
      <c r="BA2866" s="73" t="s">
        <v>355</v>
      </c>
      <c r="BB2866" s="48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357</v>
      </c>
      <c r="E2867" s="1" t="s">
        <v>115</v>
      </c>
      <c r="F2867" s="26">
        <v>96</v>
      </c>
      <c r="G2867" s="25" t="s">
        <v>293</v>
      </c>
      <c r="H2867" s="25"/>
      <c r="BA2867" s="73" t="s">
        <v>355</v>
      </c>
      <c r="BB2867" s="48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357</v>
      </c>
      <c r="E2868" s="1" t="s">
        <v>137</v>
      </c>
      <c r="F2868" s="26">
        <v>491</v>
      </c>
      <c r="G2868" s="25" t="s">
        <v>293</v>
      </c>
      <c r="H2868" s="25"/>
      <c r="BA2868" s="73" t="s">
        <v>355</v>
      </c>
      <c r="BB2868" s="48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357</v>
      </c>
      <c r="E2869" s="1" t="s">
        <v>348</v>
      </c>
      <c r="F2869" s="26">
        <v>432</v>
      </c>
      <c r="G2869" s="25" t="s">
        <v>293</v>
      </c>
      <c r="H2869" s="25"/>
      <c r="BA2869" s="73" t="s">
        <v>355</v>
      </c>
      <c r="BB2869" s="48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357</v>
      </c>
      <c r="E2870" s="1" t="s">
        <v>125</v>
      </c>
      <c r="F2870" s="26">
        <v>426</v>
      </c>
      <c r="G2870" s="25" t="s">
        <v>293</v>
      </c>
      <c r="H2870" s="25"/>
      <c r="BA2870" s="73" t="s">
        <v>355</v>
      </c>
      <c r="BB2870" s="48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357</v>
      </c>
      <c r="E2871" s="1" t="s">
        <v>126</v>
      </c>
      <c r="F2871" s="26">
        <v>149</v>
      </c>
      <c r="G2871" s="25" t="s">
        <v>293</v>
      </c>
      <c r="H2871" s="25"/>
      <c r="BA2871" s="73" t="s">
        <v>355</v>
      </c>
      <c r="BB2871" s="48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357</v>
      </c>
      <c r="E2872" s="1" t="s">
        <v>349</v>
      </c>
      <c r="F2872" s="26">
        <v>392</v>
      </c>
      <c r="G2872" s="25" t="s">
        <v>293</v>
      </c>
      <c r="H2872" s="25"/>
      <c r="BA2872" s="73" t="s">
        <v>355</v>
      </c>
      <c r="BB2872" s="48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357</v>
      </c>
      <c r="E2873" s="1" t="s">
        <v>350</v>
      </c>
      <c r="F2873" s="26">
        <v>87</v>
      </c>
      <c r="G2873" s="25" t="s">
        <v>293</v>
      </c>
      <c r="H2873" s="25"/>
      <c r="BA2873" s="73" t="s">
        <v>355</v>
      </c>
      <c r="BB2873" s="48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357</v>
      </c>
      <c r="E2874" s="1" t="s">
        <v>122</v>
      </c>
      <c r="F2874" s="26">
        <v>224</v>
      </c>
      <c r="G2874" s="25" t="s">
        <v>293</v>
      </c>
      <c r="H2874" s="25"/>
      <c r="BA2874" s="73" t="s">
        <v>355</v>
      </c>
      <c r="BB2874" s="48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357</v>
      </c>
      <c r="E2875" s="1" t="s">
        <v>124</v>
      </c>
      <c r="F2875" s="26">
        <v>103</v>
      </c>
      <c r="G2875" s="25" t="s">
        <v>293</v>
      </c>
      <c r="H2875" s="25"/>
      <c r="BA2875" s="73" t="s">
        <v>355</v>
      </c>
      <c r="BB2875" s="48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357</v>
      </c>
      <c r="E2876" s="1" t="s">
        <v>351</v>
      </c>
      <c r="F2876" s="26">
        <v>3.6</v>
      </c>
      <c r="G2876" s="25" t="s">
        <v>293</v>
      </c>
      <c r="H2876" s="25"/>
      <c r="BA2876" s="73" t="s">
        <v>355</v>
      </c>
      <c r="BB2876" s="48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357</v>
      </c>
      <c r="E2877" s="1" t="s">
        <v>353</v>
      </c>
      <c r="F2877" s="26">
        <v>20.7</v>
      </c>
      <c r="G2877" s="25" t="s">
        <v>293</v>
      </c>
      <c r="H2877" s="25"/>
      <c r="BA2877" s="73" t="s">
        <v>355</v>
      </c>
      <c r="BB2877" s="48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357</v>
      </c>
      <c r="E2878" s="1" t="s">
        <v>133</v>
      </c>
      <c r="F2878" s="26">
        <v>127</v>
      </c>
      <c r="G2878" s="25" t="s">
        <v>293</v>
      </c>
      <c r="H2878" s="25"/>
      <c r="BA2878" s="73" t="s">
        <v>355</v>
      </c>
      <c r="BB2878" s="48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357</v>
      </c>
      <c r="E2879" s="1" t="s">
        <v>135</v>
      </c>
      <c r="F2879" s="26">
        <v>6.5</v>
      </c>
      <c r="G2879" s="25" t="s">
        <v>293</v>
      </c>
      <c r="H2879" s="25"/>
      <c r="BA2879" s="73" t="s">
        <v>355</v>
      </c>
      <c r="BB2879" s="48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357</v>
      </c>
      <c r="E2880" s="1" t="s">
        <v>136</v>
      </c>
      <c r="F2880" s="26">
        <v>97</v>
      </c>
      <c r="G2880" s="25" t="s">
        <v>293</v>
      </c>
      <c r="H2880" s="25"/>
      <c r="BA2880" s="73" t="s">
        <v>355</v>
      </c>
      <c r="BB2880" s="48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357</v>
      </c>
      <c r="E2881" s="1" t="s">
        <v>339</v>
      </c>
      <c r="F2881" s="26">
        <v>1.19</v>
      </c>
      <c r="G2881" s="25" t="s">
        <v>293</v>
      </c>
      <c r="H2881" s="25"/>
      <c r="BA2881" s="73" t="s">
        <v>355</v>
      </c>
      <c r="BB2881" s="48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357</v>
      </c>
      <c r="E2882" s="1" t="s">
        <v>118</v>
      </c>
      <c r="F2882" s="26">
        <v>9.5</v>
      </c>
      <c r="G2882" s="25" t="s">
        <v>293</v>
      </c>
      <c r="H2882" s="25"/>
      <c r="BA2882" s="73" t="s">
        <v>355</v>
      </c>
      <c r="BB2882" s="48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357</v>
      </c>
      <c r="E2883" s="1" t="s">
        <v>130</v>
      </c>
      <c r="F2883" s="26">
        <v>2.4900000000000002</v>
      </c>
      <c r="G2883" s="25" t="s">
        <v>293</v>
      </c>
      <c r="H2883" s="25"/>
      <c r="BA2883" s="73" t="s">
        <v>355</v>
      </c>
      <c r="BB2883" s="48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357</v>
      </c>
      <c r="E2884" s="1" t="s">
        <v>341</v>
      </c>
      <c r="F2884" s="26">
        <v>1.08</v>
      </c>
      <c r="G2884" s="25" t="s">
        <v>293</v>
      </c>
      <c r="H2884" s="25"/>
      <c r="BA2884" s="73" t="s">
        <v>355</v>
      </c>
      <c r="BB2884" s="48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357</v>
      </c>
      <c r="E2885" s="1" t="s">
        <v>127</v>
      </c>
      <c r="F2885" s="26">
        <v>4.5410000000000004</v>
      </c>
      <c r="G2885" s="25" t="s">
        <v>293</v>
      </c>
      <c r="H2885" s="25"/>
      <c r="BA2885" s="73" t="s">
        <v>355</v>
      </c>
      <c r="BB2885" s="48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357</v>
      </c>
      <c r="E2886" s="1" t="s">
        <v>131</v>
      </c>
      <c r="F2886" s="26">
        <v>11.7</v>
      </c>
      <c r="G2886" s="25" t="s">
        <v>293</v>
      </c>
      <c r="H2886" s="25"/>
      <c r="BA2886" s="73" t="s">
        <v>355</v>
      </c>
      <c r="BB2886" s="48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357</v>
      </c>
      <c r="E2887" s="1" t="s">
        <v>342</v>
      </c>
      <c r="F2887" s="26">
        <v>200</v>
      </c>
      <c r="G2887" s="25" t="s">
        <v>293</v>
      </c>
      <c r="H2887" s="25"/>
      <c r="BA2887" s="73" t="s">
        <v>355</v>
      </c>
      <c r="BB2887" s="48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357</v>
      </c>
      <c r="E2888" s="1" t="s">
        <v>119</v>
      </c>
      <c r="F2888" s="26">
        <v>87</v>
      </c>
      <c r="G2888" s="25" t="s">
        <v>293</v>
      </c>
      <c r="H2888" s="25"/>
      <c r="BA2888" s="73" t="s">
        <v>355</v>
      </c>
      <c r="BB2888" s="48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357</v>
      </c>
      <c r="E2889" s="1" t="s">
        <v>120</v>
      </c>
      <c r="F2889" s="26">
        <v>27</v>
      </c>
      <c r="G2889" s="25" t="s">
        <v>293</v>
      </c>
      <c r="H2889" s="25"/>
      <c r="BA2889" s="73" t="s">
        <v>355</v>
      </c>
      <c r="BB2889" s="48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357</v>
      </c>
      <c r="E2890" s="1" t="s">
        <v>117</v>
      </c>
      <c r="F2890" s="26">
        <v>6.41</v>
      </c>
      <c r="G2890" s="25" t="s">
        <v>293</v>
      </c>
      <c r="H2890" s="25"/>
      <c r="BA2890" s="73" t="s">
        <v>355</v>
      </c>
      <c r="BB2890" s="48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357</v>
      </c>
      <c r="E2891" s="1" t="s">
        <v>344</v>
      </c>
      <c r="F2891" s="26">
        <v>70</v>
      </c>
      <c r="G2891" s="25" t="s">
        <v>293</v>
      </c>
      <c r="H2891" s="25"/>
      <c r="BA2891" s="73" t="s">
        <v>355</v>
      </c>
      <c r="BB2891" s="48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357</v>
      </c>
      <c r="E2892" s="1" t="s">
        <v>132</v>
      </c>
      <c r="F2892" s="26">
        <v>7.23</v>
      </c>
      <c r="G2892" s="25" t="s">
        <v>293</v>
      </c>
      <c r="H2892" s="25"/>
      <c r="BA2892" s="73" t="s">
        <v>355</v>
      </c>
      <c r="BB2892" s="48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357</v>
      </c>
      <c r="E2893" s="1" t="s">
        <v>111</v>
      </c>
      <c r="F2893" s="26">
        <v>288</v>
      </c>
      <c r="G2893" s="25" t="s">
        <v>293</v>
      </c>
      <c r="H2893" s="25"/>
      <c r="BA2893" s="73" t="s">
        <v>355</v>
      </c>
      <c r="BB2893" s="48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357</v>
      </c>
      <c r="E2894" s="1" t="s">
        <v>345</v>
      </c>
      <c r="F2894" s="26">
        <v>10.119999999999999</v>
      </c>
      <c r="G2894" s="25" t="s">
        <v>293</v>
      </c>
      <c r="H2894" s="25"/>
      <c r="BA2894" s="73" t="s">
        <v>355</v>
      </c>
      <c r="BB2894" s="48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357</v>
      </c>
      <c r="E2895" s="1" t="s">
        <v>347</v>
      </c>
      <c r="F2895" s="26">
        <v>4.3099999999999996</v>
      </c>
      <c r="G2895" s="25" t="s">
        <v>293</v>
      </c>
      <c r="H2895" s="25"/>
      <c r="BA2895" s="73" t="s">
        <v>355</v>
      </c>
      <c r="BB2895" s="48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357</v>
      </c>
      <c r="E2896" s="1" t="s">
        <v>128</v>
      </c>
      <c r="F2896" s="26">
        <v>4.3</v>
      </c>
      <c r="G2896" s="25" t="s">
        <v>293</v>
      </c>
      <c r="H2896" s="25"/>
      <c r="BA2896" s="73" t="s">
        <v>355</v>
      </c>
      <c r="BB2896" s="48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357</v>
      </c>
      <c r="E2897" s="1" t="s">
        <v>121</v>
      </c>
      <c r="F2897" s="26">
        <v>76</v>
      </c>
      <c r="G2897" s="25" t="s">
        <v>293</v>
      </c>
      <c r="H2897" s="25"/>
      <c r="BA2897" s="73" t="s">
        <v>355</v>
      </c>
      <c r="BB2897" s="48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357</v>
      </c>
      <c r="E2898" s="1" t="s">
        <v>115</v>
      </c>
      <c r="F2898" s="26">
        <v>97</v>
      </c>
      <c r="G2898" s="25" t="s">
        <v>293</v>
      </c>
      <c r="H2898" s="25"/>
      <c r="BA2898" s="73" t="s">
        <v>355</v>
      </c>
      <c r="BB2898" s="48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357</v>
      </c>
      <c r="E2899" s="1" t="s">
        <v>137</v>
      </c>
      <c r="F2899" s="26">
        <v>484</v>
      </c>
      <c r="G2899" s="25" t="s">
        <v>293</v>
      </c>
      <c r="H2899" s="25"/>
      <c r="BA2899" s="73" t="s">
        <v>355</v>
      </c>
      <c r="BB2899" s="48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357</v>
      </c>
      <c r="E2900" s="1" t="s">
        <v>348</v>
      </c>
      <c r="F2900" s="26">
        <v>430</v>
      </c>
      <c r="G2900" s="25" t="s">
        <v>293</v>
      </c>
      <c r="H2900" s="25"/>
      <c r="BA2900" s="73" t="s">
        <v>355</v>
      </c>
      <c r="BB2900" s="48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357</v>
      </c>
      <c r="E2901" s="1" t="s">
        <v>125</v>
      </c>
      <c r="F2901" s="26">
        <v>429</v>
      </c>
      <c r="G2901" s="25" t="s">
        <v>293</v>
      </c>
      <c r="H2901" s="25"/>
      <c r="BA2901" s="73" t="s">
        <v>355</v>
      </c>
      <c r="BB2901" s="48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357</v>
      </c>
      <c r="E2902" s="1" t="s">
        <v>126</v>
      </c>
      <c r="F2902" s="26">
        <v>149</v>
      </c>
      <c r="G2902" s="25" t="s">
        <v>293</v>
      </c>
      <c r="H2902" s="25"/>
      <c r="BA2902" s="73" t="s">
        <v>355</v>
      </c>
      <c r="BB2902" s="48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357</v>
      </c>
      <c r="E2903" s="1" t="s">
        <v>349</v>
      </c>
      <c r="F2903" s="26">
        <v>370</v>
      </c>
      <c r="G2903" s="25" t="s">
        <v>293</v>
      </c>
      <c r="H2903" s="25"/>
      <c r="BA2903" s="73" t="s">
        <v>355</v>
      </c>
      <c r="BB2903" s="48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357</v>
      </c>
      <c r="E2904" s="1" t="s">
        <v>350</v>
      </c>
      <c r="F2904" s="26">
        <v>86</v>
      </c>
      <c r="G2904" s="25" t="s">
        <v>293</v>
      </c>
      <c r="H2904" s="25"/>
      <c r="BA2904" s="73" t="s">
        <v>355</v>
      </c>
      <c r="BB2904" s="48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357</v>
      </c>
      <c r="E2905" s="1" t="s">
        <v>122</v>
      </c>
      <c r="F2905" s="26">
        <v>217</v>
      </c>
      <c r="G2905" s="25" t="s">
        <v>293</v>
      </c>
      <c r="H2905" s="25"/>
      <c r="BA2905" s="73" t="s">
        <v>355</v>
      </c>
      <c r="BB2905" s="48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357</v>
      </c>
      <c r="E2906" s="1" t="s">
        <v>124</v>
      </c>
      <c r="F2906" s="26">
        <v>102</v>
      </c>
      <c r="G2906" s="25" t="s">
        <v>293</v>
      </c>
      <c r="H2906" s="25"/>
      <c r="BA2906" s="73" t="s">
        <v>355</v>
      </c>
      <c r="BB2906" s="48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357</v>
      </c>
      <c r="E2907" s="1" t="s">
        <v>351</v>
      </c>
      <c r="F2907" s="26">
        <v>3.6</v>
      </c>
      <c r="G2907" s="25" t="s">
        <v>293</v>
      </c>
      <c r="H2907" s="25"/>
      <c r="BA2907" s="73" t="s">
        <v>355</v>
      </c>
      <c r="BB2907" s="48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357</v>
      </c>
      <c r="E2908" s="1" t="s">
        <v>353</v>
      </c>
      <c r="F2908" s="26">
        <v>22.3</v>
      </c>
      <c r="G2908" s="25" t="s">
        <v>293</v>
      </c>
      <c r="H2908" s="25"/>
      <c r="BA2908" s="73" t="s">
        <v>355</v>
      </c>
      <c r="BB2908" s="48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357</v>
      </c>
      <c r="E2909" s="1" t="s">
        <v>133</v>
      </c>
      <c r="F2909" s="26">
        <v>126</v>
      </c>
      <c r="G2909" s="25" t="s">
        <v>293</v>
      </c>
      <c r="H2909" s="25"/>
      <c r="BA2909" s="73" t="s">
        <v>355</v>
      </c>
      <c r="BB2909" s="48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357</v>
      </c>
      <c r="E2910" s="1" t="s">
        <v>135</v>
      </c>
      <c r="F2910" s="26">
        <v>6.6</v>
      </c>
      <c r="G2910" s="25" t="s">
        <v>293</v>
      </c>
      <c r="H2910" s="25"/>
      <c r="BA2910" s="73" t="s">
        <v>355</v>
      </c>
      <c r="BB2910" s="48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357</v>
      </c>
      <c r="E2911" s="1" t="s">
        <v>136</v>
      </c>
      <c r="F2911" s="26">
        <v>95</v>
      </c>
      <c r="G2911" s="25" t="s">
        <v>293</v>
      </c>
      <c r="H2911" s="25"/>
      <c r="BA2911" s="73" t="s">
        <v>355</v>
      </c>
      <c r="BB2911" s="48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357</v>
      </c>
      <c r="E2912" s="1" t="s">
        <v>339</v>
      </c>
      <c r="F2912" s="26">
        <v>1.2</v>
      </c>
      <c r="G2912" s="25" t="s">
        <v>293</v>
      </c>
      <c r="H2912" s="25"/>
      <c r="BA2912" s="73" t="s">
        <v>355</v>
      </c>
      <c r="BB2912" s="48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357</v>
      </c>
      <c r="E2913" s="1" t="s">
        <v>118</v>
      </c>
      <c r="F2913" s="26">
        <v>9.6</v>
      </c>
      <c r="G2913" s="25" t="s">
        <v>293</v>
      </c>
      <c r="H2913" s="25"/>
      <c r="BA2913" s="73" t="s">
        <v>355</v>
      </c>
      <c r="BB2913" s="48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357</v>
      </c>
      <c r="E2914" s="1" t="s">
        <v>130</v>
      </c>
      <c r="F2914" s="26">
        <v>2.39</v>
      </c>
      <c r="G2914" s="25" t="s">
        <v>293</v>
      </c>
      <c r="H2914" s="25"/>
      <c r="BA2914" s="73" t="s">
        <v>355</v>
      </c>
      <c r="BB2914" s="48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357</v>
      </c>
      <c r="E2915" s="1" t="s">
        <v>341</v>
      </c>
      <c r="F2915" s="26">
        <v>1.1040000000000001</v>
      </c>
      <c r="G2915" s="25" t="s">
        <v>293</v>
      </c>
      <c r="H2915" s="25"/>
      <c r="BA2915" s="73" t="s">
        <v>355</v>
      </c>
      <c r="BB2915" s="48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357</v>
      </c>
      <c r="E2916" s="1" t="s">
        <v>127</v>
      </c>
      <c r="F2916" s="26">
        <v>4.58</v>
      </c>
      <c r="G2916" s="25" t="s">
        <v>293</v>
      </c>
      <c r="H2916" s="25"/>
      <c r="BA2916" s="73" t="s">
        <v>355</v>
      </c>
      <c r="BB2916" s="48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357</v>
      </c>
      <c r="E2917" s="1" t="s">
        <v>131</v>
      </c>
      <c r="F2917" s="26">
        <v>12.1</v>
      </c>
      <c r="G2917" s="25" t="s">
        <v>293</v>
      </c>
      <c r="H2917" s="25"/>
      <c r="BA2917" s="73" t="s">
        <v>355</v>
      </c>
      <c r="BB2917" s="48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357</v>
      </c>
      <c r="E2918" s="1" t="s">
        <v>342</v>
      </c>
      <c r="F2918" s="26">
        <v>202</v>
      </c>
      <c r="G2918" s="25" t="s">
        <v>293</v>
      </c>
      <c r="H2918" s="25"/>
      <c r="BA2918" s="73" t="s">
        <v>355</v>
      </c>
      <c r="BB2918" s="48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357</v>
      </c>
      <c r="E2919" s="1" t="s">
        <v>119</v>
      </c>
      <c r="F2919" s="26">
        <v>89</v>
      </c>
      <c r="G2919" s="25" t="s">
        <v>293</v>
      </c>
      <c r="H2919" s="25"/>
      <c r="BA2919" s="73" t="s">
        <v>355</v>
      </c>
      <c r="BB2919" s="48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357</v>
      </c>
      <c r="E2920" s="1" t="s">
        <v>120</v>
      </c>
      <c r="F2920" s="26">
        <v>27</v>
      </c>
      <c r="G2920" s="25" t="s">
        <v>293</v>
      </c>
      <c r="H2920" s="25"/>
      <c r="BA2920" s="73" t="s">
        <v>355</v>
      </c>
      <c r="BB2920" s="48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357</v>
      </c>
      <c r="E2921" s="1" t="s">
        <v>117</v>
      </c>
      <c r="F2921" s="26">
        <v>6.22</v>
      </c>
      <c r="G2921" s="25" t="s">
        <v>293</v>
      </c>
      <c r="H2921" s="25"/>
      <c r="BA2921" s="73" t="s">
        <v>355</v>
      </c>
      <c r="BB2921" s="48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357</v>
      </c>
      <c r="E2922" s="1" t="s">
        <v>344</v>
      </c>
      <c r="F2922" s="26">
        <v>68</v>
      </c>
      <c r="G2922" s="25" t="s">
        <v>293</v>
      </c>
      <c r="H2922" s="25"/>
      <c r="BA2922" s="73" t="s">
        <v>355</v>
      </c>
      <c r="BB2922" s="48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357</v>
      </c>
      <c r="E2923" s="1" t="s">
        <v>132</v>
      </c>
      <c r="F2923" s="26">
        <v>7.21</v>
      </c>
      <c r="G2923" s="25" t="s">
        <v>293</v>
      </c>
      <c r="H2923" s="25"/>
      <c r="BA2923" s="73" t="s">
        <v>355</v>
      </c>
      <c r="BB2923" s="48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357</v>
      </c>
      <c r="E2924" s="1" t="s">
        <v>111</v>
      </c>
      <c r="F2924" s="26">
        <v>284</v>
      </c>
      <c r="G2924" s="25" t="s">
        <v>293</v>
      </c>
      <c r="H2924" s="25"/>
      <c r="BA2924" s="73" t="s">
        <v>355</v>
      </c>
      <c r="BB2924" s="48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357</v>
      </c>
      <c r="E2925" s="1" t="s">
        <v>345</v>
      </c>
      <c r="F2925" s="26">
        <v>10.039999999999999</v>
      </c>
      <c r="G2925" s="25" t="s">
        <v>293</v>
      </c>
      <c r="H2925" s="25"/>
      <c r="BA2925" s="73" t="s">
        <v>355</v>
      </c>
      <c r="BB2925" s="48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357</v>
      </c>
      <c r="E2926" s="1" t="s">
        <v>347</v>
      </c>
      <c r="F2926" s="26">
        <v>4.24</v>
      </c>
      <c r="G2926" s="25" t="s">
        <v>293</v>
      </c>
      <c r="H2926" s="25"/>
      <c r="BA2926" s="73" t="s">
        <v>355</v>
      </c>
      <c r="BB2926" s="48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357</v>
      </c>
      <c r="E2927" s="1" t="s">
        <v>128</v>
      </c>
      <c r="F2927" s="26">
        <v>4.3</v>
      </c>
      <c r="G2927" s="25" t="s">
        <v>293</v>
      </c>
      <c r="H2927" s="25"/>
      <c r="BA2927" s="73" t="s">
        <v>355</v>
      </c>
      <c r="BB2927" s="48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357</v>
      </c>
      <c r="E2928" s="1" t="s">
        <v>121</v>
      </c>
      <c r="F2928" s="26">
        <v>78</v>
      </c>
      <c r="G2928" s="25" t="s">
        <v>293</v>
      </c>
      <c r="H2928" s="25"/>
      <c r="BA2928" s="73" t="s">
        <v>355</v>
      </c>
      <c r="BB2928" s="48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357</v>
      </c>
      <c r="E2929" s="1" t="s">
        <v>115</v>
      </c>
      <c r="F2929" s="26">
        <v>98</v>
      </c>
      <c r="G2929" s="25" t="s">
        <v>293</v>
      </c>
      <c r="H2929" s="25"/>
      <c r="BA2929" s="73" t="s">
        <v>355</v>
      </c>
      <c r="BB2929" s="48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357</v>
      </c>
      <c r="E2930" s="1" t="s">
        <v>137</v>
      </c>
      <c r="F2930" s="26">
        <v>481</v>
      </c>
      <c r="G2930" s="25" t="s">
        <v>293</v>
      </c>
      <c r="H2930" s="25"/>
      <c r="BA2930" s="73" t="s">
        <v>355</v>
      </c>
      <c r="BB2930" s="48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357</v>
      </c>
      <c r="E2931" s="1" t="s">
        <v>348</v>
      </c>
      <c r="F2931" s="26">
        <v>430</v>
      </c>
      <c r="G2931" s="25" t="s">
        <v>293</v>
      </c>
      <c r="H2931" s="25"/>
      <c r="BA2931" s="73" t="s">
        <v>355</v>
      </c>
      <c r="BB2931" s="48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357</v>
      </c>
      <c r="E2932" s="1" t="s">
        <v>125</v>
      </c>
      <c r="F2932" s="26">
        <v>412</v>
      </c>
      <c r="G2932" s="25" t="s">
        <v>293</v>
      </c>
      <c r="H2932" s="25"/>
      <c r="BA2932" s="73" t="s">
        <v>355</v>
      </c>
      <c r="BB2932" s="48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357</v>
      </c>
      <c r="E2933" s="1" t="s">
        <v>126</v>
      </c>
      <c r="F2933" s="26">
        <v>153</v>
      </c>
      <c r="G2933" s="25" t="s">
        <v>293</v>
      </c>
      <c r="H2933" s="25"/>
      <c r="BA2933" s="73" t="s">
        <v>355</v>
      </c>
      <c r="BB2933" s="48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357</v>
      </c>
      <c r="E2934" s="1" t="s">
        <v>349</v>
      </c>
      <c r="F2934" s="26">
        <v>386</v>
      </c>
      <c r="G2934" s="25" t="s">
        <v>293</v>
      </c>
      <c r="H2934" s="25"/>
      <c r="BA2934" s="73" t="s">
        <v>355</v>
      </c>
      <c r="BB2934" s="48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357</v>
      </c>
      <c r="E2935" s="1" t="s">
        <v>350</v>
      </c>
      <c r="F2935" s="26">
        <v>85</v>
      </c>
      <c r="G2935" s="25" t="s">
        <v>293</v>
      </c>
      <c r="H2935" s="25"/>
      <c r="BA2935" s="73" t="s">
        <v>355</v>
      </c>
      <c r="BB2935" s="48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357</v>
      </c>
      <c r="E2936" s="1" t="s">
        <v>122</v>
      </c>
      <c r="F2936" s="26">
        <v>218</v>
      </c>
      <c r="G2936" s="25" t="s">
        <v>293</v>
      </c>
      <c r="H2936" s="25"/>
      <c r="BA2936" s="73" t="s">
        <v>355</v>
      </c>
      <c r="BB2936" s="48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357</v>
      </c>
      <c r="E2937" s="1" t="s">
        <v>124</v>
      </c>
      <c r="F2937" s="26">
        <v>108</v>
      </c>
      <c r="G2937" s="25" t="s">
        <v>293</v>
      </c>
      <c r="H2937" s="25"/>
      <c r="BA2937" s="73" t="s">
        <v>355</v>
      </c>
      <c r="BB2937" s="48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357</v>
      </c>
      <c r="E2938" s="1" t="s">
        <v>351</v>
      </c>
      <c r="F2938" s="26">
        <v>3.52</v>
      </c>
      <c r="G2938" s="25" t="s">
        <v>293</v>
      </c>
      <c r="H2938" s="25"/>
      <c r="BA2938" s="73" t="s">
        <v>355</v>
      </c>
      <c r="BB2938" s="48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357</v>
      </c>
      <c r="E2939" s="1" t="s">
        <v>353</v>
      </c>
      <c r="F2939" s="26">
        <v>20.2</v>
      </c>
      <c r="G2939" s="25" t="s">
        <v>293</v>
      </c>
      <c r="H2939" s="25"/>
      <c r="BA2939" s="73" t="s">
        <v>355</v>
      </c>
      <c r="BB2939" s="48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357</v>
      </c>
      <c r="E2940" s="1" t="s">
        <v>133</v>
      </c>
      <c r="F2940" s="26">
        <v>128</v>
      </c>
      <c r="G2940" s="25" t="s">
        <v>293</v>
      </c>
      <c r="H2940" s="25"/>
      <c r="BA2940" s="73" t="s">
        <v>355</v>
      </c>
      <c r="BB2940" s="48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357</v>
      </c>
      <c r="E2941" s="1" t="s">
        <v>135</v>
      </c>
      <c r="F2941" s="26">
        <v>6.5</v>
      </c>
      <c r="G2941" s="25" t="s">
        <v>293</v>
      </c>
      <c r="H2941" s="25"/>
      <c r="BA2941" s="73" t="s">
        <v>355</v>
      </c>
      <c r="BB2941" s="48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357</v>
      </c>
      <c r="E2942" s="1" t="s">
        <v>136</v>
      </c>
      <c r="F2942" s="26">
        <v>96</v>
      </c>
      <c r="G2942" s="25" t="s">
        <v>293</v>
      </c>
      <c r="H2942" s="25"/>
      <c r="BA2942" s="73" t="s">
        <v>355</v>
      </c>
      <c r="BB2942" s="48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357</v>
      </c>
      <c r="E2943" s="1" t="s">
        <v>339</v>
      </c>
      <c r="F2943" s="26">
        <v>1.1499999999999999</v>
      </c>
      <c r="G2943" s="25" t="s">
        <v>293</v>
      </c>
      <c r="H2943" s="25"/>
      <c r="BA2943" s="73" t="s">
        <v>355</v>
      </c>
      <c r="BB2943" s="48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357</v>
      </c>
      <c r="E2944" s="1" t="s">
        <v>118</v>
      </c>
      <c r="F2944" s="26">
        <v>9.6</v>
      </c>
      <c r="G2944" s="25" t="s">
        <v>293</v>
      </c>
      <c r="H2944" s="25"/>
      <c r="BA2944" s="73" t="s">
        <v>355</v>
      </c>
      <c r="BB2944" s="48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357</v>
      </c>
      <c r="E2945" s="1" t="s">
        <v>130</v>
      </c>
      <c r="F2945" s="26">
        <v>2.46</v>
      </c>
      <c r="G2945" s="25" t="s">
        <v>293</v>
      </c>
      <c r="H2945" s="25"/>
      <c r="BA2945" s="73" t="s">
        <v>355</v>
      </c>
      <c r="BB2945" s="48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357</v>
      </c>
      <c r="E2946" s="1" t="s">
        <v>341</v>
      </c>
      <c r="F2946" s="26">
        <v>1.0780000000000001</v>
      </c>
      <c r="G2946" s="25" t="s">
        <v>293</v>
      </c>
      <c r="H2946" s="25"/>
      <c r="BA2946" s="73" t="s">
        <v>355</v>
      </c>
      <c r="BB2946" s="48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357</v>
      </c>
      <c r="E2947" s="1" t="s">
        <v>127</v>
      </c>
      <c r="F2947" s="26">
        <v>4.5830000000000002</v>
      </c>
      <c r="G2947" s="25" t="s">
        <v>293</v>
      </c>
      <c r="H2947" s="25"/>
      <c r="BA2947" s="73" t="s">
        <v>355</v>
      </c>
      <c r="BB2947" s="48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357</v>
      </c>
      <c r="E2948" s="1" t="s">
        <v>131</v>
      </c>
      <c r="F2948" s="26">
        <v>11.9</v>
      </c>
      <c r="G2948" s="25" t="s">
        <v>293</v>
      </c>
      <c r="H2948" s="25"/>
      <c r="BA2948" s="73" t="s">
        <v>355</v>
      </c>
      <c r="BB2948" s="48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357</v>
      </c>
      <c r="E2949" s="1" t="s">
        <v>342</v>
      </c>
      <c r="F2949" s="26">
        <v>198</v>
      </c>
      <c r="G2949" s="25" t="s">
        <v>293</v>
      </c>
      <c r="H2949" s="25"/>
      <c r="BA2949" s="73" t="s">
        <v>355</v>
      </c>
      <c r="BB2949" s="48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357</v>
      </c>
      <c r="E2950" s="1" t="s">
        <v>119</v>
      </c>
      <c r="F2950" s="26">
        <v>90</v>
      </c>
      <c r="G2950" s="25" t="s">
        <v>293</v>
      </c>
      <c r="H2950" s="25"/>
      <c r="BA2950" s="73" t="s">
        <v>355</v>
      </c>
      <c r="BB2950" s="48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357</v>
      </c>
      <c r="E2951" s="1" t="s">
        <v>120</v>
      </c>
      <c r="F2951" s="26">
        <v>27</v>
      </c>
      <c r="G2951" s="25" t="s">
        <v>293</v>
      </c>
      <c r="H2951" s="25"/>
      <c r="BA2951" s="73" t="s">
        <v>355</v>
      </c>
      <c r="BB2951" s="48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357</v>
      </c>
      <c r="E2952" s="1" t="s">
        <v>117</v>
      </c>
      <c r="F2952" s="26">
        <v>6.39</v>
      </c>
      <c r="G2952" s="25" t="s">
        <v>293</v>
      </c>
      <c r="H2952" s="25"/>
      <c r="BA2952" s="73" t="s">
        <v>355</v>
      </c>
      <c r="BB2952" s="48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357</v>
      </c>
      <c r="E2953" s="1" t="s">
        <v>344</v>
      </c>
      <c r="F2953" s="26">
        <v>68</v>
      </c>
      <c r="G2953" s="25" t="s">
        <v>293</v>
      </c>
      <c r="H2953" s="25"/>
      <c r="BA2953" s="73" t="s">
        <v>355</v>
      </c>
      <c r="BB2953" s="48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357</v>
      </c>
      <c r="E2954" s="1" t="s">
        <v>132</v>
      </c>
      <c r="F2954" s="26">
        <v>7.34</v>
      </c>
      <c r="G2954" s="25" t="s">
        <v>293</v>
      </c>
      <c r="H2954" s="25"/>
      <c r="BA2954" s="73" t="s">
        <v>355</v>
      </c>
      <c r="BB2954" s="48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357</v>
      </c>
      <c r="E2955" s="1" t="s">
        <v>111</v>
      </c>
      <c r="F2955" s="26">
        <v>284</v>
      </c>
      <c r="G2955" s="25" t="s">
        <v>293</v>
      </c>
      <c r="H2955" s="25"/>
      <c r="BA2955" s="73" t="s">
        <v>355</v>
      </c>
      <c r="BB2955" s="48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357</v>
      </c>
      <c r="E2956" s="1" t="s">
        <v>345</v>
      </c>
      <c r="F2956" s="26">
        <v>9.92</v>
      </c>
      <c r="G2956" s="25" t="s">
        <v>293</v>
      </c>
      <c r="H2956" s="25"/>
      <c r="BA2956" s="73" t="s">
        <v>355</v>
      </c>
      <c r="BB2956" s="48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357</v>
      </c>
      <c r="E2957" s="1" t="s">
        <v>347</v>
      </c>
      <c r="F2957" s="26">
        <v>4.54</v>
      </c>
      <c r="G2957" s="25" t="s">
        <v>293</v>
      </c>
      <c r="H2957" s="25"/>
      <c r="BA2957" s="73" t="s">
        <v>355</v>
      </c>
      <c r="BB2957" s="48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357</v>
      </c>
      <c r="E2958" s="1" t="s">
        <v>128</v>
      </c>
      <c r="F2958" s="26">
        <v>4.5</v>
      </c>
      <c r="G2958" s="25" t="s">
        <v>293</v>
      </c>
      <c r="H2958" s="25"/>
      <c r="BA2958" s="73" t="s">
        <v>355</v>
      </c>
      <c r="BB2958" s="48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357</v>
      </c>
      <c r="E2959" s="1" t="s">
        <v>121</v>
      </c>
      <c r="F2959" s="26">
        <v>81</v>
      </c>
      <c r="G2959" s="25" t="s">
        <v>293</v>
      </c>
      <c r="H2959" s="25"/>
      <c r="BA2959" s="73" t="s">
        <v>355</v>
      </c>
      <c r="BB2959" s="48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357</v>
      </c>
      <c r="E2960" s="1" t="s">
        <v>115</v>
      </c>
      <c r="F2960" s="26">
        <v>100</v>
      </c>
      <c r="G2960" s="25" t="s">
        <v>293</v>
      </c>
      <c r="H2960" s="25"/>
      <c r="BA2960" s="73" t="s">
        <v>355</v>
      </c>
      <c r="BB2960" s="48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357</v>
      </c>
      <c r="E2961" s="1" t="s">
        <v>137</v>
      </c>
      <c r="F2961" s="26">
        <v>487</v>
      </c>
      <c r="G2961" s="25" t="s">
        <v>293</v>
      </c>
      <c r="H2961" s="25"/>
      <c r="BA2961" s="73" t="s">
        <v>355</v>
      </c>
      <c r="BB2961" s="48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357</v>
      </c>
      <c r="E2962" s="1" t="s">
        <v>348</v>
      </c>
      <c r="F2962" s="26">
        <v>430</v>
      </c>
      <c r="G2962" s="25" t="s">
        <v>293</v>
      </c>
      <c r="H2962" s="25"/>
      <c r="BA2962" s="73" t="s">
        <v>355</v>
      </c>
      <c r="BB2962" s="48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357</v>
      </c>
      <c r="E2963" s="1" t="s">
        <v>125</v>
      </c>
      <c r="F2963" s="26">
        <v>416</v>
      </c>
      <c r="G2963" s="25" t="s">
        <v>293</v>
      </c>
      <c r="H2963" s="25"/>
      <c r="BA2963" s="73" t="s">
        <v>355</v>
      </c>
      <c r="BB2963" s="48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357</v>
      </c>
      <c r="E2964" s="1" t="s">
        <v>126</v>
      </c>
      <c r="F2964" s="26">
        <v>154</v>
      </c>
      <c r="G2964" s="25" t="s">
        <v>293</v>
      </c>
      <c r="H2964" s="25"/>
      <c r="BA2964" s="73" t="s">
        <v>355</v>
      </c>
      <c r="BB2964" s="48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357</v>
      </c>
      <c r="E2965" s="1" t="s">
        <v>349</v>
      </c>
      <c r="F2965" s="26">
        <v>382</v>
      </c>
      <c r="G2965" s="25" t="s">
        <v>293</v>
      </c>
      <c r="H2965" s="25"/>
      <c r="BA2965" s="73" t="s">
        <v>355</v>
      </c>
      <c r="BB2965" s="48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357</v>
      </c>
      <c r="E2966" s="1" t="s">
        <v>350</v>
      </c>
      <c r="F2966" s="26">
        <v>88</v>
      </c>
      <c r="G2966" s="25" t="s">
        <v>293</v>
      </c>
      <c r="H2966" s="25"/>
      <c r="BA2966" s="73" t="s">
        <v>355</v>
      </c>
      <c r="BB2966" s="48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357</v>
      </c>
      <c r="E2967" s="1" t="s">
        <v>122</v>
      </c>
      <c r="F2967" s="26">
        <v>222</v>
      </c>
      <c r="G2967" s="25" t="s">
        <v>293</v>
      </c>
      <c r="H2967" s="25"/>
      <c r="BA2967" s="73" t="s">
        <v>355</v>
      </c>
      <c r="BB2967" s="48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357</v>
      </c>
      <c r="E2968" s="1" t="s">
        <v>124</v>
      </c>
      <c r="F2968" s="26">
        <v>106</v>
      </c>
      <c r="G2968" s="25" t="s">
        <v>293</v>
      </c>
      <c r="H2968" s="25"/>
      <c r="BA2968" s="73" t="s">
        <v>355</v>
      </c>
      <c r="BB2968" s="48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357</v>
      </c>
      <c r="E2969" s="1" t="s">
        <v>351</v>
      </c>
      <c r="F2969" s="26">
        <v>3.53</v>
      </c>
      <c r="G2969" s="25" t="s">
        <v>293</v>
      </c>
      <c r="H2969" s="25"/>
      <c r="BA2969" s="73" t="s">
        <v>355</v>
      </c>
      <c r="BB2969" s="48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357</v>
      </c>
      <c r="E2970" s="1" t="s">
        <v>353</v>
      </c>
      <c r="F2970" s="26">
        <v>19.600000000000001</v>
      </c>
      <c r="G2970" s="25" t="s">
        <v>293</v>
      </c>
      <c r="H2970" s="25"/>
      <c r="BA2970" s="73" t="s">
        <v>355</v>
      </c>
      <c r="BB2970" s="48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357</v>
      </c>
      <c r="E2971" s="1" t="s">
        <v>133</v>
      </c>
      <c r="F2971" s="26">
        <v>128</v>
      </c>
      <c r="G2971" s="25" t="s">
        <v>293</v>
      </c>
      <c r="H2971" s="25"/>
      <c r="BA2971" s="73" t="s">
        <v>355</v>
      </c>
      <c r="BB2971" s="48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357</v>
      </c>
      <c r="E2972" s="1" t="s">
        <v>135</v>
      </c>
      <c r="F2972" s="26">
        <v>6.5</v>
      </c>
      <c r="G2972" s="25" t="s">
        <v>293</v>
      </c>
      <c r="H2972" s="25"/>
      <c r="BA2972" s="73" t="s">
        <v>355</v>
      </c>
      <c r="BB2972" s="48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357</v>
      </c>
      <c r="E2973" s="1" t="s">
        <v>136</v>
      </c>
      <c r="F2973" s="26">
        <v>94</v>
      </c>
      <c r="G2973" s="25" t="s">
        <v>293</v>
      </c>
      <c r="H2973" s="25"/>
      <c r="BA2973" s="73" t="s">
        <v>355</v>
      </c>
      <c r="BB2973" s="48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357</v>
      </c>
      <c r="E2974" s="1" t="s">
        <v>339</v>
      </c>
      <c r="F2974" s="26">
        <v>1.1499999999999999</v>
      </c>
      <c r="G2974" s="25" t="s">
        <v>293</v>
      </c>
      <c r="H2974" s="25"/>
      <c r="BA2974" s="73" t="s">
        <v>355</v>
      </c>
      <c r="BB2974" s="48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357</v>
      </c>
      <c r="E2975" s="1" t="s">
        <v>118</v>
      </c>
      <c r="F2975" s="26">
        <v>9.5</v>
      </c>
      <c r="G2975" s="25" t="s">
        <v>293</v>
      </c>
      <c r="H2975" s="25"/>
      <c r="BA2975" s="73" t="s">
        <v>355</v>
      </c>
      <c r="BB2975" s="48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357</v>
      </c>
      <c r="E2976" s="1" t="s">
        <v>130</v>
      </c>
      <c r="F2976" s="26">
        <v>2.42</v>
      </c>
      <c r="G2976" s="25" t="s">
        <v>293</v>
      </c>
      <c r="H2976" s="25"/>
      <c r="BA2976" s="73" t="s">
        <v>355</v>
      </c>
      <c r="BB2976" s="48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357</v>
      </c>
      <c r="E2977" s="1" t="s">
        <v>341</v>
      </c>
      <c r="F2977" s="26">
        <v>1.07</v>
      </c>
      <c r="G2977" s="25" t="s">
        <v>293</v>
      </c>
      <c r="H2977" s="25"/>
      <c r="BA2977" s="73" t="s">
        <v>355</v>
      </c>
      <c r="BB2977" s="48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357</v>
      </c>
      <c r="E2978" s="1" t="s">
        <v>127</v>
      </c>
      <c r="F2978" s="26">
        <v>4.5599999999999996</v>
      </c>
      <c r="G2978" s="25" t="s">
        <v>293</v>
      </c>
      <c r="H2978" s="25"/>
      <c r="BA2978" s="73" t="s">
        <v>355</v>
      </c>
      <c r="BB2978" s="48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357</v>
      </c>
      <c r="E2979" s="1" t="s">
        <v>131</v>
      </c>
      <c r="F2979" s="26">
        <v>11.8</v>
      </c>
      <c r="G2979" s="25" t="s">
        <v>293</v>
      </c>
      <c r="H2979" s="25"/>
      <c r="BA2979" s="73" t="s">
        <v>355</v>
      </c>
      <c r="BB2979" s="48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357</v>
      </c>
      <c r="E2980" s="1" t="s">
        <v>342</v>
      </c>
      <c r="F2980" s="26">
        <v>201</v>
      </c>
      <c r="G2980" s="25" t="s">
        <v>293</v>
      </c>
      <c r="H2980" s="25"/>
      <c r="BA2980" s="73" t="s">
        <v>355</v>
      </c>
      <c r="BB2980" s="48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357</v>
      </c>
      <c r="E2981" s="1" t="s">
        <v>119</v>
      </c>
      <c r="F2981" s="26">
        <v>90</v>
      </c>
      <c r="G2981" s="25" t="s">
        <v>293</v>
      </c>
      <c r="H2981" s="25"/>
      <c r="BA2981" s="73" t="s">
        <v>355</v>
      </c>
      <c r="BB2981" s="48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357</v>
      </c>
      <c r="E2982" s="1" t="s">
        <v>120</v>
      </c>
      <c r="F2982" s="26">
        <v>26</v>
      </c>
      <c r="G2982" s="25" t="s">
        <v>293</v>
      </c>
      <c r="H2982" s="25"/>
      <c r="BA2982" s="73" t="s">
        <v>355</v>
      </c>
      <c r="BB2982" s="48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357</v>
      </c>
      <c r="E2983" s="1" t="s">
        <v>117</v>
      </c>
      <c r="F2983" s="26">
        <v>6.56</v>
      </c>
      <c r="G2983" s="25" t="s">
        <v>293</v>
      </c>
      <c r="H2983" s="25"/>
      <c r="BA2983" s="73" t="s">
        <v>355</v>
      </c>
      <c r="BB2983" s="48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357</v>
      </c>
      <c r="E2984" s="1" t="s">
        <v>344</v>
      </c>
      <c r="F2984" s="26">
        <v>68</v>
      </c>
      <c r="G2984" s="25" t="s">
        <v>293</v>
      </c>
      <c r="H2984" s="25"/>
      <c r="BA2984" s="73" t="s">
        <v>355</v>
      </c>
      <c r="BB2984" s="48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357</v>
      </c>
      <c r="E2985" s="1" t="s">
        <v>132</v>
      </c>
      <c r="F2985" s="26">
        <v>7.38</v>
      </c>
      <c r="G2985" s="25" t="s">
        <v>293</v>
      </c>
      <c r="H2985" s="25"/>
      <c r="BA2985" s="73" t="s">
        <v>355</v>
      </c>
      <c r="BB2985" s="48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357</v>
      </c>
      <c r="E2986" s="1" t="s">
        <v>111</v>
      </c>
      <c r="F2986" s="26">
        <v>281</v>
      </c>
      <c r="G2986" s="25" t="s">
        <v>293</v>
      </c>
      <c r="H2986" s="25"/>
      <c r="BA2986" s="73" t="s">
        <v>355</v>
      </c>
      <c r="BB2986" s="48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357</v>
      </c>
      <c r="E2987" s="1" t="s">
        <v>345</v>
      </c>
      <c r="F2987" s="26">
        <v>9.98</v>
      </c>
      <c r="G2987" s="25" t="s">
        <v>293</v>
      </c>
      <c r="H2987" s="25"/>
      <c r="BA2987" s="73" t="s">
        <v>355</v>
      </c>
      <c r="BB2987" s="48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357</v>
      </c>
      <c r="E2988" s="1" t="s">
        <v>347</v>
      </c>
      <c r="F2988" s="26">
        <v>4.38</v>
      </c>
      <c r="G2988" s="25" t="s">
        <v>293</v>
      </c>
      <c r="H2988" s="25"/>
      <c r="BA2988" s="73" t="s">
        <v>355</v>
      </c>
      <c r="BB2988" s="48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357</v>
      </c>
      <c r="E2989" s="1" t="s">
        <v>128</v>
      </c>
      <c r="F2989" s="26">
        <v>4.3</v>
      </c>
      <c r="G2989" s="25" t="s">
        <v>293</v>
      </c>
      <c r="H2989" s="25"/>
      <c r="BA2989" s="73" t="s">
        <v>355</v>
      </c>
      <c r="BB2989" s="48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357</v>
      </c>
      <c r="E2990" s="1" t="s">
        <v>121</v>
      </c>
      <c r="F2990" s="26">
        <v>80</v>
      </c>
      <c r="G2990" s="25" t="s">
        <v>293</v>
      </c>
      <c r="H2990" s="25"/>
      <c r="BA2990" s="73" t="s">
        <v>355</v>
      </c>
      <c r="BB2990" s="48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357</v>
      </c>
      <c r="E2991" s="1" t="s">
        <v>115</v>
      </c>
      <c r="F2991" s="26">
        <v>100</v>
      </c>
      <c r="G2991" s="25" t="s">
        <v>293</v>
      </c>
      <c r="H2991" s="25"/>
      <c r="BA2991" s="73" t="s">
        <v>355</v>
      </c>
      <c r="BB2991" s="48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357</v>
      </c>
      <c r="E2992" s="1" t="s">
        <v>137</v>
      </c>
      <c r="F2992" s="26">
        <v>481</v>
      </c>
      <c r="G2992" s="25" t="s">
        <v>293</v>
      </c>
      <c r="H2992" s="25"/>
      <c r="BA2992" s="73" t="s">
        <v>355</v>
      </c>
      <c r="BB2992" s="48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357</v>
      </c>
      <c r="E2993" s="1" t="s">
        <v>348</v>
      </c>
      <c r="F2993" s="26">
        <v>430</v>
      </c>
      <c r="G2993" s="25" t="s">
        <v>293</v>
      </c>
      <c r="H2993" s="25"/>
      <c r="BA2993" s="73" t="s">
        <v>355</v>
      </c>
      <c r="BB2993" s="48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357</v>
      </c>
      <c r="E2994" s="1" t="s">
        <v>125</v>
      </c>
      <c r="F2994" s="26">
        <v>415</v>
      </c>
      <c r="G2994" s="25" t="s">
        <v>293</v>
      </c>
      <c r="H2994" s="25"/>
      <c r="BA2994" s="73" t="s">
        <v>355</v>
      </c>
      <c r="BB2994" s="48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357</v>
      </c>
      <c r="E2995" s="1" t="s">
        <v>126</v>
      </c>
      <c r="F2995" s="26">
        <v>150</v>
      </c>
      <c r="G2995" s="25" t="s">
        <v>293</v>
      </c>
      <c r="H2995" s="25"/>
      <c r="BA2995" s="73" t="s">
        <v>355</v>
      </c>
      <c r="BB2995" s="48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357</v>
      </c>
      <c r="E2996" s="1" t="s">
        <v>349</v>
      </c>
      <c r="F2996" s="26">
        <v>385</v>
      </c>
      <c r="G2996" s="25" t="s">
        <v>293</v>
      </c>
      <c r="H2996" s="25"/>
      <c r="BA2996" s="73" t="s">
        <v>355</v>
      </c>
      <c r="BB2996" s="48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357</v>
      </c>
      <c r="E2997" s="1" t="s">
        <v>350</v>
      </c>
      <c r="F2997" s="26">
        <v>85</v>
      </c>
      <c r="G2997" s="25" t="s">
        <v>293</v>
      </c>
      <c r="H2997" s="25"/>
      <c r="BA2997" s="73" t="s">
        <v>355</v>
      </c>
      <c r="BB2997" s="48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357</v>
      </c>
      <c r="E2998" s="1" t="s">
        <v>122</v>
      </c>
      <c r="F2998" s="26">
        <v>225</v>
      </c>
      <c r="G2998" s="25" t="s">
        <v>293</v>
      </c>
      <c r="H2998" s="25"/>
      <c r="BA2998" s="73" t="s">
        <v>355</v>
      </c>
      <c r="BB2998" s="48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357</v>
      </c>
      <c r="E2999" s="1" t="s">
        <v>124</v>
      </c>
      <c r="F2999" s="26">
        <v>104</v>
      </c>
      <c r="G2999" s="25" t="s">
        <v>293</v>
      </c>
      <c r="H2999" s="25"/>
      <c r="BA2999" s="73" t="s">
        <v>355</v>
      </c>
      <c r="BB2999" s="48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357</v>
      </c>
      <c r="E3000" s="1" t="s">
        <v>351</v>
      </c>
      <c r="F3000" s="26">
        <v>3.57</v>
      </c>
      <c r="G3000" s="25" t="s">
        <v>293</v>
      </c>
      <c r="H3000" s="25"/>
      <c r="BA3000" s="73" t="s">
        <v>355</v>
      </c>
      <c r="BB3000" s="48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357</v>
      </c>
      <c r="E3001" s="1" t="s">
        <v>353</v>
      </c>
      <c r="F3001" s="26">
        <v>16.8</v>
      </c>
      <c r="G3001" s="25" t="s">
        <v>293</v>
      </c>
      <c r="H3001" s="25"/>
      <c r="BA3001" s="73" t="s">
        <v>355</v>
      </c>
      <c r="BB3001" s="48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357</v>
      </c>
      <c r="E3002" s="1" t="s">
        <v>133</v>
      </c>
      <c r="F3002" s="26">
        <v>128</v>
      </c>
      <c r="G3002" s="25" t="s">
        <v>293</v>
      </c>
      <c r="H3002" s="25"/>
      <c r="BA3002" s="73" t="s">
        <v>355</v>
      </c>
      <c r="BB3002" s="48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357</v>
      </c>
      <c r="E3003" s="1" t="s">
        <v>135</v>
      </c>
      <c r="F3003" s="26">
        <v>6.5</v>
      </c>
      <c r="G3003" s="25" t="s">
        <v>293</v>
      </c>
      <c r="H3003" s="25"/>
      <c r="BA3003" s="73" t="s">
        <v>355</v>
      </c>
      <c r="BB3003" s="48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357</v>
      </c>
      <c r="E3004" s="1" t="s">
        <v>136</v>
      </c>
      <c r="F3004" s="26">
        <v>94</v>
      </c>
      <c r="G3004" s="25" t="s">
        <v>293</v>
      </c>
      <c r="H3004" s="25"/>
      <c r="BA3004" s="73" t="s">
        <v>355</v>
      </c>
      <c r="BB3004" s="48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357</v>
      </c>
      <c r="E3005" s="1" t="s">
        <v>339</v>
      </c>
      <c r="F3005" s="26">
        <v>1.26</v>
      </c>
      <c r="G3005" s="25" t="s">
        <v>293</v>
      </c>
      <c r="H3005" s="25"/>
      <c r="BA3005" s="73" t="s">
        <v>355</v>
      </c>
      <c r="BB3005" s="48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357</v>
      </c>
      <c r="E3006" s="1" t="s">
        <v>118</v>
      </c>
      <c r="F3006" s="26">
        <v>9.5</v>
      </c>
      <c r="G3006" s="25" t="s">
        <v>293</v>
      </c>
      <c r="H3006" s="25"/>
      <c r="BA3006" s="73" t="s">
        <v>355</v>
      </c>
      <c r="BB3006" s="48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357</v>
      </c>
      <c r="E3007" s="1" t="s">
        <v>130</v>
      </c>
      <c r="F3007" s="26">
        <v>2.41</v>
      </c>
      <c r="G3007" s="25" t="s">
        <v>293</v>
      </c>
      <c r="H3007" s="25"/>
      <c r="BA3007" s="73" t="s">
        <v>355</v>
      </c>
      <c r="BB3007" s="48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357</v>
      </c>
      <c r="E3008" s="1" t="s">
        <v>341</v>
      </c>
      <c r="F3008" s="26">
        <v>1.07</v>
      </c>
      <c r="G3008" s="25" t="s">
        <v>293</v>
      </c>
      <c r="H3008" s="25"/>
      <c r="BA3008" s="73" t="s">
        <v>355</v>
      </c>
      <c r="BB3008" s="48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357</v>
      </c>
      <c r="E3009" s="1" t="s">
        <v>127</v>
      </c>
      <c r="F3009" s="26">
        <v>4.57</v>
      </c>
      <c r="G3009" s="25" t="s">
        <v>293</v>
      </c>
      <c r="H3009" s="25"/>
      <c r="BA3009" s="73" t="s">
        <v>355</v>
      </c>
      <c r="BB3009" s="48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357</v>
      </c>
      <c r="E3010" s="1" t="s">
        <v>131</v>
      </c>
      <c r="F3010" s="26">
        <v>12</v>
      </c>
      <c r="G3010" s="25" t="s">
        <v>293</v>
      </c>
      <c r="H3010" s="25"/>
      <c r="BA3010" s="73" t="s">
        <v>355</v>
      </c>
      <c r="BB3010" s="48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357</v>
      </c>
      <c r="E3011" s="1" t="s">
        <v>342</v>
      </c>
      <c r="F3011" s="26">
        <v>201</v>
      </c>
      <c r="G3011" s="25" t="s">
        <v>293</v>
      </c>
      <c r="H3011" s="25"/>
      <c r="BA3011" s="73" t="s">
        <v>355</v>
      </c>
      <c r="BB3011" s="48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357</v>
      </c>
      <c r="E3012" s="1" t="s">
        <v>119</v>
      </c>
      <c r="F3012" s="26">
        <v>89</v>
      </c>
      <c r="G3012" s="25" t="s">
        <v>293</v>
      </c>
      <c r="H3012" s="25"/>
      <c r="BA3012" s="73" t="s">
        <v>355</v>
      </c>
      <c r="BB3012" s="48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357</v>
      </c>
      <c r="E3013" s="1" t="s">
        <v>120</v>
      </c>
      <c r="F3013" s="26">
        <v>27</v>
      </c>
      <c r="G3013" s="25" t="s">
        <v>293</v>
      </c>
      <c r="H3013" s="25"/>
      <c r="BA3013" s="73" t="s">
        <v>355</v>
      </c>
      <c r="BB3013" s="48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357</v>
      </c>
      <c r="E3014" s="1" t="s">
        <v>117</v>
      </c>
      <c r="F3014" s="26">
        <v>6.39</v>
      </c>
      <c r="G3014" s="25" t="s">
        <v>293</v>
      </c>
      <c r="H3014" s="25"/>
      <c r="BA3014" s="73" t="s">
        <v>355</v>
      </c>
      <c r="BB3014" s="48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357</v>
      </c>
      <c r="E3015" s="1" t="s">
        <v>344</v>
      </c>
      <c r="F3015" s="26">
        <v>69</v>
      </c>
      <c r="G3015" s="25" t="s">
        <v>293</v>
      </c>
      <c r="H3015" s="25"/>
      <c r="BA3015" s="73" t="s">
        <v>355</v>
      </c>
      <c r="BB3015" s="48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357</v>
      </c>
      <c r="E3016" s="1" t="s">
        <v>132</v>
      </c>
      <c r="F3016" s="26">
        <v>7.46</v>
      </c>
      <c r="G3016" s="25" t="s">
        <v>293</v>
      </c>
      <c r="H3016" s="25"/>
      <c r="BA3016" s="73" t="s">
        <v>355</v>
      </c>
      <c r="BB3016" s="48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357</v>
      </c>
      <c r="E3017" s="1" t="s">
        <v>111</v>
      </c>
      <c r="F3017" s="26">
        <v>286</v>
      </c>
      <c r="G3017" s="25" t="s">
        <v>293</v>
      </c>
      <c r="H3017" s="25"/>
      <c r="BA3017" s="73" t="s">
        <v>355</v>
      </c>
      <c r="BB3017" s="48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357</v>
      </c>
      <c r="E3018" s="1" t="s">
        <v>345</v>
      </c>
      <c r="F3018" s="26">
        <v>9.92</v>
      </c>
      <c r="G3018" s="25" t="s">
        <v>293</v>
      </c>
      <c r="H3018" s="25"/>
      <c r="BA3018" s="73" t="s">
        <v>355</v>
      </c>
      <c r="BB3018" s="48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357</v>
      </c>
      <c r="E3019" s="1" t="s">
        <v>347</v>
      </c>
      <c r="F3019" s="26">
        <v>4.5599999999999996</v>
      </c>
      <c r="G3019" s="25" t="s">
        <v>293</v>
      </c>
      <c r="H3019" s="25"/>
      <c r="BA3019" s="73" t="s">
        <v>355</v>
      </c>
      <c r="BB3019" s="48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357</v>
      </c>
      <c r="E3020" s="1" t="s">
        <v>128</v>
      </c>
      <c r="F3020" s="26">
        <v>4.4000000000000004</v>
      </c>
      <c r="G3020" s="25" t="s">
        <v>293</v>
      </c>
      <c r="H3020" s="25"/>
      <c r="BA3020" s="73" t="s">
        <v>355</v>
      </c>
      <c r="BB3020" s="48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357</v>
      </c>
      <c r="E3021" s="1" t="s">
        <v>121</v>
      </c>
      <c r="F3021" s="26">
        <v>81</v>
      </c>
      <c r="G3021" s="25" t="s">
        <v>293</v>
      </c>
      <c r="H3021" s="25"/>
      <c r="BA3021" s="73" t="s">
        <v>355</v>
      </c>
      <c r="BB3021" s="48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357</v>
      </c>
      <c r="E3022" s="1" t="s">
        <v>115</v>
      </c>
      <c r="F3022" s="26">
        <v>99</v>
      </c>
      <c r="G3022" s="25" t="s">
        <v>293</v>
      </c>
      <c r="H3022" s="25"/>
      <c r="BA3022" s="73" t="s">
        <v>355</v>
      </c>
      <c r="BB3022" s="48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357</v>
      </c>
      <c r="E3023" s="1" t="s">
        <v>137</v>
      </c>
      <c r="F3023" s="26">
        <v>492</v>
      </c>
      <c r="G3023" s="25" t="s">
        <v>293</v>
      </c>
      <c r="H3023" s="25"/>
      <c r="BA3023" s="73" t="s">
        <v>355</v>
      </c>
      <c r="BB3023" s="48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357</v>
      </c>
      <c r="E3024" s="1" t="s">
        <v>348</v>
      </c>
      <c r="F3024" s="26">
        <v>434</v>
      </c>
      <c r="G3024" s="25" t="s">
        <v>293</v>
      </c>
      <c r="H3024" s="25"/>
      <c r="BA3024" s="73" t="s">
        <v>355</v>
      </c>
      <c r="BB3024" s="48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357</v>
      </c>
      <c r="E3025" s="1" t="s">
        <v>125</v>
      </c>
      <c r="F3025" s="26">
        <v>425</v>
      </c>
      <c r="G3025" s="25" t="s">
        <v>293</v>
      </c>
      <c r="H3025" s="25"/>
      <c r="BA3025" s="73" t="s">
        <v>355</v>
      </c>
      <c r="BB3025" s="48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357</v>
      </c>
      <c r="E3026" s="1" t="s">
        <v>126</v>
      </c>
      <c r="F3026" s="26">
        <v>155</v>
      </c>
      <c r="G3026" s="25" t="s">
        <v>293</v>
      </c>
      <c r="H3026" s="25"/>
      <c r="BA3026" s="73" t="s">
        <v>355</v>
      </c>
      <c r="BB3026" s="48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357</v>
      </c>
      <c r="E3027" s="1" t="s">
        <v>349</v>
      </c>
      <c r="F3027" s="26">
        <v>391</v>
      </c>
      <c r="G3027" s="25" t="s">
        <v>293</v>
      </c>
      <c r="H3027" s="25"/>
      <c r="BA3027" s="73" t="s">
        <v>355</v>
      </c>
      <c r="BB3027" s="48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357</v>
      </c>
      <c r="E3028" s="1" t="s">
        <v>350</v>
      </c>
      <c r="F3028" s="26">
        <v>86</v>
      </c>
      <c r="G3028" s="25" t="s">
        <v>293</v>
      </c>
      <c r="H3028" s="25"/>
      <c r="BA3028" s="73" t="s">
        <v>355</v>
      </c>
      <c r="BB3028" s="48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357</v>
      </c>
      <c r="E3029" s="1" t="s">
        <v>122</v>
      </c>
      <c r="F3029" s="26">
        <v>228</v>
      </c>
      <c r="G3029" s="25" t="s">
        <v>293</v>
      </c>
      <c r="H3029" s="25"/>
      <c r="BA3029" s="73" t="s">
        <v>355</v>
      </c>
      <c r="BB3029" s="48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357</v>
      </c>
      <c r="E3030" s="1" t="s">
        <v>124</v>
      </c>
      <c r="F3030" s="26">
        <v>107</v>
      </c>
      <c r="G3030" s="25" t="s">
        <v>293</v>
      </c>
      <c r="H3030" s="25"/>
      <c r="BA3030" s="73" t="s">
        <v>355</v>
      </c>
      <c r="BB3030" s="48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357</v>
      </c>
      <c r="E3031" s="1" t="s">
        <v>351</v>
      </c>
      <c r="F3031" s="26">
        <v>3.57</v>
      </c>
      <c r="G3031" s="25" t="s">
        <v>293</v>
      </c>
      <c r="H3031" s="25"/>
      <c r="BA3031" s="73" t="s">
        <v>355</v>
      </c>
      <c r="BB3031" s="48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357</v>
      </c>
      <c r="E3032" s="1" t="s">
        <v>353</v>
      </c>
      <c r="F3032" s="26">
        <v>16.600000000000001</v>
      </c>
      <c r="G3032" s="25" t="s">
        <v>293</v>
      </c>
      <c r="H3032" s="25"/>
      <c r="BA3032" s="73" t="s">
        <v>355</v>
      </c>
      <c r="BB3032" s="48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357</v>
      </c>
      <c r="E3033" s="1" t="s">
        <v>133</v>
      </c>
      <c r="F3033" s="26">
        <v>126</v>
      </c>
      <c r="G3033" s="25" t="s">
        <v>293</v>
      </c>
      <c r="H3033" s="25"/>
      <c r="BA3033" s="73" t="s">
        <v>355</v>
      </c>
      <c r="BB3033" s="48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357</v>
      </c>
      <c r="E3034" s="1" t="s">
        <v>135</v>
      </c>
      <c r="F3034" s="26">
        <v>6.5</v>
      </c>
      <c r="G3034" s="25" t="s">
        <v>293</v>
      </c>
      <c r="H3034" s="25"/>
      <c r="BA3034" s="73" t="s">
        <v>355</v>
      </c>
      <c r="BB3034" s="48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357</v>
      </c>
      <c r="E3035" s="1" t="s">
        <v>136</v>
      </c>
      <c r="F3035" s="26">
        <v>94</v>
      </c>
      <c r="G3035" s="25" t="s">
        <v>293</v>
      </c>
      <c r="H3035" s="25"/>
      <c r="BA3035" s="73" t="s">
        <v>355</v>
      </c>
      <c r="BB3035" s="48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357</v>
      </c>
      <c r="E3036" s="1" t="s">
        <v>339</v>
      </c>
      <c r="F3036" s="26">
        <v>1.1599999999999999</v>
      </c>
      <c r="G3036" s="25" t="s">
        <v>293</v>
      </c>
      <c r="H3036" s="25"/>
      <c r="BA3036" s="73" t="s">
        <v>355</v>
      </c>
      <c r="BB3036" s="48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357</v>
      </c>
      <c r="E3037" s="1" t="s">
        <v>118</v>
      </c>
      <c r="F3037" s="26">
        <v>9.4</v>
      </c>
      <c r="G3037" s="25" t="s">
        <v>293</v>
      </c>
      <c r="H3037" s="25"/>
      <c r="BA3037" s="73" t="s">
        <v>355</v>
      </c>
      <c r="BB3037" s="48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357</v>
      </c>
      <c r="E3038" s="1" t="s">
        <v>130</v>
      </c>
      <c r="F3038" s="26">
        <v>2.35</v>
      </c>
      <c r="G3038" s="25" t="s">
        <v>293</v>
      </c>
      <c r="H3038" s="25"/>
      <c r="BA3038" s="73" t="s">
        <v>355</v>
      </c>
      <c r="BB3038" s="48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357</v>
      </c>
      <c r="E3039" s="1" t="s">
        <v>341</v>
      </c>
      <c r="F3039" s="26">
        <v>1.03</v>
      </c>
      <c r="G3039" s="25" t="s">
        <v>293</v>
      </c>
      <c r="H3039" s="25"/>
      <c r="BA3039" s="73" t="s">
        <v>355</v>
      </c>
      <c r="BB3039" s="48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357</v>
      </c>
      <c r="E3040" s="1" t="s">
        <v>127</v>
      </c>
      <c r="F3040" s="26">
        <v>4.4400000000000004</v>
      </c>
      <c r="G3040" s="25" t="s">
        <v>293</v>
      </c>
      <c r="H3040" s="25"/>
      <c r="BA3040" s="73" t="s">
        <v>355</v>
      </c>
      <c r="BB3040" s="48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357</v>
      </c>
      <c r="E3041" s="1" t="s">
        <v>131</v>
      </c>
      <c r="F3041" s="26">
        <v>12</v>
      </c>
      <c r="G3041" s="25" t="s">
        <v>293</v>
      </c>
      <c r="H3041" s="25"/>
      <c r="BA3041" s="73" t="s">
        <v>355</v>
      </c>
      <c r="BB3041" s="48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357</v>
      </c>
      <c r="E3042" s="1" t="s">
        <v>342</v>
      </c>
      <c r="F3042" s="26">
        <v>203</v>
      </c>
      <c r="G3042" s="25" t="s">
        <v>293</v>
      </c>
      <c r="H3042" s="25"/>
      <c r="BA3042" s="73" t="s">
        <v>355</v>
      </c>
      <c r="BB3042" s="48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357</v>
      </c>
      <c r="E3043" s="1" t="s">
        <v>119</v>
      </c>
      <c r="F3043" s="26">
        <v>90</v>
      </c>
      <c r="G3043" s="25" t="s">
        <v>293</v>
      </c>
      <c r="H3043" s="25"/>
      <c r="BA3043" s="73" t="s">
        <v>355</v>
      </c>
      <c r="BB3043" s="48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357</v>
      </c>
      <c r="E3044" s="1" t="s">
        <v>120</v>
      </c>
      <c r="F3044" s="26">
        <v>27</v>
      </c>
      <c r="G3044" s="25" t="s">
        <v>293</v>
      </c>
      <c r="H3044" s="25"/>
      <c r="BA3044" s="73" t="s">
        <v>355</v>
      </c>
      <c r="BB3044" s="48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357</v>
      </c>
      <c r="E3045" s="1" t="s">
        <v>117</v>
      </c>
      <c r="F3045" s="26">
        <v>6.34</v>
      </c>
      <c r="G3045" s="25" t="s">
        <v>293</v>
      </c>
      <c r="H3045" s="25"/>
      <c r="BA3045" s="73" t="s">
        <v>355</v>
      </c>
      <c r="BB3045" s="48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357</v>
      </c>
      <c r="E3046" s="1" t="s">
        <v>344</v>
      </c>
      <c r="F3046" s="26">
        <v>68</v>
      </c>
      <c r="G3046" s="25" t="s">
        <v>293</v>
      </c>
      <c r="H3046" s="25"/>
      <c r="BA3046" s="73" t="s">
        <v>355</v>
      </c>
      <c r="BB3046" s="48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357</v>
      </c>
      <c r="E3047" s="1" t="s">
        <v>132</v>
      </c>
      <c r="F3047" s="26">
        <v>7.28</v>
      </c>
      <c r="G3047" s="25" t="s">
        <v>293</v>
      </c>
      <c r="H3047" s="25"/>
      <c r="BA3047" s="73" t="s">
        <v>355</v>
      </c>
      <c r="BB3047" s="48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357</v>
      </c>
      <c r="E3048" s="1" t="s">
        <v>111</v>
      </c>
      <c r="F3048" s="26">
        <v>283</v>
      </c>
      <c r="G3048" s="25" t="s">
        <v>293</v>
      </c>
      <c r="H3048" s="25"/>
      <c r="BA3048" s="73" t="s">
        <v>355</v>
      </c>
      <c r="BB3048" s="48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357</v>
      </c>
      <c r="E3049" s="1" t="s">
        <v>345</v>
      </c>
      <c r="F3049" s="26">
        <v>9.98</v>
      </c>
      <c r="G3049" s="25" t="s">
        <v>293</v>
      </c>
      <c r="H3049" s="25"/>
      <c r="BA3049" s="73" t="s">
        <v>355</v>
      </c>
      <c r="BB3049" s="48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357</v>
      </c>
      <c r="E3050" s="1" t="s">
        <v>347</v>
      </c>
      <c r="F3050" s="26">
        <v>4.5599999999999996</v>
      </c>
      <c r="G3050" s="25" t="s">
        <v>293</v>
      </c>
      <c r="H3050" s="25"/>
      <c r="BA3050" s="73" t="s">
        <v>355</v>
      </c>
      <c r="BB3050" s="48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357</v>
      </c>
      <c r="E3051" s="1" t="s">
        <v>128</v>
      </c>
      <c r="F3051" s="26">
        <v>4.3</v>
      </c>
      <c r="G3051" s="25" t="s">
        <v>293</v>
      </c>
      <c r="H3051" s="25"/>
      <c r="BA3051" s="73" t="s">
        <v>355</v>
      </c>
      <c r="BB3051" s="48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357</v>
      </c>
      <c r="E3052" s="1" t="s">
        <v>121</v>
      </c>
      <c r="F3052" s="26">
        <v>80</v>
      </c>
      <c r="G3052" s="25" t="s">
        <v>293</v>
      </c>
      <c r="H3052" s="25"/>
      <c r="BA3052" s="73" t="s">
        <v>355</v>
      </c>
      <c r="BB3052" s="48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357</v>
      </c>
      <c r="E3053" s="1" t="s">
        <v>115</v>
      </c>
      <c r="F3053" s="26">
        <v>98</v>
      </c>
      <c r="G3053" s="25" t="s">
        <v>293</v>
      </c>
      <c r="H3053" s="25"/>
      <c r="BA3053" s="73" t="s">
        <v>355</v>
      </c>
      <c r="BB3053" s="48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357</v>
      </c>
      <c r="E3054" s="1" t="s">
        <v>137</v>
      </c>
      <c r="F3054" s="26">
        <v>485</v>
      </c>
      <c r="G3054" s="25" t="s">
        <v>293</v>
      </c>
      <c r="H3054" s="25"/>
      <c r="BA3054" s="73" t="s">
        <v>355</v>
      </c>
      <c r="BB3054" s="48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357</v>
      </c>
      <c r="E3055" s="1" t="s">
        <v>348</v>
      </c>
      <c r="F3055" s="26">
        <v>431</v>
      </c>
      <c r="G3055" s="25" t="s">
        <v>293</v>
      </c>
      <c r="H3055" s="25"/>
      <c r="BA3055" s="73" t="s">
        <v>355</v>
      </c>
      <c r="BB3055" s="48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357</v>
      </c>
      <c r="E3056" s="1" t="s">
        <v>125</v>
      </c>
      <c r="F3056" s="26">
        <v>428</v>
      </c>
      <c r="G3056" s="25" t="s">
        <v>293</v>
      </c>
      <c r="H3056" s="25"/>
      <c r="BA3056" s="73" t="s">
        <v>355</v>
      </c>
      <c r="BB3056" s="48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357</v>
      </c>
      <c r="E3057" s="1" t="s">
        <v>126</v>
      </c>
      <c r="F3057" s="26">
        <v>153</v>
      </c>
      <c r="G3057" s="25" t="s">
        <v>293</v>
      </c>
      <c r="H3057" s="25"/>
      <c r="BA3057" s="73" t="s">
        <v>355</v>
      </c>
      <c r="BB3057" s="48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357</v>
      </c>
      <c r="E3058" s="1" t="s">
        <v>349</v>
      </c>
      <c r="F3058" s="26">
        <v>379</v>
      </c>
      <c r="G3058" s="25" t="s">
        <v>293</v>
      </c>
      <c r="H3058" s="25"/>
      <c r="BA3058" s="73" t="s">
        <v>355</v>
      </c>
      <c r="BB3058" s="48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357</v>
      </c>
      <c r="E3059" s="1" t="s">
        <v>350</v>
      </c>
      <c r="F3059" s="26">
        <v>86</v>
      </c>
      <c r="G3059" s="25" t="s">
        <v>293</v>
      </c>
      <c r="H3059" s="25"/>
      <c r="BA3059" s="73" t="s">
        <v>355</v>
      </c>
      <c r="BB3059" s="48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357</v>
      </c>
      <c r="E3060" s="1" t="s">
        <v>122</v>
      </c>
      <c r="F3060" s="26">
        <v>213</v>
      </c>
      <c r="G3060" s="25" t="s">
        <v>293</v>
      </c>
      <c r="H3060" s="25"/>
      <c r="BA3060" s="73" t="s">
        <v>355</v>
      </c>
      <c r="BB3060" s="48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357</v>
      </c>
      <c r="E3061" s="1" t="s">
        <v>124</v>
      </c>
      <c r="F3061" s="26">
        <v>102</v>
      </c>
      <c r="G3061" s="25" t="s">
        <v>293</v>
      </c>
      <c r="H3061" s="25"/>
      <c r="BA3061" s="73" t="s">
        <v>355</v>
      </c>
      <c r="BB3061" s="48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357</v>
      </c>
      <c r="E3062" s="1" t="s">
        <v>351</v>
      </c>
      <c r="F3062" s="26">
        <v>3.59</v>
      </c>
      <c r="G3062" s="25" t="s">
        <v>293</v>
      </c>
      <c r="H3062" s="25"/>
      <c r="BA3062" s="73" t="s">
        <v>355</v>
      </c>
      <c r="BB3062" s="48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357</v>
      </c>
      <c r="E3063" s="1" t="s">
        <v>353</v>
      </c>
      <c r="F3063" s="26">
        <v>19.2</v>
      </c>
      <c r="G3063" s="25" t="s">
        <v>293</v>
      </c>
      <c r="H3063" s="25"/>
      <c r="BA3063" s="73" t="s">
        <v>355</v>
      </c>
      <c r="BB3063" s="48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357</v>
      </c>
      <c r="E3064" s="1" t="s">
        <v>133</v>
      </c>
      <c r="F3064" s="26">
        <v>124</v>
      </c>
      <c r="G3064" s="25" t="s">
        <v>293</v>
      </c>
      <c r="H3064" s="25"/>
      <c r="BA3064" s="73" t="s">
        <v>355</v>
      </c>
      <c r="BB3064" s="48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357</v>
      </c>
      <c r="E3065" s="1" t="s">
        <v>135</v>
      </c>
      <c r="F3065" s="26">
        <v>6.4</v>
      </c>
      <c r="G3065" s="25" t="s">
        <v>293</v>
      </c>
      <c r="H3065" s="25"/>
      <c r="BA3065" s="73" t="s">
        <v>355</v>
      </c>
      <c r="BB3065" s="48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357</v>
      </c>
      <c r="E3066" s="1" t="s">
        <v>136</v>
      </c>
      <c r="F3066" s="26">
        <v>96</v>
      </c>
      <c r="G3066" s="25" t="s">
        <v>293</v>
      </c>
      <c r="H3066" s="25"/>
      <c r="BA3066" s="73" t="s">
        <v>355</v>
      </c>
      <c r="BB3066" s="48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357</v>
      </c>
      <c r="E3067" s="1" t="s">
        <v>339</v>
      </c>
      <c r="F3067" s="26">
        <v>1.08</v>
      </c>
      <c r="G3067" s="25" t="s">
        <v>293</v>
      </c>
      <c r="H3067" s="25"/>
      <c r="BA3067" s="73" t="s">
        <v>355</v>
      </c>
      <c r="BB3067" s="48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357</v>
      </c>
      <c r="E3068" s="1" t="s">
        <v>118</v>
      </c>
      <c r="F3068" s="26">
        <v>9.6</v>
      </c>
      <c r="G3068" s="25" t="s">
        <v>293</v>
      </c>
      <c r="H3068" s="25"/>
      <c r="BA3068" s="73" t="s">
        <v>355</v>
      </c>
      <c r="BB3068" s="48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357</v>
      </c>
      <c r="E3069" s="1" t="s">
        <v>130</v>
      </c>
      <c r="F3069" s="26">
        <v>2.42</v>
      </c>
      <c r="G3069" s="25" t="s">
        <v>293</v>
      </c>
      <c r="H3069" s="25"/>
      <c r="BA3069" s="73" t="s">
        <v>355</v>
      </c>
      <c r="BB3069" s="48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357</v>
      </c>
      <c r="E3070" s="1" t="s">
        <v>341</v>
      </c>
      <c r="F3070" s="26">
        <v>1.05</v>
      </c>
      <c r="G3070" s="25" t="s">
        <v>293</v>
      </c>
      <c r="H3070" s="25"/>
      <c r="BA3070" s="73" t="s">
        <v>355</v>
      </c>
      <c r="BB3070" s="48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357</v>
      </c>
      <c r="E3071" s="1" t="s">
        <v>127</v>
      </c>
      <c r="F3071" s="26">
        <v>4.41</v>
      </c>
      <c r="G3071" s="25" t="s">
        <v>293</v>
      </c>
      <c r="H3071" s="25"/>
      <c r="BA3071" s="73" t="s">
        <v>355</v>
      </c>
      <c r="BB3071" s="48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357</v>
      </c>
      <c r="E3072" s="1" t="s">
        <v>131</v>
      </c>
      <c r="F3072" s="26">
        <v>11.7</v>
      </c>
      <c r="G3072" s="25" t="s">
        <v>293</v>
      </c>
      <c r="H3072" s="25"/>
      <c r="BA3072" s="73" t="s">
        <v>355</v>
      </c>
      <c r="BB3072" s="48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357</v>
      </c>
      <c r="E3073" s="1" t="s">
        <v>342</v>
      </c>
      <c r="F3073" s="26">
        <v>203</v>
      </c>
      <c r="G3073" s="25" t="s">
        <v>293</v>
      </c>
      <c r="H3073" s="25"/>
      <c r="BA3073" s="73" t="s">
        <v>355</v>
      </c>
      <c r="BB3073" s="48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357</v>
      </c>
      <c r="E3074" s="1" t="s">
        <v>119</v>
      </c>
      <c r="F3074" s="26">
        <v>89</v>
      </c>
      <c r="G3074" s="25" t="s">
        <v>293</v>
      </c>
      <c r="H3074" s="25"/>
      <c r="BA3074" s="73" t="s">
        <v>355</v>
      </c>
      <c r="BB3074" s="48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357</v>
      </c>
      <c r="E3075" s="1" t="s">
        <v>120</v>
      </c>
      <c r="F3075" s="26">
        <v>27</v>
      </c>
      <c r="G3075" s="25" t="s">
        <v>293</v>
      </c>
      <c r="H3075" s="25"/>
      <c r="BA3075" s="73" t="s">
        <v>355</v>
      </c>
      <c r="BB3075" s="48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357</v>
      </c>
      <c r="E3076" s="1" t="s">
        <v>117</v>
      </c>
      <c r="F3076" s="26">
        <v>6.35</v>
      </c>
      <c r="G3076" s="25" t="s">
        <v>293</v>
      </c>
      <c r="H3076" s="25"/>
      <c r="BA3076" s="73" t="s">
        <v>355</v>
      </c>
      <c r="BB3076" s="48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357</v>
      </c>
      <c r="E3077" s="1" t="s">
        <v>344</v>
      </c>
      <c r="F3077" s="26">
        <v>68</v>
      </c>
      <c r="G3077" s="25" t="s">
        <v>293</v>
      </c>
      <c r="H3077" s="25"/>
      <c r="BA3077" s="73" t="s">
        <v>355</v>
      </c>
      <c r="BB3077" s="48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357</v>
      </c>
      <c r="E3078" s="1" t="s">
        <v>132</v>
      </c>
      <c r="F3078" s="26">
        <v>7.38</v>
      </c>
      <c r="G3078" s="25" t="s">
        <v>293</v>
      </c>
      <c r="H3078" s="25"/>
      <c r="BA3078" s="73" t="s">
        <v>355</v>
      </c>
      <c r="BB3078" s="48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357</v>
      </c>
      <c r="E3079" s="1" t="s">
        <v>111</v>
      </c>
      <c r="F3079" s="26">
        <v>283</v>
      </c>
      <c r="G3079" s="25" t="s">
        <v>293</v>
      </c>
      <c r="H3079" s="25"/>
      <c r="BA3079" s="73" t="s">
        <v>355</v>
      </c>
      <c r="BB3079" s="48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357</v>
      </c>
      <c r="E3080" s="1" t="s">
        <v>345</v>
      </c>
      <c r="F3080" s="26">
        <v>9.7799999999999994</v>
      </c>
      <c r="G3080" s="25" t="s">
        <v>293</v>
      </c>
      <c r="H3080" s="25"/>
      <c r="BA3080" s="73" t="s">
        <v>355</v>
      </c>
      <c r="BB3080" s="48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357</v>
      </c>
      <c r="E3081" s="1" t="s">
        <v>347</v>
      </c>
      <c r="F3081" s="26">
        <v>4.51</v>
      </c>
      <c r="G3081" s="25" t="s">
        <v>293</v>
      </c>
      <c r="H3081" s="25"/>
      <c r="BA3081" s="73" t="s">
        <v>355</v>
      </c>
      <c r="BB3081" s="48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357</v>
      </c>
      <c r="E3082" s="1" t="s">
        <v>128</v>
      </c>
      <c r="F3082" s="26">
        <v>4.4000000000000004</v>
      </c>
      <c r="G3082" s="25" t="s">
        <v>293</v>
      </c>
      <c r="H3082" s="25"/>
      <c r="BA3082" s="73" t="s">
        <v>355</v>
      </c>
      <c r="BB3082" s="48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357</v>
      </c>
      <c r="E3083" s="1" t="s">
        <v>121</v>
      </c>
      <c r="F3083" s="26">
        <v>81</v>
      </c>
      <c r="G3083" s="25" t="s">
        <v>293</v>
      </c>
      <c r="H3083" s="25"/>
      <c r="BA3083" s="73" t="s">
        <v>355</v>
      </c>
      <c r="BB3083" s="48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357</v>
      </c>
      <c r="E3084" s="1" t="s">
        <v>115</v>
      </c>
      <c r="F3084" s="26">
        <v>96</v>
      </c>
      <c r="G3084" s="25" t="s">
        <v>293</v>
      </c>
      <c r="H3084" s="25"/>
      <c r="BA3084" s="73" t="s">
        <v>355</v>
      </c>
      <c r="BB3084" s="48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357</v>
      </c>
      <c r="E3085" s="1" t="s">
        <v>137</v>
      </c>
      <c r="F3085" s="26">
        <v>480</v>
      </c>
      <c r="G3085" s="25" t="s">
        <v>293</v>
      </c>
      <c r="H3085" s="25"/>
      <c r="BA3085" s="73" t="s">
        <v>355</v>
      </c>
      <c r="BB3085" s="48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357</v>
      </c>
      <c r="E3086" s="1" t="s">
        <v>348</v>
      </c>
      <c r="F3086" s="26">
        <v>430</v>
      </c>
      <c r="G3086" s="25" t="s">
        <v>293</v>
      </c>
      <c r="H3086" s="25"/>
      <c r="BA3086" s="73" t="s">
        <v>355</v>
      </c>
      <c r="BB3086" s="48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357</v>
      </c>
      <c r="E3087" s="1" t="s">
        <v>125</v>
      </c>
      <c r="F3087" s="26">
        <v>434</v>
      </c>
      <c r="G3087" s="25" t="s">
        <v>293</v>
      </c>
      <c r="H3087" s="25"/>
      <c r="BA3087" s="73" t="s">
        <v>355</v>
      </c>
      <c r="BB3087" s="48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357</v>
      </c>
      <c r="E3088" s="1" t="s">
        <v>126</v>
      </c>
      <c r="F3088" s="26">
        <v>156</v>
      </c>
      <c r="G3088" s="25" t="s">
        <v>293</v>
      </c>
      <c r="H3088" s="25"/>
      <c r="BA3088" s="73" t="s">
        <v>355</v>
      </c>
      <c r="BB3088" s="48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357</v>
      </c>
      <c r="E3089" s="1" t="s">
        <v>349</v>
      </c>
      <c r="F3089" s="26">
        <v>374</v>
      </c>
      <c r="G3089" s="25" t="s">
        <v>293</v>
      </c>
      <c r="H3089" s="25"/>
      <c r="BA3089" s="73" t="s">
        <v>355</v>
      </c>
      <c r="BB3089" s="48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357</v>
      </c>
      <c r="E3090" s="1" t="s">
        <v>350</v>
      </c>
      <c r="F3090" s="26">
        <v>88</v>
      </c>
      <c r="G3090" s="25" t="s">
        <v>293</v>
      </c>
      <c r="H3090" s="25"/>
      <c r="BA3090" s="73" t="s">
        <v>355</v>
      </c>
      <c r="BB3090" s="48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357</v>
      </c>
      <c r="E3091" s="1" t="s">
        <v>122</v>
      </c>
      <c r="F3091" s="26">
        <v>216</v>
      </c>
      <c r="G3091" s="25" t="s">
        <v>293</v>
      </c>
      <c r="H3091" s="25"/>
      <c r="BA3091" s="73" t="s">
        <v>355</v>
      </c>
      <c r="BB3091" s="48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357</v>
      </c>
      <c r="E3092" s="1" t="s">
        <v>124</v>
      </c>
      <c r="F3092" s="26">
        <v>103</v>
      </c>
      <c r="G3092" s="25" t="s">
        <v>293</v>
      </c>
      <c r="H3092" s="25"/>
      <c r="BA3092" s="73" t="s">
        <v>355</v>
      </c>
      <c r="BB3092" s="48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357</v>
      </c>
      <c r="E3093" s="1" t="s">
        <v>351</v>
      </c>
      <c r="F3093" s="26">
        <v>3.63</v>
      </c>
      <c r="G3093" s="25" t="s">
        <v>293</v>
      </c>
      <c r="H3093" s="25"/>
      <c r="BA3093" s="73" t="s">
        <v>355</v>
      </c>
      <c r="BB3093" s="48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357</v>
      </c>
      <c r="E3094" s="1" t="s">
        <v>353</v>
      </c>
      <c r="F3094" s="26">
        <v>16.3</v>
      </c>
      <c r="G3094" s="25" t="s">
        <v>293</v>
      </c>
      <c r="H3094" s="25"/>
      <c r="BA3094" s="73" t="s">
        <v>355</v>
      </c>
      <c r="BB3094" s="48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357</v>
      </c>
      <c r="E3095" s="1" t="s">
        <v>133</v>
      </c>
      <c r="F3095" s="26">
        <v>125</v>
      </c>
      <c r="G3095" s="25" t="s">
        <v>293</v>
      </c>
      <c r="H3095" s="25"/>
      <c r="BA3095" s="73" t="s">
        <v>355</v>
      </c>
      <c r="BB3095" s="48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357</v>
      </c>
      <c r="E3096" s="1" t="s">
        <v>135</v>
      </c>
      <c r="F3096" s="26">
        <v>6.4</v>
      </c>
      <c r="G3096" s="25" t="s">
        <v>293</v>
      </c>
      <c r="H3096" s="25"/>
      <c r="BA3096" s="73" t="s">
        <v>355</v>
      </c>
      <c r="BB3096" s="48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357</v>
      </c>
      <c r="E3097" s="1" t="s">
        <v>136</v>
      </c>
      <c r="F3097" s="26">
        <v>97</v>
      </c>
      <c r="G3097" s="25" t="s">
        <v>293</v>
      </c>
      <c r="H3097" s="25"/>
      <c r="BA3097" s="73" t="s">
        <v>355</v>
      </c>
      <c r="BB3097" s="48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357</v>
      </c>
      <c r="E3098" s="1" t="s">
        <v>339</v>
      </c>
      <c r="F3098" s="26">
        <v>1.03</v>
      </c>
      <c r="G3098" s="25" t="s">
        <v>293</v>
      </c>
      <c r="H3098" s="25"/>
      <c r="BA3098" s="73" t="s">
        <v>355</v>
      </c>
      <c r="BB3098" s="48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357</v>
      </c>
      <c r="E3099" s="1" t="s">
        <v>118</v>
      </c>
      <c r="F3099" s="26">
        <v>9.6</v>
      </c>
      <c r="G3099" s="25" t="s">
        <v>293</v>
      </c>
      <c r="H3099" s="25"/>
      <c r="BA3099" s="73" t="s">
        <v>355</v>
      </c>
      <c r="BB3099" s="48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357</v>
      </c>
      <c r="E3100" s="1" t="s">
        <v>130</v>
      </c>
      <c r="F3100" s="26">
        <v>2.4</v>
      </c>
      <c r="G3100" s="25" t="s">
        <v>293</v>
      </c>
      <c r="H3100" s="25"/>
      <c r="BA3100" s="73" t="s">
        <v>355</v>
      </c>
      <c r="BB3100" s="48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357</v>
      </c>
      <c r="E3101" s="1" t="s">
        <v>341</v>
      </c>
      <c r="F3101" s="26">
        <v>1.1100000000000001</v>
      </c>
      <c r="G3101" s="25" t="s">
        <v>293</v>
      </c>
      <c r="H3101" s="25"/>
      <c r="BA3101" s="73" t="s">
        <v>355</v>
      </c>
      <c r="BB3101" s="48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357</v>
      </c>
      <c r="E3102" s="1" t="s">
        <v>127</v>
      </c>
      <c r="F3102" s="26">
        <v>4.58</v>
      </c>
      <c r="G3102" s="25" t="s">
        <v>293</v>
      </c>
      <c r="H3102" s="25"/>
      <c r="BA3102" s="73" t="s">
        <v>355</v>
      </c>
      <c r="BB3102" s="48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357</v>
      </c>
      <c r="E3103" s="1" t="s">
        <v>131</v>
      </c>
      <c r="F3103" s="26">
        <v>11.7</v>
      </c>
      <c r="G3103" s="25" t="s">
        <v>293</v>
      </c>
      <c r="H3103" s="25"/>
      <c r="BA3103" s="73" t="s">
        <v>355</v>
      </c>
      <c r="BB3103" s="48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357</v>
      </c>
      <c r="E3104" s="1" t="s">
        <v>342</v>
      </c>
      <c r="F3104" s="26">
        <v>208</v>
      </c>
      <c r="G3104" s="25" t="s">
        <v>293</v>
      </c>
      <c r="H3104" s="25"/>
      <c r="BA3104" s="73" t="s">
        <v>355</v>
      </c>
      <c r="BB3104" s="48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357</v>
      </c>
      <c r="E3105" s="1" t="s">
        <v>119</v>
      </c>
      <c r="F3105" s="26">
        <v>90</v>
      </c>
      <c r="G3105" s="25" t="s">
        <v>293</v>
      </c>
      <c r="H3105" s="25"/>
      <c r="BA3105" s="73" t="s">
        <v>355</v>
      </c>
      <c r="BB3105" s="48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357</v>
      </c>
      <c r="E3106" s="1" t="s">
        <v>120</v>
      </c>
      <c r="F3106" s="26">
        <v>27</v>
      </c>
      <c r="G3106" s="25" t="s">
        <v>293</v>
      </c>
      <c r="H3106" s="25"/>
      <c r="BA3106" s="73" t="s">
        <v>355</v>
      </c>
      <c r="BB3106" s="48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357</v>
      </c>
      <c r="E3107" s="1" t="s">
        <v>117</v>
      </c>
      <c r="F3107" s="26">
        <v>6.19</v>
      </c>
      <c r="G3107" s="25" t="s">
        <v>293</v>
      </c>
      <c r="H3107" s="25"/>
      <c r="BA3107" s="73" t="s">
        <v>355</v>
      </c>
      <c r="BB3107" s="48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357</v>
      </c>
      <c r="E3108" s="1" t="s">
        <v>344</v>
      </c>
      <c r="F3108" s="26">
        <v>67</v>
      </c>
      <c r="G3108" s="25" t="s">
        <v>293</v>
      </c>
      <c r="H3108" s="25"/>
      <c r="BA3108" s="73" t="s">
        <v>355</v>
      </c>
      <c r="BB3108" s="48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357</v>
      </c>
      <c r="E3109" s="1" t="s">
        <v>132</v>
      </c>
      <c r="F3109" s="26">
        <v>7.3</v>
      </c>
      <c r="G3109" s="25" t="s">
        <v>293</v>
      </c>
      <c r="H3109" s="25"/>
      <c r="BA3109" s="73" t="s">
        <v>355</v>
      </c>
      <c r="BB3109" s="48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357</v>
      </c>
      <c r="E3110" s="1" t="s">
        <v>111</v>
      </c>
      <c r="F3110" s="26">
        <v>276</v>
      </c>
      <c r="G3110" s="25" t="s">
        <v>293</v>
      </c>
      <c r="H3110" s="25"/>
      <c r="BA3110" s="73" t="s">
        <v>355</v>
      </c>
      <c r="BB3110" s="48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357</v>
      </c>
      <c r="E3111" s="1" t="s">
        <v>345</v>
      </c>
      <c r="F3111" s="26">
        <v>9.9</v>
      </c>
      <c r="G3111" s="25" t="s">
        <v>293</v>
      </c>
      <c r="H3111" s="25"/>
      <c r="BA3111" s="73" t="s">
        <v>355</v>
      </c>
      <c r="BB3111" s="48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357</v>
      </c>
      <c r="E3112" s="1" t="s">
        <v>347</v>
      </c>
      <c r="F3112" s="26">
        <v>4.63</v>
      </c>
      <c r="G3112" s="25" t="s">
        <v>293</v>
      </c>
      <c r="H3112" s="25"/>
      <c r="BA3112" s="73" t="s">
        <v>355</v>
      </c>
      <c r="BB3112" s="48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357</v>
      </c>
      <c r="E3113" s="1" t="s">
        <v>128</v>
      </c>
      <c r="F3113" s="26">
        <v>4.3</v>
      </c>
      <c r="G3113" s="25" t="s">
        <v>293</v>
      </c>
      <c r="H3113" s="25"/>
      <c r="BA3113" s="73" t="s">
        <v>355</v>
      </c>
      <c r="BB3113" s="48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357</v>
      </c>
      <c r="E3114" s="1" t="s">
        <v>121</v>
      </c>
      <c r="F3114" s="26">
        <v>78</v>
      </c>
      <c r="G3114" s="25" t="s">
        <v>293</v>
      </c>
      <c r="H3114" s="25"/>
      <c r="BA3114" s="73" t="s">
        <v>355</v>
      </c>
      <c r="BB3114" s="48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357</v>
      </c>
      <c r="E3115" s="1" t="s">
        <v>115</v>
      </c>
      <c r="F3115" s="26">
        <v>97</v>
      </c>
      <c r="G3115" s="25" t="s">
        <v>293</v>
      </c>
      <c r="H3115" s="25"/>
      <c r="BA3115" s="73" t="s">
        <v>355</v>
      </c>
      <c r="BB3115" s="48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357</v>
      </c>
      <c r="E3116" s="1" t="s">
        <v>137</v>
      </c>
      <c r="F3116" s="26">
        <v>483</v>
      </c>
      <c r="G3116" s="25" t="s">
        <v>293</v>
      </c>
      <c r="H3116" s="25"/>
      <c r="BA3116" s="73" t="s">
        <v>355</v>
      </c>
      <c r="BB3116" s="48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357</v>
      </c>
      <c r="E3117" s="1" t="s">
        <v>348</v>
      </c>
      <c r="F3117" s="26">
        <v>435</v>
      </c>
      <c r="G3117" s="25" t="s">
        <v>293</v>
      </c>
      <c r="H3117" s="25"/>
      <c r="BA3117" s="73" t="s">
        <v>355</v>
      </c>
      <c r="BB3117" s="48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357</v>
      </c>
      <c r="E3118" s="1" t="s">
        <v>125</v>
      </c>
      <c r="F3118" s="26">
        <v>417</v>
      </c>
      <c r="G3118" s="25" t="s">
        <v>293</v>
      </c>
      <c r="H3118" s="25"/>
      <c r="BA3118" s="73" t="s">
        <v>355</v>
      </c>
      <c r="BB3118" s="48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357</v>
      </c>
      <c r="E3119" s="1" t="s">
        <v>126</v>
      </c>
      <c r="F3119" s="26">
        <v>152</v>
      </c>
      <c r="G3119" s="25" t="s">
        <v>293</v>
      </c>
      <c r="H3119" s="25"/>
      <c r="BA3119" s="73" t="s">
        <v>355</v>
      </c>
      <c r="BB3119" s="48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357</v>
      </c>
      <c r="E3120" s="1" t="s">
        <v>349</v>
      </c>
      <c r="F3120" s="26">
        <v>366</v>
      </c>
      <c r="G3120" s="25" t="s">
        <v>293</v>
      </c>
      <c r="H3120" s="25"/>
      <c r="BA3120" s="73" t="s">
        <v>355</v>
      </c>
      <c r="BB3120" s="48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357</v>
      </c>
      <c r="E3121" s="1" t="s">
        <v>350</v>
      </c>
      <c r="F3121" s="26">
        <v>86</v>
      </c>
      <c r="G3121" s="25" t="s">
        <v>293</v>
      </c>
      <c r="H3121" s="25"/>
      <c r="BA3121" s="73" t="s">
        <v>355</v>
      </c>
      <c r="BB3121" s="48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357</v>
      </c>
      <c r="E3122" s="1" t="s">
        <v>122</v>
      </c>
      <c r="F3122" s="26">
        <v>217</v>
      </c>
      <c r="G3122" s="25" t="s">
        <v>293</v>
      </c>
      <c r="H3122" s="25"/>
      <c r="BA3122" s="73" t="s">
        <v>355</v>
      </c>
      <c r="BB3122" s="48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357</v>
      </c>
      <c r="E3123" s="1" t="s">
        <v>124</v>
      </c>
      <c r="F3123" s="26">
        <v>110</v>
      </c>
      <c r="G3123" s="25" t="s">
        <v>293</v>
      </c>
      <c r="H3123" s="25"/>
      <c r="BA3123" s="73" t="s">
        <v>355</v>
      </c>
      <c r="BB3123" s="48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357</v>
      </c>
      <c r="E3124" s="1" t="s">
        <v>351</v>
      </c>
      <c r="F3124" s="26">
        <v>3.58</v>
      </c>
      <c r="G3124" s="25" t="s">
        <v>293</v>
      </c>
      <c r="H3124" s="25"/>
      <c r="BA3124" s="73" t="s">
        <v>355</v>
      </c>
      <c r="BB3124" s="48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357</v>
      </c>
      <c r="E3125" s="1" t="s">
        <v>353</v>
      </c>
      <c r="F3125" s="26">
        <v>18</v>
      </c>
      <c r="G3125" s="25" t="s">
        <v>293</v>
      </c>
      <c r="H3125" s="25"/>
      <c r="BA3125" s="73" t="s">
        <v>355</v>
      </c>
      <c r="BB3125" s="48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357</v>
      </c>
      <c r="E3126" s="1" t="s">
        <v>133</v>
      </c>
      <c r="F3126" s="26">
        <v>123</v>
      </c>
      <c r="G3126" s="25" t="s">
        <v>293</v>
      </c>
      <c r="H3126" s="25"/>
      <c r="BA3126" s="73" t="s">
        <v>355</v>
      </c>
      <c r="BB3126" s="48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357</v>
      </c>
      <c r="E3127" s="1" t="s">
        <v>135</v>
      </c>
      <c r="F3127" s="26">
        <v>6.4</v>
      </c>
      <c r="G3127" s="25" t="s">
        <v>293</v>
      </c>
      <c r="H3127" s="25"/>
      <c r="BA3127" s="73" t="s">
        <v>355</v>
      </c>
      <c r="BB3127" s="48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357</v>
      </c>
      <c r="E3128" s="1" t="s">
        <v>136</v>
      </c>
      <c r="F3128" s="26">
        <v>98</v>
      </c>
      <c r="G3128" s="25" t="s">
        <v>293</v>
      </c>
      <c r="H3128" s="25"/>
      <c r="BA3128" s="73" t="s">
        <v>355</v>
      </c>
      <c r="BB3128" s="48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357</v>
      </c>
      <c r="E3129" s="1" t="s">
        <v>339</v>
      </c>
      <c r="F3129" s="26">
        <v>1.1499999999999999</v>
      </c>
      <c r="G3129" s="25" t="s">
        <v>293</v>
      </c>
      <c r="H3129" s="25"/>
      <c r="BA3129" s="73" t="s">
        <v>355</v>
      </c>
      <c r="BB3129" s="48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357</v>
      </c>
      <c r="E3130" s="1" t="s">
        <v>118</v>
      </c>
      <c r="F3130" s="26">
        <v>9.5</v>
      </c>
      <c r="G3130" s="25" t="s">
        <v>293</v>
      </c>
      <c r="H3130" s="25"/>
      <c r="BA3130" s="73" t="s">
        <v>355</v>
      </c>
      <c r="BB3130" s="48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357</v>
      </c>
      <c r="E3131" s="1" t="s">
        <v>130</v>
      </c>
      <c r="F3131" s="26">
        <v>2.4</v>
      </c>
      <c r="G3131" s="25" t="s">
        <v>293</v>
      </c>
      <c r="H3131" s="25"/>
      <c r="BA3131" s="73" t="s">
        <v>355</v>
      </c>
      <c r="BB3131" s="48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357</v>
      </c>
      <c r="E3132" s="1" t="s">
        <v>341</v>
      </c>
      <c r="F3132" s="26">
        <v>1.1100000000000001</v>
      </c>
      <c r="G3132" s="25" t="s">
        <v>293</v>
      </c>
      <c r="H3132" s="25"/>
      <c r="BA3132" s="73" t="s">
        <v>355</v>
      </c>
      <c r="BB3132" s="48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357</v>
      </c>
      <c r="E3133" s="1" t="s">
        <v>127</v>
      </c>
      <c r="F3133" s="26">
        <v>4.5199999999999996</v>
      </c>
      <c r="G3133" s="25" t="s">
        <v>293</v>
      </c>
      <c r="H3133" s="25"/>
      <c r="BA3133" s="73" t="s">
        <v>355</v>
      </c>
      <c r="BB3133" s="48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357</v>
      </c>
      <c r="E3134" s="1" t="s">
        <v>131</v>
      </c>
      <c r="F3134" s="26">
        <v>12.2</v>
      </c>
      <c r="G3134" s="25" t="s">
        <v>293</v>
      </c>
      <c r="H3134" s="25"/>
      <c r="BA3134" s="73" t="s">
        <v>355</v>
      </c>
      <c r="BB3134" s="48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357</v>
      </c>
      <c r="E3135" s="1" t="s">
        <v>342</v>
      </c>
      <c r="F3135" s="26">
        <v>210</v>
      </c>
      <c r="G3135" s="25" t="s">
        <v>293</v>
      </c>
      <c r="H3135" s="25"/>
      <c r="BA3135" s="73" t="s">
        <v>355</v>
      </c>
      <c r="BB3135" s="48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357</v>
      </c>
      <c r="E3136" s="1" t="s">
        <v>119</v>
      </c>
      <c r="F3136" s="26">
        <v>91</v>
      </c>
      <c r="G3136" s="25" t="s">
        <v>293</v>
      </c>
      <c r="H3136" s="25"/>
      <c r="BA3136" s="73" t="s">
        <v>355</v>
      </c>
      <c r="BB3136" s="48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357</v>
      </c>
      <c r="E3137" s="1" t="s">
        <v>120</v>
      </c>
      <c r="F3137" s="26">
        <v>27</v>
      </c>
      <c r="G3137" s="25" t="s">
        <v>293</v>
      </c>
      <c r="H3137" s="25"/>
      <c r="BA3137" s="73" t="s">
        <v>355</v>
      </c>
      <c r="BB3137" s="48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357</v>
      </c>
      <c r="E3138" s="1" t="s">
        <v>117</v>
      </c>
      <c r="F3138" s="26">
        <v>6.17</v>
      </c>
      <c r="G3138" s="25" t="s">
        <v>293</v>
      </c>
      <c r="H3138" s="25"/>
      <c r="BA3138" s="73" t="s">
        <v>355</v>
      </c>
      <c r="BB3138" s="48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357</v>
      </c>
      <c r="E3139" s="1" t="s">
        <v>344</v>
      </c>
      <c r="F3139" s="26">
        <v>68</v>
      </c>
      <c r="G3139" s="25" t="s">
        <v>293</v>
      </c>
      <c r="H3139" s="25"/>
      <c r="BA3139" s="73" t="s">
        <v>355</v>
      </c>
      <c r="BB3139" s="48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357</v>
      </c>
      <c r="E3140" s="1" t="s">
        <v>132</v>
      </c>
      <c r="F3140" s="26">
        <v>7.19</v>
      </c>
      <c r="G3140" s="25" t="s">
        <v>293</v>
      </c>
      <c r="H3140" s="25"/>
      <c r="BA3140" s="73" t="s">
        <v>355</v>
      </c>
      <c r="BB3140" s="48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357</v>
      </c>
      <c r="E3141" s="1" t="s">
        <v>111</v>
      </c>
      <c r="F3141" s="26">
        <v>281</v>
      </c>
      <c r="G3141" s="25" t="s">
        <v>293</v>
      </c>
      <c r="H3141" s="25"/>
      <c r="BA3141" s="73" t="s">
        <v>355</v>
      </c>
      <c r="BB3141" s="48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357</v>
      </c>
      <c r="E3142" s="1" t="s">
        <v>345</v>
      </c>
      <c r="F3142" s="26">
        <v>9.89</v>
      </c>
      <c r="G3142" s="25" t="s">
        <v>293</v>
      </c>
      <c r="H3142" s="25"/>
      <c r="BA3142" s="73" t="s">
        <v>355</v>
      </c>
      <c r="BB3142" s="48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357</v>
      </c>
      <c r="E3143" s="1" t="s">
        <v>347</v>
      </c>
      <c r="F3143" s="26">
        <v>4.5</v>
      </c>
      <c r="G3143" s="25" t="s">
        <v>293</v>
      </c>
      <c r="H3143" s="25"/>
      <c r="BA3143" s="73" t="s">
        <v>355</v>
      </c>
      <c r="BB3143" s="48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357</v>
      </c>
      <c r="E3144" s="1" t="s">
        <v>128</v>
      </c>
      <c r="F3144" s="26">
        <v>4.4000000000000004</v>
      </c>
      <c r="G3144" s="25" t="s">
        <v>293</v>
      </c>
      <c r="H3144" s="25"/>
      <c r="BA3144" s="73" t="s">
        <v>355</v>
      </c>
      <c r="BB3144" s="48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357</v>
      </c>
      <c r="E3145" s="1" t="s">
        <v>121</v>
      </c>
      <c r="F3145" s="26">
        <v>78</v>
      </c>
      <c r="G3145" s="25" t="s">
        <v>293</v>
      </c>
      <c r="H3145" s="25"/>
      <c r="BA3145" s="73" t="s">
        <v>355</v>
      </c>
      <c r="BB3145" s="48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357</v>
      </c>
      <c r="E3146" s="1" t="s">
        <v>115</v>
      </c>
      <c r="F3146" s="26">
        <v>95</v>
      </c>
      <c r="G3146" s="25" t="s">
        <v>293</v>
      </c>
      <c r="H3146" s="25"/>
      <c r="BA3146" s="73" t="s">
        <v>355</v>
      </c>
      <c r="BB3146" s="48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357</v>
      </c>
      <c r="E3147" s="1" t="s">
        <v>137</v>
      </c>
      <c r="F3147" s="26">
        <v>486</v>
      </c>
      <c r="G3147" s="25" t="s">
        <v>293</v>
      </c>
      <c r="H3147" s="25"/>
      <c r="BA3147" s="73" t="s">
        <v>355</v>
      </c>
      <c r="BB3147" s="48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357</v>
      </c>
      <c r="E3148" s="1" t="s">
        <v>348</v>
      </c>
      <c r="F3148" s="26">
        <v>429</v>
      </c>
      <c r="G3148" s="25" t="s">
        <v>293</v>
      </c>
      <c r="H3148" s="25"/>
      <c r="BA3148" s="73" t="s">
        <v>355</v>
      </c>
      <c r="BB3148" s="48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357</v>
      </c>
      <c r="E3149" s="1" t="s">
        <v>125</v>
      </c>
      <c r="F3149" s="26">
        <v>399</v>
      </c>
      <c r="G3149" s="25" t="s">
        <v>293</v>
      </c>
      <c r="H3149" s="25"/>
      <c r="BA3149" s="73" t="s">
        <v>355</v>
      </c>
      <c r="BB3149" s="48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357</v>
      </c>
      <c r="E3150" s="1" t="s">
        <v>126</v>
      </c>
      <c r="F3150" s="26">
        <v>154</v>
      </c>
      <c r="G3150" s="25" t="s">
        <v>293</v>
      </c>
      <c r="H3150" s="25"/>
      <c r="BA3150" s="73" t="s">
        <v>355</v>
      </c>
      <c r="BB3150" s="48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357</v>
      </c>
      <c r="E3151" s="1" t="s">
        <v>349</v>
      </c>
      <c r="F3151" s="26">
        <v>369</v>
      </c>
      <c r="G3151" s="25" t="s">
        <v>293</v>
      </c>
      <c r="H3151" s="25"/>
      <c r="BA3151" s="73" t="s">
        <v>355</v>
      </c>
      <c r="BB3151" s="48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357</v>
      </c>
      <c r="E3152" s="1" t="s">
        <v>350</v>
      </c>
      <c r="F3152" s="26">
        <v>89</v>
      </c>
      <c r="G3152" s="25" t="s">
        <v>293</v>
      </c>
      <c r="H3152" s="25"/>
      <c r="BA3152" s="73" t="s">
        <v>355</v>
      </c>
      <c r="BB3152" s="48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357</v>
      </c>
      <c r="E3153" s="1" t="s">
        <v>122</v>
      </c>
      <c r="F3153" s="26">
        <v>215</v>
      </c>
      <c r="G3153" s="25" t="s">
        <v>293</v>
      </c>
      <c r="H3153" s="25"/>
      <c r="BA3153" s="73" t="s">
        <v>355</v>
      </c>
      <c r="BB3153" s="48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357</v>
      </c>
      <c r="E3154" s="1" t="s">
        <v>124</v>
      </c>
      <c r="F3154" s="26">
        <v>109</v>
      </c>
      <c r="G3154" s="25" t="s">
        <v>293</v>
      </c>
      <c r="H3154" s="25"/>
      <c r="BA3154" s="73" t="s">
        <v>355</v>
      </c>
      <c r="BB3154" s="48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357</v>
      </c>
      <c r="E3155" s="1" t="s">
        <v>351</v>
      </c>
      <c r="F3155" s="26">
        <v>3.74</v>
      </c>
      <c r="G3155" s="25" t="s">
        <v>293</v>
      </c>
      <c r="H3155" s="25"/>
      <c r="BA3155" s="73" t="s">
        <v>355</v>
      </c>
      <c r="BB3155" s="48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357</v>
      </c>
      <c r="E3156" s="1" t="s">
        <v>353</v>
      </c>
      <c r="F3156" s="26">
        <v>19</v>
      </c>
      <c r="G3156" s="25" t="s">
        <v>293</v>
      </c>
      <c r="H3156" s="25"/>
      <c r="BA3156" s="73" t="s">
        <v>355</v>
      </c>
      <c r="BB3156" s="48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357</v>
      </c>
      <c r="E3157" s="1" t="s">
        <v>133</v>
      </c>
      <c r="F3157" s="26">
        <v>126</v>
      </c>
      <c r="G3157" s="25" t="s">
        <v>293</v>
      </c>
      <c r="H3157" s="25"/>
      <c r="BA3157" s="73" t="s">
        <v>355</v>
      </c>
      <c r="BB3157" s="48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357</v>
      </c>
      <c r="E3158" s="1" t="s">
        <v>135</v>
      </c>
      <c r="F3158" s="26">
        <v>6.5</v>
      </c>
      <c r="G3158" s="25" t="s">
        <v>293</v>
      </c>
      <c r="H3158" s="25"/>
      <c r="BA3158" s="73" t="s">
        <v>355</v>
      </c>
      <c r="BB3158" s="48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357</v>
      </c>
      <c r="E3159" s="1" t="s">
        <v>136</v>
      </c>
      <c r="F3159" s="26">
        <v>97</v>
      </c>
      <c r="G3159" s="25" t="s">
        <v>293</v>
      </c>
      <c r="H3159" s="25"/>
      <c r="BA3159" s="73" t="s">
        <v>355</v>
      </c>
      <c r="BB3159" s="48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357</v>
      </c>
      <c r="E3160" s="1" t="s">
        <v>339</v>
      </c>
      <c r="F3160" s="26">
        <v>1.07</v>
      </c>
      <c r="G3160" s="25" t="s">
        <v>293</v>
      </c>
      <c r="H3160" s="25"/>
      <c r="BA3160" s="73" t="s">
        <v>355</v>
      </c>
      <c r="BB3160" s="48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357</v>
      </c>
      <c r="E3161" s="1" t="s">
        <v>118</v>
      </c>
      <c r="F3161" s="26">
        <v>9.3000000000000007</v>
      </c>
      <c r="G3161" s="25" t="s">
        <v>293</v>
      </c>
      <c r="H3161" s="25"/>
      <c r="BA3161" s="73" t="s">
        <v>355</v>
      </c>
      <c r="BB3161" s="48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357</v>
      </c>
      <c r="E3162" s="1" t="s">
        <v>130</v>
      </c>
      <c r="F3162" s="26">
        <v>2.39</v>
      </c>
      <c r="G3162" s="25" t="s">
        <v>293</v>
      </c>
      <c r="H3162" s="25"/>
      <c r="BA3162" s="73" t="s">
        <v>355</v>
      </c>
      <c r="BB3162" s="48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357</v>
      </c>
      <c r="E3163" s="1" t="s">
        <v>341</v>
      </c>
      <c r="F3163" s="26">
        <v>1.1000000000000001</v>
      </c>
      <c r="G3163" s="25" t="s">
        <v>293</v>
      </c>
      <c r="H3163" s="25"/>
      <c r="BA3163" s="73" t="s">
        <v>355</v>
      </c>
      <c r="BB3163" s="48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357</v>
      </c>
      <c r="E3164" s="1" t="s">
        <v>127</v>
      </c>
      <c r="F3164" s="26">
        <v>4.5</v>
      </c>
      <c r="G3164" s="25" t="s">
        <v>293</v>
      </c>
      <c r="H3164" s="25"/>
      <c r="BA3164" s="73" t="s">
        <v>355</v>
      </c>
      <c r="BB3164" s="48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357</v>
      </c>
      <c r="E3165" s="1" t="s">
        <v>131</v>
      </c>
      <c r="F3165" s="26">
        <v>12.3</v>
      </c>
      <c r="G3165" s="25" t="s">
        <v>293</v>
      </c>
      <c r="H3165" s="25"/>
      <c r="BA3165" s="73" t="s">
        <v>355</v>
      </c>
      <c r="BB3165" s="48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357</v>
      </c>
      <c r="E3166" s="1" t="s">
        <v>342</v>
      </c>
      <c r="F3166" s="26">
        <v>201</v>
      </c>
      <c r="G3166" s="25" t="s">
        <v>293</v>
      </c>
      <c r="H3166" s="25"/>
      <c r="BA3166" s="73" t="s">
        <v>355</v>
      </c>
      <c r="BB3166" s="48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357</v>
      </c>
      <c r="E3167" s="1" t="s">
        <v>119</v>
      </c>
      <c r="F3167" s="26">
        <v>89</v>
      </c>
      <c r="G3167" s="25" t="s">
        <v>293</v>
      </c>
      <c r="H3167" s="25"/>
      <c r="BA3167" s="73" t="s">
        <v>355</v>
      </c>
      <c r="BB3167" s="48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357</v>
      </c>
      <c r="E3168" s="1" t="s">
        <v>120</v>
      </c>
      <c r="F3168" s="26">
        <v>27</v>
      </c>
      <c r="G3168" s="25" t="s">
        <v>293</v>
      </c>
      <c r="H3168" s="25"/>
      <c r="BA3168" s="73" t="s">
        <v>355</v>
      </c>
      <c r="BB3168" s="48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357</v>
      </c>
      <c r="E3169" s="1" t="s">
        <v>117</v>
      </c>
      <c r="F3169" s="26">
        <v>6.31</v>
      </c>
      <c r="G3169" s="25" t="s">
        <v>293</v>
      </c>
      <c r="H3169" s="25"/>
      <c r="BA3169" s="73" t="s">
        <v>355</v>
      </c>
      <c r="BB3169" s="48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357</v>
      </c>
      <c r="E3170" s="1" t="s">
        <v>344</v>
      </c>
      <c r="F3170" s="26">
        <v>69</v>
      </c>
      <c r="G3170" s="25" t="s">
        <v>293</v>
      </c>
      <c r="H3170" s="25"/>
      <c r="BA3170" s="73" t="s">
        <v>355</v>
      </c>
      <c r="BB3170" s="48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357</v>
      </c>
      <c r="E3171" s="1" t="s">
        <v>132</v>
      </c>
      <c r="F3171" s="26">
        <v>7.11</v>
      </c>
      <c r="G3171" s="25" t="s">
        <v>293</v>
      </c>
      <c r="H3171" s="25"/>
      <c r="BA3171" s="73" t="s">
        <v>355</v>
      </c>
      <c r="BB3171" s="48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357</v>
      </c>
      <c r="E3172" s="1" t="s">
        <v>111</v>
      </c>
      <c r="F3172" s="26">
        <v>280</v>
      </c>
      <c r="G3172" s="25" t="s">
        <v>293</v>
      </c>
      <c r="H3172" s="25"/>
      <c r="BA3172" s="73" t="s">
        <v>355</v>
      </c>
      <c r="BB3172" s="48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357</v>
      </c>
      <c r="E3173" s="1" t="s">
        <v>345</v>
      </c>
      <c r="F3173" s="26">
        <v>9.91</v>
      </c>
      <c r="G3173" s="25" t="s">
        <v>293</v>
      </c>
      <c r="H3173" s="25"/>
      <c r="BA3173" s="73" t="s">
        <v>355</v>
      </c>
      <c r="BB3173" s="48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357</v>
      </c>
      <c r="E3174" s="1" t="s">
        <v>347</v>
      </c>
      <c r="F3174" s="26">
        <v>4.72</v>
      </c>
      <c r="G3174" s="25" t="s">
        <v>293</v>
      </c>
      <c r="H3174" s="25"/>
      <c r="BA3174" s="73" t="s">
        <v>355</v>
      </c>
      <c r="BB3174" s="48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357</v>
      </c>
      <c r="E3175" s="1" t="s">
        <v>128</v>
      </c>
      <c r="F3175" s="26">
        <v>4.3</v>
      </c>
      <c r="G3175" s="25" t="s">
        <v>293</v>
      </c>
      <c r="H3175" s="25"/>
      <c r="BA3175" s="73" t="s">
        <v>355</v>
      </c>
      <c r="BB3175" s="48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357</v>
      </c>
      <c r="E3176" s="1" t="s">
        <v>121</v>
      </c>
      <c r="F3176" s="26">
        <v>81</v>
      </c>
      <c r="G3176" s="25" t="s">
        <v>293</v>
      </c>
      <c r="H3176" s="25"/>
      <c r="BA3176" s="73" t="s">
        <v>355</v>
      </c>
      <c r="BB3176" s="48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357</v>
      </c>
      <c r="E3177" s="1" t="s">
        <v>115</v>
      </c>
      <c r="F3177" s="26">
        <v>95</v>
      </c>
      <c r="G3177" s="25" t="s">
        <v>293</v>
      </c>
      <c r="H3177" s="25"/>
      <c r="BA3177" s="73" t="s">
        <v>355</v>
      </c>
      <c r="BB3177" s="48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357</v>
      </c>
      <c r="E3178" s="1" t="s">
        <v>137</v>
      </c>
      <c r="F3178" s="26">
        <v>476</v>
      </c>
      <c r="G3178" s="25" t="s">
        <v>293</v>
      </c>
      <c r="H3178" s="25"/>
      <c r="BA3178" s="73" t="s">
        <v>355</v>
      </c>
      <c r="BB3178" s="48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357</v>
      </c>
      <c r="E3179" s="1" t="s">
        <v>348</v>
      </c>
      <c r="F3179" s="26">
        <v>429</v>
      </c>
      <c r="G3179" s="25" t="s">
        <v>293</v>
      </c>
      <c r="H3179" s="25"/>
      <c r="BA3179" s="73" t="s">
        <v>355</v>
      </c>
      <c r="BB3179" s="48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357</v>
      </c>
      <c r="E3180" s="1" t="s">
        <v>125</v>
      </c>
      <c r="F3180" s="26">
        <v>427</v>
      </c>
      <c r="G3180" s="25" t="s">
        <v>293</v>
      </c>
      <c r="H3180" s="25"/>
      <c r="BA3180" s="73" t="s">
        <v>355</v>
      </c>
      <c r="BB3180" s="48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357</v>
      </c>
      <c r="E3181" s="1" t="s">
        <v>126</v>
      </c>
      <c r="F3181" s="26">
        <v>150</v>
      </c>
      <c r="G3181" s="25" t="s">
        <v>293</v>
      </c>
      <c r="H3181" s="25"/>
      <c r="BA3181" s="73" t="s">
        <v>355</v>
      </c>
      <c r="BB3181" s="48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357</v>
      </c>
      <c r="E3182" s="1" t="s">
        <v>349</v>
      </c>
      <c r="F3182" s="26">
        <v>381</v>
      </c>
      <c r="G3182" s="25" t="s">
        <v>293</v>
      </c>
      <c r="H3182" s="25"/>
      <c r="BA3182" s="73" t="s">
        <v>355</v>
      </c>
      <c r="BB3182" s="48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357</v>
      </c>
      <c r="E3183" s="1" t="s">
        <v>350</v>
      </c>
      <c r="F3183" s="26">
        <v>84</v>
      </c>
      <c r="G3183" s="25" t="s">
        <v>293</v>
      </c>
      <c r="H3183" s="25"/>
      <c r="BA3183" s="73" t="s">
        <v>355</v>
      </c>
      <c r="BB3183" s="48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357</v>
      </c>
      <c r="E3184" s="1" t="s">
        <v>122</v>
      </c>
      <c r="F3184" s="26">
        <v>210</v>
      </c>
      <c r="G3184" s="25" t="s">
        <v>293</v>
      </c>
      <c r="H3184" s="25"/>
      <c r="BA3184" s="73" t="s">
        <v>355</v>
      </c>
      <c r="BB3184" s="48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357</v>
      </c>
      <c r="E3185" s="1" t="s">
        <v>124</v>
      </c>
      <c r="F3185" s="26">
        <v>102</v>
      </c>
      <c r="G3185" s="25" t="s">
        <v>293</v>
      </c>
      <c r="H3185" s="25"/>
      <c r="BA3185" s="73" t="s">
        <v>355</v>
      </c>
      <c r="BB3185" s="48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357</v>
      </c>
      <c r="E3186" s="1" t="s">
        <v>351</v>
      </c>
      <c r="F3186" s="26">
        <v>3.65</v>
      </c>
      <c r="G3186" s="25" t="s">
        <v>293</v>
      </c>
      <c r="H3186" s="25"/>
      <c r="BA3186" s="73" t="s">
        <v>355</v>
      </c>
      <c r="BB3186" s="48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357</v>
      </c>
      <c r="E3187" s="1" t="s">
        <v>353</v>
      </c>
      <c r="F3187" s="26">
        <v>17.600000000000001</v>
      </c>
      <c r="G3187" s="25" t="s">
        <v>293</v>
      </c>
      <c r="H3187" s="25"/>
      <c r="BA3187" s="73" t="s">
        <v>355</v>
      </c>
      <c r="BB3187" s="48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357</v>
      </c>
      <c r="E3188" s="1" t="s">
        <v>133</v>
      </c>
      <c r="F3188" s="26">
        <v>129</v>
      </c>
      <c r="G3188" s="25" t="s">
        <v>293</v>
      </c>
      <c r="H3188" s="25"/>
      <c r="BA3188" s="73" t="s">
        <v>355</v>
      </c>
      <c r="BB3188" s="48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357</v>
      </c>
      <c r="E3189" s="1" t="s">
        <v>135</v>
      </c>
      <c r="F3189" s="26">
        <v>6.6</v>
      </c>
      <c r="G3189" s="25" t="s">
        <v>293</v>
      </c>
      <c r="H3189" s="25"/>
      <c r="BA3189" s="73" t="s">
        <v>355</v>
      </c>
      <c r="BB3189" s="48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357</v>
      </c>
      <c r="E3190" s="1" t="s">
        <v>136</v>
      </c>
      <c r="F3190" s="26">
        <v>95</v>
      </c>
      <c r="G3190" s="25" t="s">
        <v>293</v>
      </c>
      <c r="H3190" s="25"/>
      <c r="BA3190" s="73" t="s">
        <v>355</v>
      </c>
      <c r="BB3190" s="48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357</v>
      </c>
      <c r="E3191" s="1" t="s">
        <v>339</v>
      </c>
      <c r="F3191" s="26">
        <v>1.07</v>
      </c>
      <c r="G3191" s="25" t="s">
        <v>293</v>
      </c>
      <c r="H3191" s="25"/>
      <c r="BA3191" s="73" t="s">
        <v>355</v>
      </c>
      <c r="BB3191" s="48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357</v>
      </c>
      <c r="E3192" s="1" t="s">
        <v>118</v>
      </c>
      <c r="F3192" s="26">
        <v>9.6</v>
      </c>
      <c r="G3192" s="25" t="s">
        <v>293</v>
      </c>
      <c r="H3192" s="25"/>
      <c r="BA3192" s="73" t="s">
        <v>355</v>
      </c>
      <c r="BB3192" s="48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357</v>
      </c>
      <c r="E3193" s="1" t="s">
        <v>130</v>
      </c>
      <c r="F3193" s="26">
        <v>2.41</v>
      </c>
      <c r="G3193" s="25" t="s">
        <v>293</v>
      </c>
      <c r="H3193" s="25"/>
      <c r="BA3193" s="73" t="s">
        <v>355</v>
      </c>
      <c r="BB3193" s="48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357</v>
      </c>
      <c r="E3194" s="1" t="s">
        <v>341</v>
      </c>
      <c r="F3194" s="26">
        <v>1.1100000000000001</v>
      </c>
      <c r="G3194" s="25" t="s">
        <v>293</v>
      </c>
      <c r="H3194" s="25"/>
      <c r="BA3194" s="73" t="s">
        <v>355</v>
      </c>
      <c r="BB3194" s="48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357</v>
      </c>
      <c r="E3195" s="1" t="s">
        <v>127</v>
      </c>
      <c r="F3195" s="26">
        <v>4.58</v>
      </c>
      <c r="G3195" s="25" t="s">
        <v>293</v>
      </c>
      <c r="H3195" s="25"/>
      <c r="BA3195" s="73" t="s">
        <v>355</v>
      </c>
      <c r="BB3195" s="48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357</v>
      </c>
      <c r="E3196" s="1" t="s">
        <v>131</v>
      </c>
      <c r="F3196" s="26">
        <v>11.9</v>
      </c>
      <c r="G3196" s="25" t="s">
        <v>293</v>
      </c>
      <c r="H3196" s="25"/>
      <c r="BA3196" s="73" t="s">
        <v>355</v>
      </c>
      <c r="BB3196" s="48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357</v>
      </c>
      <c r="E3197" s="1" t="s">
        <v>342</v>
      </c>
      <c r="F3197" s="26">
        <v>205</v>
      </c>
      <c r="G3197" s="25" t="s">
        <v>293</v>
      </c>
      <c r="H3197" s="25"/>
      <c r="BA3197" s="73" t="s">
        <v>355</v>
      </c>
      <c r="BB3197" s="48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357</v>
      </c>
      <c r="E3198" s="1" t="s">
        <v>119</v>
      </c>
      <c r="F3198" s="26">
        <v>90</v>
      </c>
      <c r="G3198" s="25" t="s">
        <v>293</v>
      </c>
      <c r="H3198" s="25"/>
      <c r="BA3198" s="73" t="s">
        <v>355</v>
      </c>
      <c r="BB3198" s="48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357</v>
      </c>
      <c r="E3199" s="1" t="s">
        <v>120</v>
      </c>
      <c r="F3199" s="26">
        <v>27</v>
      </c>
      <c r="G3199" s="25" t="s">
        <v>293</v>
      </c>
      <c r="H3199" s="25"/>
      <c r="BA3199" s="73" t="s">
        <v>355</v>
      </c>
      <c r="BB3199" s="48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357</v>
      </c>
      <c r="E3200" s="1" t="s">
        <v>117</v>
      </c>
      <c r="F3200" s="26">
        <v>6.17</v>
      </c>
      <c r="G3200" s="25" t="s">
        <v>293</v>
      </c>
      <c r="H3200" s="25"/>
      <c r="BA3200" s="73" t="s">
        <v>355</v>
      </c>
      <c r="BB3200" s="48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357</v>
      </c>
      <c r="E3201" s="1" t="s">
        <v>344</v>
      </c>
      <c r="F3201" s="26">
        <v>70</v>
      </c>
      <c r="G3201" s="25" t="s">
        <v>293</v>
      </c>
      <c r="H3201" s="25"/>
      <c r="BA3201" s="73" t="s">
        <v>355</v>
      </c>
      <c r="BB3201" s="48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357</v>
      </c>
      <c r="E3202" s="1" t="s">
        <v>132</v>
      </c>
      <c r="F3202" s="26">
        <v>7.25</v>
      </c>
      <c r="G3202" s="25" t="s">
        <v>293</v>
      </c>
      <c r="H3202" s="25"/>
      <c r="BA3202" s="73" t="s">
        <v>355</v>
      </c>
      <c r="BB3202" s="48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357</v>
      </c>
      <c r="E3203" s="1" t="s">
        <v>111</v>
      </c>
      <c r="F3203" s="26">
        <v>285</v>
      </c>
      <c r="G3203" s="25" t="s">
        <v>293</v>
      </c>
      <c r="H3203" s="25"/>
      <c r="BA3203" s="73" t="s">
        <v>355</v>
      </c>
      <c r="BB3203" s="48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357</v>
      </c>
      <c r="E3204" s="1" t="s">
        <v>345</v>
      </c>
      <c r="F3204" s="26">
        <v>9.9600000000000009</v>
      </c>
      <c r="G3204" s="25" t="s">
        <v>293</v>
      </c>
      <c r="H3204" s="25"/>
      <c r="BA3204" s="73" t="s">
        <v>355</v>
      </c>
      <c r="BB3204" s="48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357</v>
      </c>
      <c r="E3205" s="1" t="s">
        <v>347</v>
      </c>
      <c r="F3205" s="26">
        <v>4.8499999999999996</v>
      </c>
      <c r="G3205" s="25" t="s">
        <v>293</v>
      </c>
      <c r="H3205" s="25"/>
      <c r="BA3205" s="73" t="s">
        <v>355</v>
      </c>
      <c r="BB3205" s="48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357</v>
      </c>
      <c r="E3206" s="1" t="s">
        <v>128</v>
      </c>
      <c r="F3206" s="26">
        <v>4.3</v>
      </c>
      <c r="G3206" s="25" t="s">
        <v>293</v>
      </c>
      <c r="H3206" s="25"/>
      <c r="BA3206" s="73" t="s">
        <v>355</v>
      </c>
      <c r="BB3206" s="48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357</v>
      </c>
      <c r="E3207" s="1" t="s">
        <v>121</v>
      </c>
      <c r="F3207" s="26">
        <v>80</v>
      </c>
      <c r="G3207" s="25" t="s">
        <v>293</v>
      </c>
      <c r="H3207" s="25"/>
      <c r="BA3207" s="73" t="s">
        <v>355</v>
      </c>
      <c r="BB3207" s="48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357</v>
      </c>
      <c r="E3208" s="1" t="s">
        <v>115</v>
      </c>
      <c r="F3208" s="26">
        <v>97</v>
      </c>
      <c r="G3208" s="25" t="s">
        <v>293</v>
      </c>
      <c r="H3208" s="25"/>
      <c r="BA3208" s="73" t="s">
        <v>355</v>
      </c>
      <c r="BB3208" s="48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357</v>
      </c>
      <c r="E3209" s="1" t="s">
        <v>137</v>
      </c>
      <c r="F3209" s="26">
        <v>488</v>
      </c>
      <c r="G3209" s="25" t="s">
        <v>293</v>
      </c>
      <c r="H3209" s="25"/>
      <c r="BA3209" s="73" t="s">
        <v>355</v>
      </c>
      <c r="BB3209" s="48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357</v>
      </c>
      <c r="E3210" s="1" t="s">
        <v>348</v>
      </c>
      <c r="F3210" s="26">
        <v>432</v>
      </c>
      <c r="G3210" s="25" t="s">
        <v>293</v>
      </c>
      <c r="H3210" s="25"/>
      <c r="BA3210" s="73" t="s">
        <v>355</v>
      </c>
      <c r="BB3210" s="48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357</v>
      </c>
      <c r="E3211" s="1" t="s">
        <v>125</v>
      </c>
      <c r="F3211" s="26">
        <v>413</v>
      </c>
      <c r="G3211" s="25" t="s">
        <v>293</v>
      </c>
      <c r="H3211" s="25"/>
      <c r="BA3211" s="73" t="s">
        <v>355</v>
      </c>
      <c r="BB3211" s="48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357</v>
      </c>
      <c r="E3212" s="1" t="s">
        <v>126</v>
      </c>
      <c r="F3212" s="26">
        <v>147</v>
      </c>
      <c r="G3212" s="25" t="s">
        <v>293</v>
      </c>
      <c r="H3212" s="25"/>
      <c r="BA3212" s="73" t="s">
        <v>355</v>
      </c>
      <c r="BB3212" s="48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357</v>
      </c>
      <c r="E3213" s="1" t="s">
        <v>349</v>
      </c>
      <c r="F3213" s="26">
        <v>381</v>
      </c>
      <c r="G3213" s="25" t="s">
        <v>293</v>
      </c>
      <c r="H3213" s="25"/>
      <c r="BA3213" s="73" t="s">
        <v>355</v>
      </c>
      <c r="BB3213" s="48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357</v>
      </c>
      <c r="E3214" s="1" t="s">
        <v>350</v>
      </c>
      <c r="F3214" s="26">
        <v>86</v>
      </c>
      <c r="G3214" s="25" t="s">
        <v>293</v>
      </c>
      <c r="H3214" s="25"/>
      <c r="BA3214" s="73" t="s">
        <v>355</v>
      </c>
      <c r="BB3214" s="48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357</v>
      </c>
      <c r="E3215" s="1" t="s">
        <v>122</v>
      </c>
      <c r="F3215" s="26">
        <v>218</v>
      </c>
      <c r="G3215" s="25" t="s">
        <v>293</v>
      </c>
      <c r="H3215" s="25"/>
      <c r="BA3215" s="73" t="s">
        <v>355</v>
      </c>
      <c r="BB3215" s="48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357</v>
      </c>
      <c r="E3216" s="1" t="s">
        <v>124</v>
      </c>
      <c r="F3216" s="26">
        <v>109</v>
      </c>
      <c r="G3216" s="25" t="s">
        <v>293</v>
      </c>
      <c r="H3216" s="25"/>
      <c r="BA3216" s="73" t="s">
        <v>355</v>
      </c>
      <c r="BB3216" s="48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357</v>
      </c>
      <c r="E3217" s="1" t="s">
        <v>351</v>
      </c>
      <c r="F3217" s="26">
        <v>3.62</v>
      </c>
      <c r="G3217" s="25" t="s">
        <v>293</v>
      </c>
      <c r="H3217" s="25"/>
      <c r="BA3217" s="73" t="s">
        <v>355</v>
      </c>
      <c r="BB3217" s="48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357</v>
      </c>
      <c r="E3218" s="1" t="s">
        <v>353</v>
      </c>
      <c r="F3218" s="26">
        <v>22.7</v>
      </c>
      <c r="G3218" s="25" t="s">
        <v>293</v>
      </c>
      <c r="H3218" s="25"/>
      <c r="BA3218" s="73" t="s">
        <v>355</v>
      </c>
      <c r="BB3218" s="48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357</v>
      </c>
      <c r="E3219" s="1" t="s">
        <v>133</v>
      </c>
      <c r="F3219" s="26">
        <v>130</v>
      </c>
      <c r="G3219" s="25" t="s">
        <v>293</v>
      </c>
      <c r="H3219" s="25"/>
      <c r="BA3219" s="73" t="s">
        <v>355</v>
      </c>
      <c r="BB3219" s="48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357</v>
      </c>
      <c r="E3220" s="1" t="s">
        <v>135</v>
      </c>
      <c r="F3220" s="26">
        <v>6.6</v>
      </c>
      <c r="G3220" s="25" t="s">
        <v>293</v>
      </c>
      <c r="H3220" s="25"/>
      <c r="BA3220" s="73" t="s">
        <v>355</v>
      </c>
      <c r="BB3220" s="48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357</v>
      </c>
      <c r="E3221" s="1" t="s">
        <v>136</v>
      </c>
      <c r="F3221" s="26">
        <v>96</v>
      </c>
      <c r="G3221" s="25" t="s">
        <v>293</v>
      </c>
      <c r="H3221" s="25"/>
      <c r="BA3221" s="73" t="s">
        <v>355</v>
      </c>
      <c r="BB3221" s="48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356</v>
      </c>
      <c r="E3222" s="1" t="s">
        <v>339</v>
      </c>
      <c r="F3222" s="26">
        <v>4.7</v>
      </c>
      <c r="G3222" s="25" t="s">
        <v>293</v>
      </c>
      <c r="H3222" s="25"/>
      <c r="BA3222" s="73" t="s">
        <v>355</v>
      </c>
      <c r="BB3222" s="48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356</v>
      </c>
      <c r="E3223" s="1" t="s">
        <v>118</v>
      </c>
      <c r="F3223" s="26">
        <v>4.7</v>
      </c>
      <c r="G3223" s="25" t="s">
        <v>293</v>
      </c>
      <c r="H3223" s="25"/>
      <c r="BA3223" s="73" t="s">
        <v>355</v>
      </c>
      <c r="BB3223" s="48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356</v>
      </c>
      <c r="E3224" s="1" t="s">
        <v>130</v>
      </c>
      <c r="F3224" s="26">
        <v>3.75</v>
      </c>
      <c r="G3224" s="25" t="s">
        <v>293</v>
      </c>
      <c r="H3224" s="25"/>
      <c r="BA3224" s="73" t="s">
        <v>355</v>
      </c>
      <c r="BB3224" s="48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356</v>
      </c>
      <c r="E3225" s="1" t="s">
        <v>341</v>
      </c>
      <c r="F3225" s="26">
        <v>0.29799999999999999</v>
      </c>
      <c r="G3225" s="25" t="s">
        <v>293</v>
      </c>
      <c r="H3225" s="25"/>
      <c r="BA3225" s="73" t="s">
        <v>355</v>
      </c>
      <c r="BB3225" s="48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356</v>
      </c>
      <c r="E3226" s="1" t="s">
        <v>127</v>
      </c>
      <c r="F3226" s="26">
        <v>1.1379999999999999</v>
      </c>
      <c r="G3226" s="25" t="s">
        <v>293</v>
      </c>
      <c r="H3226" s="25"/>
      <c r="BA3226" s="73" t="s">
        <v>355</v>
      </c>
      <c r="BB3226" s="48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356</v>
      </c>
      <c r="E3227" s="1" t="s">
        <v>131</v>
      </c>
      <c r="F3227" s="26">
        <v>9</v>
      </c>
      <c r="G3227" s="25" t="s">
        <v>293</v>
      </c>
      <c r="H3227" s="25"/>
      <c r="BA3227" s="73" t="s">
        <v>355</v>
      </c>
      <c r="BB3227" s="48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356</v>
      </c>
      <c r="E3228" s="1" t="s">
        <v>342</v>
      </c>
      <c r="F3228" s="26">
        <v>335</v>
      </c>
      <c r="G3228" s="25" t="s">
        <v>293</v>
      </c>
      <c r="H3228" s="25"/>
      <c r="BA3228" s="73" t="s">
        <v>355</v>
      </c>
      <c r="BB3228" s="48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356</v>
      </c>
      <c r="E3229" s="1" t="s">
        <v>119</v>
      </c>
      <c r="F3229" s="26">
        <v>239</v>
      </c>
      <c r="G3229" s="25" t="s">
        <v>293</v>
      </c>
      <c r="H3229" s="25"/>
      <c r="BA3229" s="73" t="s">
        <v>355</v>
      </c>
      <c r="BB3229" s="48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356</v>
      </c>
      <c r="E3230" s="1" t="s">
        <v>120</v>
      </c>
      <c r="F3230" s="26">
        <v>78</v>
      </c>
      <c r="G3230" s="25" t="s">
        <v>293</v>
      </c>
      <c r="H3230" s="25"/>
      <c r="BA3230" s="73" t="s">
        <v>355</v>
      </c>
      <c r="BB3230" s="48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356</v>
      </c>
      <c r="E3231" s="1" t="s">
        <v>117</v>
      </c>
      <c r="F3231" s="26">
        <v>2.64</v>
      </c>
      <c r="G3231" s="25" t="s">
        <v>293</v>
      </c>
      <c r="H3231" s="25"/>
      <c r="BA3231" s="73" t="s">
        <v>355</v>
      </c>
      <c r="BB3231" s="48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356</v>
      </c>
      <c r="E3232" s="1" t="s">
        <v>344</v>
      </c>
      <c r="F3232" s="26">
        <v>236</v>
      </c>
      <c r="G3232" s="25" t="s">
        <v>293</v>
      </c>
      <c r="H3232" s="25"/>
      <c r="BA3232" s="73" t="s">
        <v>355</v>
      </c>
      <c r="BB3232" s="48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356</v>
      </c>
      <c r="E3233" s="1" t="s">
        <v>132</v>
      </c>
      <c r="F3233" s="26">
        <v>3.53</v>
      </c>
      <c r="G3233" s="25" t="s">
        <v>293</v>
      </c>
      <c r="H3233" s="25"/>
      <c r="BA3233" s="73" t="s">
        <v>355</v>
      </c>
      <c r="BB3233" s="48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356</v>
      </c>
      <c r="E3234" s="1" t="s">
        <v>111</v>
      </c>
      <c r="F3234" s="26">
        <v>90</v>
      </c>
      <c r="G3234" s="25" t="s">
        <v>293</v>
      </c>
      <c r="H3234" s="25"/>
      <c r="BA3234" s="73" t="s">
        <v>355</v>
      </c>
      <c r="BB3234" s="48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356</v>
      </c>
      <c r="E3235" s="1" t="s">
        <v>345</v>
      </c>
      <c r="F3235" s="26">
        <v>4.9000000000000004</v>
      </c>
      <c r="G3235" s="25" t="s">
        <v>293</v>
      </c>
      <c r="H3235" s="25"/>
      <c r="BA3235" s="73" t="s">
        <v>355</v>
      </c>
      <c r="BB3235" s="48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356</v>
      </c>
      <c r="E3236" s="1" t="s">
        <v>347</v>
      </c>
      <c r="F3236" s="26">
        <v>2.1</v>
      </c>
      <c r="G3236" s="25" t="s">
        <v>293</v>
      </c>
      <c r="H3236" s="25"/>
      <c r="BA3236" s="73" t="s">
        <v>355</v>
      </c>
      <c r="BB3236" s="48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356</v>
      </c>
      <c r="E3237" s="1" t="s">
        <v>128</v>
      </c>
      <c r="F3237" s="26">
        <v>6.7</v>
      </c>
      <c r="G3237" s="25" t="s">
        <v>293</v>
      </c>
      <c r="H3237" s="25"/>
      <c r="BA3237" s="73" t="s">
        <v>355</v>
      </c>
      <c r="BB3237" s="48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356</v>
      </c>
      <c r="E3238" s="1" t="s">
        <v>121</v>
      </c>
      <c r="F3238" s="26">
        <v>165</v>
      </c>
      <c r="G3238" s="25" t="s">
        <v>293</v>
      </c>
      <c r="H3238" s="25"/>
      <c r="BA3238" s="73" t="s">
        <v>355</v>
      </c>
      <c r="BB3238" s="48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356</v>
      </c>
      <c r="E3239" s="1" t="s">
        <v>115</v>
      </c>
      <c r="F3239" s="26">
        <v>34</v>
      </c>
      <c r="G3239" s="25" t="s">
        <v>293</v>
      </c>
      <c r="H3239" s="25"/>
      <c r="BA3239" s="73" t="s">
        <v>355</v>
      </c>
      <c r="BB3239" s="48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356</v>
      </c>
      <c r="E3240" s="1" t="s">
        <v>137</v>
      </c>
      <c r="F3240" s="26">
        <v>76</v>
      </c>
      <c r="G3240" s="25" t="s">
        <v>293</v>
      </c>
      <c r="H3240" s="25"/>
      <c r="BA3240" s="73" t="s">
        <v>355</v>
      </c>
      <c r="BB3240" s="48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356</v>
      </c>
      <c r="E3241" s="1" t="s">
        <v>348</v>
      </c>
      <c r="F3241" s="26">
        <v>144</v>
      </c>
      <c r="G3241" s="25" t="s">
        <v>293</v>
      </c>
      <c r="H3241" s="25"/>
      <c r="BA3241" s="73" t="s">
        <v>355</v>
      </c>
      <c r="BB3241" s="48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356</v>
      </c>
      <c r="E3242" s="1" t="s">
        <v>125</v>
      </c>
      <c r="F3242" s="26">
        <v>113</v>
      </c>
      <c r="G3242" s="25" t="s">
        <v>293</v>
      </c>
      <c r="H3242" s="25"/>
      <c r="BA3242" s="73" t="s">
        <v>355</v>
      </c>
      <c r="BB3242" s="48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356</v>
      </c>
      <c r="E3243" s="1" t="s">
        <v>126</v>
      </c>
      <c r="F3243" s="26">
        <v>81</v>
      </c>
      <c r="G3243" s="25" t="s">
        <v>293</v>
      </c>
      <c r="H3243" s="25"/>
      <c r="BA3243" s="73" t="s">
        <v>355</v>
      </c>
      <c r="BB3243" s="48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356</v>
      </c>
      <c r="E3244" s="1" t="s">
        <v>349</v>
      </c>
      <c r="F3244" s="26">
        <v>159</v>
      </c>
      <c r="G3244" s="25" t="s">
        <v>293</v>
      </c>
      <c r="H3244" s="25"/>
      <c r="BA3244" s="73" t="s">
        <v>355</v>
      </c>
      <c r="BB3244" s="48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356</v>
      </c>
      <c r="E3245" s="1" t="s">
        <v>350</v>
      </c>
      <c r="F3245" s="26">
        <v>61</v>
      </c>
      <c r="G3245" s="25" t="s">
        <v>293</v>
      </c>
      <c r="H3245" s="25"/>
      <c r="BA3245" s="73" t="s">
        <v>355</v>
      </c>
      <c r="BB3245" s="48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356</v>
      </c>
      <c r="E3246" s="1" t="s">
        <v>122</v>
      </c>
      <c r="F3246" s="26">
        <v>46</v>
      </c>
      <c r="G3246" s="25" t="s">
        <v>293</v>
      </c>
      <c r="H3246" s="25"/>
      <c r="BA3246" s="73" t="s">
        <v>355</v>
      </c>
      <c r="BB3246" s="48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356</v>
      </c>
      <c r="E3247" s="1" t="s">
        <v>124</v>
      </c>
      <c r="F3247" s="26">
        <v>32</v>
      </c>
      <c r="G3247" s="25" t="s">
        <v>293</v>
      </c>
      <c r="H3247" s="25"/>
      <c r="BA3247" s="73" t="s">
        <v>355</v>
      </c>
      <c r="BB3247" s="48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356</v>
      </c>
      <c r="E3248" s="1" t="s">
        <v>351</v>
      </c>
      <c r="F3248" s="26">
        <v>0.98</v>
      </c>
      <c r="G3248" s="25" t="s">
        <v>293</v>
      </c>
      <c r="H3248" s="25"/>
      <c r="BA3248" s="73" t="s">
        <v>355</v>
      </c>
      <c r="BB3248" s="48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356</v>
      </c>
      <c r="E3249" s="1" t="s">
        <v>353</v>
      </c>
      <c r="F3249" s="26">
        <v>36.1</v>
      </c>
      <c r="G3249" s="25" t="s">
        <v>293</v>
      </c>
      <c r="H3249" s="25"/>
      <c r="BA3249" s="73" t="s">
        <v>355</v>
      </c>
      <c r="BB3249" s="48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356</v>
      </c>
      <c r="E3250" s="1" t="s">
        <v>133</v>
      </c>
      <c r="F3250" s="26">
        <v>149</v>
      </c>
      <c r="G3250" s="25" t="s">
        <v>293</v>
      </c>
      <c r="H3250" s="25"/>
      <c r="BA3250" s="73" t="s">
        <v>355</v>
      </c>
      <c r="BB3250" s="48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356</v>
      </c>
      <c r="E3251" s="1" t="s">
        <v>135</v>
      </c>
      <c r="F3251" s="26">
        <v>3.9</v>
      </c>
      <c r="G3251" s="25" t="s">
        <v>293</v>
      </c>
      <c r="H3251" s="25"/>
      <c r="BA3251" s="73" t="s">
        <v>355</v>
      </c>
      <c r="BB3251" s="48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356</v>
      </c>
      <c r="E3252" s="1" t="s">
        <v>136</v>
      </c>
      <c r="F3252" s="26">
        <v>117</v>
      </c>
      <c r="G3252" s="25" t="s">
        <v>293</v>
      </c>
      <c r="H3252" s="25"/>
      <c r="BA3252" s="73" t="s">
        <v>355</v>
      </c>
      <c r="BB3252" s="48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356</v>
      </c>
      <c r="E3253" s="1" t="s">
        <v>339</v>
      </c>
      <c r="F3253" s="26">
        <v>4.6900000000000004</v>
      </c>
      <c r="G3253" s="25" t="s">
        <v>293</v>
      </c>
      <c r="H3253" s="25"/>
      <c r="BA3253" s="73" t="s">
        <v>355</v>
      </c>
      <c r="BB3253" s="48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356</v>
      </c>
      <c r="E3254" s="1" t="s">
        <v>118</v>
      </c>
      <c r="F3254" s="26">
        <v>4.5999999999999996</v>
      </c>
      <c r="G3254" s="25" t="s">
        <v>293</v>
      </c>
      <c r="H3254" s="25"/>
      <c r="BA3254" s="73" t="s">
        <v>355</v>
      </c>
      <c r="BB3254" s="48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356</v>
      </c>
      <c r="E3255" s="1" t="s">
        <v>130</v>
      </c>
      <c r="F3255" s="26">
        <v>3.79</v>
      </c>
      <c r="G3255" s="25" t="s">
        <v>293</v>
      </c>
      <c r="H3255" s="25"/>
      <c r="BA3255" s="73" t="s">
        <v>355</v>
      </c>
      <c r="BB3255" s="48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356</v>
      </c>
      <c r="E3256" s="1" t="s">
        <v>341</v>
      </c>
      <c r="F3256" s="26">
        <v>0.308</v>
      </c>
      <c r="G3256" s="25" t="s">
        <v>293</v>
      </c>
      <c r="H3256" s="25"/>
      <c r="BA3256" s="73" t="s">
        <v>355</v>
      </c>
      <c r="BB3256" s="48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356</v>
      </c>
      <c r="E3257" s="1" t="s">
        <v>127</v>
      </c>
      <c r="F3257" s="26">
        <v>1.18</v>
      </c>
      <c r="G3257" s="25" t="s">
        <v>293</v>
      </c>
      <c r="H3257" s="25"/>
      <c r="BA3257" s="73" t="s">
        <v>355</v>
      </c>
      <c r="BB3257" s="48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356</v>
      </c>
      <c r="E3258" s="1" t="s">
        <v>131</v>
      </c>
      <c r="F3258" s="26">
        <v>8.8000000000000007</v>
      </c>
      <c r="G3258" s="25" t="s">
        <v>293</v>
      </c>
      <c r="H3258" s="25"/>
      <c r="BA3258" s="73" t="s">
        <v>355</v>
      </c>
      <c r="BB3258" s="48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356</v>
      </c>
      <c r="E3259" s="1" t="s">
        <v>342</v>
      </c>
      <c r="F3259" s="26">
        <v>319</v>
      </c>
      <c r="G3259" s="25" t="s">
        <v>293</v>
      </c>
      <c r="H3259" s="25"/>
      <c r="BA3259" s="73" t="s">
        <v>355</v>
      </c>
      <c r="BB3259" s="48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356</v>
      </c>
      <c r="E3260" s="1" t="s">
        <v>119</v>
      </c>
      <c r="F3260" s="26">
        <v>235</v>
      </c>
      <c r="G3260" s="25" t="s">
        <v>293</v>
      </c>
      <c r="H3260" s="25"/>
      <c r="BA3260" s="73" t="s">
        <v>355</v>
      </c>
      <c r="BB3260" s="48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356</v>
      </c>
      <c r="E3261" s="1" t="s">
        <v>120</v>
      </c>
      <c r="F3261" s="26">
        <v>81</v>
      </c>
      <c r="G3261" s="25" t="s">
        <v>293</v>
      </c>
      <c r="H3261" s="25"/>
      <c r="BA3261" s="73" t="s">
        <v>355</v>
      </c>
      <c r="BB3261" s="48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356</v>
      </c>
      <c r="E3262" s="1" t="s">
        <v>117</v>
      </c>
      <c r="F3262" s="26">
        <v>2.73</v>
      </c>
      <c r="G3262" s="25" t="s">
        <v>293</v>
      </c>
      <c r="H3262" s="25"/>
      <c r="BA3262" s="73" t="s">
        <v>355</v>
      </c>
      <c r="BB3262" s="48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356</v>
      </c>
      <c r="E3263" s="1" t="s">
        <v>344</v>
      </c>
      <c r="F3263" s="26">
        <v>233</v>
      </c>
      <c r="G3263" s="25" t="s">
        <v>293</v>
      </c>
      <c r="H3263" s="25"/>
      <c r="BA3263" s="73" t="s">
        <v>355</v>
      </c>
      <c r="BB3263" s="48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356</v>
      </c>
      <c r="E3264" s="1" t="s">
        <v>132</v>
      </c>
      <c r="F3264" s="26">
        <v>3.33</v>
      </c>
      <c r="G3264" s="25" t="s">
        <v>293</v>
      </c>
      <c r="H3264" s="25"/>
      <c r="BA3264" s="73" t="s">
        <v>355</v>
      </c>
      <c r="BB3264" s="48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356</v>
      </c>
      <c r="E3265" s="1" t="s">
        <v>111</v>
      </c>
      <c r="F3265" s="26">
        <v>88</v>
      </c>
      <c r="G3265" s="25" t="s">
        <v>293</v>
      </c>
      <c r="H3265" s="25"/>
      <c r="BA3265" s="73" t="s">
        <v>355</v>
      </c>
      <c r="BB3265" s="48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356</v>
      </c>
      <c r="E3266" s="1" t="s">
        <v>345</v>
      </c>
      <c r="F3266" s="26">
        <v>4.9800000000000004</v>
      </c>
      <c r="G3266" s="25" t="s">
        <v>293</v>
      </c>
      <c r="H3266" s="25"/>
      <c r="BA3266" s="73" t="s">
        <v>355</v>
      </c>
      <c r="BB3266" s="48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356</v>
      </c>
      <c r="E3267" s="1" t="s">
        <v>347</v>
      </c>
      <c r="F3267" s="26">
        <v>2.21</v>
      </c>
      <c r="G3267" s="25" t="s">
        <v>293</v>
      </c>
      <c r="H3267" s="25"/>
      <c r="BA3267" s="73" t="s">
        <v>355</v>
      </c>
      <c r="BB3267" s="48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356</v>
      </c>
      <c r="E3268" s="1" t="s">
        <v>128</v>
      </c>
      <c r="F3268" s="26">
        <v>6.8</v>
      </c>
      <c r="G3268" s="25" t="s">
        <v>293</v>
      </c>
      <c r="H3268" s="25"/>
      <c r="BA3268" s="73" t="s">
        <v>355</v>
      </c>
      <c r="BB3268" s="48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356</v>
      </c>
      <c r="E3269" s="1" t="s">
        <v>121</v>
      </c>
      <c r="F3269" s="26">
        <v>166</v>
      </c>
      <c r="G3269" s="25" t="s">
        <v>293</v>
      </c>
      <c r="H3269" s="25"/>
      <c r="BA3269" s="73" t="s">
        <v>355</v>
      </c>
      <c r="BB3269" s="48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356</v>
      </c>
      <c r="E3270" s="1" t="s">
        <v>115</v>
      </c>
      <c r="F3270" s="26">
        <v>33</v>
      </c>
      <c r="G3270" s="25" t="s">
        <v>293</v>
      </c>
      <c r="H3270" s="25"/>
      <c r="BA3270" s="73" t="s">
        <v>355</v>
      </c>
      <c r="BB3270" s="48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356</v>
      </c>
      <c r="E3271" s="1" t="s">
        <v>137</v>
      </c>
      <c r="F3271" s="26">
        <v>75</v>
      </c>
      <c r="G3271" s="25" t="s">
        <v>293</v>
      </c>
      <c r="H3271" s="25"/>
      <c r="BA3271" s="73" t="s">
        <v>355</v>
      </c>
      <c r="BB3271" s="48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356</v>
      </c>
      <c r="E3272" s="1" t="s">
        <v>348</v>
      </c>
      <c r="F3272" s="26">
        <v>143</v>
      </c>
      <c r="G3272" s="25" t="s">
        <v>293</v>
      </c>
      <c r="H3272" s="25"/>
      <c r="BA3272" s="73" t="s">
        <v>355</v>
      </c>
      <c r="BB3272" s="48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356</v>
      </c>
      <c r="E3273" s="1" t="s">
        <v>125</v>
      </c>
      <c r="F3273" s="26">
        <v>108</v>
      </c>
      <c r="G3273" s="25" t="s">
        <v>293</v>
      </c>
      <c r="H3273" s="25"/>
      <c r="BA3273" s="73" t="s">
        <v>355</v>
      </c>
      <c r="BB3273" s="48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356</v>
      </c>
      <c r="E3274" s="1" t="s">
        <v>126</v>
      </c>
      <c r="F3274" s="26">
        <v>79</v>
      </c>
      <c r="G3274" s="25" t="s">
        <v>293</v>
      </c>
      <c r="H3274" s="25"/>
      <c r="BA3274" s="73" t="s">
        <v>355</v>
      </c>
      <c r="BB3274" s="48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356</v>
      </c>
      <c r="E3275" s="1" t="s">
        <v>349</v>
      </c>
      <c r="F3275" s="26">
        <v>148</v>
      </c>
      <c r="G3275" s="25" t="s">
        <v>293</v>
      </c>
      <c r="H3275" s="25"/>
      <c r="BA3275" s="73" t="s">
        <v>355</v>
      </c>
      <c r="BB3275" s="48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356</v>
      </c>
      <c r="E3276" s="1" t="s">
        <v>350</v>
      </c>
      <c r="F3276" s="26">
        <v>63</v>
      </c>
      <c r="G3276" s="25" t="s">
        <v>293</v>
      </c>
      <c r="H3276" s="25"/>
      <c r="BA3276" s="73" t="s">
        <v>355</v>
      </c>
      <c r="BB3276" s="48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356</v>
      </c>
      <c r="E3277" s="1" t="s">
        <v>122</v>
      </c>
      <c r="F3277" s="26">
        <v>46</v>
      </c>
      <c r="G3277" s="25" t="s">
        <v>293</v>
      </c>
      <c r="H3277" s="25"/>
      <c r="BA3277" s="73" t="s">
        <v>355</v>
      </c>
      <c r="BB3277" s="48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356</v>
      </c>
      <c r="E3278" s="1" t="s">
        <v>124</v>
      </c>
      <c r="F3278" s="26">
        <v>32</v>
      </c>
      <c r="G3278" s="25" t="s">
        <v>293</v>
      </c>
      <c r="H3278" s="25"/>
      <c r="BA3278" s="73" t="s">
        <v>355</v>
      </c>
      <c r="BB3278" s="48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356</v>
      </c>
      <c r="E3279" s="1" t="s">
        <v>351</v>
      </c>
      <c r="F3279" s="26">
        <v>0.99</v>
      </c>
      <c r="G3279" s="25" t="s">
        <v>293</v>
      </c>
      <c r="H3279" s="25"/>
      <c r="BA3279" s="73" t="s">
        <v>355</v>
      </c>
      <c r="BB3279" s="48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356</v>
      </c>
      <c r="E3280" s="1" t="s">
        <v>353</v>
      </c>
      <c r="F3280" s="26">
        <v>34.5</v>
      </c>
      <c r="G3280" s="25" t="s">
        <v>293</v>
      </c>
      <c r="H3280" s="25"/>
      <c r="BA3280" s="73" t="s">
        <v>355</v>
      </c>
      <c r="BB3280" s="48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356</v>
      </c>
      <c r="E3281" s="1" t="s">
        <v>133</v>
      </c>
      <c r="F3281" s="26">
        <v>147</v>
      </c>
      <c r="G3281" s="25" t="s">
        <v>293</v>
      </c>
      <c r="H3281" s="25"/>
      <c r="BA3281" s="73" t="s">
        <v>355</v>
      </c>
      <c r="BB3281" s="48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356</v>
      </c>
      <c r="E3282" s="1" t="s">
        <v>135</v>
      </c>
      <c r="F3282" s="26">
        <v>3.8</v>
      </c>
      <c r="G3282" s="25" t="s">
        <v>293</v>
      </c>
      <c r="H3282" s="25"/>
      <c r="BA3282" s="73" t="s">
        <v>355</v>
      </c>
      <c r="BB3282" s="48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356</v>
      </c>
      <c r="E3283" s="1" t="s">
        <v>136</v>
      </c>
      <c r="F3283" s="26">
        <v>116</v>
      </c>
      <c r="G3283" s="25" t="s">
        <v>293</v>
      </c>
      <c r="H3283" s="25"/>
      <c r="BA3283" s="73" t="s">
        <v>355</v>
      </c>
      <c r="BB3283" s="48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356</v>
      </c>
      <c r="E3284" s="1" t="s">
        <v>339</v>
      </c>
      <c r="F3284" s="26">
        <v>4.59</v>
      </c>
      <c r="G3284" s="25" t="s">
        <v>293</v>
      </c>
      <c r="H3284" s="25"/>
      <c r="BA3284" s="73" t="s">
        <v>355</v>
      </c>
      <c r="BB3284" s="48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356</v>
      </c>
      <c r="E3285" s="1" t="s">
        <v>118</v>
      </c>
      <c r="F3285" s="26">
        <v>4.5</v>
      </c>
      <c r="G3285" s="25" t="s">
        <v>293</v>
      </c>
      <c r="H3285" s="25"/>
      <c r="BA3285" s="73" t="s">
        <v>355</v>
      </c>
      <c r="BB3285" s="48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356</v>
      </c>
      <c r="E3286" s="1" t="s">
        <v>130</v>
      </c>
      <c r="F3286" s="26">
        <v>3.83</v>
      </c>
      <c r="G3286" s="25" t="s">
        <v>293</v>
      </c>
      <c r="H3286" s="25"/>
      <c r="BA3286" s="73" t="s">
        <v>355</v>
      </c>
      <c r="BB3286" s="48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356</v>
      </c>
      <c r="E3287" s="1" t="s">
        <v>341</v>
      </c>
      <c r="F3287" s="26">
        <v>0.28999999999999998</v>
      </c>
      <c r="G3287" s="25" t="s">
        <v>293</v>
      </c>
      <c r="H3287" s="25"/>
      <c r="BA3287" s="73" t="s">
        <v>355</v>
      </c>
      <c r="BB3287" s="48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356</v>
      </c>
      <c r="E3288" s="1" t="s">
        <v>127</v>
      </c>
      <c r="F3288" s="26">
        <v>1.2</v>
      </c>
      <c r="G3288" s="25" t="s">
        <v>293</v>
      </c>
      <c r="H3288" s="25"/>
      <c r="BA3288" s="73" t="s">
        <v>355</v>
      </c>
      <c r="BB3288" s="48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356</v>
      </c>
      <c r="E3289" s="1" t="s">
        <v>131</v>
      </c>
      <c r="F3289" s="26">
        <v>9</v>
      </c>
      <c r="G3289" s="25" t="s">
        <v>293</v>
      </c>
      <c r="H3289" s="25"/>
      <c r="BA3289" s="73" t="s">
        <v>355</v>
      </c>
      <c r="BB3289" s="48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356</v>
      </c>
      <c r="E3290" s="1" t="s">
        <v>342</v>
      </c>
      <c r="F3290" s="26">
        <v>332</v>
      </c>
      <c r="G3290" s="25" t="s">
        <v>293</v>
      </c>
      <c r="H3290" s="25"/>
      <c r="BA3290" s="73" t="s">
        <v>355</v>
      </c>
      <c r="BB3290" s="48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356</v>
      </c>
      <c r="E3291" s="1" t="s">
        <v>119</v>
      </c>
      <c r="F3291" s="26">
        <v>250</v>
      </c>
      <c r="G3291" s="25" t="s">
        <v>293</v>
      </c>
      <c r="H3291" s="25"/>
      <c r="BA3291" s="73" t="s">
        <v>355</v>
      </c>
      <c r="BB3291" s="48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356</v>
      </c>
      <c r="E3292" s="1" t="s">
        <v>120</v>
      </c>
      <c r="F3292" s="26">
        <v>78</v>
      </c>
      <c r="G3292" s="25" t="s">
        <v>293</v>
      </c>
      <c r="H3292" s="25"/>
      <c r="BA3292" s="73" t="s">
        <v>355</v>
      </c>
      <c r="BB3292" s="48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356</v>
      </c>
      <c r="E3293" s="1" t="s">
        <v>117</v>
      </c>
      <c r="F3293" s="26">
        <v>2.87</v>
      </c>
      <c r="G3293" s="25" t="s">
        <v>293</v>
      </c>
      <c r="H3293" s="25"/>
      <c r="BA3293" s="73" t="s">
        <v>355</v>
      </c>
      <c r="BB3293" s="48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356</v>
      </c>
      <c r="E3294" s="1" t="s">
        <v>344</v>
      </c>
      <c r="F3294" s="26">
        <v>233</v>
      </c>
      <c r="G3294" s="25" t="s">
        <v>293</v>
      </c>
      <c r="H3294" s="25"/>
      <c r="BA3294" s="73" t="s">
        <v>355</v>
      </c>
      <c r="BB3294" s="48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356</v>
      </c>
      <c r="E3295" s="1" t="s">
        <v>132</v>
      </c>
      <c r="F3295" s="26">
        <v>3.47</v>
      </c>
      <c r="G3295" s="25" t="s">
        <v>293</v>
      </c>
      <c r="H3295" s="25"/>
      <c r="BA3295" s="73" t="s">
        <v>355</v>
      </c>
      <c r="BB3295" s="48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356</v>
      </c>
      <c r="E3296" s="1" t="s">
        <v>111</v>
      </c>
      <c r="F3296" s="26">
        <v>90</v>
      </c>
      <c r="G3296" s="25" t="s">
        <v>293</v>
      </c>
      <c r="H3296" s="25"/>
      <c r="BA3296" s="73" t="s">
        <v>355</v>
      </c>
      <c r="BB3296" s="48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356</v>
      </c>
      <c r="E3297" s="1" t="s">
        <v>345</v>
      </c>
      <c r="F3297" s="26">
        <v>5.0199999999999996</v>
      </c>
      <c r="G3297" s="25" t="s">
        <v>293</v>
      </c>
      <c r="H3297" s="25"/>
      <c r="BA3297" s="73" t="s">
        <v>355</v>
      </c>
      <c r="BB3297" s="48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356</v>
      </c>
      <c r="E3298" s="1" t="s">
        <v>347</v>
      </c>
      <c r="F3298" s="26">
        <v>2.29</v>
      </c>
      <c r="G3298" s="25" t="s">
        <v>293</v>
      </c>
      <c r="H3298" s="25"/>
      <c r="BA3298" s="73" t="s">
        <v>355</v>
      </c>
      <c r="BB3298" s="48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356</v>
      </c>
      <c r="E3299" s="1" t="s">
        <v>128</v>
      </c>
      <c r="F3299" s="26">
        <v>6.7</v>
      </c>
      <c r="G3299" s="25" t="s">
        <v>293</v>
      </c>
      <c r="H3299" s="25"/>
      <c r="BA3299" s="73" t="s">
        <v>355</v>
      </c>
      <c r="BB3299" s="48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356</v>
      </c>
      <c r="E3300" s="1" t="s">
        <v>121</v>
      </c>
      <c r="F3300" s="26">
        <v>159</v>
      </c>
      <c r="G3300" s="25" t="s">
        <v>293</v>
      </c>
      <c r="H3300" s="25"/>
      <c r="BA3300" s="73" t="s">
        <v>355</v>
      </c>
      <c r="BB3300" s="48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356</v>
      </c>
      <c r="E3301" s="1" t="s">
        <v>115</v>
      </c>
      <c r="F3301" s="26">
        <v>34</v>
      </c>
      <c r="G3301" s="25" t="s">
        <v>293</v>
      </c>
      <c r="H3301" s="25"/>
      <c r="BA3301" s="73" t="s">
        <v>355</v>
      </c>
      <c r="BB3301" s="48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356</v>
      </c>
      <c r="E3302" s="1" t="s">
        <v>137</v>
      </c>
      <c r="F3302" s="26">
        <v>75</v>
      </c>
      <c r="G3302" s="25" t="s">
        <v>293</v>
      </c>
      <c r="H3302" s="25"/>
      <c r="BA3302" s="73" t="s">
        <v>355</v>
      </c>
      <c r="BB3302" s="48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356</v>
      </c>
      <c r="E3303" s="1" t="s">
        <v>348</v>
      </c>
      <c r="F3303" s="26">
        <v>140</v>
      </c>
      <c r="G3303" s="25" t="s">
        <v>293</v>
      </c>
      <c r="H3303" s="25"/>
      <c r="BA3303" s="73" t="s">
        <v>355</v>
      </c>
      <c r="BB3303" s="48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356</v>
      </c>
      <c r="E3304" s="1" t="s">
        <v>125</v>
      </c>
      <c r="F3304" s="26">
        <v>116</v>
      </c>
      <c r="G3304" s="25" t="s">
        <v>293</v>
      </c>
      <c r="H3304" s="25"/>
      <c r="BA3304" s="73" t="s">
        <v>355</v>
      </c>
      <c r="BB3304" s="48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356</v>
      </c>
      <c r="E3305" s="1" t="s">
        <v>126</v>
      </c>
      <c r="F3305" s="26">
        <v>81</v>
      </c>
      <c r="G3305" s="25" t="s">
        <v>293</v>
      </c>
      <c r="H3305" s="25"/>
      <c r="BA3305" s="73" t="s">
        <v>355</v>
      </c>
      <c r="BB3305" s="48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356</v>
      </c>
      <c r="E3306" s="1" t="s">
        <v>349</v>
      </c>
      <c r="F3306" s="26">
        <v>168</v>
      </c>
      <c r="G3306" s="25" t="s">
        <v>293</v>
      </c>
      <c r="H3306" s="25"/>
      <c r="BA3306" s="73" t="s">
        <v>355</v>
      </c>
      <c r="BB3306" s="48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356</v>
      </c>
      <c r="E3307" s="1" t="s">
        <v>350</v>
      </c>
      <c r="F3307" s="26">
        <v>61</v>
      </c>
      <c r="G3307" s="25" t="s">
        <v>293</v>
      </c>
      <c r="H3307" s="25"/>
      <c r="BA3307" s="73" t="s">
        <v>355</v>
      </c>
      <c r="BB3307" s="48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356</v>
      </c>
      <c r="E3308" s="1" t="s">
        <v>122</v>
      </c>
      <c r="F3308" s="26">
        <v>48</v>
      </c>
      <c r="G3308" s="25" t="s">
        <v>293</v>
      </c>
      <c r="H3308" s="25"/>
      <c r="BA3308" s="73" t="s">
        <v>355</v>
      </c>
      <c r="BB3308" s="48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356</v>
      </c>
      <c r="E3309" s="1" t="s">
        <v>124</v>
      </c>
      <c r="F3309" s="26">
        <v>30</v>
      </c>
      <c r="G3309" s="25" t="s">
        <v>293</v>
      </c>
      <c r="H3309" s="25"/>
      <c r="BA3309" s="73" t="s">
        <v>355</v>
      </c>
      <c r="BB3309" s="48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356</v>
      </c>
      <c r="E3310" s="1" t="s">
        <v>351</v>
      </c>
      <c r="F3310" s="26">
        <v>0.96</v>
      </c>
      <c r="G3310" s="25" t="s">
        <v>293</v>
      </c>
      <c r="H3310" s="25"/>
      <c r="BA3310" s="73" t="s">
        <v>355</v>
      </c>
      <c r="BB3310" s="48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356</v>
      </c>
      <c r="E3311" s="1" t="s">
        <v>353</v>
      </c>
      <c r="F3311" s="26">
        <v>33.1</v>
      </c>
      <c r="G3311" s="25" t="s">
        <v>293</v>
      </c>
      <c r="H3311" s="25"/>
      <c r="BA3311" s="73" t="s">
        <v>355</v>
      </c>
      <c r="BB3311" s="48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356</v>
      </c>
      <c r="E3312" s="1" t="s">
        <v>133</v>
      </c>
      <c r="F3312" s="26">
        <v>149</v>
      </c>
      <c r="G3312" s="25" t="s">
        <v>293</v>
      </c>
      <c r="H3312" s="25"/>
      <c r="BA3312" s="73" t="s">
        <v>355</v>
      </c>
      <c r="BB3312" s="48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356</v>
      </c>
      <c r="E3313" s="1" t="s">
        <v>135</v>
      </c>
      <c r="F3313" s="26">
        <v>3.9</v>
      </c>
      <c r="G3313" s="25" t="s">
        <v>293</v>
      </c>
      <c r="H3313" s="25"/>
      <c r="BA3313" s="73" t="s">
        <v>355</v>
      </c>
      <c r="BB3313" s="48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356</v>
      </c>
      <c r="E3314" s="1" t="s">
        <v>136</v>
      </c>
      <c r="F3314" s="26">
        <v>117</v>
      </c>
      <c r="G3314" s="25" t="s">
        <v>293</v>
      </c>
      <c r="H3314" s="25"/>
      <c r="BA3314" s="73" t="s">
        <v>355</v>
      </c>
      <c r="BB3314" s="48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356</v>
      </c>
      <c r="E3315" s="1" t="s">
        <v>339</v>
      </c>
      <c r="F3315" s="26">
        <v>4.63</v>
      </c>
      <c r="G3315" s="25" t="s">
        <v>293</v>
      </c>
      <c r="H3315" s="25"/>
      <c r="BA3315" s="73" t="s">
        <v>355</v>
      </c>
      <c r="BB3315" s="48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356</v>
      </c>
      <c r="E3316" s="1" t="s">
        <v>118</v>
      </c>
      <c r="F3316" s="26">
        <v>4.5999999999999996</v>
      </c>
      <c r="G3316" s="25" t="s">
        <v>293</v>
      </c>
      <c r="H3316" s="25"/>
      <c r="BA3316" s="73" t="s">
        <v>355</v>
      </c>
      <c r="BB3316" s="48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356</v>
      </c>
      <c r="E3317" s="1" t="s">
        <v>130</v>
      </c>
      <c r="F3317" s="26">
        <v>3.77</v>
      </c>
      <c r="G3317" s="25" t="s">
        <v>293</v>
      </c>
      <c r="H3317" s="25"/>
      <c r="BA3317" s="73" t="s">
        <v>355</v>
      </c>
      <c r="BB3317" s="48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356</v>
      </c>
      <c r="E3318" s="1" t="s">
        <v>341</v>
      </c>
      <c r="F3318" s="26">
        <v>0.28000000000000003</v>
      </c>
      <c r="G3318" s="25" t="s">
        <v>293</v>
      </c>
      <c r="H3318" s="25"/>
      <c r="BA3318" s="73" t="s">
        <v>355</v>
      </c>
      <c r="BB3318" s="48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356</v>
      </c>
      <c r="E3319" s="1" t="s">
        <v>127</v>
      </c>
      <c r="F3319" s="26">
        <v>1.17</v>
      </c>
      <c r="G3319" s="25" t="s">
        <v>293</v>
      </c>
      <c r="H3319" s="25"/>
      <c r="BA3319" s="73" t="s">
        <v>355</v>
      </c>
      <c r="BB3319" s="48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356</v>
      </c>
      <c r="E3320" s="1" t="s">
        <v>131</v>
      </c>
      <c r="F3320" s="26">
        <v>8.9</v>
      </c>
      <c r="G3320" s="25" t="s">
        <v>293</v>
      </c>
      <c r="H3320" s="25"/>
      <c r="BA3320" s="73" t="s">
        <v>355</v>
      </c>
      <c r="BB3320" s="48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356</v>
      </c>
      <c r="E3321" s="1" t="s">
        <v>342</v>
      </c>
      <c r="F3321" s="26">
        <v>339</v>
      </c>
      <c r="G3321" s="25" t="s">
        <v>293</v>
      </c>
      <c r="H3321" s="25"/>
      <c r="BA3321" s="73" t="s">
        <v>355</v>
      </c>
      <c r="BB3321" s="48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356</v>
      </c>
      <c r="E3322" s="1" t="s">
        <v>119</v>
      </c>
      <c r="F3322" s="26">
        <v>236</v>
      </c>
      <c r="G3322" s="25" t="s">
        <v>293</v>
      </c>
      <c r="H3322" s="25"/>
      <c r="BA3322" s="73" t="s">
        <v>355</v>
      </c>
      <c r="BB3322" s="48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356</v>
      </c>
      <c r="E3323" s="1" t="s">
        <v>120</v>
      </c>
      <c r="F3323" s="26">
        <v>76</v>
      </c>
      <c r="G3323" s="25" t="s">
        <v>293</v>
      </c>
      <c r="H3323" s="25"/>
      <c r="BA3323" s="73" t="s">
        <v>355</v>
      </c>
      <c r="BB3323" s="48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356</v>
      </c>
      <c r="E3324" s="1" t="s">
        <v>117</v>
      </c>
      <c r="F3324" s="26">
        <v>2.64</v>
      </c>
      <c r="G3324" s="25" t="s">
        <v>293</v>
      </c>
      <c r="H3324" s="25"/>
      <c r="BA3324" s="73" t="s">
        <v>355</v>
      </c>
      <c r="BB3324" s="48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356</v>
      </c>
      <c r="E3325" s="1" t="s">
        <v>344</v>
      </c>
      <c r="F3325" s="26">
        <v>230</v>
      </c>
      <c r="G3325" s="25" t="s">
        <v>293</v>
      </c>
      <c r="H3325" s="25"/>
      <c r="BA3325" s="73" t="s">
        <v>355</v>
      </c>
      <c r="BB3325" s="48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356</v>
      </c>
      <c r="E3326" s="1" t="s">
        <v>132</v>
      </c>
      <c r="F3326" s="26">
        <v>3.45</v>
      </c>
      <c r="G3326" s="25" t="s">
        <v>293</v>
      </c>
      <c r="H3326" s="25"/>
      <c r="BA3326" s="73" t="s">
        <v>355</v>
      </c>
      <c r="BB3326" s="48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356</v>
      </c>
      <c r="E3327" s="1" t="s">
        <v>111</v>
      </c>
      <c r="F3327" s="26">
        <v>88</v>
      </c>
      <c r="G3327" s="25" t="s">
        <v>293</v>
      </c>
      <c r="H3327" s="25"/>
      <c r="BA3327" s="73" t="s">
        <v>355</v>
      </c>
      <c r="BB3327" s="48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356</v>
      </c>
      <c r="E3328" s="1" t="s">
        <v>345</v>
      </c>
      <c r="F3328" s="26">
        <v>5.12</v>
      </c>
      <c r="G3328" s="25" t="s">
        <v>293</v>
      </c>
      <c r="H3328" s="25"/>
      <c r="BA3328" s="73" t="s">
        <v>355</v>
      </c>
      <c r="BB3328" s="48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356</v>
      </c>
      <c r="E3329" s="1" t="s">
        <v>347</v>
      </c>
      <c r="F3329" s="26">
        <v>2.08</v>
      </c>
      <c r="G3329" s="25" t="s">
        <v>293</v>
      </c>
      <c r="H3329" s="25"/>
      <c r="BA3329" s="73" t="s">
        <v>355</v>
      </c>
      <c r="BB3329" s="48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356</v>
      </c>
      <c r="E3330" s="1" t="s">
        <v>128</v>
      </c>
      <c r="F3330" s="26">
        <v>6.7</v>
      </c>
      <c r="G3330" s="25" t="s">
        <v>293</v>
      </c>
      <c r="H3330" s="25"/>
      <c r="BA3330" s="73" t="s">
        <v>355</v>
      </c>
      <c r="BB3330" s="48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356</v>
      </c>
      <c r="E3331" s="1" t="s">
        <v>121</v>
      </c>
      <c r="F3331" s="26">
        <v>156</v>
      </c>
      <c r="G3331" s="25" t="s">
        <v>293</v>
      </c>
      <c r="H3331" s="25"/>
      <c r="BA3331" s="73" t="s">
        <v>355</v>
      </c>
      <c r="BB3331" s="48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356</v>
      </c>
      <c r="E3332" s="1" t="s">
        <v>115</v>
      </c>
      <c r="F3332" s="26">
        <v>32</v>
      </c>
      <c r="G3332" s="25" t="s">
        <v>293</v>
      </c>
      <c r="H3332" s="25"/>
      <c r="BA3332" s="73" t="s">
        <v>355</v>
      </c>
      <c r="BB3332" s="48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356</v>
      </c>
      <c r="E3333" s="1" t="s">
        <v>137</v>
      </c>
      <c r="F3333" s="26">
        <v>73</v>
      </c>
      <c r="G3333" s="25" t="s">
        <v>293</v>
      </c>
      <c r="H3333" s="25"/>
      <c r="BA3333" s="73" t="s">
        <v>355</v>
      </c>
      <c r="BB3333" s="48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356</v>
      </c>
      <c r="E3334" s="1" t="s">
        <v>348</v>
      </c>
      <c r="F3334" s="26">
        <v>139</v>
      </c>
      <c r="G3334" s="25" t="s">
        <v>293</v>
      </c>
      <c r="H3334" s="25"/>
      <c r="BA3334" s="73" t="s">
        <v>355</v>
      </c>
      <c r="BB3334" s="48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356</v>
      </c>
      <c r="E3335" s="1" t="s">
        <v>125</v>
      </c>
      <c r="F3335" s="26">
        <v>116</v>
      </c>
      <c r="G3335" s="25" t="s">
        <v>293</v>
      </c>
      <c r="H3335" s="25"/>
      <c r="BA3335" s="73" t="s">
        <v>355</v>
      </c>
      <c r="BB3335" s="48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356</v>
      </c>
      <c r="E3336" s="1" t="s">
        <v>126</v>
      </c>
      <c r="F3336" s="26">
        <v>79</v>
      </c>
      <c r="G3336" s="25" t="s">
        <v>293</v>
      </c>
      <c r="H3336" s="25"/>
      <c r="BA3336" s="73" t="s">
        <v>355</v>
      </c>
      <c r="BB3336" s="48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356</v>
      </c>
      <c r="E3337" s="1" t="s">
        <v>349</v>
      </c>
      <c r="F3337" s="26">
        <v>157</v>
      </c>
      <c r="G3337" s="25" t="s">
        <v>293</v>
      </c>
      <c r="H3337" s="25"/>
      <c r="BA3337" s="73" t="s">
        <v>355</v>
      </c>
      <c r="BB3337" s="48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356</v>
      </c>
      <c r="E3338" s="1" t="s">
        <v>350</v>
      </c>
      <c r="F3338" s="26">
        <v>61</v>
      </c>
      <c r="G3338" s="25" t="s">
        <v>293</v>
      </c>
      <c r="H3338" s="25"/>
      <c r="BA3338" s="73" t="s">
        <v>355</v>
      </c>
      <c r="BB3338" s="48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356</v>
      </c>
      <c r="E3339" s="1" t="s">
        <v>122</v>
      </c>
      <c r="F3339" s="26">
        <v>46</v>
      </c>
      <c r="G3339" s="25" t="s">
        <v>293</v>
      </c>
      <c r="H3339" s="25"/>
      <c r="BA3339" s="73" t="s">
        <v>355</v>
      </c>
      <c r="BB3339" s="48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356</v>
      </c>
      <c r="E3340" s="1" t="s">
        <v>124</v>
      </c>
      <c r="F3340" s="26">
        <v>30</v>
      </c>
      <c r="G3340" s="25" t="s">
        <v>293</v>
      </c>
      <c r="H3340" s="25"/>
      <c r="BA3340" s="73" t="s">
        <v>355</v>
      </c>
      <c r="BB3340" s="48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356</v>
      </c>
      <c r="E3341" s="1" t="s">
        <v>351</v>
      </c>
      <c r="F3341" s="26">
        <v>0.95</v>
      </c>
      <c r="G3341" s="25" t="s">
        <v>293</v>
      </c>
      <c r="H3341" s="25"/>
      <c r="BA3341" s="73" t="s">
        <v>355</v>
      </c>
      <c r="BB3341" s="48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356</v>
      </c>
      <c r="E3342" s="1" t="s">
        <v>353</v>
      </c>
      <c r="F3342" s="26">
        <v>36.200000000000003</v>
      </c>
      <c r="G3342" s="25" t="s">
        <v>293</v>
      </c>
      <c r="H3342" s="25"/>
      <c r="BA3342" s="73" t="s">
        <v>355</v>
      </c>
      <c r="BB3342" s="48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356</v>
      </c>
      <c r="E3343" s="1" t="s">
        <v>133</v>
      </c>
      <c r="F3343" s="26">
        <v>145</v>
      </c>
      <c r="G3343" s="25" t="s">
        <v>293</v>
      </c>
      <c r="H3343" s="25"/>
      <c r="BA3343" s="73" t="s">
        <v>355</v>
      </c>
      <c r="BB3343" s="48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356</v>
      </c>
      <c r="E3344" s="1" t="s">
        <v>135</v>
      </c>
      <c r="F3344" s="26">
        <v>3.8</v>
      </c>
      <c r="G3344" s="25" t="s">
        <v>293</v>
      </c>
      <c r="H3344" s="25"/>
      <c r="BA3344" s="73" t="s">
        <v>355</v>
      </c>
      <c r="BB3344" s="48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356</v>
      </c>
      <c r="E3345" s="1" t="s">
        <v>136</v>
      </c>
      <c r="F3345" s="26">
        <v>115</v>
      </c>
      <c r="G3345" s="25" t="s">
        <v>293</v>
      </c>
      <c r="H3345" s="25"/>
      <c r="BA3345" s="73" t="s">
        <v>355</v>
      </c>
      <c r="BB3345" s="48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356</v>
      </c>
      <c r="E3346" s="1" t="s">
        <v>339</v>
      </c>
      <c r="F3346" s="26">
        <v>4.53</v>
      </c>
      <c r="G3346" s="25" t="s">
        <v>293</v>
      </c>
      <c r="H3346" s="25"/>
      <c r="BA3346" s="73" t="s">
        <v>355</v>
      </c>
      <c r="BB3346" s="48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356</v>
      </c>
      <c r="E3347" s="1" t="s">
        <v>118</v>
      </c>
      <c r="F3347" s="26">
        <v>4.5</v>
      </c>
      <c r="G3347" s="25" t="s">
        <v>293</v>
      </c>
      <c r="H3347" s="25"/>
      <c r="BA3347" s="73" t="s">
        <v>355</v>
      </c>
      <c r="BB3347" s="48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356</v>
      </c>
      <c r="E3348" s="1" t="s">
        <v>130</v>
      </c>
      <c r="F3348" s="26">
        <v>3.82</v>
      </c>
      <c r="G3348" s="25" t="s">
        <v>293</v>
      </c>
      <c r="H3348" s="25"/>
      <c r="BA3348" s="73" t="s">
        <v>355</v>
      </c>
      <c r="BB3348" s="48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356</v>
      </c>
      <c r="E3349" s="1" t="s">
        <v>341</v>
      </c>
      <c r="F3349" s="26">
        <v>0.30099999999999999</v>
      </c>
      <c r="G3349" s="25" t="s">
        <v>293</v>
      </c>
      <c r="H3349" s="25"/>
      <c r="BA3349" s="73" t="s">
        <v>355</v>
      </c>
      <c r="BB3349" s="48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356</v>
      </c>
      <c r="E3350" s="1" t="s">
        <v>127</v>
      </c>
      <c r="F3350" s="26">
        <v>1.17</v>
      </c>
      <c r="G3350" s="25" t="s">
        <v>293</v>
      </c>
      <c r="H3350" s="25"/>
      <c r="BA3350" s="73" t="s">
        <v>355</v>
      </c>
      <c r="BB3350" s="48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356</v>
      </c>
      <c r="E3351" s="1" t="s">
        <v>131</v>
      </c>
      <c r="F3351" s="26">
        <v>9</v>
      </c>
      <c r="G3351" s="25" t="s">
        <v>293</v>
      </c>
      <c r="H3351" s="25"/>
      <c r="BA3351" s="73" t="s">
        <v>355</v>
      </c>
      <c r="BB3351" s="48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356</v>
      </c>
      <c r="E3352" s="1" t="s">
        <v>342</v>
      </c>
      <c r="F3352" s="26">
        <v>313</v>
      </c>
      <c r="G3352" s="25" t="s">
        <v>293</v>
      </c>
      <c r="H3352" s="25"/>
      <c r="BA3352" s="73" t="s">
        <v>355</v>
      </c>
      <c r="BB3352" s="48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356</v>
      </c>
      <c r="E3353" s="1" t="s">
        <v>119</v>
      </c>
      <c r="F3353" s="26">
        <v>239</v>
      </c>
      <c r="G3353" s="25" t="s">
        <v>293</v>
      </c>
      <c r="H3353" s="25"/>
      <c r="BA3353" s="73" t="s">
        <v>355</v>
      </c>
      <c r="BB3353" s="48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356</v>
      </c>
      <c r="E3354" s="1" t="s">
        <v>120</v>
      </c>
      <c r="F3354" s="26">
        <v>79</v>
      </c>
      <c r="G3354" s="25" t="s">
        <v>293</v>
      </c>
      <c r="H3354" s="25"/>
      <c r="BA3354" s="73" t="s">
        <v>355</v>
      </c>
      <c r="BB3354" s="48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356</v>
      </c>
      <c r="E3355" s="1" t="s">
        <v>117</v>
      </c>
      <c r="F3355" s="26">
        <v>2.68</v>
      </c>
      <c r="G3355" s="25" t="s">
        <v>293</v>
      </c>
      <c r="H3355" s="25"/>
      <c r="BA3355" s="73" t="s">
        <v>355</v>
      </c>
      <c r="BB3355" s="48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356</v>
      </c>
      <c r="E3356" s="1" t="s">
        <v>344</v>
      </c>
      <c r="F3356" s="26">
        <v>232</v>
      </c>
      <c r="G3356" s="25" t="s">
        <v>293</v>
      </c>
      <c r="H3356" s="25"/>
      <c r="BA3356" s="73" t="s">
        <v>355</v>
      </c>
      <c r="BB3356" s="48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356</v>
      </c>
      <c r="E3357" s="1" t="s">
        <v>132</v>
      </c>
      <c r="F3357" s="26">
        <v>3.57</v>
      </c>
      <c r="G3357" s="25" t="s">
        <v>293</v>
      </c>
      <c r="H3357" s="25"/>
      <c r="BA3357" s="73" t="s">
        <v>355</v>
      </c>
      <c r="BB3357" s="48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356</v>
      </c>
      <c r="E3358" s="1" t="s">
        <v>111</v>
      </c>
      <c r="F3358" s="26">
        <v>88</v>
      </c>
      <c r="G3358" s="25" t="s">
        <v>293</v>
      </c>
      <c r="H3358" s="25"/>
      <c r="BA3358" s="73" t="s">
        <v>355</v>
      </c>
      <c r="BB3358" s="48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356</v>
      </c>
      <c r="E3359" s="1" t="s">
        <v>345</v>
      </c>
      <c r="F3359" s="26">
        <v>5.13</v>
      </c>
      <c r="G3359" s="25" t="s">
        <v>293</v>
      </c>
      <c r="H3359" s="25"/>
      <c r="BA3359" s="73" t="s">
        <v>355</v>
      </c>
      <c r="BB3359" s="48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356</v>
      </c>
      <c r="E3360" s="1" t="s">
        <v>347</v>
      </c>
      <c r="F3360" s="26">
        <v>2.2000000000000002</v>
      </c>
      <c r="G3360" s="25" t="s">
        <v>293</v>
      </c>
      <c r="H3360" s="25"/>
      <c r="BA3360" s="73" t="s">
        <v>355</v>
      </c>
      <c r="BB3360" s="48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356</v>
      </c>
      <c r="E3361" s="1" t="s">
        <v>128</v>
      </c>
      <c r="F3361" s="26">
        <v>6.6</v>
      </c>
      <c r="G3361" s="25" t="s">
        <v>293</v>
      </c>
      <c r="H3361" s="25"/>
      <c r="BA3361" s="73" t="s">
        <v>355</v>
      </c>
      <c r="BB3361" s="48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356</v>
      </c>
      <c r="E3362" s="1" t="s">
        <v>121</v>
      </c>
      <c r="F3362" s="26">
        <v>167</v>
      </c>
      <c r="G3362" s="25" t="s">
        <v>293</v>
      </c>
      <c r="H3362" s="25"/>
      <c r="BA3362" s="73" t="s">
        <v>355</v>
      </c>
      <c r="BB3362" s="48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356</v>
      </c>
      <c r="E3363" s="1" t="s">
        <v>115</v>
      </c>
      <c r="F3363" s="26">
        <v>34</v>
      </c>
      <c r="G3363" s="25" t="s">
        <v>293</v>
      </c>
      <c r="H3363" s="25"/>
      <c r="BA3363" s="73" t="s">
        <v>355</v>
      </c>
      <c r="BB3363" s="48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356</v>
      </c>
      <c r="E3364" s="1" t="s">
        <v>137</v>
      </c>
      <c r="F3364" s="26">
        <v>75</v>
      </c>
      <c r="G3364" s="25" t="s">
        <v>293</v>
      </c>
      <c r="H3364" s="25"/>
      <c r="BA3364" s="73" t="s">
        <v>355</v>
      </c>
      <c r="BB3364" s="48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356</v>
      </c>
      <c r="E3365" s="1" t="s">
        <v>348</v>
      </c>
      <c r="F3365" s="26">
        <v>146</v>
      </c>
      <c r="G3365" s="25" t="s">
        <v>293</v>
      </c>
      <c r="H3365" s="25"/>
      <c r="BA3365" s="73" t="s">
        <v>355</v>
      </c>
      <c r="BB3365" s="48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356</v>
      </c>
      <c r="E3366" s="1" t="s">
        <v>125</v>
      </c>
      <c r="F3366" s="26">
        <v>108</v>
      </c>
      <c r="G3366" s="25" t="s">
        <v>293</v>
      </c>
      <c r="H3366" s="25"/>
      <c r="BA3366" s="73" t="s">
        <v>355</v>
      </c>
      <c r="BB3366" s="48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356</v>
      </c>
      <c r="E3367" s="1" t="s">
        <v>126</v>
      </c>
      <c r="F3367" s="26">
        <v>81</v>
      </c>
      <c r="G3367" s="25" t="s">
        <v>293</v>
      </c>
      <c r="H3367" s="25"/>
      <c r="BA3367" s="73" t="s">
        <v>355</v>
      </c>
      <c r="BB3367" s="48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356</v>
      </c>
      <c r="E3368" s="1" t="s">
        <v>349</v>
      </c>
      <c r="F3368" s="26">
        <v>153</v>
      </c>
      <c r="G3368" s="25" t="s">
        <v>293</v>
      </c>
      <c r="H3368" s="25"/>
      <c r="BA3368" s="73" t="s">
        <v>355</v>
      </c>
      <c r="BB3368" s="48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356</v>
      </c>
      <c r="E3369" s="1" t="s">
        <v>350</v>
      </c>
      <c r="F3369" s="26">
        <v>62</v>
      </c>
      <c r="G3369" s="25" t="s">
        <v>293</v>
      </c>
      <c r="H3369" s="25"/>
      <c r="BA3369" s="73" t="s">
        <v>355</v>
      </c>
      <c r="BB3369" s="48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356</v>
      </c>
      <c r="E3370" s="1" t="s">
        <v>122</v>
      </c>
      <c r="F3370" s="26">
        <v>45</v>
      </c>
      <c r="G3370" s="25" t="s">
        <v>293</v>
      </c>
      <c r="H3370" s="25"/>
      <c r="BA3370" s="73" t="s">
        <v>355</v>
      </c>
      <c r="BB3370" s="48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356</v>
      </c>
      <c r="E3371" s="1" t="s">
        <v>124</v>
      </c>
      <c r="F3371" s="26">
        <v>31</v>
      </c>
      <c r="G3371" s="25" t="s">
        <v>293</v>
      </c>
      <c r="H3371" s="25"/>
      <c r="BA3371" s="73" t="s">
        <v>355</v>
      </c>
      <c r="BB3371" s="48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356</v>
      </c>
      <c r="E3372" s="1" t="s">
        <v>351</v>
      </c>
      <c r="F3372" s="26">
        <v>0.97</v>
      </c>
      <c r="G3372" s="25" t="s">
        <v>293</v>
      </c>
      <c r="H3372" s="25"/>
      <c r="BA3372" s="73" t="s">
        <v>355</v>
      </c>
      <c r="BB3372" s="48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356</v>
      </c>
      <c r="E3373" s="1" t="s">
        <v>353</v>
      </c>
      <c r="F3373" s="26">
        <v>35.5</v>
      </c>
      <c r="G3373" s="25" t="s">
        <v>293</v>
      </c>
      <c r="H3373" s="25"/>
      <c r="BA3373" s="73" t="s">
        <v>355</v>
      </c>
      <c r="BB3373" s="48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356</v>
      </c>
      <c r="E3374" s="1" t="s">
        <v>133</v>
      </c>
      <c r="F3374" s="26">
        <v>147</v>
      </c>
      <c r="G3374" s="25" t="s">
        <v>293</v>
      </c>
      <c r="H3374" s="25"/>
      <c r="BA3374" s="73" t="s">
        <v>355</v>
      </c>
      <c r="BB3374" s="48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356</v>
      </c>
      <c r="E3375" s="1" t="s">
        <v>135</v>
      </c>
      <c r="F3375" s="26">
        <v>3.8</v>
      </c>
      <c r="G3375" s="25" t="s">
        <v>293</v>
      </c>
      <c r="H3375" s="25"/>
      <c r="BA3375" s="73" t="s">
        <v>355</v>
      </c>
      <c r="BB3375" s="48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356</v>
      </c>
      <c r="E3376" s="1" t="s">
        <v>136</v>
      </c>
      <c r="F3376" s="26">
        <v>116</v>
      </c>
      <c r="G3376" s="25" t="s">
        <v>293</v>
      </c>
      <c r="H3376" s="25"/>
      <c r="BA3376" s="73" t="s">
        <v>355</v>
      </c>
      <c r="BB3376" s="48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356</v>
      </c>
      <c r="E3377" s="1" t="s">
        <v>339</v>
      </c>
      <c r="F3377" s="26">
        <v>4.5999999999999996</v>
      </c>
      <c r="G3377" s="25" t="s">
        <v>293</v>
      </c>
      <c r="H3377" s="25"/>
      <c r="BA3377" s="73" t="s">
        <v>355</v>
      </c>
      <c r="BB3377" s="48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356</v>
      </c>
      <c r="E3378" s="1" t="s">
        <v>118</v>
      </c>
      <c r="F3378" s="26">
        <v>4.5</v>
      </c>
      <c r="G3378" s="25" t="s">
        <v>293</v>
      </c>
      <c r="H3378" s="25"/>
      <c r="BA3378" s="73" t="s">
        <v>355</v>
      </c>
      <c r="BB3378" s="48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356</v>
      </c>
      <c r="E3379" s="1" t="s">
        <v>130</v>
      </c>
      <c r="F3379" s="26">
        <v>3.72</v>
      </c>
      <c r="G3379" s="25" t="s">
        <v>293</v>
      </c>
      <c r="H3379" s="25"/>
      <c r="BA3379" s="73" t="s">
        <v>355</v>
      </c>
      <c r="BB3379" s="48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356</v>
      </c>
      <c r="E3380" s="1" t="s">
        <v>341</v>
      </c>
      <c r="F3380" s="26">
        <v>0.28999999999999998</v>
      </c>
      <c r="G3380" s="25" t="s">
        <v>293</v>
      </c>
      <c r="H3380" s="25"/>
      <c r="BA3380" s="73" t="s">
        <v>355</v>
      </c>
      <c r="BB3380" s="48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356</v>
      </c>
      <c r="E3381" s="1" t="s">
        <v>127</v>
      </c>
      <c r="F3381" s="26">
        <v>1.18</v>
      </c>
      <c r="G3381" s="25" t="s">
        <v>293</v>
      </c>
      <c r="H3381" s="25"/>
      <c r="BA3381" s="73" t="s">
        <v>355</v>
      </c>
      <c r="BB3381" s="48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356</v>
      </c>
      <c r="E3382" s="1" t="s">
        <v>131</v>
      </c>
      <c r="F3382" s="26">
        <v>8.8000000000000007</v>
      </c>
      <c r="G3382" s="25" t="s">
        <v>293</v>
      </c>
      <c r="H3382" s="25"/>
      <c r="BA3382" s="73" t="s">
        <v>355</v>
      </c>
      <c r="BB3382" s="48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356</v>
      </c>
      <c r="E3383" s="1" t="s">
        <v>342</v>
      </c>
      <c r="F3383" s="26">
        <v>310</v>
      </c>
      <c r="G3383" s="25" t="s">
        <v>293</v>
      </c>
      <c r="H3383" s="25"/>
      <c r="BA3383" s="73" t="s">
        <v>355</v>
      </c>
      <c r="BB3383" s="48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356</v>
      </c>
      <c r="E3384" s="1" t="s">
        <v>119</v>
      </c>
      <c r="F3384" s="26">
        <v>241</v>
      </c>
      <c r="G3384" s="25" t="s">
        <v>293</v>
      </c>
      <c r="H3384" s="25"/>
      <c r="BA3384" s="73" t="s">
        <v>355</v>
      </c>
      <c r="BB3384" s="48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356</v>
      </c>
      <c r="E3385" s="1" t="s">
        <v>120</v>
      </c>
      <c r="F3385" s="26">
        <v>77</v>
      </c>
      <c r="G3385" s="25" t="s">
        <v>293</v>
      </c>
      <c r="H3385" s="25"/>
      <c r="BA3385" s="73" t="s">
        <v>355</v>
      </c>
      <c r="BB3385" s="48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356</v>
      </c>
      <c r="E3386" s="1" t="s">
        <v>117</v>
      </c>
      <c r="F3386" s="26">
        <v>2.72</v>
      </c>
      <c r="G3386" s="25" t="s">
        <v>293</v>
      </c>
      <c r="H3386" s="25"/>
      <c r="BA3386" s="73" t="s">
        <v>355</v>
      </c>
      <c r="BB3386" s="48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356</v>
      </c>
      <c r="E3387" s="1" t="s">
        <v>344</v>
      </c>
      <c r="F3387" s="26">
        <v>231</v>
      </c>
      <c r="G3387" s="25" t="s">
        <v>293</v>
      </c>
      <c r="H3387" s="25"/>
      <c r="BA3387" s="73" t="s">
        <v>355</v>
      </c>
      <c r="BB3387" s="48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356</v>
      </c>
      <c r="E3388" s="1" t="s">
        <v>132</v>
      </c>
      <c r="F3388" s="26">
        <v>3.7</v>
      </c>
      <c r="G3388" s="25" t="s">
        <v>293</v>
      </c>
      <c r="H3388" s="25"/>
      <c r="BA3388" s="73" t="s">
        <v>355</v>
      </c>
      <c r="BB3388" s="48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356</v>
      </c>
      <c r="E3389" s="1" t="s">
        <v>111</v>
      </c>
      <c r="F3389" s="26">
        <v>89</v>
      </c>
      <c r="G3389" s="25" t="s">
        <v>293</v>
      </c>
      <c r="H3389" s="25"/>
      <c r="BA3389" s="73" t="s">
        <v>355</v>
      </c>
      <c r="BB3389" s="48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356</v>
      </c>
      <c r="E3390" s="1" t="s">
        <v>345</v>
      </c>
      <c r="F3390" s="26">
        <v>5.07</v>
      </c>
      <c r="G3390" s="25" t="s">
        <v>293</v>
      </c>
      <c r="H3390" s="25"/>
      <c r="BA3390" s="73" t="s">
        <v>355</v>
      </c>
      <c r="BB3390" s="48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356</v>
      </c>
      <c r="E3391" s="1" t="s">
        <v>347</v>
      </c>
      <c r="F3391" s="26">
        <v>2.31</v>
      </c>
      <c r="G3391" s="25" t="s">
        <v>293</v>
      </c>
      <c r="H3391" s="25"/>
      <c r="BA3391" s="73" t="s">
        <v>355</v>
      </c>
      <c r="BB3391" s="48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356</v>
      </c>
      <c r="E3392" s="1" t="s">
        <v>128</v>
      </c>
      <c r="F3392" s="26">
        <v>6.8</v>
      </c>
      <c r="G3392" s="25" t="s">
        <v>293</v>
      </c>
      <c r="H3392" s="25"/>
      <c r="BA3392" s="73" t="s">
        <v>355</v>
      </c>
      <c r="BB3392" s="48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356</v>
      </c>
      <c r="E3393" s="1" t="s">
        <v>121</v>
      </c>
      <c r="F3393" s="26">
        <v>165</v>
      </c>
      <c r="G3393" s="25" t="s">
        <v>293</v>
      </c>
      <c r="H3393" s="25"/>
      <c r="BA3393" s="73" t="s">
        <v>355</v>
      </c>
      <c r="BB3393" s="48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356</v>
      </c>
      <c r="E3394" s="1" t="s">
        <v>115</v>
      </c>
      <c r="F3394" s="26">
        <v>35</v>
      </c>
      <c r="G3394" s="25" t="s">
        <v>293</v>
      </c>
      <c r="H3394" s="25"/>
      <c r="BA3394" s="73" t="s">
        <v>355</v>
      </c>
      <c r="BB3394" s="48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356</v>
      </c>
      <c r="E3395" s="1" t="s">
        <v>137</v>
      </c>
      <c r="F3395" s="26">
        <v>75</v>
      </c>
      <c r="G3395" s="25" t="s">
        <v>293</v>
      </c>
      <c r="H3395" s="25"/>
      <c r="BA3395" s="73" t="s">
        <v>355</v>
      </c>
      <c r="BB3395" s="48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356</v>
      </c>
      <c r="E3396" s="1" t="s">
        <v>348</v>
      </c>
      <c r="F3396" s="26">
        <v>144</v>
      </c>
      <c r="G3396" s="25" t="s">
        <v>293</v>
      </c>
      <c r="H3396" s="25"/>
      <c r="BA3396" s="73" t="s">
        <v>355</v>
      </c>
      <c r="BB3396" s="48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356</v>
      </c>
      <c r="E3397" s="1" t="s">
        <v>125</v>
      </c>
      <c r="F3397" s="26">
        <v>113</v>
      </c>
      <c r="G3397" s="25" t="s">
        <v>293</v>
      </c>
      <c r="H3397" s="25"/>
      <c r="BA3397" s="73" t="s">
        <v>355</v>
      </c>
      <c r="BB3397" s="48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356</v>
      </c>
      <c r="E3398" s="1" t="s">
        <v>126</v>
      </c>
      <c r="F3398" s="26">
        <v>82</v>
      </c>
      <c r="G3398" s="25" t="s">
        <v>293</v>
      </c>
      <c r="H3398" s="25"/>
      <c r="BA3398" s="73" t="s">
        <v>355</v>
      </c>
      <c r="BB3398" s="48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356</v>
      </c>
      <c r="E3399" s="1" t="s">
        <v>349</v>
      </c>
      <c r="F3399" s="26">
        <v>168</v>
      </c>
      <c r="G3399" s="25" t="s">
        <v>293</v>
      </c>
      <c r="H3399" s="25"/>
      <c r="BA3399" s="73" t="s">
        <v>355</v>
      </c>
      <c r="BB3399" s="48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356</v>
      </c>
      <c r="E3400" s="1" t="s">
        <v>350</v>
      </c>
      <c r="F3400" s="26">
        <v>62</v>
      </c>
      <c r="G3400" s="25" t="s">
        <v>293</v>
      </c>
      <c r="H3400" s="25"/>
      <c r="BA3400" s="73" t="s">
        <v>355</v>
      </c>
      <c r="BB3400" s="48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356</v>
      </c>
      <c r="E3401" s="1" t="s">
        <v>122</v>
      </c>
      <c r="F3401" s="26">
        <v>46</v>
      </c>
      <c r="G3401" s="25" t="s">
        <v>293</v>
      </c>
      <c r="H3401" s="25"/>
      <c r="BA3401" s="73" t="s">
        <v>355</v>
      </c>
      <c r="BB3401" s="48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356</v>
      </c>
      <c r="E3402" s="1" t="s">
        <v>124</v>
      </c>
      <c r="F3402" s="26">
        <v>29</v>
      </c>
      <c r="G3402" s="25" t="s">
        <v>293</v>
      </c>
      <c r="H3402" s="25"/>
      <c r="BA3402" s="73" t="s">
        <v>355</v>
      </c>
      <c r="BB3402" s="48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356</v>
      </c>
      <c r="E3403" s="1" t="s">
        <v>351</v>
      </c>
      <c r="F3403" s="26">
        <v>0.99</v>
      </c>
      <c r="G3403" s="25" t="s">
        <v>293</v>
      </c>
      <c r="H3403" s="25"/>
      <c r="BA3403" s="73" t="s">
        <v>355</v>
      </c>
      <c r="BB3403" s="48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356</v>
      </c>
      <c r="E3404" s="1" t="s">
        <v>353</v>
      </c>
      <c r="F3404" s="26">
        <v>36.6</v>
      </c>
      <c r="G3404" s="25" t="s">
        <v>293</v>
      </c>
      <c r="H3404" s="25"/>
      <c r="BA3404" s="73" t="s">
        <v>355</v>
      </c>
      <c r="BB3404" s="48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356</v>
      </c>
      <c r="E3405" s="1" t="s">
        <v>133</v>
      </c>
      <c r="F3405" s="26">
        <v>146</v>
      </c>
      <c r="G3405" s="25" t="s">
        <v>293</v>
      </c>
      <c r="H3405" s="25"/>
      <c r="BA3405" s="73" t="s">
        <v>355</v>
      </c>
      <c r="BB3405" s="48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356</v>
      </c>
      <c r="E3406" s="1" t="s">
        <v>135</v>
      </c>
      <c r="F3406" s="26">
        <v>3.8</v>
      </c>
      <c r="G3406" s="25" t="s">
        <v>293</v>
      </c>
      <c r="H3406" s="25"/>
      <c r="BA3406" s="73" t="s">
        <v>355</v>
      </c>
      <c r="BB3406" s="48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356</v>
      </c>
      <c r="E3407" s="1" t="s">
        <v>136</v>
      </c>
      <c r="F3407" s="26">
        <v>114</v>
      </c>
      <c r="G3407" s="25" t="s">
        <v>293</v>
      </c>
      <c r="H3407" s="25"/>
      <c r="BA3407" s="73" t="s">
        <v>355</v>
      </c>
      <c r="BB3407" s="48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356</v>
      </c>
      <c r="E3408" s="1" t="s">
        <v>339</v>
      </c>
      <c r="F3408" s="26">
        <v>4.6500000000000004</v>
      </c>
      <c r="G3408" s="25" t="s">
        <v>293</v>
      </c>
      <c r="H3408" s="25"/>
      <c r="BA3408" s="73" t="s">
        <v>355</v>
      </c>
      <c r="BB3408" s="48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356</v>
      </c>
      <c r="E3409" s="1" t="s">
        <v>118</v>
      </c>
      <c r="F3409" s="26">
        <v>4.5</v>
      </c>
      <c r="G3409" s="25" t="s">
        <v>293</v>
      </c>
      <c r="H3409" s="25"/>
      <c r="BA3409" s="73" t="s">
        <v>355</v>
      </c>
      <c r="BB3409" s="48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356</v>
      </c>
      <c r="E3410" s="1" t="s">
        <v>130</v>
      </c>
      <c r="F3410" s="26">
        <v>3.84</v>
      </c>
      <c r="G3410" s="25" t="s">
        <v>293</v>
      </c>
      <c r="H3410" s="25"/>
      <c r="BA3410" s="73" t="s">
        <v>355</v>
      </c>
      <c r="BB3410" s="48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356</v>
      </c>
      <c r="E3411" s="1" t="s">
        <v>341</v>
      </c>
      <c r="F3411" s="26">
        <v>0.28399999999999997</v>
      </c>
      <c r="G3411" s="25" t="s">
        <v>293</v>
      </c>
      <c r="H3411" s="25"/>
      <c r="BA3411" s="73" t="s">
        <v>355</v>
      </c>
      <c r="BB3411" s="48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356</v>
      </c>
      <c r="E3412" s="1" t="s">
        <v>127</v>
      </c>
      <c r="F3412" s="26">
        <v>1.1930000000000001</v>
      </c>
      <c r="G3412" s="25" t="s">
        <v>293</v>
      </c>
      <c r="H3412" s="25"/>
      <c r="BA3412" s="73" t="s">
        <v>355</v>
      </c>
      <c r="BB3412" s="48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356</v>
      </c>
      <c r="E3413" s="1" t="s">
        <v>131</v>
      </c>
      <c r="F3413" s="26">
        <v>8.9</v>
      </c>
      <c r="G3413" s="25" t="s">
        <v>293</v>
      </c>
      <c r="H3413" s="25"/>
      <c r="BA3413" s="73" t="s">
        <v>355</v>
      </c>
      <c r="BB3413" s="48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356</v>
      </c>
      <c r="E3414" s="1" t="s">
        <v>342</v>
      </c>
      <c r="F3414" s="26">
        <v>309</v>
      </c>
      <c r="G3414" s="25" t="s">
        <v>293</v>
      </c>
      <c r="H3414" s="25"/>
      <c r="BA3414" s="73" t="s">
        <v>355</v>
      </c>
      <c r="BB3414" s="48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356</v>
      </c>
      <c r="E3415" s="1" t="s">
        <v>119</v>
      </c>
      <c r="F3415" s="26">
        <v>239</v>
      </c>
      <c r="G3415" s="25" t="s">
        <v>293</v>
      </c>
      <c r="H3415" s="25"/>
      <c r="BA3415" s="73" t="s">
        <v>355</v>
      </c>
      <c r="BB3415" s="48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356</v>
      </c>
      <c r="E3416" s="1" t="s">
        <v>120</v>
      </c>
      <c r="F3416" s="26">
        <v>77</v>
      </c>
      <c r="G3416" s="25" t="s">
        <v>293</v>
      </c>
      <c r="H3416" s="25"/>
      <c r="BA3416" s="73" t="s">
        <v>355</v>
      </c>
      <c r="BB3416" s="48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356</v>
      </c>
      <c r="E3417" s="1" t="s">
        <v>117</v>
      </c>
      <c r="F3417" s="26">
        <v>2.74</v>
      </c>
      <c r="G3417" s="25" t="s">
        <v>293</v>
      </c>
      <c r="H3417" s="25"/>
      <c r="BA3417" s="73" t="s">
        <v>355</v>
      </c>
      <c r="BB3417" s="48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356</v>
      </c>
      <c r="E3418" s="1" t="s">
        <v>344</v>
      </c>
      <c r="F3418" s="26">
        <v>232</v>
      </c>
      <c r="G3418" s="25" t="s">
        <v>293</v>
      </c>
      <c r="H3418" s="25"/>
      <c r="BA3418" s="73" t="s">
        <v>355</v>
      </c>
      <c r="BB3418" s="48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356</v>
      </c>
      <c r="E3419" s="1" t="s">
        <v>132</v>
      </c>
      <c r="F3419" s="26">
        <v>3.52</v>
      </c>
      <c r="G3419" s="25" t="s">
        <v>293</v>
      </c>
      <c r="H3419" s="25"/>
      <c r="BA3419" s="73" t="s">
        <v>355</v>
      </c>
      <c r="BB3419" s="48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356</v>
      </c>
      <c r="E3420" s="1" t="s">
        <v>111</v>
      </c>
      <c r="F3420" s="26">
        <v>89</v>
      </c>
      <c r="G3420" s="25" t="s">
        <v>293</v>
      </c>
      <c r="H3420" s="25"/>
      <c r="BA3420" s="73" t="s">
        <v>355</v>
      </c>
      <c r="BB3420" s="48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356</v>
      </c>
      <c r="E3421" s="1" t="s">
        <v>345</v>
      </c>
      <c r="F3421" s="26">
        <v>5.07</v>
      </c>
      <c r="G3421" s="25" t="s">
        <v>293</v>
      </c>
      <c r="H3421" s="25"/>
      <c r="BA3421" s="73" t="s">
        <v>355</v>
      </c>
      <c r="BB3421" s="48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356</v>
      </c>
      <c r="E3422" s="1" t="s">
        <v>347</v>
      </c>
      <c r="F3422" s="26">
        <v>2.17</v>
      </c>
      <c r="G3422" s="25" t="s">
        <v>293</v>
      </c>
      <c r="H3422" s="25"/>
      <c r="BA3422" s="73" t="s">
        <v>355</v>
      </c>
      <c r="BB3422" s="48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356</v>
      </c>
      <c r="E3423" s="1" t="s">
        <v>128</v>
      </c>
      <c r="F3423" s="26">
        <v>7</v>
      </c>
      <c r="G3423" s="25" t="s">
        <v>293</v>
      </c>
      <c r="H3423" s="25"/>
      <c r="BA3423" s="73" t="s">
        <v>355</v>
      </c>
      <c r="BB3423" s="48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356</v>
      </c>
      <c r="E3424" s="1" t="s">
        <v>121</v>
      </c>
      <c r="F3424" s="26">
        <v>164</v>
      </c>
      <c r="G3424" s="25" t="s">
        <v>293</v>
      </c>
      <c r="H3424" s="25"/>
      <c r="BA3424" s="73" t="s">
        <v>355</v>
      </c>
      <c r="BB3424" s="48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356</v>
      </c>
      <c r="E3425" s="1" t="s">
        <v>115</v>
      </c>
      <c r="F3425" s="26">
        <v>36</v>
      </c>
      <c r="G3425" s="25" t="s">
        <v>293</v>
      </c>
      <c r="H3425" s="25"/>
      <c r="BA3425" s="73" t="s">
        <v>355</v>
      </c>
      <c r="BB3425" s="48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356</v>
      </c>
      <c r="E3426" s="1" t="s">
        <v>137</v>
      </c>
      <c r="F3426" s="26">
        <v>75</v>
      </c>
      <c r="G3426" s="25" t="s">
        <v>293</v>
      </c>
      <c r="H3426" s="25"/>
      <c r="BA3426" s="73" t="s">
        <v>355</v>
      </c>
      <c r="BB3426" s="48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356</v>
      </c>
      <c r="E3427" s="1" t="s">
        <v>348</v>
      </c>
      <c r="F3427" s="26">
        <v>144</v>
      </c>
      <c r="G3427" s="25" t="s">
        <v>293</v>
      </c>
      <c r="H3427" s="25"/>
      <c r="BA3427" s="73" t="s">
        <v>355</v>
      </c>
      <c r="BB3427" s="48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356</v>
      </c>
      <c r="E3428" s="1" t="s">
        <v>125</v>
      </c>
      <c r="F3428" s="26">
        <v>114</v>
      </c>
      <c r="G3428" s="25" t="s">
        <v>293</v>
      </c>
      <c r="H3428" s="25"/>
      <c r="BA3428" s="73" t="s">
        <v>355</v>
      </c>
      <c r="BB3428" s="48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356</v>
      </c>
      <c r="E3429" s="1" t="s">
        <v>126</v>
      </c>
      <c r="F3429" s="26">
        <v>82</v>
      </c>
      <c r="G3429" s="25" t="s">
        <v>293</v>
      </c>
      <c r="H3429" s="25"/>
      <c r="BA3429" s="73" t="s">
        <v>355</v>
      </c>
      <c r="BB3429" s="48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356</v>
      </c>
      <c r="E3430" s="1" t="s">
        <v>349</v>
      </c>
      <c r="F3430" s="26">
        <v>159</v>
      </c>
      <c r="G3430" s="25" t="s">
        <v>293</v>
      </c>
      <c r="H3430" s="25"/>
      <c r="BA3430" s="73" t="s">
        <v>355</v>
      </c>
      <c r="BB3430" s="48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356</v>
      </c>
      <c r="E3431" s="1" t="s">
        <v>350</v>
      </c>
      <c r="F3431" s="26">
        <v>63</v>
      </c>
      <c r="G3431" s="25" t="s">
        <v>293</v>
      </c>
      <c r="H3431" s="25"/>
      <c r="BA3431" s="73" t="s">
        <v>355</v>
      </c>
      <c r="BB3431" s="48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356</v>
      </c>
      <c r="E3432" s="1" t="s">
        <v>122</v>
      </c>
      <c r="F3432" s="26">
        <v>46</v>
      </c>
      <c r="G3432" s="25" t="s">
        <v>293</v>
      </c>
      <c r="H3432" s="25"/>
      <c r="BA3432" s="73" t="s">
        <v>355</v>
      </c>
      <c r="BB3432" s="48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356</v>
      </c>
      <c r="E3433" s="1" t="s">
        <v>124</v>
      </c>
      <c r="F3433" s="26">
        <v>29</v>
      </c>
      <c r="G3433" s="25" t="s">
        <v>293</v>
      </c>
      <c r="H3433" s="25"/>
      <c r="BA3433" s="73" t="s">
        <v>355</v>
      </c>
      <c r="BB3433" s="48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356</v>
      </c>
      <c r="E3434" s="1" t="s">
        <v>351</v>
      </c>
      <c r="F3434" s="26">
        <v>0.92</v>
      </c>
      <c r="G3434" s="25" t="s">
        <v>293</v>
      </c>
      <c r="H3434" s="25"/>
      <c r="BA3434" s="73" t="s">
        <v>355</v>
      </c>
      <c r="BB3434" s="48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356</v>
      </c>
      <c r="E3435" s="1" t="s">
        <v>353</v>
      </c>
      <c r="F3435" s="26">
        <v>38.299999999999997</v>
      </c>
      <c r="G3435" s="25" t="s">
        <v>293</v>
      </c>
      <c r="H3435" s="25"/>
      <c r="BA3435" s="73" t="s">
        <v>355</v>
      </c>
      <c r="BB3435" s="48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356</v>
      </c>
      <c r="E3436" s="1" t="s">
        <v>133</v>
      </c>
      <c r="F3436" s="26">
        <v>148</v>
      </c>
      <c r="G3436" s="25" t="s">
        <v>293</v>
      </c>
      <c r="H3436" s="25"/>
      <c r="BA3436" s="73" t="s">
        <v>355</v>
      </c>
      <c r="BB3436" s="48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356</v>
      </c>
      <c r="E3437" s="1" t="s">
        <v>135</v>
      </c>
      <c r="F3437" s="26">
        <v>3.8</v>
      </c>
      <c r="G3437" s="25" t="s">
        <v>293</v>
      </c>
      <c r="H3437" s="25"/>
      <c r="BA3437" s="73" t="s">
        <v>355</v>
      </c>
      <c r="BB3437" s="48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356</v>
      </c>
      <c r="E3438" s="1" t="s">
        <v>136</v>
      </c>
      <c r="F3438" s="26">
        <v>113</v>
      </c>
      <c r="G3438" s="25" t="s">
        <v>293</v>
      </c>
      <c r="H3438" s="25"/>
      <c r="BA3438" s="73" t="s">
        <v>355</v>
      </c>
      <c r="BB3438" s="48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356</v>
      </c>
      <c r="E3439" s="1" t="s">
        <v>339</v>
      </c>
      <c r="F3439" s="26">
        <v>4.72</v>
      </c>
      <c r="G3439" s="25" t="s">
        <v>293</v>
      </c>
      <c r="H3439" s="25"/>
      <c r="BA3439" s="73" t="s">
        <v>355</v>
      </c>
      <c r="BB3439" s="48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356</v>
      </c>
      <c r="E3440" s="1" t="s">
        <v>118</v>
      </c>
      <c r="F3440" s="26">
        <v>4.5999999999999996</v>
      </c>
      <c r="G3440" s="25" t="s">
        <v>293</v>
      </c>
      <c r="H3440" s="25"/>
      <c r="BA3440" s="73" t="s">
        <v>355</v>
      </c>
      <c r="BB3440" s="48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356</v>
      </c>
      <c r="E3441" s="1" t="s">
        <v>130</v>
      </c>
      <c r="F3441" s="26">
        <v>3.8</v>
      </c>
      <c r="G3441" s="25" t="s">
        <v>293</v>
      </c>
      <c r="H3441" s="25"/>
      <c r="BA3441" s="73" t="s">
        <v>355</v>
      </c>
      <c r="BB3441" s="48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356</v>
      </c>
      <c r="E3442" s="1" t="s">
        <v>341</v>
      </c>
      <c r="F3442" s="26">
        <v>0.312</v>
      </c>
      <c r="G3442" s="25" t="s">
        <v>293</v>
      </c>
      <c r="H3442" s="25"/>
      <c r="BA3442" s="73" t="s">
        <v>355</v>
      </c>
      <c r="BB3442" s="48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356</v>
      </c>
      <c r="E3443" s="1" t="s">
        <v>127</v>
      </c>
      <c r="F3443" s="26">
        <v>1.2270000000000001</v>
      </c>
      <c r="G3443" s="25" t="s">
        <v>293</v>
      </c>
      <c r="H3443" s="25"/>
      <c r="BA3443" s="73" t="s">
        <v>355</v>
      </c>
      <c r="BB3443" s="48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356</v>
      </c>
      <c r="E3444" s="1" t="s">
        <v>131</v>
      </c>
      <c r="F3444" s="26">
        <v>9.1</v>
      </c>
      <c r="G3444" s="25" t="s">
        <v>293</v>
      </c>
      <c r="H3444" s="25"/>
      <c r="BA3444" s="73" t="s">
        <v>355</v>
      </c>
      <c r="BB3444" s="48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356</v>
      </c>
      <c r="E3445" s="1" t="s">
        <v>342</v>
      </c>
      <c r="F3445" s="26">
        <v>310</v>
      </c>
      <c r="G3445" s="25" t="s">
        <v>293</v>
      </c>
      <c r="H3445" s="25"/>
      <c r="BA3445" s="73" t="s">
        <v>355</v>
      </c>
      <c r="BB3445" s="48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356</v>
      </c>
      <c r="E3446" s="1" t="s">
        <v>119</v>
      </c>
      <c r="F3446" s="26">
        <v>239</v>
      </c>
      <c r="G3446" s="25" t="s">
        <v>293</v>
      </c>
      <c r="H3446" s="25"/>
      <c r="BA3446" s="73" t="s">
        <v>355</v>
      </c>
      <c r="BB3446" s="48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356</v>
      </c>
      <c r="E3447" s="1" t="s">
        <v>120</v>
      </c>
      <c r="F3447" s="26">
        <v>77</v>
      </c>
      <c r="G3447" s="25" t="s">
        <v>293</v>
      </c>
      <c r="H3447" s="25"/>
      <c r="BA3447" s="73" t="s">
        <v>355</v>
      </c>
      <c r="BB3447" s="48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356</v>
      </c>
      <c r="E3448" s="1" t="s">
        <v>117</v>
      </c>
      <c r="F3448" s="26">
        <v>2.67</v>
      </c>
      <c r="G3448" s="25" t="s">
        <v>293</v>
      </c>
      <c r="H3448" s="25"/>
      <c r="BA3448" s="73" t="s">
        <v>355</v>
      </c>
      <c r="BB3448" s="48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356</v>
      </c>
      <c r="E3449" s="1" t="s">
        <v>344</v>
      </c>
      <c r="F3449" s="26">
        <v>232</v>
      </c>
      <c r="G3449" s="25" t="s">
        <v>293</v>
      </c>
      <c r="H3449" s="25"/>
      <c r="BA3449" s="73" t="s">
        <v>355</v>
      </c>
      <c r="BB3449" s="48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356</v>
      </c>
      <c r="E3450" s="1" t="s">
        <v>132</v>
      </c>
      <c r="F3450" s="26">
        <v>3.46</v>
      </c>
      <c r="G3450" s="25" t="s">
        <v>293</v>
      </c>
      <c r="H3450" s="25"/>
      <c r="BA3450" s="73" t="s">
        <v>355</v>
      </c>
      <c r="BB3450" s="48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356</v>
      </c>
      <c r="E3451" s="1" t="s">
        <v>111</v>
      </c>
      <c r="F3451" s="26">
        <v>90</v>
      </c>
      <c r="G3451" s="25" t="s">
        <v>293</v>
      </c>
      <c r="H3451" s="25"/>
      <c r="BA3451" s="73" t="s">
        <v>355</v>
      </c>
      <c r="BB3451" s="48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356</v>
      </c>
      <c r="E3452" s="1" t="s">
        <v>345</v>
      </c>
      <c r="F3452" s="26">
        <v>5.3</v>
      </c>
      <c r="G3452" s="25" t="s">
        <v>293</v>
      </c>
      <c r="H3452" s="25"/>
      <c r="BA3452" s="73" t="s">
        <v>355</v>
      </c>
      <c r="BB3452" s="48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356</v>
      </c>
      <c r="E3453" s="1" t="s">
        <v>347</v>
      </c>
      <c r="F3453" s="26">
        <v>2.2799999999999998</v>
      </c>
      <c r="G3453" s="25" t="s">
        <v>293</v>
      </c>
      <c r="H3453" s="25"/>
      <c r="BA3453" s="73" t="s">
        <v>355</v>
      </c>
      <c r="BB3453" s="48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356</v>
      </c>
      <c r="E3454" s="1" t="s">
        <v>128</v>
      </c>
      <c r="F3454" s="26">
        <v>6.8</v>
      </c>
      <c r="G3454" s="25" t="s">
        <v>293</v>
      </c>
      <c r="H3454" s="25"/>
      <c r="BA3454" s="73" t="s">
        <v>355</v>
      </c>
      <c r="BB3454" s="48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356</v>
      </c>
      <c r="E3455" s="1" t="s">
        <v>121</v>
      </c>
      <c r="F3455" s="26">
        <v>159</v>
      </c>
      <c r="G3455" s="25" t="s">
        <v>293</v>
      </c>
      <c r="H3455" s="25"/>
      <c r="BA3455" s="73" t="s">
        <v>355</v>
      </c>
      <c r="BB3455" s="48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356</v>
      </c>
      <c r="E3456" s="1" t="s">
        <v>115</v>
      </c>
      <c r="F3456" s="26">
        <v>33</v>
      </c>
      <c r="G3456" s="25" t="s">
        <v>293</v>
      </c>
      <c r="H3456" s="25"/>
      <c r="BA3456" s="73" t="s">
        <v>355</v>
      </c>
      <c r="BB3456" s="48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356</v>
      </c>
      <c r="E3457" s="1" t="s">
        <v>137</v>
      </c>
      <c r="F3457" s="26">
        <v>74</v>
      </c>
      <c r="G3457" s="25" t="s">
        <v>293</v>
      </c>
      <c r="H3457" s="25"/>
      <c r="BA3457" s="73" t="s">
        <v>355</v>
      </c>
      <c r="BB3457" s="48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356</v>
      </c>
      <c r="E3458" s="1" t="s">
        <v>348</v>
      </c>
      <c r="F3458" s="26">
        <v>143</v>
      </c>
      <c r="G3458" s="25" t="s">
        <v>293</v>
      </c>
      <c r="H3458" s="25"/>
      <c r="BA3458" s="73" t="s">
        <v>355</v>
      </c>
      <c r="BB3458" s="48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356</v>
      </c>
      <c r="E3459" s="1" t="s">
        <v>125</v>
      </c>
      <c r="F3459" s="26">
        <v>101</v>
      </c>
      <c r="G3459" s="25" t="s">
        <v>293</v>
      </c>
      <c r="H3459" s="25"/>
      <c r="BA3459" s="73" t="s">
        <v>355</v>
      </c>
      <c r="BB3459" s="48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356</v>
      </c>
      <c r="E3460" s="1" t="s">
        <v>126</v>
      </c>
      <c r="F3460" s="26">
        <v>80</v>
      </c>
      <c r="G3460" s="25" t="s">
        <v>293</v>
      </c>
      <c r="H3460" s="25"/>
      <c r="BA3460" s="73" t="s">
        <v>355</v>
      </c>
      <c r="BB3460" s="48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356</v>
      </c>
      <c r="E3461" s="1" t="s">
        <v>349</v>
      </c>
      <c r="F3461" s="26">
        <v>165</v>
      </c>
      <c r="G3461" s="25" t="s">
        <v>293</v>
      </c>
      <c r="H3461" s="25"/>
      <c r="BA3461" s="73" t="s">
        <v>355</v>
      </c>
      <c r="BB3461" s="48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356</v>
      </c>
      <c r="E3462" s="1" t="s">
        <v>350</v>
      </c>
      <c r="F3462" s="26">
        <v>62</v>
      </c>
      <c r="G3462" s="25" t="s">
        <v>293</v>
      </c>
      <c r="H3462" s="25"/>
      <c r="BA3462" s="73" t="s">
        <v>355</v>
      </c>
      <c r="BB3462" s="48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356</v>
      </c>
      <c r="E3463" s="1" t="s">
        <v>122</v>
      </c>
      <c r="F3463" s="26">
        <v>47</v>
      </c>
      <c r="G3463" s="25" t="s">
        <v>293</v>
      </c>
      <c r="H3463" s="25"/>
      <c r="BA3463" s="73" t="s">
        <v>355</v>
      </c>
      <c r="BB3463" s="48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356</v>
      </c>
      <c r="E3464" s="1" t="s">
        <v>124</v>
      </c>
      <c r="F3464" s="26">
        <v>29</v>
      </c>
      <c r="G3464" s="25" t="s">
        <v>293</v>
      </c>
      <c r="H3464" s="25"/>
      <c r="BA3464" s="73" t="s">
        <v>355</v>
      </c>
      <c r="BB3464" s="48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356</v>
      </c>
      <c r="E3465" s="1" t="s">
        <v>351</v>
      </c>
      <c r="F3465" s="26">
        <v>0.94</v>
      </c>
      <c r="G3465" s="25" t="s">
        <v>293</v>
      </c>
      <c r="H3465" s="25"/>
      <c r="BA3465" s="73" t="s">
        <v>355</v>
      </c>
      <c r="BB3465" s="48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356</v>
      </c>
      <c r="E3466" s="1" t="s">
        <v>353</v>
      </c>
      <c r="F3466" s="26">
        <v>34.700000000000003</v>
      </c>
      <c r="G3466" s="25" t="s">
        <v>293</v>
      </c>
      <c r="H3466" s="25"/>
      <c r="BA3466" s="73" t="s">
        <v>355</v>
      </c>
      <c r="BB3466" s="48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356</v>
      </c>
      <c r="E3467" s="1" t="s">
        <v>133</v>
      </c>
      <c r="F3467" s="26">
        <v>147</v>
      </c>
      <c r="G3467" s="25" t="s">
        <v>293</v>
      </c>
      <c r="H3467" s="25"/>
      <c r="BA3467" s="73" t="s">
        <v>355</v>
      </c>
      <c r="BB3467" s="48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356</v>
      </c>
      <c r="E3468" s="1" t="s">
        <v>135</v>
      </c>
      <c r="F3468" s="26">
        <v>3.8</v>
      </c>
      <c r="G3468" s="25" t="s">
        <v>293</v>
      </c>
      <c r="H3468" s="25"/>
      <c r="BA3468" s="73" t="s">
        <v>355</v>
      </c>
      <c r="BB3468" s="48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356</v>
      </c>
      <c r="E3469" s="1" t="s">
        <v>136</v>
      </c>
      <c r="F3469" s="26">
        <v>114</v>
      </c>
      <c r="G3469" s="25" t="s">
        <v>293</v>
      </c>
      <c r="H3469" s="25"/>
      <c r="BA3469" s="73" t="s">
        <v>355</v>
      </c>
      <c r="BB3469" s="48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356</v>
      </c>
      <c r="E3470" s="1" t="s">
        <v>339</v>
      </c>
      <c r="F3470" s="26">
        <v>4.7300000000000004</v>
      </c>
      <c r="G3470" s="25" t="s">
        <v>293</v>
      </c>
      <c r="H3470" s="25"/>
      <c r="BA3470" s="73" t="s">
        <v>355</v>
      </c>
      <c r="BB3470" s="48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356</v>
      </c>
      <c r="E3471" s="1" t="s">
        <v>118</v>
      </c>
      <c r="F3471" s="26">
        <v>4.5</v>
      </c>
      <c r="G3471" s="25" t="s">
        <v>293</v>
      </c>
      <c r="H3471" s="25"/>
      <c r="BA3471" s="73" t="s">
        <v>355</v>
      </c>
      <c r="BB3471" s="48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356</v>
      </c>
      <c r="E3472" s="1" t="s">
        <v>130</v>
      </c>
      <c r="F3472" s="26">
        <v>3.89</v>
      </c>
      <c r="G3472" s="25" t="s">
        <v>293</v>
      </c>
      <c r="H3472" s="25"/>
      <c r="BA3472" s="73" t="s">
        <v>355</v>
      </c>
      <c r="BB3472" s="48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356</v>
      </c>
      <c r="E3473" s="1" t="s">
        <v>341</v>
      </c>
      <c r="F3473" s="26">
        <v>0.29599999999999999</v>
      </c>
      <c r="G3473" s="25" t="s">
        <v>293</v>
      </c>
      <c r="H3473" s="25"/>
      <c r="BA3473" s="73" t="s">
        <v>355</v>
      </c>
      <c r="BB3473" s="48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356</v>
      </c>
      <c r="E3474" s="1" t="s">
        <v>127</v>
      </c>
      <c r="F3474" s="26">
        <v>1.1850000000000001</v>
      </c>
      <c r="G3474" s="25" t="s">
        <v>293</v>
      </c>
      <c r="H3474" s="25"/>
      <c r="BA3474" s="73" t="s">
        <v>355</v>
      </c>
      <c r="BB3474" s="48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356</v>
      </c>
      <c r="E3475" s="1" t="s">
        <v>131</v>
      </c>
      <c r="F3475" s="26">
        <v>8.8000000000000007</v>
      </c>
      <c r="G3475" s="25" t="s">
        <v>293</v>
      </c>
      <c r="H3475" s="25"/>
      <c r="BA3475" s="73" t="s">
        <v>355</v>
      </c>
      <c r="BB3475" s="48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356</v>
      </c>
      <c r="E3476" s="1" t="s">
        <v>342</v>
      </c>
      <c r="F3476" s="26">
        <v>333</v>
      </c>
      <c r="G3476" s="25" t="s">
        <v>293</v>
      </c>
      <c r="H3476" s="25"/>
      <c r="BA3476" s="73" t="s">
        <v>355</v>
      </c>
      <c r="BB3476" s="48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356</v>
      </c>
      <c r="E3477" s="1" t="s">
        <v>119</v>
      </c>
      <c r="F3477" s="26">
        <v>235</v>
      </c>
      <c r="G3477" s="25" t="s">
        <v>293</v>
      </c>
      <c r="H3477" s="25"/>
      <c r="BA3477" s="73" t="s">
        <v>355</v>
      </c>
      <c r="BB3477" s="48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356</v>
      </c>
      <c r="E3478" s="1" t="s">
        <v>120</v>
      </c>
      <c r="F3478" s="26">
        <v>77</v>
      </c>
      <c r="G3478" s="25" t="s">
        <v>293</v>
      </c>
      <c r="H3478" s="25"/>
      <c r="BA3478" s="73" t="s">
        <v>355</v>
      </c>
      <c r="BB3478" s="48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356</v>
      </c>
      <c r="E3479" s="1" t="s">
        <v>117</v>
      </c>
      <c r="F3479" s="26">
        <v>2.71</v>
      </c>
      <c r="G3479" s="25" t="s">
        <v>293</v>
      </c>
      <c r="H3479" s="25"/>
      <c r="BA3479" s="73" t="s">
        <v>355</v>
      </c>
      <c r="BB3479" s="48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356</v>
      </c>
      <c r="E3480" s="1" t="s">
        <v>344</v>
      </c>
      <c r="F3480" s="26">
        <v>233</v>
      </c>
      <c r="G3480" s="25" t="s">
        <v>293</v>
      </c>
      <c r="H3480" s="25"/>
      <c r="BA3480" s="73" t="s">
        <v>355</v>
      </c>
      <c r="BB3480" s="48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356</v>
      </c>
      <c r="E3481" s="1" t="s">
        <v>132</v>
      </c>
      <c r="F3481" s="26">
        <v>3.47</v>
      </c>
      <c r="G3481" s="25" t="s">
        <v>293</v>
      </c>
      <c r="H3481" s="25"/>
      <c r="BA3481" s="73" t="s">
        <v>355</v>
      </c>
      <c r="BB3481" s="48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356</v>
      </c>
      <c r="E3482" s="1" t="s">
        <v>111</v>
      </c>
      <c r="F3482" s="26">
        <v>90</v>
      </c>
      <c r="G3482" s="25" t="s">
        <v>293</v>
      </c>
      <c r="H3482" s="25"/>
      <c r="BA3482" s="73" t="s">
        <v>355</v>
      </c>
      <c r="BB3482" s="48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356</v>
      </c>
      <c r="E3483" s="1" t="s">
        <v>345</v>
      </c>
      <c r="F3483" s="26">
        <v>5</v>
      </c>
      <c r="G3483" s="25" t="s">
        <v>293</v>
      </c>
      <c r="H3483" s="25"/>
      <c r="BA3483" s="73" t="s">
        <v>355</v>
      </c>
      <c r="BB3483" s="48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356</v>
      </c>
      <c r="E3484" s="1" t="s">
        <v>347</v>
      </c>
      <c r="F3484" s="26">
        <v>2.2000000000000002</v>
      </c>
      <c r="G3484" s="25" t="s">
        <v>293</v>
      </c>
      <c r="H3484" s="25"/>
      <c r="BA3484" s="73" t="s">
        <v>355</v>
      </c>
      <c r="BB3484" s="48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356</v>
      </c>
      <c r="E3485" s="1" t="s">
        <v>128</v>
      </c>
      <c r="F3485" s="26">
        <v>6.8</v>
      </c>
      <c r="G3485" s="25" t="s">
        <v>293</v>
      </c>
      <c r="H3485" s="25"/>
      <c r="BA3485" s="73" t="s">
        <v>355</v>
      </c>
      <c r="BB3485" s="48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356</v>
      </c>
      <c r="E3486" s="1" t="s">
        <v>121</v>
      </c>
      <c r="F3486" s="26">
        <v>159</v>
      </c>
      <c r="G3486" s="25" t="s">
        <v>293</v>
      </c>
      <c r="H3486" s="25"/>
      <c r="BA3486" s="73" t="s">
        <v>355</v>
      </c>
      <c r="BB3486" s="48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356</v>
      </c>
      <c r="E3487" s="1" t="s">
        <v>115</v>
      </c>
      <c r="F3487" s="26">
        <v>33</v>
      </c>
      <c r="G3487" s="25" t="s">
        <v>293</v>
      </c>
      <c r="H3487" s="25"/>
      <c r="BA3487" s="73" t="s">
        <v>355</v>
      </c>
      <c r="BB3487" s="48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356</v>
      </c>
      <c r="E3488" s="1" t="s">
        <v>137</v>
      </c>
      <c r="F3488" s="26">
        <v>75</v>
      </c>
      <c r="G3488" s="25" t="s">
        <v>293</v>
      </c>
      <c r="H3488" s="25"/>
      <c r="BA3488" s="73" t="s">
        <v>355</v>
      </c>
      <c r="BB3488" s="48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356</v>
      </c>
      <c r="E3489" s="1" t="s">
        <v>348</v>
      </c>
      <c r="F3489" s="26">
        <v>142</v>
      </c>
      <c r="G3489" s="25" t="s">
        <v>293</v>
      </c>
      <c r="H3489" s="25"/>
      <c r="BA3489" s="73" t="s">
        <v>355</v>
      </c>
      <c r="BB3489" s="48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356</v>
      </c>
      <c r="E3490" s="1" t="s">
        <v>125</v>
      </c>
      <c r="F3490" s="26">
        <v>101</v>
      </c>
      <c r="G3490" s="25" t="s">
        <v>293</v>
      </c>
      <c r="H3490" s="25"/>
      <c r="BA3490" s="73" t="s">
        <v>355</v>
      </c>
      <c r="BB3490" s="48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356</v>
      </c>
      <c r="E3491" s="1" t="s">
        <v>126</v>
      </c>
      <c r="F3491" s="26">
        <v>79</v>
      </c>
      <c r="G3491" s="25" t="s">
        <v>293</v>
      </c>
      <c r="H3491" s="25"/>
      <c r="BA3491" s="73" t="s">
        <v>355</v>
      </c>
      <c r="BB3491" s="48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356</v>
      </c>
      <c r="E3492" s="1" t="s">
        <v>349</v>
      </c>
      <c r="F3492" s="26">
        <v>156</v>
      </c>
      <c r="G3492" s="25" t="s">
        <v>293</v>
      </c>
      <c r="H3492" s="25"/>
      <c r="BA3492" s="73" t="s">
        <v>355</v>
      </c>
      <c r="BB3492" s="48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356</v>
      </c>
      <c r="E3493" s="1" t="s">
        <v>350</v>
      </c>
      <c r="F3493" s="26">
        <v>63</v>
      </c>
      <c r="G3493" s="25" t="s">
        <v>293</v>
      </c>
      <c r="H3493" s="25"/>
      <c r="BA3493" s="73" t="s">
        <v>355</v>
      </c>
      <c r="BB3493" s="48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356</v>
      </c>
      <c r="E3494" s="1" t="s">
        <v>122</v>
      </c>
      <c r="F3494" s="26">
        <v>46</v>
      </c>
      <c r="G3494" s="25" t="s">
        <v>293</v>
      </c>
      <c r="H3494" s="25"/>
      <c r="BA3494" s="73" t="s">
        <v>355</v>
      </c>
      <c r="BB3494" s="48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356</v>
      </c>
      <c r="E3495" s="1" t="s">
        <v>124</v>
      </c>
      <c r="F3495" s="26">
        <v>31</v>
      </c>
      <c r="G3495" s="25" t="s">
        <v>293</v>
      </c>
      <c r="H3495" s="25"/>
      <c r="BA3495" s="73" t="s">
        <v>355</v>
      </c>
      <c r="BB3495" s="48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356</v>
      </c>
      <c r="E3496" s="1" t="s">
        <v>351</v>
      </c>
      <c r="F3496" s="26">
        <v>0.95</v>
      </c>
      <c r="G3496" s="25" t="s">
        <v>293</v>
      </c>
      <c r="H3496" s="25"/>
      <c r="BA3496" s="73" t="s">
        <v>355</v>
      </c>
      <c r="BB3496" s="48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356</v>
      </c>
      <c r="E3497" s="1" t="s">
        <v>353</v>
      </c>
      <c r="F3497" s="26">
        <v>38.700000000000003</v>
      </c>
      <c r="G3497" s="25" t="s">
        <v>293</v>
      </c>
      <c r="H3497" s="25"/>
      <c r="BA3497" s="73" t="s">
        <v>355</v>
      </c>
      <c r="BB3497" s="48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356</v>
      </c>
      <c r="E3498" s="1" t="s">
        <v>133</v>
      </c>
      <c r="F3498" s="26">
        <v>147</v>
      </c>
      <c r="G3498" s="25" t="s">
        <v>293</v>
      </c>
      <c r="H3498" s="25"/>
      <c r="BA3498" s="73" t="s">
        <v>355</v>
      </c>
      <c r="BB3498" s="48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356</v>
      </c>
      <c r="E3499" s="1" t="s">
        <v>135</v>
      </c>
      <c r="F3499" s="26">
        <v>3.8</v>
      </c>
      <c r="G3499" s="25" t="s">
        <v>293</v>
      </c>
      <c r="H3499" s="25"/>
      <c r="BA3499" s="73" t="s">
        <v>355</v>
      </c>
      <c r="BB3499" s="48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356</v>
      </c>
      <c r="E3500" s="1" t="s">
        <v>136</v>
      </c>
      <c r="F3500" s="26">
        <v>117</v>
      </c>
      <c r="G3500" s="25" t="s">
        <v>293</v>
      </c>
      <c r="H3500" s="25"/>
      <c r="BA3500" s="73" t="s">
        <v>355</v>
      </c>
      <c r="BB3500" s="48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356</v>
      </c>
      <c r="E3501" s="1" t="s">
        <v>339</v>
      </c>
      <c r="F3501" s="26">
        <v>4.68</v>
      </c>
      <c r="G3501" s="25" t="s">
        <v>293</v>
      </c>
      <c r="H3501" s="25"/>
      <c r="BA3501" s="73" t="s">
        <v>355</v>
      </c>
      <c r="BB3501" s="48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356</v>
      </c>
      <c r="E3502" s="1" t="s">
        <v>118</v>
      </c>
      <c r="F3502" s="26">
        <v>4.5999999999999996</v>
      </c>
      <c r="G3502" s="25" t="s">
        <v>293</v>
      </c>
      <c r="H3502" s="25"/>
      <c r="BA3502" s="73" t="s">
        <v>355</v>
      </c>
      <c r="BB3502" s="48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356</v>
      </c>
      <c r="E3503" s="1" t="s">
        <v>130</v>
      </c>
      <c r="F3503" s="26">
        <v>3.88</v>
      </c>
      <c r="G3503" s="25" t="s">
        <v>293</v>
      </c>
      <c r="H3503" s="25"/>
      <c r="BA3503" s="73" t="s">
        <v>355</v>
      </c>
      <c r="BB3503" s="48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356</v>
      </c>
      <c r="E3504" s="1" t="s">
        <v>341</v>
      </c>
      <c r="F3504" s="26">
        <v>0.31</v>
      </c>
      <c r="G3504" s="25" t="s">
        <v>293</v>
      </c>
      <c r="H3504" s="25"/>
      <c r="BA3504" s="73" t="s">
        <v>355</v>
      </c>
      <c r="BB3504" s="48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356</v>
      </c>
      <c r="E3505" s="1" t="s">
        <v>127</v>
      </c>
      <c r="F3505" s="26">
        <v>1.17</v>
      </c>
      <c r="G3505" s="25" t="s">
        <v>293</v>
      </c>
      <c r="H3505" s="25"/>
      <c r="BA3505" s="73" t="s">
        <v>355</v>
      </c>
      <c r="BB3505" s="48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356</v>
      </c>
      <c r="E3506" s="1" t="s">
        <v>131</v>
      </c>
      <c r="F3506" s="26">
        <v>8.6999999999999993</v>
      </c>
      <c r="G3506" s="25" t="s">
        <v>293</v>
      </c>
      <c r="H3506" s="25"/>
      <c r="BA3506" s="73" t="s">
        <v>355</v>
      </c>
      <c r="BB3506" s="48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356</v>
      </c>
      <c r="E3507" s="1" t="s">
        <v>342</v>
      </c>
      <c r="F3507" s="26">
        <v>335</v>
      </c>
      <c r="G3507" s="25" t="s">
        <v>293</v>
      </c>
      <c r="H3507" s="25"/>
      <c r="BA3507" s="73" t="s">
        <v>355</v>
      </c>
      <c r="BB3507" s="48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356</v>
      </c>
      <c r="E3508" s="1" t="s">
        <v>119</v>
      </c>
      <c r="F3508" s="26">
        <v>236</v>
      </c>
      <c r="G3508" s="25" t="s">
        <v>293</v>
      </c>
      <c r="H3508" s="25"/>
      <c r="BA3508" s="73" t="s">
        <v>355</v>
      </c>
      <c r="BB3508" s="48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356</v>
      </c>
      <c r="E3509" s="1" t="s">
        <v>120</v>
      </c>
      <c r="F3509" s="26">
        <v>76</v>
      </c>
      <c r="G3509" s="25" t="s">
        <v>293</v>
      </c>
      <c r="H3509" s="25"/>
      <c r="BA3509" s="73" t="s">
        <v>355</v>
      </c>
      <c r="BB3509" s="48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356</v>
      </c>
      <c r="E3510" s="1" t="s">
        <v>117</v>
      </c>
      <c r="F3510" s="26">
        <v>2.68</v>
      </c>
      <c r="G3510" s="25" t="s">
        <v>293</v>
      </c>
      <c r="H3510" s="25"/>
      <c r="BA3510" s="73" t="s">
        <v>355</v>
      </c>
      <c r="BB3510" s="48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356</v>
      </c>
      <c r="E3511" s="1" t="s">
        <v>344</v>
      </c>
      <c r="F3511" s="26">
        <v>233</v>
      </c>
      <c r="G3511" s="25" t="s">
        <v>293</v>
      </c>
      <c r="H3511" s="25"/>
      <c r="BA3511" s="73" t="s">
        <v>355</v>
      </c>
      <c r="BB3511" s="48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356</v>
      </c>
      <c r="E3512" s="1" t="s">
        <v>132</v>
      </c>
      <c r="F3512" s="26">
        <v>3.53</v>
      </c>
      <c r="G3512" s="25" t="s">
        <v>293</v>
      </c>
      <c r="H3512" s="25"/>
      <c r="BA3512" s="73" t="s">
        <v>355</v>
      </c>
      <c r="BB3512" s="48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356</v>
      </c>
      <c r="E3513" s="1" t="s">
        <v>111</v>
      </c>
      <c r="F3513" s="26">
        <v>89</v>
      </c>
      <c r="G3513" s="25" t="s">
        <v>293</v>
      </c>
      <c r="H3513" s="25"/>
      <c r="BA3513" s="73" t="s">
        <v>355</v>
      </c>
      <c r="BB3513" s="48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356</v>
      </c>
      <c r="E3514" s="1" t="s">
        <v>345</v>
      </c>
      <c r="F3514" s="26">
        <v>5.0999999999999996</v>
      </c>
      <c r="G3514" s="25" t="s">
        <v>293</v>
      </c>
      <c r="H3514" s="25"/>
      <c r="BA3514" s="73" t="s">
        <v>355</v>
      </c>
      <c r="BB3514" s="48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356</v>
      </c>
      <c r="E3515" s="1" t="s">
        <v>347</v>
      </c>
      <c r="F3515" s="26">
        <v>2.16</v>
      </c>
      <c r="G3515" s="25" t="s">
        <v>293</v>
      </c>
      <c r="H3515" s="25"/>
      <c r="BA3515" s="73" t="s">
        <v>355</v>
      </c>
      <c r="BB3515" s="48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356</v>
      </c>
      <c r="E3516" s="1" t="s">
        <v>128</v>
      </c>
      <c r="F3516" s="26">
        <v>6.8</v>
      </c>
      <c r="G3516" s="25" t="s">
        <v>293</v>
      </c>
      <c r="H3516" s="25"/>
      <c r="BA3516" s="73" t="s">
        <v>355</v>
      </c>
      <c r="BB3516" s="48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356</v>
      </c>
      <c r="E3517" s="1" t="s">
        <v>121</v>
      </c>
      <c r="F3517" s="26">
        <v>159</v>
      </c>
      <c r="G3517" s="25" t="s">
        <v>293</v>
      </c>
      <c r="H3517" s="25"/>
      <c r="BA3517" s="73" t="s">
        <v>355</v>
      </c>
      <c r="BB3517" s="48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356</v>
      </c>
      <c r="E3518" s="1" t="s">
        <v>115</v>
      </c>
      <c r="F3518" s="26">
        <v>33</v>
      </c>
      <c r="G3518" s="25" t="s">
        <v>293</v>
      </c>
      <c r="H3518" s="25"/>
      <c r="BA3518" s="73" t="s">
        <v>355</v>
      </c>
      <c r="BB3518" s="48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356</v>
      </c>
      <c r="E3519" s="1" t="s">
        <v>137</v>
      </c>
      <c r="F3519" s="26">
        <v>74</v>
      </c>
      <c r="G3519" s="25" t="s">
        <v>293</v>
      </c>
      <c r="H3519" s="25"/>
      <c r="BA3519" s="73" t="s">
        <v>355</v>
      </c>
      <c r="BB3519" s="48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356</v>
      </c>
      <c r="E3520" s="1" t="s">
        <v>348</v>
      </c>
      <c r="F3520" s="26">
        <v>139</v>
      </c>
      <c r="G3520" s="25" t="s">
        <v>293</v>
      </c>
      <c r="H3520" s="25"/>
      <c r="BA3520" s="73" t="s">
        <v>355</v>
      </c>
      <c r="BB3520" s="48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356</v>
      </c>
      <c r="E3521" s="1" t="s">
        <v>125</v>
      </c>
      <c r="F3521" s="26">
        <v>105</v>
      </c>
      <c r="G3521" s="25" t="s">
        <v>293</v>
      </c>
      <c r="H3521" s="25"/>
      <c r="BA3521" s="73" t="s">
        <v>355</v>
      </c>
      <c r="BB3521" s="48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356</v>
      </c>
      <c r="E3522" s="1" t="s">
        <v>126</v>
      </c>
      <c r="F3522" s="26">
        <v>80</v>
      </c>
      <c r="G3522" s="25" t="s">
        <v>293</v>
      </c>
      <c r="H3522" s="25"/>
      <c r="BA3522" s="73" t="s">
        <v>355</v>
      </c>
      <c r="BB3522" s="48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356</v>
      </c>
      <c r="E3523" s="1" t="s">
        <v>349</v>
      </c>
      <c r="F3523" s="26">
        <v>141</v>
      </c>
      <c r="G3523" s="25" t="s">
        <v>293</v>
      </c>
      <c r="H3523" s="25"/>
      <c r="BA3523" s="73" t="s">
        <v>355</v>
      </c>
      <c r="BB3523" s="48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356</v>
      </c>
      <c r="E3524" s="1" t="s">
        <v>350</v>
      </c>
      <c r="F3524" s="26">
        <v>58</v>
      </c>
      <c r="G3524" s="25" t="s">
        <v>293</v>
      </c>
      <c r="H3524" s="25"/>
      <c r="BA3524" s="73" t="s">
        <v>355</v>
      </c>
      <c r="BB3524" s="48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356</v>
      </c>
      <c r="E3525" s="1" t="s">
        <v>122</v>
      </c>
      <c r="F3525" s="26">
        <v>45</v>
      </c>
      <c r="G3525" s="25" t="s">
        <v>293</v>
      </c>
      <c r="H3525" s="25"/>
      <c r="BA3525" s="73" t="s">
        <v>355</v>
      </c>
      <c r="BB3525" s="48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356</v>
      </c>
      <c r="E3526" s="1" t="s">
        <v>124</v>
      </c>
      <c r="F3526" s="26">
        <v>29</v>
      </c>
      <c r="G3526" s="25" t="s">
        <v>293</v>
      </c>
      <c r="H3526" s="25"/>
      <c r="BA3526" s="73" t="s">
        <v>355</v>
      </c>
      <c r="BB3526" s="48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356</v>
      </c>
      <c r="E3527" s="1" t="s">
        <v>351</v>
      </c>
      <c r="F3527" s="26">
        <v>0.97</v>
      </c>
      <c r="G3527" s="25" t="s">
        <v>293</v>
      </c>
      <c r="H3527" s="25"/>
      <c r="BA3527" s="73" t="s">
        <v>355</v>
      </c>
      <c r="BB3527" s="48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356</v>
      </c>
      <c r="E3528" s="1" t="s">
        <v>353</v>
      </c>
      <c r="F3528" s="26">
        <v>35.9</v>
      </c>
      <c r="G3528" s="25" t="s">
        <v>293</v>
      </c>
      <c r="H3528" s="25"/>
      <c r="BA3528" s="73" t="s">
        <v>355</v>
      </c>
      <c r="BB3528" s="48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356</v>
      </c>
      <c r="E3529" s="1" t="s">
        <v>133</v>
      </c>
      <c r="F3529" s="26">
        <v>145</v>
      </c>
      <c r="G3529" s="25" t="s">
        <v>293</v>
      </c>
      <c r="H3529" s="25"/>
      <c r="BA3529" s="73" t="s">
        <v>355</v>
      </c>
      <c r="BB3529" s="48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356</v>
      </c>
      <c r="E3530" s="1" t="s">
        <v>135</v>
      </c>
      <c r="F3530" s="26">
        <v>3.8</v>
      </c>
      <c r="G3530" s="25" t="s">
        <v>293</v>
      </c>
      <c r="H3530" s="25"/>
      <c r="BA3530" s="73" t="s">
        <v>355</v>
      </c>
      <c r="BB3530" s="48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356</v>
      </c>
      <c r="E3531" s="1" t="s">
        <v>136</v>
      </c>
      <c r="F3531" s="26">
        <v>116</v>
      </c>
      <c r="G3531" s="25" t="s">
        <v>293</v>
      </c>
      <c r="H3531" s="25"/>
      <c r="BA3531" s="73" t="s">
        <v>355</v>
      </c>
      <c r="BB3531" s="48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356</v>
      </c>
      <c r="E3532" s="1" t="s">
        <v>339</v>
      </c>
      <c r="F3532" s="26">
        <v>4.5599999999999996</v>
      </c>
      <c r="G3532" s="25" t="s">
        <v>293</v>
      </c>
      <c r="H3532" s="25"/>
      <c r="BA3532" s="73" t="s">
        <v>355</v>
      </c>
      <c r="BB3532" s="48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356</v>
      </c>
      <c r="E3533" s="1" t="s">
        <v>118</v>
      </c>
      <c r="F3533" s="26">
        <v>4.5</v>
      </c>
      <c r="G3533" s="25" t="s">
        <v>293</v>
      </c>
      <c r="H3533" s="25"/>
      <c r="BA3533" s="73" t="s">
        <v>355</v>
      </c>
      <c r="BB3533" s="48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356</v>
      </c>
      <c r="E3534" s="1" t="s">
        <v>130</v>
      </c>
      <c r="F3534" s="26">
        <v>3.85</v>
      </c>
      <c r="G3534" s="25" t="s">
        <v>293</v>
      </c>
      <c r="H3534" s="25"/>
      <c r="BA3534" s="73" t="s">
        <v>355</v>
      </c>
      <c r="BB3534" s="48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356</v>
      </c>
      <c r="E3535" s="1" t="s">
        <v>341</v>
      </c>
      <c r="F3535" s="26">
        <v>0.32</v>
      </c>
      <c r="G3535" s="25" t="s">
        <v>293</v>
      </c>
      <c r="H3535" s="25"/>
      <c r="BA3535" s="73" t="s">
        <v>355</v>
      </c>
      <c r="BB3535" s="48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356</v>
      </c>
      <c r="E3536" s="1" t="s">
        <v>127</v>
      </c>
      <c r="F3536" s="26">
        <v>1.17</v>
      </c>
      <c r="G3536" s="25" t="s">
        <v>293</v>
      </c>
      <c r="H3536" s="25"/>
      <c r="BA3536" s="73" t="s">
        <v>355</v>
      </c>
      <c r="BB3536" s="48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356</v>
      </c>
      <c r="E3537" s="1" t="s">
        <v>131</v>
      </c>
      <c r="F3537" s="26">
        <v>8.6999999999999993</v>
      </c>
      <c r="G3537" s="25" t="s">
        <v>293</v>
      </c>
      <c r="H3537" s="25"/>
      <c r="BA3537" s="73" t="s">
        <v>355</v>
      </c>
      <c r="BB3537" s="48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356</v>
      </c>
      <c r="E3538" s="1" t="s">
        <v>342</v>
      </c>
      <c r="F3538" s="26">
        <v>359</v>
      </c>
      <c r="G3538" s="25" t="s">
        <v>293</v>
      </c>
      <c r="H3538" s="25"/>
      <c r="BA3538" s="73" t="s">
        <v>355</v>
      </c>
      <c r="BB3538" s="48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356</v>
      </c>
      <c r="E3539" s="1" t="s">
        <v>119</v>
      </c>
      <c r="F3539" s="26">
        <v>236</v>
      </c>
      <c r="G3539" s="25" t="s">
        <v>293</v>
      </c>
      <c r="H3539" s="25"/>
      <c r="BA3539" s="73" t="s">
        <v>355</v>
      </c>
      <c r="BB3539" s="48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356</v>
      </c>
      <c r="E3540" s="1" t="s">
        <v>120</v>
      </c>
      <c r="F3540" s="26">
        <v>77</v>
      </c>
      <c r="G3540" s="25" t="s">
        <v>293</v>
      </c>
      <c r="H3540" s="25"/>
      <c r="BA3540" s="73" t="s">
        <v>355</v>
      </c>
      <c r="BB3540" s="48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356</v>
      </c>
      <c r="E3541" s="1" t="s">
        <v>117</v>
      </c>
      <c r="F3541" s="26">
        <v>2.64</v>
      </c>
      <c r="G3541" s="25" t="s">
        <v>293</v>
      </c>
      <c r="H3541" s="25"/>
      <c r="BA3541" s="73" t="s">
        <v>355</v>
      </c>
      <c r="BB3541" s="48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356</v>
      </c>
      <c r="E3542" s="1" t="s">
        <v>344</v>
      </c>
      <c r="F3542" s="26">
        <v>233</v>
      </c>
      <c r="G3542" s="25" t="s">
        <v>293</v>
      </c>
      <c r="H3542" s="25"/>
      <c r="BA3542" s="73" t="s">
        <v>355</v>
      </c>
      <c r="BB3542" s="48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356</v>
      </c>
      <c r="E3543" s="1" t="s">
        <v>132</v>
      </c>
      <c r="F3543" s="26">
        <v>3.45</v>
      </c>
      <c r="G3543" s="25" t="s">
        <v>293</v>
      </c>
      <c r="H3543" s="25"/>
      <c r="BA3543" s="73" t="s">
        <v>355</v>
      </c>
      <c r="BB3543" s="48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356</v>
      </c>
      <c r="E3544" s="1" t="s">
        <v>111</v>
      </c>
      <c r="F3544" s="26">
        <v>89</v>
      </c>
      <c r="G3544" s="25" t="s">
        <v>293</v>
      </c>
      <c r="H3544" s="25"/>
      <c r="BA3544" s="73" t="s">
        <v>355</v>
      </c>
      <c r="BB3544" s="48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356</v>
      </c>
      <c r="E3545" s="1" t="s">
        <v>345</v>
      </c>
      <c r="F3545" s="26">
        <v>5.25</v>
      </c>
      <c r="G3545" s="25" t="s">
        <v>293</v>
      </c>
      <c r="H3545" s="25"/>
      <c r="BA3545" s="73" t="s">
        <v>355</v>
      </c>
      <c r="BB3545" s="48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356</v>
      </c>
      <c r="E3546" s="1" t="s">
        <v>347</v>
      </c>
      <c r="F3546" s="26">
        <v>2.1800000000000002</v>
      </c>
      <c r="G3546" s="25" t="s">
        <v>293</v>
      </c>
      <c r="H3546" s="25"/>
      <c r="BA3546" s="73" t="s">
        <v>355</v>
      </c>
      <c r="BB3546" s="48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356</v>
      </c>
      <c r="E3547" s="1" t="s">
        <v>128</v>
      </c>
      <c r="F3547" s="26">
        <v>6.7</v>
      </c>
      <c r="G3547" s="25" t="s">
        <v>293</v>
      </c>
      <c r="H3547" s="25"/>
      <c r="BA3547" s="73" t="s">
        <v>355</v>
      </c>
      <c r="BB3547" s="48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356</v>
      </c>
      <c r="E3548" s="1" t="s">
        <v>121</v>
      </c>
      <c r="F3548" s="26">
        <v>159</v>
      </c>
      <c r="G3548" s="25" t="s">
        <v>293</v>
      </c>
      <c r="H3548" s="25"/>
      <c r="BA3548" s="73" t="s">
        <v>355</v>
      </c>
      <c r="BB3548" s="48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356</v>
      </c>
      <c r="E3549" s="1" t="s">
        <v>115</v>
      </c>
      <c r="F3549" s="26">
        <v>33</v>
      </c>
      <c r="G3549" s="25" t="s">
        <v>293</v>
      </c>
      <c r="H3549" s="25"/>
      <c r="BA3549" s="73" t="s">
        <v>355</v>
      </c>
      <c r="BB3549" s="48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356</v>
      </c>
      <c r="E3550" s="1" t="s">
        <v>137</v>
      </c>
      <c r="F3550" s="26">
        <v>74</v>
      </c>
      <c r="G3550" s="25" t="s">
        <v>293</v>
      </c>
      <c r="H3550" s="25"/>
      <c r="BA3550" s="73" t="s">
        <v>355</v>
      </c>
      <c r="BB3550" s="48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356</v>
      </c>
      <c r="E3551" s="1" t="s">
        <v>348</v>
      </c>
      <c r="F3551" s="26">
        <v>141</v>
      </c>
      <c r="G3551" s="25" t="s">
        <v>293</v>
      </c>
      <c r="H3551" s="25"/>
      <c r="BA3551" s="73" t="s">
        <v>355</v>
      </c>
      <c r="BB3551" s="48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356</v>
      </c>
      <c r="E3552" s="1" t="s">
        <v>125</v>
      </c>
      <c r="F3552" s="26">
        <v>108</v>
      </c>
      <c r="G3552" s="25" t="s">
        <v>293</v>
      </c>
      <c r="H3552" s="25"/>
      <c r="BA3552" s="73" t="s">
        <v>355</v>
      </c>
      <c r="BB3552" s="48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356</v>
      </c>
      <c r="E3553" s="1" t="s">
        <v>126</v>
      </c>
      <c r="F3553" s="26">
        <v>80</v>
      </c>
      <c r="G3553" s="25" t="s">
        <v>293</v>
      </c>
      <c r="H3553" s="25"/>
      <c r="BA3553" s="73" t="s">
        <v>355</v>
      </c>
      <c r="BB3553" s="48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356</v>
      </c>
      <c r="E3554" s="1" t="s">
        <v>349</v>
      </c>
      <c r="F3554" s="26">
        <v>158</v>
      </c>
      <c r="G3554" s="25" t="s">
        <v>293</v>
      </c>
      <c r="H3554" s="25"/>
      <c r="BA3554" s="73" t="s">
        <v>355</v>
      </c>
      <c r="BB3554" s="48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356</v>
      </c>
      <c r="E3555" s="1" t="s">
        <v>350</v>
      </c>
      <c r="F3555" s="26">
        <v>57</v>
      </c>
      <c r="G3555" s="25" t="s">
        <v>293</v>
      </c>
      <c r="H3555" s="25"/>
      <c r="BA3555" s="73" t="s">
        <v>355</v>
      </c>
      <c r="BB3555" s="48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356</v>
      </c>
      <c r="E3556" s="1" t="s">
        <v>122</v>
      </c>
      <c r="F3556" s="26">
        <v>45</v>
      </c>
      <c r="G3556" s="25" t="s">
        <v>293</v>
      </c>
      <c r="H3556" s="25"/>
      <c r="BA3556" s="73" t="s">
        <v>355</v>
      </c>
      <c r="BB3556" s="48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356</v>
      </c>
      <c r="E3557" s="1" t="s">
        <v>124</v>
      </c>
      <c r="F3557" s="26">
        <v>30</v>
      </c>
      <c r="G3557" s="25" t="s">
        <v>293</v>
      </c>
      <c r="H3557" s="25"/>
      <c r="BA3557" s="73" t="s">
        <v>355</v>
      </c>
      <c r="BB3557" s="48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356</v>
      </c>
      <c r="E3558" s="1" t="s">
        <v>351</v>
      </c>
      <c r="F3558" s="26">
        <v>0.95</v>
      </c>
      <c r="G3558" s="25" t="s">
        <v>293</v>
      </c>
      <c r="H3558" s="25"/>
      <c r="BA3558" s="73" t="s">
        <v>355</v>
      </c>
      <c r="BB3558" s="48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356</v>
      </c>
      <c r="E3559" s="1" t="s">
        <v>353</v>
      </c>
      <c r="F3559" s="26">
        <v>37.299999999999997</v>
      </c>
      <c r="G3559" s="25" t="s">
        <v>293</v>
      </c>
      <c r="H3559" s="25"/>
      <c r="BA3559" s="73" t="s">
        <v>355</v>
      </c>
      <c r="BB3559" s="48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356</v>
      </c>
      <c r="E3560" s="1" t="s">
        <v>133</v>
      </c>
      <c r="F3560" s="26">
        <v>145</v>
      </c>
      <c r="G3560" s="25" t="s">
        <v>293</v>
      </c>
      <c r="H3560" s="25"/>
      <c r="BA3560" s="73" t="s">
        <v>355</v>
      </c>
      <c r="BB3560" s="48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356</v>
      </c>
      <c r="E3561" s="1" t="s">
        <v>135</v>
      </c>
      <c r="F3561" s="26">
        <v>3.7</v>
      </c>
      <c r="G3561" s="25" t="s">
        <v>293</v>
      </c>
      <c r="H3561" s="25"/>
      <c r="BA3561" s="73" t="s">
        <v>355</v>
      </c>
      <c r="BB3561" s="48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356</v>
      </c>
      <c r="E3562" s="1" t="s">
        <v>136</v>
      </c>
      <c r="F3562" s="26">
        <v>115</v>
      </c>
      <c r="G3562" s="25" t="s">
        <v>293</v>
      </c>
      <c r="H3562" s="25"/>
      <c r="BA3562" s="73" t="s">
        <v>355</v>
      </c>
      <c r="BB3562" s="48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356</v>
      </c>
      <c r="E3563" s="1" t="s">
        <v>339</v>
      </c>
      <c r="F3563" s="26">
        <v>4.62</v>
      </c>
      <c r="G3563" s="25" t="s">
        <v>293</v>
      </c>
      <c r="H3563" s="25"/>
      <c r="BA3563" s="73" t="s">
        <v>355</v>
      </c>
      <c r="BB3563" s="48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356</v>
      </c>
      <c r="E3564" s="1" t="s">
        <v>118</v>
      </c>
      <c r="F3564" s="26">
        <v>4.5</v>
      </c>
      <c r="G3564" s="25" t="s">
        <v>293</v>
      </c>
      <c r="H3564" s="25"/>
      <c r="BA3564" s="73" t="s">
        <v>355</v>
      </c>
      <c r="BB3564" s="48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356</v>
      </c>
      <c r="E3565" s="1" t="s">
        <v>130</v>
      </c>
      <c r="F3565" s="26">
        <v>3.97</v>
      </c>
      <c r="G3565" s="25" t="s">
        <v>293</v>
      </c>
      <c r="H3565" s="25"/>
      <c r="BA3565" s="73" t="s">
        <v>355</v>
      </c>
      <c r="BB3565" s="48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356</v>
      </c>
      <c r="E3566" s="1" t="s">
        <v>341</v>
      </c>
      <c r="F3566" s="26">
        <v>0.32</v>
      </c>
      <c r="G3566" s="25" t="s">
        <v>293</v>
      </c>
      <c r="H3566" s="25"/>
      <c r="BA3566" s="73" t="s">
        <v>355</v>
      </c>
      <c r="BB3566" s="48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356</v>
      </c>
      <c r="E3567" s="1" t="s">
        <v>127</v>
      </c>
      <c r="F3567" s="26">
        <v>1.18</v>
      </c>
      <c r="G3567" s="25" t="s">
        <v>293</v>
      </c>
      <c r="H3567" s="25"/>
      <c r="BA3567" s="73" t="s">
        <v>355</v>
      </c>
      <c r="BB3567" s="48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356</v>
      </c>
      <c r="E3568" s="1" t="s">
        <v>131</v>
      </c>
      <c r="F3568" s="26">
        <v>8.9</v>
      </c>
      <c r="G3568" s="25" t="s">
        <v>293</v>
      </c>
      <c r="H3568" s="25"/>
      <c r="BA3568" s="73" t="s">
        <v>355</v>
      </c>
      <c r="BB3568" s="48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356</v>
      </c>
      <c r="E3569" s="1" t="s">
        <v>342</v>
      </c>
      <c r="F3569" s="26">
        <v>353</v>
      </c>
      <c r="G3569" s="25" t="s">
        <v>293</v>
      </c>
      <c r="H3569" s="25"/>
      <c r="BA3569" s="73" t="s">
        <v>355</v>
      </c>
      <c r="BB3569" s="48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356</v>
      </c>
      <c r="E3570" s="1" t="s">
        <v>119</v>
      </c>
      <c r="F3570" s="26">
        <v>237</v>
      </c>
      <c r="G3570" s="25" t="s">
        <v>293</v>
      </c>
      <c r="H3570" s="25"/>
      <c r="BA3570" s="73" t="s">
        <v>355</v>
      </c>
      <c r="BB3570" s="48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356</v>
      </c>
      <c r="E3571" s="1" t="s">
        <v>120</v>
      </c>
      <c r="F3571" s="26">
        <v>77</v>
      </c>
      <c r="G3571" s="25" t="s">
        <v>293</v>
      </c>
      <c r="H3571" s="25"/>
      <c r="BA3571" s="73" t="s">
        <v>355</v>
      </c>
      <c r="BB3571" s="48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356</v>
      </c>
      <c r="E3572" s="1" t="s">
        <v>117</v>
      </c>
      <c r="F3572" s="26">
        <v>2.61</v>
      </c>
      <c r="G3572" s="25" t="s">
        <v>293</v>
      </c>
      <c r="H3572" s="25"/>
      <c r="BA3572" s="73" t="s">
        <v>355</v>
      </c>
      <c r="BB3572" s="48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356</v>
      </c>
      <c r="E3573" s="1" t="s">
        <v>344</v>
      </c>
      <c r="F3573" s="26">
        <v>232</v>
      </c>
      <c r="G3573" s="25" t="s">
        <v>293</v>
      </c>
      <c r="H3573" s="25"/>
      <c r="BA3573" s="73" t="s">
        <v>355</v>
      </c>
      <c r="BB3573" s="48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356</v>
      </c>
      <c r="E3574" s="1" t="s">
        <v>132</v>
      </c>
      <c r="F3574" s="26">
        <v>3.54</v>
      </c>
      <c r="G3574" s="25" t="s">
        <v>293</v>
      </c>
      <c r="H3574" s="25"/>
      <c r="BA3574" s="73" t="s">
        <v>355</v>
      </c>
      <c r="BB3574" s="48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356</v>
      </c>
      <c r="E3575" s="1" t="s">
        <v>111</v>
      </c>
      <c r="F3575" s="26">
        <v>89</v>
      </c>
      <c r="G3575" s="25" t="s">
        <v>293</v>
      </c>
      <c r="H3575" s="25"/>
      <c r="BA3575" s="73" t="s">
        <v>355</v>
      </c>
      <c r="BB3575" s="48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356</v>
      </c>
      <c r="E3576" s="1" t="s">
        <v>345</v>
      </c>
      <c r="F3576" s="26">
        <v>5.0999999999999996</v>
      </c>
      <c r="G3576" s="25" t="s">
        <v>293</v>
      </c>
      <c r="H3576" s="25"/>
      <c r="BA3576" s="73" t="s">
        <v>355</v>
      </c>
      <c r="BB3576" s="48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356</v>
      </c>
      <c r="E3577" s="1" t="s">
        <v>347</v>
      </c>
      <c r="F3577" s="26">
        <v>2.2799999999999998</v>
      </c>
      <c r="G3577" s="25" t="s">
        <v>293</v>
      </c>
      <c r="H3577" s="25"/>
      <c r="BA3577" s="73" t="s">
        <v>355</v>
      </c>
      <c r="BB3577" s="48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356</v>
      </c>
      <c r="E3578" s="1" t="s">
        <v>128</v>
      </c>
      <c r="F3578" s="26">
        <v>6.8</v>
      </c>
      <c r="G3578" s="25" t="s">
        <v>293</v>
      </c>
      <c r="H3578" s="25"/>
      <c r="BA3578" s="73" t="s">
        <v>355</v>
      </c>
      <c r="BB3578" s="48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356</v>
      </c>
      <c r="E3579" s="1" t="s">
        <v>121</v>
      </c>
      <c r="F3579" s="26">
        <v>160</v>
      </c>
      <c r="G3579" s="25" t="s">
        <v>293</v>
      </c>
      <c r="H3579" s="25"/>
      <c r="BA3579" s="73" t="s">
        <v>355</v>
      </c>
      <c r="BB3579" s="48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356</v>
      </c>
      <c r="E3580" s="1" t="s">
        <v>115</v>
      </c>
      <c r="F3580" s="26">
        <v>34</v>
      </c>
      <c r="G3580" s="25" t="s">
        <v>293</v>
      </c>
      <c r="H3580" s="25"/>
      <c r="BA3580" s="73" t="s">
        <v>355</v>
      </c>
      <c r="BB3580" s="48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356</v>
      </c>
      <c r="E3581" s="1" t="s">
        <v>137</v>
      </c>
      <c r="F3581" s="26">
        <v>75</v>
      </c>
      <c r="G3581" s="25" t="s">
        <v>293</v>
      </c>
      <c r="H3581" s="25"/>
      <c r="BA3581" s="73" t="s">
        <v>355</v>
      </c>
      <c r="BB3581" s="48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356</v>
      </c>
      <c r="E3582" s="1" t="s">
        <v>348</v>
      </c>
      <c r="F3582" s="26">
        <v>139</v>
      </c>
      <c r="G3582" s="25" t="s">
        <v>293</v>
      </c>
      <c r="H3582" s="25"/>
      <c r="BA3582" s="73" t="s">
        <v>355</v>
      </c>
      <c r="BB3582" s="48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356</v>
      </c>
      <c r="E3583" s="1" t="s">
        <v>125</v>
      </c>
      <c r="F3583" s="26">
        <v>104</v>
      </c>
      <c r="G3583" s="25" t="s">
        <v>293</v>
      </c>
      <c r="H3583" s="25"/>
      <c r="BA3583" s="73" t="s">
        <v>355</v>
      </c>
      <c r="BB3583" s="48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356</v>
      </c>
      <c r="E3584" s="1" t="s">
        <v>126</v>
      </c>
      <c r="F3584" s="26">
        <v>80</v>
      </c>
      <c r="G3584" s="25" t="s">
        <v>293</v>
      </c>
      <c r="H3584" s="25"/>
      <c r="BA3584" s="73" t="s">
        <v>355</v>
      </c>
      <c r="BB3584" s="48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356</v>
      </c>
      <c r="E3585" s="1" t="s">
        <v>349</v>
      </c>
      <c r="F3585" s="26">
        <v>153</v>
      </c>
      <c r="G3585" s="25" t="s">
        <v>293</v>
      </c>
      <c r="H3585" s="25"/>
      <c r="BA3585" s="73" t="s">
        <v>355</v>
      </c>
      <c r="BB3585" s="48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356</v>
      </c>
      <c r="E3586" s="1" t="s">
        <v>350</v>
      </c>
      <c r="F3586" s="26">
        <v>57</v>
      </c>
      <c r="G3586" s="25" t="s">
        <v>293</v>
      </c>
      <c r="H3586" s="25"/>
      <c r="BA3586" s="73" t="s">
        <v>355</v>
      </c>
      <c r="BB3586" s="48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356</v>
      </c>
      <c r="E3587" s="1" t="s">
        <v>122</v>
      </c>
      <c r="F3587" s="26">
        <v>46</v>
      </c>
      <c r="G3587" s="25" t="s">
        <v>293</v>
      </c>
      <c r="H3587" s="25"/>
      <c r="BA3587" s="73" t="s">
        <v>355</v>
      </c>
      <c r="BB3587" s="48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356</v>
      </c>
      <c r="E3588" s="1" t="s">
        <v>124</v>
      </c>
      <c r="F3588" s="26">
        <v>29</v>
      </c>
      <c r="G3588" s="25" t="s">
        <v>293</v>
      </c>
      <c r="H3588" s="25"/>
      <c r="BA3588" s="73" t="s">
        <v>355</v>
      </c>
      <c r="BB3588" s="48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356</v>
      </c>
      <c r="E3589" s="1" t="s">
        <v>351</v>
      </c>
      <c r="F3589" s="26">
        <v>0.93</v>
      </c>
      <c r="G3589" s="25" t="s">
        <v>293</v>
      </c>
      <c r="H3589" s="25"/>
      <c r="BA3589" s="73" t="s">
        <v>355</v>
      </c>
      <c r="BB3589" s="48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356</v>
      </c>
      <c r="E3590" s="1" t="s">
        <v>353</v>
      </c>
      <c r="F3590" s="26">
        <v>35.5</v>
      </c>
      <c r="G3590" s="25" t="s">
        <v>293</v>
      </c>
      <c r="H3590" s="25"/>
      <c r="BA3590" s="73" t="s">
        <v>355</v>
      </c>
      <c r="BB3590" s="48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356</v>
      </c>
      <c r="E3591" s="1" t="s">
        <v>133</v>
      </c>
      <c r="F3591" s="26">
        <v>145</v>
      </c>
      <c r="G3591" s="25" t="s">
        <v>293</v>
      </c>
      <c r="H3591" s="25"/>
      <c r="BA3591" s="73" t="s">
        <v>355</v>
      </c>
      <c r="BB3591" s="48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356</v>
      </c>
      <c r="E3592" s="1" t="s">
        <v>135</v>
      </c>
      <c r="F3592" s="26">
        <v>3.7</v>
      </c>
      <c r="G3592" s="25" t="s">
        <v>293</v>
      </c>
      <c r="H3592" s="25"/>
      <c r="BA3592" s="73" t="s">
        <v>355</v>
      </c>
      <c r="BB3592" s="48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356</v>
      </c>
      <c r="E3593" s="1" t="s">
        <v>136</v>
      </c>
      <c r="F3593" s="26">
        <v>116</v>
      </c>
      <c r="G3593" s="25" t="s">
        <v>293</v>
      </c>
      <c r="H3593" s="25"/>
      <c r="BA3593" s="73" t="s">
        <v>355</v>
      </c>
      <c r="BB3593" s="48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356</v>
      </c>
      <c r="E3594" s="1" t="s">
        <v>339</v>
      </c>
      <c r="F3594" s="26">
        <v>4.6500000000000004</v>
      </c>
      <c r="G3594" s="25" t="s">
        <v>293</v>
      </c>
      <c r="H3594" s="25"/>
      <c r="BA3594" s="73" t="s">
        <v>355</v>
      </c>
      <c r="BB3594" s="48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356</v>
      </c>
      <c r="E3595" s="1" t="s">
        <v>118</v>
      </c>
      <c r="F3595" s="26">
        <v>4.5</v>
      </c>
      <c r="G3595" s="25" t="s">
        <v>293</v>
      </c>
      <c r="H3595" s="25"/>
      <c r="BA3595" s="73" t="s">
        <v>355</v>
      </c>
      <c r="BB3595" s="48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356</v>
      </c>
      <c r="E3596" s="1" t="s">
        <v>130</v>
      </c>
      <c r="F3596" s="26">
        <v>3.79</v>
      </c>
      <c r="G3596" s="25" t="s">
        <v>293</v>
      </c>
      <c r="H3596" s="25"/>
      <c r="BA3596" s="73" t="s">
        <v>355</v>
      </c>
      <c r="BB3596" s="48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356</v>
      </c>
      <c r="E3597" s="1" t="s">
        <v>341</v>
      </c>
      <c r="F3597" s="26">
        <v>0.31</v>
      </c>
      <c r="G3597" s="25" t="s">
        <v>293</v>
      </c>
      <c r="H3597" s="25"/>
      <c r="BA3597" s="73" t="s">
        <v>355</v>
      </c>
      <c r="BB3597" s="48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356</v>
      </c>
      <c r="E3598" s="1" t="s">
        <v>127</v>
      </c>
      <c r="F3598" s="26">
        <v>1.21</v>
      </c>
      <c r="G3598" s="25" t="s">
        <v>293</v>
      </c>
      <c r="H3598" s="25"/>
      <c r="BA3598" s="73" t="s">
        <v>355</v>
      </c>
      <c r="BB3598" s="48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356</v>
      </c>
      <c r="E3599" s="1" t="s">
        <v>131</v>
      </c>
      <c r="F3599" s="26">
        <v>8.9</v>
      </c>
      <c r="G3599" s="25" t="s">
        <v>293</v>
      </c>
      <c r="H3599" s="25"/>
      <c r="BA3599" s="73" t="s">
        <v>355</v>
      </c>
      <c r="BB3599" s="48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356</v>
      </c>
      <c r="E3600" s="1" t="s">
        <v>342</v>
      </c>
      <c r="F3600" s="26">
        <v>361</v>
      </c>
      <c r="G3600" s="25" t="s">
        <v>293</v>
      </c>
      <c r="H3600" s="25"/>
      <c r="BA3600" s="73" t="s">
        <v>355</v>
      </c>
      <c r="BB3600" s="48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356</v>
      </c>
      <c r="E3601" s="1" t="s">
        <v>119</v>
      </c>
      <c r="F3601" s="26">
        <v>240</v>
      </c>
      <c r="G3601" s="25" t="s">
        <v>293</v>
      </c>
      <c r="H3601" s="25"/>
      <c r="BA3601" s="73" t="s">
        <v>355</v>
      </c>
      <c r="BB3601" s="48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356</v>
      </c>
      <c r="E3602" s="1" t="s">
        <v>120</v>
      </c>
      <c r="F3602" s="26">
        <v>77</v>
      </c>
      <c r="G3602" s="25" t="s">
        <v>293</v>
      </c>
      <c r="H3602" s="25"/>
      <c r="BA3602" s="73" t="s">
        <v>355</v>
      </c>
      <c r="BB3602" s="48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356</v>
      </c>
      <c r="E3603" s="1" t="s">
        <v>117</v>
      </c>
      <c r="F3603" s="26">
        <v>2.86</v>
      </c>
      <c r="G3603" s="25" t="s">
        <v>293</v>
      </c>
      <c r="H3603" s="25"/>
      <c r="BA3603" s="73" t="s">
        <v>355</v>
      </c>
      <c r="BB3603" s="48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356</v>
      </c>
      <c r="E3604" s="1" t="s">
        <v>344</v>
      </c>
      <c r="F3604" s="26">
        <v>230</v>
      </c>
      <c r="G3604" s="25" t="s">
        <v>293</v>
      </c>
      <c r="H3604" s="25"/>
      <c r="BA3604" s="73" t="s">
        <v>355</v>
      </c>
      <c r="BB3604" s="48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356</v>
      </c>
      <c r="E3605" s="1" t="s">
        <v>132</v>
      </c>
      <c r="F3605" s="26">
        <v>3.5</v>
      </c>
      <c r="G3605" s="25" t="s">
        <v>293</v>
      </c>
      <c r="H3605" s="25"/>
      <c r="BA3605" s="73" t="s">
        <v>355</v>
      </c>
      <c r="BB3605" s="48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356</v>
      </c>
      <c r="E3606" s="1" t="s">
        <v>111</v>
      </c>
      <c r="F3606" s="26">
        <v>89</v>
      </c>
      <c r="G3606" s="25" t="s">
        <v>293</v>
      </c>
      <c r="H3606" s="25"/>
      <c r="BA3606" s="73" t="s">
        <v>355</v>
      </c>
      <c r="BB3606" s="48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356</v>
      </c>
      <c r="E3607" s="1" t="s">
        <v>345</v>
      </c>
      <c r="F3607" s="26">
        <v>5.3</v>
      </c>
      <c r="G3607" s="25" t="s">
        <v>293</v>
      </c>
      <c r="H3607" s="25"/>
      <c r="BA3607" s="73" t="s">
        <v>355</v>
      </c>
      <c r="BB3607" s="48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356</v>
      </c>
      <c r="E3608" s="1" t="s">
        <v>347</v>
      </c>
      <c r="F3608" s="26">
        <v>2.29</v>
      </c>
      <c r="G3608" s="25" t="s">
        <v>293</v>
      </c>
      <c r="H3608" s="25"/>
      <c r="BA3608" s="73" t="s">
        <v>355</v>
      </c>
      <c r="BB3608" s="48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356</v>
      </c>
      <c r="E3609" s="1" t="s">
        <v>128</v>
      </c>
      <c r="F3609" s="26">
        <v>6.79</v>
      </c>
      <c r="G3609" s="25" t="s">
        <v>293</v>
      </c>
      <c r="H3609" s="25"/>
      <c r="BA3609" s="73" t="s">
        <v>355</v>
      </c>
      <c r="BB3609" s="48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356</v>
      </c>
      <c r="E3610" s="1" t="s">
        <v>121</v>
      </c>
      <c r="F3610" s="26">
        <v>160</v>
      </c>
      <c r="G3610" s="25" t="s">
        <v>293</v>
      </c>
      <c r="H3610" s="25"/>
      <c r="BA3610" s="73" t="s">
        <v>355</v>
      </c>
      <c r="BB3610" s="48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356</v>
      </c>
      <c r="E3611" s="1" t="s">
        <v>115</v>
      </c>
      <c r="F3611" s="26">
        <v>34</v>
      </c>
      <c r="G3611" s="25" t="s">
        <v>293</v>
      </c>
      <c r="H3611" s="25"/>
      <c r="BA3611" s="73" t="s">
        <v>355</v>
      </c>
      <c r="BB3611" s="48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356</v>
      </c>
      <c r="E3612" s="1" t="s">
        <v>137</v>
      </c>
      <c r="F3612" s="26">
        <v>74</v>
      </c>
      <c r="G3612" s="25" t="s">
        <v>293</v>
      </c>
      <c r="H3612" s="25"/>
      <c r="BA3612" s="73" t="s">
        <v>355</v>
      </c>
      <c r="BB3612" s="48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356</v>
      </c>
      <c r="E3613" s="1" t="s">
        <v>348</v>
      </c>
      <c r="F3613" s="26">
        <v>139</v>
      </c>
      <c r="G3613" s="25" t="s">
        <v>293</v>
      </c>
      <c r="H3613" s="25"/>
      <c r="BA3613" s="73" t="s">
        <v>355</v>
      </c>
      <c r="BB3613" s="48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356</v>
      </c>
      <c r="E3614" s="1" t="s">
        <v>125</v>
      </c>
      <c r="F3614" s="26">
        <v>103</v>
      </c>
      <c r="G3614" s="25" t="s">
        <v>293</v>
      </c>
      <c r="H3614" s="25"/>
      <c r="BA3614" s="73" t="s">
        <v>355</v>
      </c>
      <c r="BB3614" s="48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356</v>
      </c>
      <c r="E3615" s="1" t="s">
        <v>126</v>
      </c>
      <c r="F3615" s="26">
        <v>79</v>
      </c>
      <c r="G3615" s="25" t="s">
        <v>293</v>
      </c>
      <c r="H3615" s="25"/>
      <c r="BA3615" s="73" t="s">
        <v>355</v>
      </c>
      <c r="BB3615" s="48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356</v>
      </c>
      <c r="E3616" s="1" t="s">
        <v>349</v>
      </c>
      <c r="F3616" s="26">
        <v>165</v>
      </c>
      <c r="G3616" s="25" t="s">
        <v>293</v>
      </c>
      <c r="H3616" s="25"/>
      <c r="BA3616" s="73" t="s">
        <v>355</v>
      </c>
      <c r="BB3616" s="48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356</v>
      </c>
      <c r="E3617" s="1" t="s">
        <v>350</v>
      </c>
      <c r="F3617" s="26">
        <v>58</v>
      </c>
      <c r="G3617" s="25" t="s">
        <v>293</v>
      </c>
      <c r="H3617" s="25"/>
      <c r="BA3617" s="73" t="s">
        <v>355</v>
      </c>
      <c r="BB3617" s="48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356</v>
      </c>
      <c r="E3618" s="1" t="s">
        <v>122</v>
      </c>
      <c r="F3618" s="26">
        <v>47</v>
      </c>
      <c r="G3618" s="25" t="s">
        <v>293</v>
      </c>
      <c r="H3618" s="25"/>
      <c r="BA3618" s="73" t="s">
        <v>355</v>
      </c>
      <c r="BB3618" s="48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356</v>
      </c>
      <c r="E3619" s="1" t="s">
        <v>124</v>
      </c>
      <c r="F3619" s="26">
        <v>30</v>
      </c>
      <c r="G3619" s="25" t="s">
        <v>293</v>
      </c>
      <c r="H3619" s="25"/>
      <c r="BA3619" s="73" t="s">
        <v>355</v>
      </c>
      <c r="BB3619" s="48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356</v>
      </c>
      <c r="E3620" s="1" t="s">
        <v>351</v>
      </c>
      <c r="F3620" s="26">
        <v>0.95</v>
      </c>
      <c r="G3620" s="25" t="s">
        <v>293</v>
      </c>
      <c r="H3620" s="25"/>
      <c r="BA3620" s="73" t="s">
        <v>355</v>
      </c>
      <c r="BB3620" s="48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356</v>
      </c>
      <c r="E3621" s="1" t="s">
        <v>353</v>
      </c>
      <c r="F3621" s="26">
        <v>34.1</v>
      </c>
      <c r="G3621" s="25" t="s">
        <v>293</v>
      </c>
      <c r="H3621" s="25"/>
      <c r="BA3621" s="73" t="s">
        <v>355</v>
      </c>
      <c r="BB3621" s="48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356</v>
      </c>
      <c r="E3622" s="1" t="s">
        <v>133</v>
      </c>
      <c r="F3622" s="26">
        <v>144</v>
      </c>
      <c r="G3622" s="25" t="s">
        <v>293</v>
      </c>
      <c r="H3622" s="25"/>
      <c r="BA3622" s="73" t="s">
        <v>355</v>
      </c>
      <c r="BB3622" s="48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356</v>
      </c>
      <c r="E3623" s="1" t="s">
        <v>135</v>
      </c>
      <c r="F3623" s="26">
        <v>3.7</v>
      </c>
      <c r="G3623" s="25" t="s">
        <v>293</v>
      </c>
      <c r="H3623" s="25"/>
      <c r="BA3623" s="73" t="s">
        <v>355</v>
      </c>
      <c r="BB3623" s="48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356</v>
      </c>
      <c r="E3624" s="1" t="s">
        <v>136</v>
      </c>
      <c r="F3624" s="26">
        <v>119</v>
      </c>
      <c r="G3624" s="25" t="s">
        <v>293</v>
      </c>
      <c r="H3624" s="25"/>
      <c r="BA3624" s="73" t="s">
        <v>355</v>
      </c>
      <c r="BB3624" s="48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356</v>
      </c>
      <c r="E3625" s="1" t="s">
        <v>339</v>
      </c>
      <c r="F3625" s="26">
        <v>4.6500000000000004</v>
      </c>
      <c r="G3625" s="25" t="s">
        <v>293</v>
      </c>
      <c r="H3625" s="25"/>
      <c r="BA3625" s="73" t="s">
        <v>355</v>
      </c>
      <c r="BB3625" s="48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356</v>
      </c>
      <c r="E3626" s="1" t="s">
        <v>118</v>
      </c>
      <c r="F3626" s="26">
        <v>4.5999999999999996</v>
      </c>
      <c r="G3626" s="25" t="s">
        <v>293</v>
      </c>
      <c r="H3626" s="25"/>
      <c r="BA3626" s="73" t="s">
        <v>355</v>
      </c>
      <c r="BB3626" s="48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356</v>
      </c>
      <c r="E3627" s="1" t="s">
        <v>130</v>
      </c>
      <c r="F3627" s="26">
        <v>3.8</v>
      </c>
      <c r="G3627" s="25" t="s">
        <v>293</v>
      </c>
      <c r="H3627" s="25"/>
      <c r="BA3627" s="73" t="s">
        <v>355</v>
      </c>
      <c r="BB3627" s="48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356</v>
      </c>
      <c r="E3628" s="1" t="s">
        <v>341</v>
      </c>
      <c r="F3628" s="26">
        <v>0.32</v>
      </c>
      <c r="G3628" s="25" t="s">
        <v>293</v>
      </c>
      <c r="H3628" s="25"/>
      <c r="BA3628" s="73" t="s">
        <v>355</v>
      </c>
      <c r="BB3628" s="48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356</v>
      </c>
      <c r="E3629" s="1" t="s">
        <v>127</v>
      </c>
      <c r="F3629" s="26">
        <v>1.18</v>
      </c>
      <c r="G3629" s="25" t="s">
        <v>293</v>
      </c>
      <c r="H3629" s="25"/>
      <c r="BA3629" s="73" t="s">
        <v>355</v>
      </c>
      <c r="BB3629" s="48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356</v>
      </c>
      <c r="E3630" s="1" t="s">
        <v>131</v>
      </c>
      <c r="F3630" s="26">
        <v>8.8000000000000007</v>
      </c>
      <c r="G3630" s="25" t="s">
        <v>293</v>
      </c>
      <c r="H3630" s="25"/>
      <c r="BA3630" s="73" t="s">
        <v>355</v>
      </c>
      <c r="BB3630" s="48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356</v>
      </c>
      <c r="E3631" s="1" t="s">
        <v>342</v>
      </c>
      <c r="F3631" s="26">
        <v>364</v>
      </c>
      <c r="G3631" s="25" t="s">
        <v>293</v>
      </c>
      <c r="H3631" s="25"/>
      <c r="BA3631" s="73" t="s">
        <v>355</v>
      </c>
      <c r="BB3631" s="48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356</v>
      </c>
      <c r="E3632" s="1" t="s">
        <v>119</v>
      </c>
      <c r="F3632" s="26">
        <v>236</v>
      </c>
      <c r="G3632" s="25" t="s">
        <v>293</v>
      </c>
      <c r="H3632" s="25"/>
      <c r="BA3632" s="73" t="s">
        <v>355</v>
      </c>
      <c r="BB3632" s="48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356</v>
      </c>
      <c r="E3633" s="1" t="s">
        <v>120</v>
      </c>
      <c r="F3633" s="26">
        <v>74</v>
      </c>
      <c r="G3633" s="25" t="s">
        <v>293</v>
      </c>
      <c r="H3633" s="25"/>
      <c r="BA3633" s="73" t="s">
        <v>355</v>
      </c>
      <c r="BB3633" s="48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356</v>
      </c>
      <c r="E3634" s="1" t="s">
        <v>117</v>
      </c>
      <c r="F3634" s="26">
        <v>2.65</v>
      </c>
      <c r="G3634" s="25" t="s">
        <v>293</v>
      </c>
      <c r="H3634" s="25"/>
      <c r="BA3634" s="73" t="s">
        <v>355</v>
      </c>
      <c r="BB3634" s="48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356</v>
      </c>
      <c r="E3635" s="1" t="s">
        <v>344</v>
      </c>
      <c r="F3635" s="26">
        <v>230</v>
      </c>
      <c r="G3635" s="25" t="s">
        <v>293</v>
      </c>
      <c r="H3635" s="25"/>
      <c r="BA3635" s="73" t="s">
        <v>355</v>
      </c>
      <c r="BB3635" s="48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356</v>
      </c>
      <c r="E3636" s="1" t="s">
        <v>132</v>
      </c>
      <c r="F3636" s="26">
        <v>3.61</v>
      </c>
      <c r="G3636" s="25" t="s">
        <v>293</v>
      </c>
      <c r="H3636" s="25"/>
      <c r="BA3636" s="73" t="s">
        <v>355</v>
      </c>
      <c r="BB3636" s="48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356</v>
      </c>
      <c r="E3637" s="1" t="s">
        <v>111</v>
      </c>
      <c r="F3637" s="26">
        <v>88</v>
      </c>
      <c r="G3637" s="25" t="s">
        <v>293</v>
      </c>
      <c r="H3637" s="25"/>
      <c r="BA3637" s="73" t="s">
        <v>355</v>
      </c>
      <c r="BB3637" s="48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356</v>
      </c>
      <c r="E3638" s="1" t="s">
        <v>345</v>
      </c>
      <c r="F3638" s="26">
        <v>5.31</v>
      </c>
      <c r="G3638" s="25" t="s">
        <v>293</v>
      </c>
      <c r="H3638" s="25"/>
      <c r="BA3638" s="73" t="s">
        <v>355</v>
      </c>
      <c r="BB3638" s="48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356</v>
      </c>
      <c r="E3639" s="1" t="s">
        <v>347</v>
      </c>
      <c r="F3639" s="26">
        <v>2.29</v>
      </c>
      <c r="G3639" s="25" t="s">
        <v>293</v>
      </c>
      <c r="H3639" s="25"/>
      <c r="BA3639" s="73" t="s">
        <v>355</v>
      </c>
      <c r="BB3639" s="48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356</v>
      </c>
      <c r="E3640" s="1" t="s">
        <v>128</v>
      </c>
      <c r="F3640" s="26">
        <v>7</v>
      </c>
      <c r="G3640" s="25" t="s">
        <v>293</v>
      </c>
      <c r="H3640" s="25"/>
      <c r="BA3640" s="73" t="s">
        <v>355</v>
      </c>
      <c r="BB3640" s="48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356</v>
      </c>
      <c r="E3641" s="1" t="s">
        <v>121</v>
      </c>
      <c r="F3641" s="26">
        <v>157</v>
      </c>
      <c r="G3641" s="25" t="s">
        <v>293</v>
      </c>
      <c r="H3641" s="25"/>
      <c r="BA3641" s="73" t="s">
        <v>355</v>
      </c>
      <c r="BB3641" s="48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356</v>
      </c>
      <c r="E3642" s="1" t="s">
        <v>115</v>
      </c>
      <c r="F3642" s="26">
        <v>34</v>
      </c>
      <c r="G3642" s="25" t="s">
        <v>293</v>
      </c>
      <c r="H3642" s="25"/>
      <c r="BA3642" s="73" t="s">
        <v>355</v>
      </c>
      <c r="BB3642" s="48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356</v>
      </c>
      <c r="E3643" s="1" t="s">
        <v>137</v>
      </c>
      <c r="F3643" s="26">
        <v>74</v>
      </c>
      <c r="G3643" s="25" t="s">
        <v>293</v>
      </c>
      <c r="H3643" s="25"/>
      <c r="BA3643" s="73" t="s">
        <v>355</v>
      </c>
      <c r="BB3643" s="48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356</v>
      </c>
      <c r="E3644" s="1" t="s">
        <v>348</v>
      </c>
      <c r="F3644" s="26">
        <v>141</v>
      </c>
      <c r="G3644" s="25" t="s">
        <v>293</v>
      </c>
      <c r="H3644" s="25"/>
      <c r="BA3644" s="73" t="s">
        <v>355</v>
      </c>
      <c r="BB3644" s="48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356</v>
      </c>
      <c r="E3645" s="1" t="s">
        <v>125</v>
      </c>
      <c r="F3645" s="26">
        <v>101</v>
      </c>
      <c r="G3645" s="25" t="s">
        <v>293</v>
      </c>
      <c r="H3645" s="25"/>
      <c r="BA3645" s="73" t="s">
        <v>355</v>
      </c>
      <c r="BB3645" s="48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356</v>
      </c>
      <c r="E3646" s="1" t="s">
        <v>126</v>
      </c>
      <c r="F3646" s="26">
        <v>80</v>
      </c>
      <c r="G3646" s="25" t="s">
        <v>293</v>
      </c>
      <c r="H3646" s="25"/>
      <c r="BA3646" s="73" t="s">
        <v>355</v>
      </c>
      <c r="BB3646" s="48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356</v>
      </c>
      <c r="E3647" s="1" t="s">
        <v>349</v>
      </c>
      <c r="F3647" s="26">
        <v>159</v>
      </c>
      <c r="G3647" s="25" t="s">
        <v>293</v>
      </c>
      <c r="H3647" s="25"/>
      <c r="BA3647" s="73" t="s">
        <v>355</v>
      </c>
      <c r="BB3647" s="48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356</v>
      </c>
      <c r="E3648" s="1" t="s">
        <v>350</v>
      </c>
      <c r="F3648" s="26">
        <v>58</v>
      </c>
      <c r="G3648" s="25" t="s">
        <v>293</v>
      </c>
      <c r="H3648" s="25"/>
      <c r="BA3648" s="73" t="s">
        <v>355</v>
      </c>
      <c r="BB3648" s="48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356</v>
      </c>
      <c r="E3649" s="1" t="s">
        <v>122</v>
      </c>
      <c r="F3649" s="26">
        <v>47</v>
      </c>
      <c r="G3649" s="25" t="s">
        <v>293</v>
      </c>
      <c r="H3649" s="25"/>
      <c r="BA3649" s="73" t="s">
        <v>355</v>
      </c>
      <c r="BB3649" s="48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356</v>
      </c>
      <c r="E3650" s="1" t="s">
        <v>124</v>
      </c>
      <c r="F3650" s="26">
        <v>30</v>
      </c>
      <c r="G3650" s="25" t="s">
        <v>293</v>
      </c>
      <c r="H3650" s="25"/>
      <c r="BA3650" s="73" t="s">
        <v>355</v>
      </c>
      <c r="BB3650" s="48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356</v>
      </c>
      <c r="E3651" s="1" t="s">
        <v>351</v>
      </c>
      <c r="F3651" s="26">
        <v>0.95</v>
      </c>
      <c r="G3651" s="25" t="s">
        <v>293</v>
      </c>
      <c r="H3651" s="25"/>
      <c r="BA3651" s="73" t="s">
        <v>355</v>
      </c>
      <c r="BB3651" s="48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356</v>
      </c>
      <c r="E3652" s="1" t="s">
        <v>353</v>
      </c>
      <c r="F3652" s="26">
        <v>34.700000000000003</v>
      </c>
      <c r="G3652" s="25" t="s">
        <v>293</v>
      </c>
      <c r="H3652" s="25"/>
      <c r="BA3652" s="73" t="s">
        <v>355</v>
      </c>
      <c r="BB3652" s="48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356</v>
      </c>
      <c r="E3653" s="1" t="s">
        <v>133</v>
      </c>
      <c r="F3653" s="26">
        <v>145</v>
      </c>
      <c r="G3653" s="25" t="s">
        <v>293</v>
      </c>
      <c r="H3653" s="25"/>
      <c r="BA3653" s="73" t="s">
        <v>355</v>
      </c>
      <c r="BB3653" s="48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356</v>
      </c>
      <c r="E3654" s="1" t="s">
        <v>135</v>
      </c>
      <c r="F3654" s="26">
        <v>3.7</v>
      </c>
      <c r="G3654" s="25" t="s">
        <v>293</v>
      </c>
      <c r="H3654" s="25"/>
      <c r="BA3654" s="73" t="s">
        <v>355</v>
      </c>
      <c r="BB3654" s="48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356</v>
      </c>
      <c r="E3655" s="1" t="s">
        <v>136</v>
      </c>
      <c r="F3655" s="26">
        <v>116</v>
      </c>
      <c r="G3655" s="25" t="s">
        <v>293</v>
      </c>
      <c r="H3655" s="25"/>
      <c r="BA3655" s="73" t="s">
        <v>355</v>
      </c>
      <c r="BB3655" s="48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356</v>
      </c>
      <c r="E3656" s="1" t="s">
        <v>339</v>
      </c>
      <c r="F3656" s="26">
        <v>4.63</v>
      </c>
      <c r="G3656" s="25" t="s">
        <v>293</v>
      </c>
      <c r="H3656" s="25"/>
      <c r="BA3656" s="73" t="s">
        <v>355</v>
      </c>
      <c r="BB3656" s="48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356</v>
      </c>
      <c r="E3657" s="1" t="s">
        <v>118</v>
      </c>
      <c r="F3657" s="26">
        <v>4.5</v>
      </c>
      <c r="G3657" s="25" t="s">
        <v>293</v>
      </c>
      <c r="H3657" s="25"/>
      <c r="BA3657" s="73" t="s">
        <v>355</v>
      </c>
      <c r="BB3657" s="48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356</v>
      </c>
      <c r="E3658" s="1" t="s">
        <v>130</v>
      </c>
      <c r="F3658" s="26">
        <v>3.79</v>
      </c>
      <c r="G3658" s="25" t="s">
        <v>293</v>
      </c>
      <c r="H3658" s="25"/>
      <c r="BA3658" s="73" t="s">
        <v>355</v>
      </c>
      <c r="BB3658" s="48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356</v>
      </c>
      <c r="E3659" s="1" t="s">
        <v>341</v>
      </c>
      <c r="F3659" s="26">
        <v>0.30399999999999999</v>
      </c>
      <c r="G3659" s="25" t="s">
        <v>293</v>
      </c>
      <c r="H3659" s="25"/>
      <c r="BA3659" s="73" t="s">
        <v>355</v>
      </c>
      <c r="BB3659" s="48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356</v>
      </c>
      <c r="E3660" s="1" t="s">
        <v>127</v>
      </c>
      <c r="F3660" s="26">
        <v>1.19</v>
      </c>
      <c r="G3660" s="25" t="s">
        <v>293</v>
      </c>
      <c r="H3660" s="25"/>
      <c r="BA3660" s="73" t="s">
        <v>355</v>
      </c>
      <c r="BB3660" s="48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356</v>
      </c>
      <c r="E3661" s="1" t="s">
        <v>131</v>
      </c>
      <c r="F3661" s="26">
        <v>8.9</v>
      </c>
      <c r="G3661" s="25" t="s">
        <v>293</v>
      </c>
      <c r="H3661" s="25"/>
      <c r="BA3661" s="73" t="s">
        <v>355</v>
      </c>
      <c r="BB3661" s="48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356</v>
      </c>
      <c r="E3662" s="1" t="s">
        <v>342</v>
      </c>
      <c r="F3662" s="26">
        <v>365</v>
      </c>
      <c r="G3662" s="25" t="s">
        <v>293</v>
      </c>
      <c r="H3662" s="25"/>
      <c r="BA3662" s="73" t="s">
        <v>355</v>
      </c>
      <c r="BB3662" s="48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356</v>
      </c>
      <c r="E3663" s="1" t="s">
        <v>119</v>
      </c>
      <c r="F3663" s="26">
        <v>236</v>
      </c>
      <c r="G3663" s="25" t="s">
        <v>293</v>
      </c>
      <c r="H3663" s="25"/>
      <c r="BA3663" s="73" t="s">
        <v>355</v>
      </c>
      <c r="BB3663" s="48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356</v>
      </c>
      <c r="E3664" s="1" t="s">
        <v>120</v>
      </c>
      <c r="F3664" s="26">
        <v>74</v>
      </c>
      <c r="G3664" s="25" t="s">
        <v>293</v>
      </c>
      <c r="H3664" s="25"/>
      <c r="BA3664" s="73" t="s">
        <v>355</v>
      </c>
      <c r="BB3664" s="48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356</v>
      </c>
      <c r="E3665" s="1" t="s">
        <v>117</v>
      </c>
      <c r="F3665" s="26">
        <v>2.78</v>
      </c>
      <c r="G3665" s="25" t="s">
        <v>293</v>
      </c>
      <c r="H3665" s="25"/>
      <c r="BA3665" s="73" t="s">
        <v>355</v>
      </c>
      <c r="BB3665" s="48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356</v>
      </c>
      <c r="E3666" s="1" t="s">
        <v>344</v>
      </c>
      <c r="F3666" s="26">
        <v>230</v>
      </c>
      <c r="G3666" s="25" t="s">
        <v>293</v>
      </c>
      <c r="H3666" s="25"/>
      <c r="BA3666" s="73" t="s">
        <v>355</v>
      </c>
      <c r="BB3666" s="48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356</v>
      </c>
      <c r="E3667" s="1" t="s">
        <v>132</v>
      </c>
      <c r="F3667" s="26">
        <v>3.53</v>
      </c>
      <c r="G3667" s="25" t="s">
        <v>293</v>
      </c>
      <c r="H3667" s="25"/>
      <c r="BA3667" s="73" t="s">
        <v>355</v>
      </c>
      <c r="BB3667" s="48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356</v>
      </c>
      <c r="E3668" s="1" t="s">
        <v>111</v>
      </c>
      <c r="F3668" s="26">
        <v>89</v>
      </c>
      <c r="G3668" s="25" t="s">
        <v>293</v>
      </c>
      <c r="H3668" s="25"/>
      <c r="BA3668" s="73" t="s">
        <v>355</v>
      </c>
      <c r="BB3668" s="48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356</v>
      </c>
      <c r="E3669" s="1" t="s">
        <v>345</v>
      </c>
      <c r="F3669" s="26">
        <v>5.21</v>
      </c>
      <c r="G3669" s="25" t="s">
        <v>293</v>
      </c>
      <c r="H3669" s="25"/>
      <c r="BA3669" s="73" t="s">
        <v>355</v>
      </c>
      <c r="BB3669" s="48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356</v>
      </c>
      <c r="E3670" s="1" t="s">
        <v>347</v>
      </c>
      <c r="F3670" s="26">
        <v>2.2999999999999998</v>
      </c>
      <c r="G3670" s="25" t="s">
        <v>293</v>
      </c>
      <c r="H3670" s="25"/>
      <c r="BA3670" s="73" t="s">
        <v>355</v>
      </c>
      <c r="BB3670" s="48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356</v>
      </c>
      <c r="E3671" s="1" t="s">
        <v>128</v>
      </c>
      <c r="F3671" s="26">
        <v>7</v>
      </c>
      <c r="G3671" s="25" t="s">
        <v>293</v>
      </c>
      <c r="H3671" s="25"/>
      <c r="BA3671" s="73" t="s">
        <v>355</v>
      </c>
      <c r="BB3671" s="48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356</v>
      </c>
      <c r="E3672" s="1" t="s">
        <v>121</v>
      </c>
      <c r="F3672" s="26">
        <v>163</v>
      </c>
      <c r="G3672" s="25" t="s">
        <v>293</v>
      </c>
      <c r="H3672" s="25"/>
      <c r="BA3672" s="73" t="s">
        <v>355</v>
      </c>
      <c r="BB3672" s="48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356</v>
      </c>
      <c r="E3673" s="1" t="s">
        <v>115</v>
      </c>
      <c r="F3673" s="26">
        <v>32</v>
      </c>
      <c r="G3673" s="25" t="s">
        <v>293</v>
      </c>
      <c r="H3673" s="25"/>
      <c r="BA3673" s="73" t="s">
        <v>355</v>
      </c>
      <c r="BB3673" s="48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356</v>
      </c>
      <c r="E3674" s="1" t="s">
        <v>137</v>
      </c>
      <c r="F3674" s="26">
        <v>75</v>
      </c>
      <c r="G3674" s="25" t="s">
        <v>293</v>
      </c>
      <c r="H3674" s="25"/>
      <c r="BA3674" s="73" t="s">
        <v>355</v>
      </c>
      <c r="BB3674" s="48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356</v>
      </c>
      <c r="E3675" s="1" t="s">
        <v>348</v>
      </c>
      <c r="F3675" s="26">
        <v>139</v>
      </c>
      <c r="G3675" s="25" t="s">
        <v>293</v>
      </c>
      <c r="H3675" s="25"/>
      <c r="BA3675" s="73" t="s">
        <v>355</v>
      </c>
      <c r="BB3675" s="48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356</v>
      </c>
      <c r="E3676" s="1" t="s">
        <v>125</v>
      </c>
      <c r="F3676" s="26">
        <v>105</v>
      </c>
      <c r="G3676" s="25" t="s">
        <v>293</v>
      </c>
      <c r="H3676" s="25"/>
      <c r="BA3676" s="73" t="s">
        <v>355</v>
      </c>
      <c r="BB3676" s="48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356</v>
      </c>
      <c r="E3677" s="1" t="s">
        <v>126</v>
      </c>
      <c r="F3677" s="26">
        <v>81</v>
      </c>
      <c r="G3677" s="25" t="s">
        <v>293</v>
      </c>
      <c r="H3677" s="25"/>
      <c r="BA3677" s="73" t="s">
        <v>355</v>
      </c>
      <c r="BB3677" s="48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356</v>
      </c>
      <c r="E3678" s="1" t="s">
        <v>349</v>
      </c>
      <c r="F3678" s="26">
        <v>161</v>
      </c>
      <c r="G3678" s="25" t="s">
        <v>293</v>
      </c>
      <c r="H3678" s="25"/>
      <c r="BA3678" s="73" t="s">
        <v>355</v>
      </c>
      <c r="BB3678" s="48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356</v>
      </c>
      <c r="E3679" s="1" t="s">
        <v>350</v>
      </c>
      <c r="F3679" s="26">
        <v>57</v>
      </c>
      <c r="G3679" s="25" t="s">
        <v>293</v>
      </c>
      <c r="H3679" s="25"/>
      <c r="BA3679" s="73" t="s">
        <v>355</v>
      </c>
      <c r="BB3679" s="48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356</v>
      </c>
      <c r="E3680" s="1" t="s">
        <v>122</v>
      </c>
      <c r="F3680" s="26">
        <v>46</v>
      </c>
      <c r="G3680" s="25" t="s">
        <v>293</v>
      </c>
      <c r="H3680" s="25"/>
      <c r="BA3680" s="73" t="s">
        <v>355</v>
      </c>
      <c r="BB3680" s="48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356</v>
      </c>
      <c r="E3681" s="1" t="s">
        <v>124</v>
      </c>
      <c r="F3681" s="26">
        <v>29</v>
      </c>
      <c r="G3681" s="25" t="s">
        <v>293</v>
      </c>
      <c r="H3681" s="25"/>
      <c r="BA3681" s="73" t="s">
        <v>355</v>
      </c>
      <c r="BB3681" s="48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356</v>
      </c>
      <c r="E3682" s="1" t="s">
        <v>351</v>
      </c>
      <c r="F3682" s="26">
        <v>0.94</v>
      </c>
      <c r="G3682" s="25" t="s">
        <v>293</v>
      </c>
      <c r="H3682" s="25"/>
      <c r="BA3682" s="73" t="s">
        <v>355</v>
      </c>
      <c r="BB3682" s="48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356</v>
      </c>
      <c r="E3683" s="1" t="s">
        <v>353</v>
      </c>
      <c r="F3683" s="26">
        <v>33.9</v>
      </c>
      <c r="G3683" s="25" t="s">
        <v>293</v>
      </c>
      <c r="H3683" s="25"/>
      <c r="BA3683" s="73" t="s">
        <v>355</v>
      </c>
      <c r="BB3683" s="48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356</v>
      </c>
      <c r="E3684" s="1" t="s">
        <v>133</v>
      </c>
      <c r="F3684" s="26">
        <v>143</v>
      </c>
      <c r="G3684" s="25" t="s">
        <v>293</v>
      </c>
      <c r="H3684" s="25"/>
      <c r="BA3684" s="73" t="s">
        <v>355</v>
      </c>
      <c r="BB3684" s="48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356</v>
      </c>
      <c r="E3685" s="1" t="s">
        <v>135</v>
      </c>
      <c r="F3685" s="26">
        <v>3.7</v>
      </c>
      <c r="G3685" s="25" t="s">
        <v>293</v>
      </c>
      <c r="H3685" s="25"/>
      <c r="BA3685" s="73" t="s">
        <v>355</v>
      </c>
      <c r="BB3685" s="48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356</v>
      </c>
      <c r="E3686" s="1" t="s">
        <v>136</v>
      </c>
      <c r="F3686" s="26">
        <v>115</v>
      </c>
      <c r="G3686" s="25" t="s">
        <v>293</v>
      </c>
      <c r="H3686" s="25"/>
      <c r="BA3686" s="73" t="s">
        <v>355</v>
      </c>
      <c r="BB3686" s="48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356</v>
      </c>
      <c r="E3687" s="1" t="s">
        <v>339</v>
      </c>
      <c r="F3687" s="26">
        <v>4.53</v>
      </c>
      <c r="G3687" s="25" t="s">
        <v>293</v>
      </c>
      <c r="H3687" s="25"/>
      <c r="BA3687" s="73" t="s">
        <v>355</v>
      </c>
      <c r="BB3687" s="48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356</v>
      </c>
      <c r="E3688" s="1" t="s">
        <v>118</v>
      </c>
      <c r="F3688" s="26">
        <v>4.4000000000000004</v>
      </c>
      <c r="G3688" s="25" t="s">
        <v>293</v>
      </c>
      <c r="H3688" s="25"/>
      <c r="BA3688" s="73" t="s">
        <v>355</v>
      </c>
      <c r="BB3688" s="48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356</v>
      </c>
      <c r="E3689" s="1" t="s">
        <v>130</v>
      </c>
      <c r="F3689" s="26">
        <v>3.78</v>
      </c>
      <c r="G3689" s="25" t="s">
        <v>293</v>
      </c>
      <c r="H3689" s="25"/>
      <c r="BA3689" s="73" t="s">
        <v>355</v>
      </c>
      <c r="BB3689" s="48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356</v>
      </c>
      <c r="E3690" s="1" t="s">
        <v>341</v>
      </c>
      <c r="F3690" s="26">
        <v>0.31</v>
      </c>
      <c r="G3690" s="25" t="s">
        <v>293</v>
      </c>
      <c r="H3690" s="25"/>
      <c r="BA3690" s="73" t="s">
        <v>355</v>
      </c>
      <c r="BB3690" s="48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356</v>
      </c>
      <c r="E3691" s="1" t="s">
        <v>127</v>
      </c>
      <c r="F3691" s="26">
        <v>1.1499999999999999</v>
      </c>
      <c r="G3691" s="25" t="s">
        <v>293</v>
      </c>
      <c r="H3691" s="25"/>
      <c r="BA3691" s="73" t="s">
        <v>355</v>
      </c>
      <c r="BB3691" s="48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356</v>
      </c>
      <c r="E3692" s="1" t="s">
        <v>131</v>
      </c>
      <c r="F3692" s="26">
        <v>8.6999999999999993</v>
      </c>
      <c r="G3692" s="25" t="s">
        <v>293</v>
      </c>
      <c r="H3692" s="25"/>
      <c r="BA3692" s="73" t="s">
        <v>355</v>
      </c>
      <c r="BB3692" s="48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356</v>
      </c>
      <c r="E3693" s="1" t="s">
        <v>342</v>
      </c>
      <c r="F3693" s="26">
        <v>347</v>
      </c>
      <c r="G3693" s="25" t="s">
        <v>293</v>
      </c>
      <c r="H3693" s="25"/>
      <c r="BA3693" s="73" t="s">
        <v>355</v>
      </c>
      <c r="BB3693" s="48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356</v>
      </c>
      <c r="E3694" s="1" t="s">
        <v>119</v>
      </c>
      <c r="F3694" s="26">
        <v>233</v>
      </c>
      <c r="G3694" s="25" t="s">
        <v>293</v>
      </c>
      <c r="H3694" s="25"/>
      <c r="BA3694" s="73" t="s">
        <v>355</v>
      </c>
      <c r="BB3694" s="48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356</v>
      </c>
      <c r="E3695" s="1" t="s">
        <v>120</v>
      </c>
      <c r="F3695" s="26">
        <v>76</v>
      </c>
      <c r="G3695" s="25" t="s">
        <v>293</v>
      </c>
      <c r="H3695" s="25"/>
      <c r="BA3695" s="73" t="s">
        <v>355</v>
      </c>
      <c r="BB3695" s="48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356</v>
      </c>
      <c r="E3696" s="1" t="s">
        <v>117</v>
      </c>
      <c r="F3696" s="26">
        <v>2.68</v>
      </c>
      <c r="G3696" s="25" t="s">
        <v>293</v>
      </c>
      <c r="H3696" s="25"/>
      <c r="BA3696" s="73" t="s">
        <v>355</v>
      </c>
      <c r="BB3696" s="48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356</v>
      </c>
      <c r="E3697" s="1" t="s">
        <v>344</v>
      </c>
      <c r="F3697" s="26">
        <v>230</v>
      </c>
      <c r="G3697" s="25" t="s">
        <v>293</v>
      </c>
      <c r="H3697" s="25"/>
      <c r="BA3697" s="73" t="s">
        <v>355</v>
      </c>
      <c r="BB3697" s="48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356</v>
      </c>
      <c r="E3698" s="1" t="s">
        <v>132</v>
      </c>
      <c r="F3698" s="26">
        <v>3.52</v>
      </c>
      <c r="G3698" s="25" t="s">
        <v>293</v>
      </c>
      <c r="H3698" s="25"/>
      <c r="BA3698" s="73" t="s">
        <v>355</v>
      </c>
      <c r="BB3698" s="48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356</v>
      </c>
      <c r="E3699" s="1" t="s">
        <v>111</v>
      </c>
      <c r="F3699" s="26">
        <v>88</v>
      </c>
      <c r="G3699" s="25" t="s">
        <v>293</v>
      </c>
      <c r="H3699" s="25"/>
      <c r="BA3699" s="73" t="s">
        <v>355</v>
      </c>
      <c r="BB3699" s="48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356</v>
      </c>
      <c r="E3700" s="1" t="s">
        <v>345</v>
      </c>
      <c r="F3700" s="26">
        <v>5.21</v>
      </c>
      <c r="G3700" s="25" t="s">
        <v>293</v>
      </c>
      <c r="H3700" s="25"/>
      <c r="BA3700" s="73" t="s">
        <v>355</v>
      </c>
      <c r="BB3700" s="48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356</v>
      </c>
      <c r="E3701" s="1" t="s">
        <v>347</v>
      </c>
      <c r="F3701" s="26">
        <v>2.2999999999999998</v>
      </c>
      <c r="G3701" s="25" t="s">
        <v>293</v>
      </c>
      <c r="H3701" s="25"/>
      <c r="BA3701" s="73" t="s">
        <v>355</v>
      </c>
      <c r="BB3701" s="48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356</v>
      </c>
      <c r="E3702" s="1" t="s">
        <v>128</v>
      </c>
      <c r="F3702" s="26">
        <v>7</v>
      </c>
      <c r="G3702" s="25" t="s">
        <v>293</v>
      </c>
      <c r="H3702" s="25"/>
      <c r="BA3702" s="73" t="s">
        <v>355</v>
      </c>
      <c r="BB3702" s="48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356</v>
      </c>
      <c r="E3703" s="1" t="s">
        <v>121</v>
      </c>
      <c r="F3703" s="26">
        <v>161</v>
      </c>
      <c r="G3703" s="25" t="s">
        <v>293</v>
      </c>
      <c r="H3703" s="25"/>
      <c r="BA3703" s="73" t="s">
        <v>355</v>
      </c>
      <c r="BB3703" s="48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356</v>
      </c>
      <c r="E3704" s="1" t="s">
        <v>115</v>
      </c>
      <c r="F3704" s="26">
        <v>33</v>
      </c>
      <c r="G3704" s="25" t="s">
        <v>293</v>
      </c>
      <c r="H3704" s="25"/>
      <c r="BA3704" s="73" t="s">
        <v>355</v>
      </c>
      <c r="BB3704" s="48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356</v>
      </c>
      <c r="E3705" s="1" t="s">
        <v>137</v>
      </c>
      <c r="F3705" s="26">
        <v>74</v>
      </c>
      <c r="G3705" s="25" t="s">
        <v>293</v>
      </c>
      <c r="H3705" s="25"/>
      <c r="BA3705" s="73" t="s">
        <v>355</v>
      </c>
      <c r="BB3705" s="48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356</v>
      </c>
      <c r="E3706" s="1" t="s">
        <v>348</v>
      </c>
      <c r="F3706" s="26">
        <v>138</v>
      </c>
      <c r="G3706" s="25" t="s">
        <v>293</v>
      </c>
      <c r="H3706" s="25"/>
      <c r="BA3706" s="73" t="s">
        <v>355</v>
      </c>
      <c r="BB3706" s="48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356</v>
      </c>
      <c r="E3707" s="1" t="s">
        <v>125</v>
      </c>
      <c r="F3707" s="26">
        <v>105</v>
      </c>
      <c r="G3707" s="25" t="s">
        <v>293</v>
      </c>
      <c r="H3707" s="25"/>
      <c r="BA3707" s="73" t="s">
        <v>355</v>
      </c>
      <c r="BB3707" s="48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356</v>
      </c>
      <c r="E3708" s="1" t="s">
        <v>126</v>
      </c>
      <c r="F3708" s="26">
        <v>80</v>
      </c>
      <c r="G3708" s="25" t="s">
        <v>293</v>
      </c>
      <c r="H3708" s="25"/>
      <c r="BA3708" s="73" t="s">
        <v>355</v>
      </c>
      <c r="BB3708" s="48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356</v>
      </c>
      <c r="E3709" s="1" t="s">
        <v>349</v>
      </c>
      <c r="F3709" s="26">
        <v>151</v>
      </c>
      <c r="G3709" s="25" t="s">
        <v>293</v>
      </c>
      <c r="H3709" s="25"/>
      <c r="BA3709" s="73" t="s">
        <v>355</v>
      </c>
      <c r="BB3709" s="48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356</v>
      </c>
      <c r="E3710" s="1" t="s">
        <v>350</v>
      </c>
      <c r="F3710" s="26">
        <v>58</v>
      </c>
      <c r="G3710" s="25" t="s">
        <v>293</v>
      </c>
      <c r="H3710" s="25"/>
      <c r="BA3710" s="73" t="s">
        <v>355</v>
      </c>
      <c r="BB3710" s="48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356</v>
      </c>
      <c r="E3711" s="1" t="s">
        <v>122</v>
      </c>
      <c r="F3711" s="26">
        <v>45</v>
      </c>
      <c r="G3711" s="25" t="s">
        <v>293</v>
      </c>
      <c r="H3711" s="25"/>
      <c r="BA3711" s="73" t="s">
        <v>355</v>
      </c>
      <c r="BB3711" s="48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356</v>
      </c>
      <c r="E3712" s="1" t="s">
        <v>124</v>
      </c>
      <c r="F3712" s="26">
        <v>28</v>
      </c>
      <c r="G3712" s="25" t="s">
        <v>293</v>
      </c>
      <c r="H3712" s="25"/>
      <c r="BA3712" s="73" t="s">
        <v>355</v>
      </c>
      <c r="BB3712" s="48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356</v>
      </c>
      <c r="E3713" s="1" t="s">
        <v>351</v>
      </c>
      <c r="F3713" s="26">
        <v>0.95</v>
      </c>
      <c r="G3713" s="25" t="s">
        <v>293</v>
      </c>
      <c r="H3713" s="25"/>
      <c r="BA3713" s="73" t="s">
        <v>355</v>
      </c>
      <c r="BB3713" s="48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356</v>
      </c>
      <c r="E3714" s="1" t="s">
        <v>353</v>
      </c>
      <c r="F3714" s="26">
        <v>36.1</v>
      </c>
      <c r="G3714" s="25" t="s">
        <v>293</v>
      </c>
      <c r="H3714" s="25"/>
      <c r="BA3714" s="73" t="s">
        <v>355</v>
      </c>
      <c r="BB3714" s="48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356</v>
      </c>
      <c r="E3715" s="1" t="s">
        <v>133</v>
      </c>
      <c r="F3715" s="26">
        <v>144</v>
      </c>
      <c r="G3715" s="25" t="s">
        <v>293</v>
      </c>
      <c r="H3715" s="25"/>
      <c r="BA3715" s="73" t="s">
        <v>355</v>
      </c>
      <c r="BB3715" s="48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356</v>
      </c>
      <c r="E3716" s="1" t="s">
        <v>135</v>
      </c>
      <c r="F3716" s="26">
        <v>3.7</v>
      </c>
      <c r="G3716" s="25" t="s">
        <v>293</v>
      </c>
      <c r="H3716" s="25"/>
      <c r="BA3716" s="73" t="s">
        <v>355</v>
      </c>
      <c r="BB3716" s="48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356</v>
      </c>
      <c r="E3717" s="1" t="s">
        <v>136</v>
      </c>
      <c r="F3717" s="26">
        <v>116</v>
      </c>
      <c r="G3717" s="25" t="s">
        <v>293</v>
      </c>
      <c r="H3717" s="25"/>
      <c r="BA3717" s="73" t="s">
        <v>355</v>
      </c>
      <c r="BB3717" s="48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356</v>
      </c>
      <c r="E3718" s="1" t="s">
        <v>339</v>
      </c>
      <c r="F3718" s="26">
        <v>4.55</v>
      </c>
      <c r="G3718" s="25" t="s">
        <v>293</v>
      </c>
      <c r="H3718" s="25"/>
      <c r="BA3718" s="73" t="s">
        <v>355</v>
      </c>
      <c r="BB3718" s="48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356</v>
      </c>
      <c r="E3719" s="1" t="s">
        <v>118</v>
      </c>
      <c r="F3719" s="26">
        <v>4.5999999999999996</v>
      </c>
      <c r="G3719" s="25" t="s">
        <v>293</v>
      </c>
      <c r="H3719" s="25"/>
      <c r="BA3719" s="73" t="s">
        <v>355</v>
      </c>
      <c r="BB3719" s="48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356</v>
      </c>
      <c r="E3720" s="1" t="s">
        <v>130</v>
      </c>
      <c r="F3720" s="26">
        <v>3.94</v>
      </c>
      <c r="G3720" s="25" t="s">
        <v>293</v>
      </c>
      <c r="H3720" s="25"/>
      <c r="BA3720" s="73" t="s">
        <v>355</v>
      </c>
      <c r="BB3720" s="48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356</v>
      </c>
      <c r="E3721" s="1" t="s">
        <v>341</v>
      </c>
      <c r="F3721" s="26">
        <v>0.32</v>
      </c>
      <c r="G3721" s="25" t="s">
        <v>293</v>
      </c>
      <c r="H3721" s="25"/>
      <c r="BA3721" s="73" t="s">
        <v>355</v>
      </c>
      <c r="BB3721" s="48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356</v>
      </c>
      <c r="E3722" s="1" t="s">
        <v>127</v>
      </c>
      <c r="F3722" s="26">
        <v>1.1599999999999999</v>
      </c>
      <c r="G3722" s="25" t="s">
        <v>293</v>
      </c>
      <c r="H3722" s="25"/>
      <c r="BA3722" s="73" t="s">
        <v>355</v>
      </c>
      <c r="BB3722" s="48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356</v>
      </c>
      <c r="E3723" s="1" t="s">
        <v>131</v>
      </c>
      <c r="F3723" s="26">
        <v>8.9</v>
      </c>
      <c r="G3723" s="25" t="s">
        <v>293</v>
      </c>
      <c r="H3723" s="25"/>
      <c r="BA3723" s="73" t="s">
        <v>355</v>
      </c>
      <c r="BB3723" s="48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356</v>
      </c>
      <c r="E3724" s="1" t="s">
        <v>342</v>
      </c>
      <c r="F3724" s="26">
        <v>355</v>
      </c>
      <c r="G3724" s="25" t="s">
        <v>293</v>
      </c>
      <c r="H3724" s="25"/>
      <c r="BA3724" s="73" t="s">
        <v>355</v>
      </c>
      <c r="BB3724" s="48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356</v>
      </c>
      <c r="E3725" s="1" t="s">
        <v>119</v>
      </c>
      <c r="F3725" s="26">
        <v>240</v>
      </c>
      <c r="G3725" s="25" t="s">
        <v>293</v>
      </c>
      <c r="H3725" s="25"/>
      <c r="BA3725" s="73" t="s">
        <v>355</v>
      </c>
      <c r="BB3725" s="48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356</v>
      </c>
      <c r="E3726" s="1" t="s">
        <v>120</v>
      </c>
      <c r="F3726" s="26">
        <v>80</v>
      </c>
      <c r="G3726" s="25" t="s">
        <v>293</v>
      </c>
      <c r="H3726" s="25"/>
      <c r="BA3726" s="73" t="s">
        <v>355</v>
      </c>
      <c r="BB3726" s="48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356</v>
      </c>
      <c r="E3727" s="1" t="s">
        <v>117</v>
      </c>
      <c r="F3727" s="26">
        <v>2.64</v>
      </c>
      <c r="G3727" s="25" t="s">
        <v>293</v>
      </c>
      <c r="H3727" s="25"/>
      <c r="BA3727" s="73" t="s">
        <v>355</v>
      </c>
      <c r="BB3727" s="48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356</v>
      </c>
      <c r="E3728" s="1" t="s">
        <v>344</v>
      </c>
      <c r="F3728" s="26">
        <v>232</v>
      </c>
      <c r="G3728" s="25" t="s">
        <v>293</v>
      </c>
      <c r="H3728" s="25"/>
      <c r="BA3728" s="73" t="s">
        <v>355</v>
      </c>
      <c r="BB3728" s="48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356</v>
      </c>
      <c r="E3729" s="1" t="s">
        <v>132</v>
      </c>
      <c r="F3729" s="26">
        <v>3.52</v>
      </c>
      <c r="G3729" s="25" t="s">
        <v>293</v>
      </c>
      <c r="H3729" s="25"/>
      <c r="BA3729" s="73" t="s">
        <v>355</v>
      </c>
      <c r="BB3729" s="48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356</v>
      </c>
      <c r="E3730" s="1" t="s">
        <v>111</v>
      </c>
      <c r="F3730" s="26">
        <v>88</v>
      </c>
      <c r="G3730" s="25" t="s">
        <v>293</v>
      </c>
      <c r="H3730" s="25"/>
      <c r="BA3730" s="73" t="s">
        <v>355</v>
      </c>
      <c r="BB3730" s="48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356</v>
      </c>
      <c r="E3731" s="1" t="s">
        <v>345</v>
      </c>
      <c r="F3731" s="26">
        <v>5.16</v>
      </c>
      <c r="G3731" s="25" t="s">
        <v>293</v>
      </c>
      <c r="H3731" s="25"/>
      <c r="BA3731" s="73" t="s">
        <v>355</v>
      </c>
      <c r="BB3731" s="48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356</v>
      </c>
      <c r="E3732" s="1" t="s">
        <v>347</v>
      </c>
      <c r="F3732" s="26">
        <v>2.3199999999999998</v>
      </c>
      <c r="G3732" s="25" t="s">
        <v>293</v>
      </c>
      <c r="H3732" s="25"/>
      <c r="BA3732" s="73" t="s">
        <v>355</v>
      </c>
      <c r="BB3732" s="48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356</v>
      </c>
      <c r="E3733" s="1" t="s">
        <v>128</v>
      </c>
      <c r="F3733" s="26">
        <v>6.9</v>
      </c>
      <c r="G3733" s="25" t="s">
        <v>293</v>
      </c>
      <c r="H3733" s="25"/>
      <c r="BA3733" s="73" t="s">
        <v>355</v>
      </c>
      <c r="BB3733" s="48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356</v>
      </c>
      <c r="E3734" s="1" t="s">
        <v>121</v>
      </c>
      <c r="F3734" s="26">
        <v>161</v>
      </c>
      <c r="G3734" s="25" t="s">
        <v>293</v>
      </c>
      <c r="H3734" s="25"/>
      <c r="BA3734" s="73" t="s">
        <v>355</v>
      </c>
      <c r="BB3734" s="48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356</v>
      </c>
      <c r="E3735" s="1" t="s">
        <v>115</v>
      </c>
      <c r="F3735" s="26">
        <v>34</v>
      </c>
      <c r="G3735" s="25" t="s">
        <v>293</v>
      </c>
      <c r="H3735" s="25"/>
      <c r="BA3735" s="73" t="s">
        <v>355</v>
      </c>
      <c r="BB3735" s="48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356</v>
      </c>
      <c r="E3736" s="1" t="s">
        <v>137</v>
      </c>
      <c r="F3736" s="26">
        <v>76</v>
      </c>
      <c r="G3736" s="25" t="s">
        <v>293</v>
      </c>
      <c r="H3736" s="25"/>
      <c r="BA3736" s="73" t="s">
        <v>355</v>
      </c>
      <c r="BB3736" s="48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356</v>
      </c>
      <c r="E3737" s="1" t="s">
        <v>348</v>
      </c>
      <c r="F3737" s="26">
        <v>141</v>
      </c>
      <c r="G3737" s="25" t="s">
        <v>293</v>
      </c>
      <c r="H3737" s="25"/>
      <c r="BA3737" s="73" t="s">
        <v>355</v>
      </c>
      <c r="BB3737" s="48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356</v>
      </c>
      <c r="E3738" s="1" t="s">
        <v>125</v>
      </c>
      <c r="F3738" s="26">
        <v>103</v>
      </c>
      <c r="G3738" s="25" t="s">
        <v>293</v>
      </c>
      <c r="H3738" s="25"/>
      <c r="BA3738" s="73" t="s">
        <v>355</v>
      </c>
      <c r="BB3738" s="48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356</v>
      </c>
      <c r="E3739" s="1" t="s">
        <v>126</v>
      </c>
      <c r="F3739" s="26">
        <v>82</v>
      </c>
      <c r="G3739" s="25" t="s">
        <v>293</v>
      </c>
      <c r="H3739" s="25"/>
      <c r="BA3739" s="73" t="s">
        <v>355</v>
      </c>
      <c r="BB3739" s="48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356</v>
      </c>
      <c r="E3740" s="1" t="s">
        <v>349</v>
      </c>
      <c r="F3740" s="26">
        <v>163</v>
      </c>
      <c r="G3740" s="25" t="s">
        <v>293</v>
      </c>
      <c r="H3740" s="25"/>
      <c r="BA3740" s="73" t="s">
        <v>355</v>
      </c>
      <c r="BB3740" s="48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356</v>
      </c>
      <c r="E3741" s="1" t="s">
        <v>350</v>
      </c>
      <c r="F3741" s="26">
        <v>57</v>
      </c>
      <c r="G3741" s="25" t="s">
        <v>293</v>
      </c>
      <c r="H3741" s="25"/>
      <c r="BA3741" s="73" t="s">
        <v>355</v>
      </c>
      <c r="BB3741" s="48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356</v>
      </c>
      <c r="E3742" s="1" t="s">
        <v>122</v>
      </c>
      <c r="F3742" s="26">
        <v>46</v>
      </c>
      <c r="G3742" s="25" t="s">
        <v>293</v>
      </c>
      <c r="H3742" s="25"/>
      <c r="BA3742" s="73" t="s">
        <v>355</v>
      </c>
      <c r="BB3742" s="48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356</v>
      </c>
      <c r="E3743" s="1" t="s">
        <v>124</v>
      </c>
      <c r="F3743" s="26">
        <v>30</v>
      </c>
      <c r="G3743" s="25" t="s">
        <v>293</v>
      </c>
      <c r="H3743" s="25"/>
      <c r="BA3743" s="73" t="s">
        <v>355</v>
      </c>
      <c r="BB3743" s="48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356</v>
      </c>
      <c r="E3744" s="1" t="s">
        <v>351</v>
      </c>
      <c r="F3744" s="26">
        <v>0.96</v>
      </c>
      <c r="G3744" s="25" t="s">
        <v>293</v>
      </c>
      <c r="H3744" s="25"/>
      <c r="BA3744" s="73" t="s">
        <v>355</v>
      </c>
      <c r="BB3744" s="48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356</v>
      </c>
      <c r="E3745" s="1" t="s">
        <v>353</v>
      </c>
      <c r="F3745" s="26">
        <v>35.700000000000003</v>
      </c>
      <c r="G3745" s="25" t="s">
        <v>293</v>
      </c>
      <c r="H3745" s="25"/>
      <c r="BA3745" s="73" t="s">
        <v>355</v>
      </c>
      <c r="BB3745" s="48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356</v>
      </c>
      <c r="E3746" s="1" t="s">
        <v>133</v>
      </c>
      <c r="F3746" s="26">
        <v>145</v>
      </c>
      <c r="G3746" s="25" t="s">
        <v>293</v>
      </c>
      <c r="H3746" s="25"/>
      <c r="BA3746" s="73" t="s">
        <v>355</v>
      </c>
      <c r="BB3746" s="48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356</v>
      </c>
      <c r="E3747" s="1" t="s">
        <v>135</v>
      </c>
      <c r="F3747" s="26">
        <v>3.7</v>
      </c>
      <c r="G3747" s="25" t="s">
        <v>293</v>
      </c>
      <c r="H3747" s="25"/>
      <c r="BA3747" s="73" t="s">
        <v>355</v>
      </c>
      <c r="BB3747" s="48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356</v>
      </c>
      <c r="E3748" s="1" t="s">
        <v>136</v>
      </c>
      <c r="F3748" s="26">
        <v>116</v>
      </c>
      <c r="G3748" s="25" t="s">
        <v>293</v>
      </c>
      <c r="H3748" s="25"/>
      <c r="BA3748" s="73" t="s">
        <v>355</v>
      </c>
      <c r="BB3748" s="48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356</v>
      </c>
      <c r="E3749" s="1" t="s">
        <v>339</v>
      </c>
      <c r="F3749" s="26">
        <v>4.62</v>
      </c>
      <c r="G3749" s="25" t="s">
        <v>293</v>
      </c>
      <c r="H3749" s="25"/>
      <c r="BA3749" s="73" t="s">
        <v>355</v>
      </c>
      <c r="BB3749" s="48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356</v>
      </c>
      <c r="E3750" s="1" t="s">
        <v>118</v>
      </c>
      <c r="F3750" s="26">
        <v>4.5</v>
      </c>
      <c r="G3750" s="25" t="s">
        <v>293</v>
      </c>
      <c r="H3750" s="25"/>
      <c r="BA3750" s="73" t="s">
        <v>355</v>
      </c>
      <c r="BB3750" s="48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356</v>
      </c>
      <c r="E3751" s="1" t="s">
        <v>130</v>
      </c>
      <c r="F3751" s="26">
        <v>4</v>
      </c>
      <c r="G3751" s="25" t="s">
        <v>293</v>
      </c>
      <c r="H3751" s="25"/>
      <c r="BA3751" s="73" t="s">
        <v>355</v>
      </c>
      <c r="BB3751" s="48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356</v>
      </c>
      <c r="E3752" s="1" t="s">
        <v>341</v>
      </c>
      <c r="F3752" s="26">
        <v>0.33100000000000002</v>
      </c>
      <c r="G3752" s="25" t="s">
        <v>293</v>
      </c>
      <c r="H3752" s="25"/>
      <c r="BA3752" s="73" t="s">
        <v>355</v>
      </c>
      <c r="BB3752" s="48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356</v>
      </c>
      <c r="E3753" s="1" t="s">
        <v>127</v>
      </c>
      <c r="F3753" s="26">
        <v>1.17</v>
      </c>
      <c r="G3753" s="25" t="s">
        <v>293</v>
      </c>
      <c r="H3753" s="25"/>
      <c r="BA3753" s="73" t="s">
        <v>355</v>
      </c>
      <c r="BB3753" s="48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356</v>
      </c>
      <c r="E3754" s="1" t="s">
        <v>131</v>
      </c>
      <c r="F3754" s="26">
        <v>9</v>
      </c>
      <c r="G3754" s="25" t="s">
        <v>293</v>
      </c>
      <c r="H3754" s="25"/>
      <c r="BA3754" s="73" t="s">
        <v>355</v>
      </c>
      <c r="BB3754" s="48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356</v>
      </c>
      <c r="E3755" s="1" t="s">
        <v>342</v>
      </c>
      <c r="F3755" s="26">
        <v>361</v>
      </c>
      <c r="G3755" s="25" t="s">
        <v>293</v>
      </c>
      <c r="H3755" s="25"/>
      <c r="BA3755" s="73" t="s">
        <v>355</v>
      </c>
      <c r="BB3755" s="48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356</v>
      </c>
      <c r="E3756" s="1" t="s">
        <v>119</v>
      </c>
      <c r="F3756" s="26">
        <v>240</v>
      </c>
      <c r="G3756" s="25" t="s">
        <v>293</v>
      </c>
      <c r="H3756" s="25"/>
      <c r="BA3756" s="73" t="s">
        <v>355</v>
      </c>
      <c r="BB3756" s="48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356</v>
      </c>
      <c r="E3757" s="1" t="s">
        <v>120</v>
      </c>
      <c r="F3757" s="26">
        <v>78</v>
      </c>
      <c r="G3757" s="25" t="s">
        <v>293</v>
      </c>
      <c r="H3757" s="25"/>
      <c r="BA3757" s="73" t="s">
        <v>355</v>
      </c>
      <c r="BB3757" s="48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356</v>
      </c>
      <c r="E3758" s="1" t="s">
        <v>117</v>
      </c>
      <c r="F3758" s="26">
        <v>2.67</v>
      </c>
      <c r="G3758" s="25" t="s">
        <v>293</v>
      </c>
      <c r="H3758" s="25"/>
      <c r="BA3758" s="73" t="s">
        <v>355</v>
      </c>
      <c r="BB3758" s="48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356</v>
      </c>
      <c r="E3759" s="1" t="s">
        <v>344</v>
      </c>
      <c r="F3759" s="26">
        <v>235</v>
      </c>
      <c r="G3759" s="25" t="s">
        <v>293</v>
      </c>
      <c r="H3759" s="25"/>
      <c r="BA3759" s="73" t="s">
        <v>355</v>
      </c>
      <c r="BB3759" s="48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356</v>
      </c>
      <c r="E3760" s="1" t="s">
        <v>132</v>
      </c>
      <c r="F3760" s="26">
        <v>3.6</v>
      </c>
      <c r="G3760" s="25" t="s">
        <v>293</v>
      </c>
      <c r="H3760" s="25"/>
      <c r="BA3760" s="73" t="s">
        <v>355</v>
      </c>
      <c r="BB3760" s="48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356</v>
      </c>
      <c r="E3761" s="1" t="s">
        <v>111</v>
      </c>
      <c r="F3761" s="26">
        <v>89</v>
      </c>
      <c r="G3761" s="25" t="s">
        <v>293</v>
      </c>
      <c r="H3761" s="25"/>
      <c r="BA3761" s="73" t="s">
        <v>355</v>
      </c>
      <c r="BB3761" s="48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356</v>
      </c>
      <c r="E3762" s="1" t="s">
        <v>345</v>
      </c>
      <c r="F3762" s="26">
        <v>5.25</v>
      </c>
      <c r="G3762" s="25" t="s">
        <v>293</v>
      </c>
      <c r="H3762" s="25"/>
      <c r="BA3762" s="73" t="s">
        <v>355</v>
      </c>
      <c r="BB3762" s="48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356</v>
      </c>
      <c r="E3763" s="1" t="s">
        <v>347</v>
      </c>
      <c r="F3763" s="26">
        <v>2.25</v>
      </c>
      <c r="G3763" s="25" t="s">
        <v>293</v>
      </c>
      <c r="H3763" s="25"/>
      <c r="BA3763" s="73" t="s">
        <v>355</v>
      </c>
      <c r="BB3763" s="48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356</v>
      </c>
      <c r="E3764" s="1" t="s">
        <v>128</v>
      </c>
      <c r="F3764" s="26">
        <v>7</v>
      </c>
      <c r="G3764" s="25" t="s">
        <v>293</v>
      </c>
      <c r="H3764" s="25"/>
      <c r="BA3764" s="73" t="s">
        <v>355</v>
      </c>
      <c r="BB3764" s="48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356</v>
      </c>
      <c r="E3765" s="1" t="s">
        <v>121</v>
      </c>
      <c r="F3765" s="26">
        <v>161</v>
      </c>
      <c r="G3765" s="25" t="s">
        <v>293</v>
      </c>
      <c r="H3765" s="25"/>
      <c r="BA3765" s="73" t="s">
        <v>355</v>
      </c>
      <c r="BB3765" s="48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356</v>
      </c>
      <c r="E3766" s="1" t="s">
        <v>115</v>
      </c>
      <c r="F3766" s="26">
        <v>32</v>
      </c>
      <c r="G3766" s="25" t="s">
        <v>293</v>
      </c>
      <c r="H3766" s="25"/>
      <c r="BA3766" s="73" t="s">
        <v>355</v>
      </c>
      <c r="BB3766" s="48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356</v>
      </c>
      <c r="E3767" s="1" t="s">
        <v>137</v>
      </c>
      <c r="F3767" s="26">
        <v>76</v>
      </c>
      <c r="G3767" s="25" t="s">
        <v>293</v>
      </c>
      <c r="H3767" s="25"/>
      <c r="BA3767" s="73" t="s">
        <v>355</v>
      </c>
      <c r="BB3767" s="48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356</v>
      </c>
      <c r="E3768" s="1" t="s">
        <v>348</v>
      </c>
      <c r="F3768" s="26">
        <v>142</v>
      </c>
      <c r="G3768" s="25" t="s">
        <v>293</v>
      </c>
      <c r="H3768" s="25"/>
      <c r="BA3768" s="73" t="s">
        <v>355</v>
      </c>
      <c r="BB3768" s="48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356</v>
      </c>
      <c r="E3769" s="1" t="s">
        <v>125</v>
      </c>
      <c r="F3769" s="26">
        <v>98</v>
      </c>
      <c r="G3769" s="25" t="s">
        <v>293</v>
      </c>
      <c r="H3769" s="25"/>
      <c r="BA3769" s="73" t="s">
        <v>355</v>
      </c>
      <c r="BB3769" s="48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356</v>
      </c>
      <c r="E3770" s="1" t="s">
        <v>126</v>
      </c>
      <c r="F3770" s="26">
        <v>82</v>
      </c>
      <c r="G3770" s="25" t="s">
        <v>293</v>
      </c>
      <c r="H3770" s="25"/>
      <c r="BA3770" s="73" t="s">
        <v>355</v>
      </c>
      <c r="BB3770" s="48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356</v>
      </c>
      <c r="E3771" s="1" t="s">
        <v>349</v>
      </c>
      <c r="F3771" s="26">
        <v>160</v>
      </c>
      <c r="G3771" s="25" t="s">
        <v>293</v>
      </c>
      <c r="H3771" s="25"/>
      <c r="BA3771" s="73" t="s">
        <v>355</v>
      </c>
      <c r="BB3771" s="48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356</v>
      </c>
      <c r="E3772" s="1" t="s">
        <v>350</v>
      </c>
      <c r="F3772" s="26">
        <v>57</v>
      </c>
      <c r="G3772" s="25" t="s">
        <v>293</v>
      </c>
      <c r="H3772" s="25"/>
      <c r="BA3772" s="73" t="s">
        <v>355</v>
      </c>
      <c r="BB3772" s="48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356</v>
      </c>
      <c r="E3773" s="1" t="s">
        <v>122</v>
      </c>
      <c r="F3773" s="26">
        <v>45</v>
      </c>
      <c r="G3773" s="25" t="s">
        <v>293</v>
      </c>
      <c r="H3773" s="25"/>
      <c r="BA3773" s="73" t="s">
        <v>355</v>
      </c>
      <c r="BB3773" s="48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356</v>
      </c>
      <c r="E3774" s="1" t="s">
        <v>124</v>
      </c>
      <c r="F3774" s="26">
        <v>29</v>
      </c>
      <c r="G3774" s="25" t="s">
        <v>293</v>
      </c>
      <c r="H3774" s="25"/>
      <c r="BA3774" s="73" t="s">
        <v>355</v>
      </c>
      <c r="BB3774" s="48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356</v>
      </c>
      <c r="E3775" s="1" t="s">
        <v>351</v>
      </c>
      <c r="F3775" s="26">
        <v>0.94</v>
      </c>
      <c r="G3775" s="25" t="s">
        <v>293</v>
      </c>
      <c r="H3775" s="25"/>
      <c r="BA3775" s="73" t="s">
        <v>355</v>
      </c>
      <c r="BB3775" s="48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356</v>
      </c>
      <c r="E3776" s="1" t="s">
        <v>353</v>
      </c>
      <c r="F3776" s="26">
        <v>34</v>
      </c>
      <c r="G3776" s="25" t="s">
        <v>293</v>
      </c>
      <c r="H3776" s="25"/>
      <c r="BA3776" s="73" t="s">
        <v>355</v>
      </c>
      <c r="BB3776" s="48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356</v>
      </c>
      <c r="E3777" s="1" t="s">
        <v>133</v>
      </c>
      <c r="F3777" s="26">
        <v>145</v>
      </c>
      <c r="G3777" s="25" t="s">
        <v>293</v>
      </c>
      <c r="H3777" s="25"/>
      <c r="BA3777" s="73" t="s">
        <v>355</v>
      </c>
      <c r="BB3777" s="48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356</v>
      </c>
      <c r="E3778" s="1" t="s">
        <v>135</v>
      </c>
      <c r="F3778" s="26">
        <v>3.8</v>
      </c>
      <c r="G3778" s="25" t="s">
        <v>293</v>
      </c>
      <c r="H3778" s="25"/>
      <c r="BA3778" s="73" t="s">
        <v>355</v>
      </c>
      <c r="BB3778" s="48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356</v>
      </c>
      <c r="E3779" s="1" t="s">
        <v>136</v>
      </c>
      <c r="F3779" s="26">
        <v>116</v>
      </c>
      <c r="G3779" s="25" t="s">
        <v>293</v>
      </c>
      <c r="H3779" s="25"/>
      <c r="BA3779" s="73" t="s">
        <v>355</v>
      </c>
      <c r="BB3779" s="48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357</v>
      </c>
      <c r="E3780" s="1" t="s">
        <v>339</v>
      </c>
      <c r="F3780" s="26">
        <v>1.1599999999999999</v>
      </c>
      <c r="G3780" s="25" t="s">
        <v>293</v>
      </c>
      <c r="H3780" s="25"/>
      <c r="BA3780" s="73" t="s">
        <v>355</v>
      </c>
      <c r="BB3780" s="48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357</v>
      </c>
      <c r="E3781" s="1" t="s">
        <v>118</v>
      </c>
      <c r="F3781" s="26">
        <v>9.8000000000000007</v>
      </c>
      <c r="G3781" s="25" t="s">
        <v>293</v>
      </c>
      <c r="H3781" s="25"/>
      <c r="BA3781" s="73" t="s">
        <v>355</v>
      </c>
      <c r="BB3781" s="48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357</v>
      </c>
      <c r="E3782" s="1" t="s">
        <v>130</v>
      </c>
      <c r="F3782" s="26">
        <v>2.4</v>
      </c>
      <c r="G3782" s="25" t="s">
        <v>293</v>
      </c>
      <c r="H3782" s="25"/>
      <c r="BA3782" s="73" t="s">
        <v>355</v>
      </c>
      <c r="BB3782" s="48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357</v>
      </c>
      <c r="E3783" s="1" t="s">
        <v>341</v>
      </c>
      <c r="F3783" s="26">
        <v>1.105</v>
      </c>
      <c r="G3783" s="25" t="s">
        <v>293</v>
      </c>
      <c r="H3783" s="25"/>
      <c r="BA3783" s="73" t="s">
        <v>355</v>
      </c>
      <c r="BB3783" s="48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357</v>
      </c>
      <c r="E3784" s="1" t="s">
        <v>127</v>
      </c>
      <c r="F3784" s="26">
        <v>4.6150000000000002</v>
      </c>
      <c r="G3784" s="25" t="s">
        <v>293</v>
      </c>
      <c r="H3784" s="25"/>
      <c r="BA3784" s="73" t="s">
        <v>355</v>
      </c>
      <c r="BB3784" s="48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357</v>
      </c>
      <c r="E3785" s="1" t="s">
        <v>131</v>
      </c>
      <c r="F3785" s="26">
        <v>12.4</v>
      </c>
      <c r="G3785" s="25" t="s">
        <v>293</v>
      </c>
      <c r="H3785" s="25"/>
      <c r="BA3785" s="73" t="s">
        <v>355</v>
      </c>
      <c r="BB3785" s="48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357</v>
      </c>
      <c r="E3786" s="1" t="s">
        <v>342</v>
      </c>
      <c r="F3786" s="26">
        <v>203</v>
      </c>
      <c r="G3786" s="25" t="s">
        <v>293</v>
      </c>
      <c r="H3786" s="25"/>
      <c r="BA3786" s="73" t="s">
        <v>355</v>
      </c>
      <c r="BB3786" s="48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357</v>
      </c>
      <c r="E3787" s="1" t="s">
        <v>119</v>
      </c>
      <c r="F3787" s="26">
        <v>91</v>
      </c>
      <c r="G3787" s="25" t="s">
        <v>293</v>
      </c>
      <c r="H3787" s="25"/>
      <c r="BA3787" s="73" t="s">
        <v>355</v>
      </c>
      <c r="BB3787" s="48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357</v>
      </c>
      <c r="E3788" s="1" t="s">
        <v>120</v>
      </c>
      <c r="F3788" s="26">
        <v>26</v>
      </c>
      <c r="G3788" s="25" t="s">
        <v>293</v>
      </c>
      <c r="H3788" s="25"/>
      <c r="BA3788" s="73" t="s">
        <v>355</v>
      </c>
      <c r="BB3788" s="48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357</v>
      </c>
      <c r="E3789" s="1" t="s">
        <v>117</v>
      </c>
      <c r="F3789" s="26">
        <v>6.21</v>
      </c>
      <c r="G3789" s="25" t="s">
        <v>293</v>
      </c>
      <c r="H3789" s="25"/>
      <c r="BA3789" s="73" t="s">
        <v>355</v>
      </c>
      <c r="BB3789" s="48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357</v>
      </c>
      <c r="E3790" s="1" t="s">
        <v>344</v>
      </c>
      <c r="F3790" s="26">
        <v>70</v>
      </c>
      <c r="G3790" s="25" t="s">
        <v>293</v>
      </c>
      <c r="H3790" s="25"/>
      <c r="BA3790" s="73" t="s">
        <v>355</v>
      </c>
      <c r="BB3790" s="48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357</v>
      </c>
      <c r="E3791" s="1" t="s">
        <v>132</v>
      </c>
      <c r="F3791" s="26">
        <v>7.27</v>
      </c>
      <c r="G3791" s="25" t="s">
        <v>293</v>
      </c>
      <c r="H3791" s="25"/>
      <c r="BA3791" s="73" t="s">
        <v>355</v>
      </c>
      <c r="BB3791" s="48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357</v>
      </c>
      <c r="E3792" s="1" t="s">
        <v>111</v>
      </c>
      <c r="F3792" s="26">
        <v>286</v>
      </c>
      <c r="G3792" s="25" t="s">
        <v>293</v>
      </c>
      <c r="H3792" s="25"/>
      <c r="BA3792" s="73" t="s">
        <v>355</v>
      </c>
      <c r="BB3792" s="48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357</v>
      </c>
      <c r="E3793" s="1" t="s">
        <v>345</v>
      </c>
      <c r="F3793" s="26">
        <v>9.84</v>
      </c>
      <c r="G3793" s="25" t="s">
        <v>293</v>
      </c>
      <c r="H3793" s="25"/>
      <c r="BA3793" s="73" t="s">
        <v>355</v>
      </c>
      <c r="BB3793" s="48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357</v>
      </c>
      <c r="E3794" s="1" t="s">
        <v>347</v>
      </c>
      <c r="F3794" s="26">
        <v>4.83</v>
      </c>
      <c r="G3794" s="25" t="s">
        <v>293</v>
      </c>
      <c r="H3794" s="25"/>
      <c r="BA3794" s="73" t="s">
        <v>355</v>
      </c>
      <c r="BB3794" s="48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357</v>
      </c>
      <c r="E3795" s="1" t="s">
        <v>128</v>
      </c>
      <c r="F3795" s="26">
        <v>4.3</v>
      </c>
      <c r="G3795" s="25" t="s">
        <v>293</v>
      </c>
      <c r="H3795" s="25"/>
      <c r="BA3795" s="73" t="s">
        <v>355</v>
      </c>
      <c r="BB3795" s="48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357</v>
      </c>
      <c r="E3796" s="1" t="s">
        <v>121</v>
      </c>
      <c r="F3796" s="26">
        <v>80</v>
      </c>
      <c r="G3796" s="25" t="s">
        <v>293</v>
      </c>
      <c r="H3796" s="25"/>
      <c r="BA3796" s="73" t="s">
        <v>355</v>
      </c>
      <c r="BB3796" s="48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357</v>
      </c>
      <c r="E3797" s="1" t="s">
        <v>115</v>
      </c>
      <c r="F3797" s="26">
        <v>97</v>
      </c>
      <c r="G3797" s="25" t="s">
        <v>293</v>
      </c>
      <c r="H3797" s="25"/>
      <c r="BA3797" s="73" t="s">
        <v>355</v>
      </c>
      <c r="BB3797" s="48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357</v>
      </c>
      <c r="E3798" s="1" t="s">
        <v>137</v>
      </c>
      <c r="F3798" s="26">
        <v>488</v>
      </c>
      <c r="G3798" s="25" t="s">
        <v>293</v>
      </c>
      <c r="H3798" s="25"/>
      <c r="BA3798" s="73" t="s">
        <v>355</v>
      </c>
      <c r="BB3798" s="48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357</v>
      </c>
      <c r="E3799" s="1" t="s">
        <v>348</v>
      </c>
      <c r="F3799" s="26">
        <v>437</v>
      </c>
      <c r="G3799" s="25" t="s">
        <v>293</v>
      </c>
      <c r="H3799" s="25"/>
      <c r="BA3799" s="73" t="s">
        <v>355</v>
      </c>
      <c r="BB3799" s="48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357</v>
      </c>
      <c r="E3800" s="1" t="s">
        <v>125</v>
      </c>
      <c r="F3800" s="26">
        <v>431</v>
      </c>
      <c r="G3800" s="25" t="s">
        <v>293</v>
      </c>
      <c r="H3800" s="25"/>
      <c r="BA3800" s="73" t="s">
        <v>355</v>
      </c>
      <c r="BB3800" s="48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357</v>
      </c>
      <c r="E3801" s="1" t="s">
        <v>126</v>
      </c>
      <c r="F3801" s="26">
        <v>155</v>
      </c>
      <c r="G3801" s="25" t="s">
        <v>293</v>
      </c>
      <c r="H3801" s="25"/>
      <c r="BA3801" s="73" t="s">
        <v>355</v>
      </c>
      <c r="BB3801" s="48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357</v>
      </c>
      <c r="E3802" s="1" t="s">
        <v>349</v>
      </c>
      <c r="F3802" s="26">
        <v>378</v>
      </c>
      <c r="G3802" s="25" t="s">
        <v>293</v>
      </c>
      <c r="H3802" s="25"/>
      <c r="BA3802" s="73" t="s">
        <v>355</v>
      </c>
      <c r="BB3802" s="48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357</v>
      </c>
      <c r="E3803" s="1" t="s">
        <v>350</v>
      </c>
      <c r="F3803" s="26">
        <v>88</v>
      </c>
      <c r="G3803" s="25" t="s">
        <v>293</v>
      </c>
      <c r="H3803" s="25"/>
      <c r="BA3803" s="73" t="s">
        <v>355</v>
      </c>
      <c r="BB3803" s="48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357</v>
      </c>
      <c r="E3804" s="1" t="s">
        <v>122</v>
      </c>
      <c r="F3804" s="26">
        <v>224</v>
      </c>
      <c r="G3804" s="25" t="s">
        <v>293</v>
      </c>
      <c r="H3804" s="25"/>
      <c r="BA3804" s="73" t="s">
        <v>355</v>
      </c>
      <c r="BB3804" s="48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357</v>
      </c>
      <c r="E3805" s="1" t="s">
        <v>124</v>
      </c>
      <c r="F3805" s="26">
        <v>106</v>
      </c>
      <c r="G3805" s="25" t="s">
        <v>293</v>
      </c>
      <c r="H3805" s="25"/>
      <c r="BA3805" s="73" t="s">
        <v>355</v>
      </c>
      <c r="BB3805" s="48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357</v>
      </c>
      <c r="E3806" s="1" t="s">
        <v>351</v>
      </c>
      <c r="F3806" s="26">
        <v>3.56</v>
      </c>
      <c r="G3806" s="25" t="s">
        <v>293</v>
      </c>
      <c r="H3806" s="25"/>
      <c r="BA3806" s="73" t="s">
        <v>355</v>
      </c>
      <c r="BB3806" s="48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357</v>
      </c>
      <c r="E3807" s="1" t="s">
        <v>353</v>
      </c>
      <c r="F3807" s="26">
        <v>18.8</v>
      </c>
      <c r="G3807" s="25" t="s">
        <v>293</v>
      </c>
      <c r="H3807" s="25"/>
      <c r="BA3807" s="73" t="s">
        <v>355</v>
      </c>
      <c r="BB3807" s="48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357</v>
      </c>
      <c r="E3808" s="1" t="s">
        <v>133</v>
      </c>
      <c r="F3808" s="26">
        <v>129</v>
      </c>
      <c r="G3808" s="25" t="s">
        <v>293</v>
      </c>
      <c r="H3808" s="25"/>
      <c r="BA3808" s="73" t="s">
        <v>355</v>
      </c>
      <c r="BB3808" s="48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357</v>
      </c>
      <c r="E3809" s="1" t="s">
        <v>135</v>
      </c>
      <c r="F3809" s="26">
        <v>6.6</v>
      </c>
      <c r="G3809" s="25" t="s">
        <v>293</v>
      </c>
      <c r="H3809" s="25"/>
      <c r="BA3809" s="73" t="s">
        <v>355</v>
      </c>
      <c r="BB3809" s="48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357</v>
      </c>
      <c r="E3810" s="1" t="s">
        <v>136</v>
      </c>
      <c r="F3810" s="26">
        <v>98</v>
      </c>
      <c r="G3810" s="25" t="s">
        <v>293</v>
      </c>
      <c r="H3810" s="25"/>
      <c r="BA3810" s="73" t="s">
        <v>355</v>
      </c>
      <c r="BB3810" s="48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357</v>
      </c>
      <c r="E3811" s="1" t="s">
        <v>339</v>
      </c>
      <c r="F3811" s="26">
        <v>1.18</v>
      </c>
      <c r="G3811" s="25" t="s">
        <v>293</v>
      </c>
      <c r="H3811" s="25"/>
      <c r="BA3811" s="73" t="s">
        <v>355</v>
      </c>
      <c r="BB3811" s="48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357</v>
      </c>
      <c r="E3812" s="1" t="s">
        <v>118</v>
      </c>
      <c r="F3812" s="26">
        <v>9.6</v>
      </c>
      <c r="G3812" s="25" t="s">
        <v>293</v>
      </c>
      <c r="H3812" s="25"/>
      <c r="BA3812" s="73" t="s">
        <v>355</v>
      </c>
      <c r="BB3812" s="48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357</v>
      </c>
      <c r="E3813" s="1" t="s">
        <v>130</v>
      </c>
      <c r="F3813" s="26">
        <v>2.4</v>
      </c>
      <c r="G3813" s="25" t="s">
        <v>293</v>
      </c>
      <c r="H3813" s="25"/>
      <c r="BA3813" s="73" t="s">
        <v>355</v>
      </c>
      <c r="BB3813" s="48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357</v>
      </c>
      <c r="E3814" s="1" t="s">
        <v>341</v>
      </c>
      <c r="F3814" s="26">
        <v>1.1200000000000001</v>
      </c>
      <c r="G3814" s="25" t="s">
        <v>293</v>
      </c>
      <c r="H3814" s="25"/>
      <c r="BA3814" s="73" t="s">
        <v>355</v>
      </c>
      <c r="BB3814" s="48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357</v>
      </c>
      <c r="E3815" s="1" t="s">
        <v>127</v>
      </c>
      <c r="F3815" s="26">
        <v>4.7</v>
      </c>
      <c r="G3815" s="25" t="s">
        <v>293</v>
      </c>
      <c r="H3815" s="25"/>
      <c r="BA3815" s="73" t="s">
        <v>355</v>
      </c>
      <c r="BB3815" s="48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357</v>
      </c>
      <c r="E3816" s="1" t="s">
        <v>131</v>
      </c>
      <c r="F3816" s="26">
        <v>12.3</v>
      </c>
      <c r="G3816" s="25" t="s">
        <v>293</v>
      </c>
      <c r="H3816" s="25"/>
      <c r="BA3816" s="73" t="s">
        <v>355</v>
      </c>
      <c r="BB3816" s="48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357</v>
      </c>
      <c r="E3817" s="1" t="s">
        <v>342</v>
      </c>
      <c r="F3817" s="26">
        <v>189</v>
      </c>
      <c r="G3817" s="25" t="s">
        <v>293</v>
      </c>
      <c r="H3817" s="25"/>
      <c r="BA3817" s="73" t="s">
        <v>355</v>
      </c>
      <c r="BB3817" s="48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357</v>
      </c>
      <c r="E3818" s="1" t="s">
        <v>119</v>
      </c>
      <c r="F3818" s="26">
        <v>87</v>
      </c>
      <c r="G3818" s="25" t="s">
        <v>293</v>
      </c>
      <c r="H3818" s="25"/>
      <c r="BA3818" s="73" t="s">
        <v>355</v>
      </c>
      <c r="BB3818" s="48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357</v>
      </c>
      <c r="E3819" s="1" t="s">
        <v>120</v>
      </c>
      <c r="F3819" s="26">
        <v>27</v>
      </c>
      <c r="G3819" s="25" t="s">
        <v>293</v>
      </c>
      <c r="H3819" s="25"/>
      <c r="BA3819" s="73" t="s">
        <v>355</v>
      </c>
      <c r="BB3819" s="48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357</v>
      </c>
      <c r="E3820" s="1" t="s">
        <v>117</v>
      </c>
      <c r="F3820" s="26">
        <v>6.41</v>
      </c>
      <c r="G3820" s="25" t="s">
        <v>293</v>
      </c>
      <c r="H3820" s="25"/>
      <c r="BA3820" s="73" t="s">
        <v>355</v>
      </c>
      <c r="BB3820" s="48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357</v>
      </c>
      <c r="E3821" s="1" t="s">
        <v>344</v>
      </c>
      <c r="F3821" s="26">
        <v>69</v>
      </c>
      <c r="G3821" s="25" t="s">
        <v>293</v>
      </c>
      <c r="H3821" s="25"/>
      <c r="BA3821" s="73" t="s">
        <v>355</v>
      </c>
      <c r="BB3821" s="48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357</v>
      </c>
      <c r="E3822" s="1" t="s">
        <v>132</v>
      </c>
      <c r="F3822" s="26">
        <v>7.17</v>
      </c>
      <c r="G3822" s="25" t="s">
        <v>293</v>
      </c>
      <c r="H3822" s="25"/>
      <c r="BA3822" s="73" t="s">
        <v>355</v>
      </c>
      <c r="BB3822" s="48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357</v>
      </c>
      <c r="E3823" s="1" t="s">
        <v>111</v>
      </c>
      <c r="F3823" s="26">
        <v>279</v>
      </c>
      <c r="G3823" s="25" t="s">
        <v>293</v>
      </c>
      <c r="H3823" s="25"/>
      <c r="BA3823" s="73" t="s">
        <v>355</v>
      </c>
      <c r="BB3823" s="48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357</v>
      </c>
      <c r="E3824" s="1" t="s">
        <v>345</v>
      </c>
      <c r="F3824" s="26">
        <v>9.99</v>
      </c>
      <c r="G3824" s="25" t="s">
        <v>293</v>
      </c>
      <c r="H3824" s="25"/>
      <c r="BA3824" s="73" t="s">
        <v>355</v>
      </c>
      <c r="BB3824" s="48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357</v>
      </c>
      <c r="E3825" s="1" t="s">
        <v>347</v>
      </c>
      <c r="F3825" s="26">
        <v>4.75</v>
      </c>
      <c r="G3825" s="25" t="s">
        <v>293</v>
      </c>
      <c r="H3825" s="25"/>
      <c r="BA3825" s="73" t="s">
        <v>355</v>
      </c>
      <c r="BB3825" s="48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357</v>
      </c>
      <c r="E3826" s="1" t="s">
        <v>128</v>
      </c>
      <c r="F3826" s="26">
        <v>4.4000000000000004</v>
      </c>
      <c r="G3826" s="25" t="s">
        <v>293</v>
      </c>
      <c r="H3826" s="25"/>
      <c r="BA3826" s="73" t="s">
        <v>355</v>
      </c>
      <c r="BB3826" s="48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357</v>
      </c>
      <c r="E3827" s="1" t="s">
        <v>121</v>
      </c>
      <c r="F3827" s="26">
        <v>77</v>
      </c>
      <c r="G3827" s="25" t="s">
        <v>293</v>
      </c>
      <c r="H3827" s="25"/>
      <c r="BA3827" s="73" t="s">
        <v>355</v>
      </c>
      <c r="BB3827" s="48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357</v>
      </c>
      <c r="E3828" s="1" t="s">
        <v>115</v>
      </c>
      <c r="F3828" s="26">
        <v>94</v>
      </c>
      <c r="G3828" s="25" t="s">
        <v>293</v>
      </c>
      <c r="H3828" s="25"/>
      <c r="BA3828" s="73" t="s">
        <v>355</v>
      </c>
      <c r="BB3828" s="48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357</v>
      </c>
      <c r="E3829" s="1" t="s">
        <v>137</v>
      </c>
      <c r="F3829" s="26">
        <v>485</v>
      </c>
      <c r="G3829" s="25" t="s">
        <v>293</v>
      </c>
      <c r="H3829" s="25"/>
      <c r="BA3829" s="73" t="s">
        <v>355</v>
      </c>
      <c r="BB3829" s="48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357</v>
      </c>
      <c r="E3830" s="1" t="s">
        <v>348</v>
      </c>
      <c r="F3830" s="26">
        <v>432</v>
      </c>
      <c r="G3830" s="25" t="s">
        <v>293</v>
      </c>
      <c r="H3830" s="25"/>
      <c r="BA3830" s="73" t="s">
        <v>355</v>
      </c>
      <c r="BB3830" s="48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357</v>
      </c>
      <c r="E3831" s="1" t="s">
        <v>125</v>
      </c>
      <c r="F3831" s="26">
        <v>407</v>
      </c>
      <c r="G3831" s="25" t="s">
        <v>293</v>
      </c>
      <c r="H3831" s="25"/>
      <c r="BA3831" s="73" t="s">
        <v>355</v>
      </c>
      <c r="BB3831" s="48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357</v>
      </c>
      <c r="E3832" s="1" t="s">
        <v>126</v>
      </c>
      <c r="F3832" s="26">
        <v>153</v>
      </c>
      <c r="G3832" s="25" t="s">
        <v>293</v>
      </c>
      <c r="H3832" s="25"/>
      <c r="BA3832" s="73" t="s">
        <v>355</v>
      </c>
      <c r="BB3832" s="48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357</v>
      </c>
      <c r="E3833" s="1" t="s">
        <v>349</v>
      </c>
      <c r="F3833" s="26">
        <v>360</v>
      </c>
      <c r="G3833" s="25" t="s">
        <v>293</v>
      </c>
      <c r="H3833" s="25"/>
      <c r="BA3833" s="73" t="s">
        <v>355</v>
      </c>
      <c r="BB3833" s="48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357</v>
      </c>
      <c r="E3834" s="1" t="s">
        <v>350</v>
      </c>
      <c r="F3834" s="26">
        <v>89</v>
      </c>
      <c r="G3834" s="25" t="s">
        <v>293</v>
      </c>
      <c r="H3834" s="25"/>
      <c r="BA3834" s="73" t="s">
        <v>355</v>
      </c>
      <c r="BB3834" s="48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357</v>
      </c>
      <c r="E3835" s="1" t="s">
        <v>122</v>
      </c>
      <c r="F3835" s="26">
        <v>215</v>
      </c>
      <c r="G3835" s="25" t="s">
        <v>293</v>
      </c>
      <c r="H3835" s="25"/>
      <c r="BA3835" s="73" t="s">
        <v>355</v>
      </c>
      <c r="BB3835" s="48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357</v>
      </c>
      <c r="E3836" s="1" t="s">
        <v>124</v>
      </c>
      <c r="F3836" s="26">
        <v>109</v>
      </c>
      <c r="G3836" s="25" t="s">
        <v>293</v>
      </c>
      <c r="H3836" s="25"/>
      <c r="BA3836" s="73" t="s">
        <v>355</v>
      </c>
      <c r="BB3836" s="48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357</v>
      </c>
      <c r="E3837" s="1" t="s">
        <v>351</v>
      </c>
      <c r="F3837" s="26">
        <v>3.6</v>
      </c>
      <c r="G3837" s="25" t="s">
        <v>293</v>
      </c>
      <c r="H3837" s="25"/>
      <c r="BA3837" s="73" t="s">
        <v>355</v>
      </c>
      <c r="BB3837" s="48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357</v>
      </c>
      <c r="E3838" s="1" t="s">
        <v>353</v>
      </c>
      <c r="F3838" s="26">
        <v>18.5</v>
      </c>
      <c r="G3838" s="25" t="s">
        <v>293</v>
      </c>
      <c r="H3838" s="25"/>
      <c r="BA3838" s="73" t="s">
        <v>355</v>
      </c>
      <c r="BB3838" s="48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357</v>
      </c>
      <c r="E3839" s="1" t="s">
        <v>133</v>
      </c>
      <c r="F3839" s="26">
        <v>127</v>
      </c>
      <c r="G3839" s="25" t="s">
        <v>293</v>
      </c>
      <c r="H3839" s="25"/>
      <c r="BA3839" s="73" t="s">
        <v>355</v>
      </c>
      <c r="BB3839" s="48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357</v>
      </c>
      <c r="E3840" s="1" t="s">
        <v>135</v>
      </c>
      <c r="F3840" s="26">
        <v>6.5</v>
      </c>
      <c r="G3840" s="25" t="s">
        <v>293</v>
      </c>
      <c r="H3840" s="25"/>
      <c r="BA3840" s="73" t="s">
        <v>355</v>
      </c>
      <c r="BB3840" s="48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357</v>
      </c>
      <c r="E3841" s="1" t="s">
        <v>136</v>
      </c>
      <c r="F3841" s="26">
        <v>94</v>
      </c>
      <c r="G3841" s="25" t="s">
        <v>293</v>
      </c>
      <c r="H3841" s="25"/>
      <c r="BA3841" s="73" t="s">
        <v>355</v>
      </c>
      <c r="BB3841" s="48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357</v>
      </c>
      <c r="E3842" s="1" t="s">
        <v>339</v>
      </c>
      <c r="F3842" s="26">
        <v>1.1200000000000001</v>
      </c>
      <c r="G3842" s="25" t="s">
        <v>293</v>
      </c>
      <c r="H3842" s="25"/>
      <c r="BA3842" s="73" t="s">
        <v>355</v>
      </c>
      <c r="BB3842" s="48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357</v>
      </c>
      <c r="E3843" s="1" t="s">
        <v>118</v>
      </c>
      <c r="F3843" s="26">
        <v>9.8000000000000007</v>
      </c>
      <c r="G3843" s="25" t="s">
        <v>293</v>
      </c>
      <c r="H3843" s="25"/>
      <c r="BA3843" s="73" t="s">
        <v>355</v>
      </c>
      <c r="BB3843" s="48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357</v>
      </c>
      <c r="E3844" s="1" t="s">
        <v>130</v>
      </c>
      <c r="F3844" s="26">
        <v>2.4300000000000002</v>
      </c>
      <c r="G3844" s="25" t="s">
        <v>293</v>
      </c>
      <c r="H3844" s="25"/>
      <c r="BA3844" s="73" t="s">
        <v>355</v>
      </c>
      <c r="BB3844" s="48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357</v>
      </c>
      <c r="E3845" s="1" t="s">
        <v>341</v>
      </c>
      <c r="F3845" s="26">
        <v>1.07</v>
      </c>
      <c r="G3845" s="25" t="s">
        <v>293</v>
      </c>
      <c r="H3845" s="25"/>
      <c r="BA3845" s="73" t="s">
        <v>355</v>
      </c>
      <c r="BB3845" s="48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357</v>
      </c>
      <c r="E3846" s="1" t="s">
        <v>127</v>
      </c>
      <c r="F3846" s="26">
        <v>4.6100000000000003</v>
      </c>
      <c r="G3846" s="25" t="s">
        <v>293</v>
      </c>
      <c r="H3846" s="25"/>
      <c r="BA3846" s="73" t="s">
        <v>355</v>
      </c>
      <c r="BB3846" s="48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357</v>
      </c>
      <c r="E3847" s="1" t="s">
        <v>131</v>
      </c>
      <c r="F3847" s="26">
        <v>12.4</v>
      </c>
      <c r="G3847" s="25" t="s">
        <v>293</v>
      </c>
      <c r="H3847" s="25"/>
      <c r="BA3847" s="73" t="s">
        <v>355</v>
      </c>
      <c r="BB3847" s="48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357</v>
      </c>
      <c r="E3848" s="1" t="s">
        <v>342</v>
      </c>
      <c r="F3848" s="26">
        <v>192</v>
      </c>
      <c r="G3848" s="25" t="s">
        <v>293</v>
      </c>
      <c r="H3848" s="25"/>
      <c r="BA3848" s="73" t="s">
        <v>355</v>
      </c>
      <c r="BB3848" s="48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357</v>
      </c>
      <c r="E3849" s="1" t="s">
        <v>119</v>
      </c>
      <c r="F3849" s="26">
        <v>93</v>
      </c>
      <c r="G3849" s="25" t="s">
        <v>293</v>
      </c>
      <c r="H3849" s="25"/>
      <c r="BA3849" s="73" t="s">
        <v>355</v>
      </c>
      <c r="BB3849" s="48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357</v>
      </c>
      <c r="E3850" s="1" t="s">
        <v>120</v>
      </c>
      <c r="F3850" s="26">
        <v>27</v>
      </c>
      <c r="G3850" s="25" t="s">
        <v>293</v>
      </c>
      <c r="H3850" s="25"/>
      <c r="BA3850" s="73" t="s">
        <v>355</v>
      </c>
      <c r="BB3850" s="48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357</v>
      </c>
      <c r="E3851" s="1" t="s">
        <v>117</v>
      </c>
      <c r="F3851" s="26">
        <v>6.45</v>
      </c>
      <c r="G3851" s="25" t="s">
        <v>293</v>
      </c>
      <c r="H3851" s="25"/>
      <c r="BA3851" s="73" t="s">
        <v>355</v>
      </c>
      <c r="BB3851" s="48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357</v>
      </c>
      <c r="E3852" s="1" t="s">
        <v>344</v>
      </c>
      <c r="F3852" s="26">
        <v>70</v>
      </c>
      <c r="G3852" s="25" t="s">
        <v>293</v>
      </c>
      <c r="H3852" s="25"/>
      <c r="BA3852" s="73" t="s">
        <v>355</v>
      </c>
      <c r="BB3852" s="48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357</v>
      </c>
      <c r="E3853" s="1" t="s">
        <v>132</v>
      </c>
      <c r="F3853" s="26">
        <v>7.31</v>
      </c>
      <c r="G3853" s="25" t="s">
        <v>293</v>
      </c>
      <c r="H3853" s="25"/>
      <c r="BA3853" s="73" t="s">
        <v>355</v>
      </c>
      <c r="BB3853" s="48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357</v>
      </c>
      <c r="E3854" s="1" t="s">
        <v>111</v>
      </c>
      <c r="F3854" s="26">
        <v>288</v>
      </c>
      <c r="G3854" s="25" t="s">
        <v>293</v>
      </c>
      <c r="H3854" s="25"/>
      <c r="BA3854" s="73" t="s">
        <v>355</v>
      </c>
      <c r="BB3854" s="48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357</v>
      </c>
      <c r="E3855" s="1" t="s">
        <v>345</v>
      </c>
      <c r="F3855" s="26">
        <v>9.89</v>
      </c>
      <c r="G3855" s="25" t="s">
        <v>293</v>
      </c>
      <c r="H3855" s="25"/>
      <c r="BA3855" s="73" t="s">
        <v>355</v>
      </c>
      <c r="BB3855" s="48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357</v>
      </c>
      <c r="E3856" s="1" t="s">
        <v>347</v>
      </c>
      <c r="F3856" s="26">
        <v>5.01</v>
      </c>
      <c r="G3856" s="25" t="s">
        <v>293</v>
      </c>
      <c r="H3856" s="25"/>
      <c r="BA3856" s="73" t="s">
        <v>355</v>
      </c>
      <c r="BB3856" s="48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357</v>
      </c>
      <c r="E3857" s="1" t="s">
        <v>128</v>
      </c>
      <c r="F3857" s="26">
        <v>4.4000000000000004</v>
      </c>
      <c r="G3857" s="25" t="s">
        <v>293</v>
      </c>
      <c r="H3857" s="25"/>
      <c r="BA3857" s="73" t="s">
        <v>355</v>
      </c>
      <c r="BB3857" s="48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357</v>
      </c>
      <c r="E3858" s="1" t="s">
        <v>121</v>
      </c>
      <c r="F3858" s="26">
        <v>82</v>
      </c>
      <c r="G3858" s="25" t="s">
        <v>293</v>
      </c>
      <c r="H3858" s="25"/>
      <c r="BA3858" s="73" t="s">
        <v>355</v>
      </c>
      <c r="BB3858" s="48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357</v>
      </c>
      <c r="E3859" s="1" t="s">
        <v>115</v>
      </c>
      <c r="F3859" s="26">
        <v>94</v>
      </c>
      <c r="G3859" s="25" t="s">
        <v>293</v>
      </c>
      <c r="H3859" s="25"/>
      <c r="BA3859" s="73" t="s">
        <v>355</v>
      </c>
      <c r="BB3859" s="48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357</v>
      </c>
      <c r="E3860" s="1" t="s">
        <v>137</v>
      </c>
      <c r="F3860" s="26">
        <v>486</v>
      </c>
      <c r="G3860" s="25" t="s">
        <v>293</v>
      </c>
      <c r="H3860" s="25"/>
      <c r="BA3860" s="73" t="s">
        <v>355</v>
      </c>
      <c r="BB3860" s="48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357</v>
      </c>
      <c r="E3861" s="1" t="s">
        <v>348</v>
      </c>
      <c r="F3861" s="26">
        <v>433</v>
      </c>
      <c r="G3861" s="25" t="s">
        <v>293</v>
      </c>
      <c r="H3861" s="25"/>
      <c r="BA3861" s="73" t="s">
        <v>355</v>
      </c>
      <c r="BB3861" s="48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357</v>
      </c>
      <c r="E3862" s="1" t="s">
        <v>125</v>
      </c>
      <c r="F3862" s="26">
        <v>438</v>
      </c>
      <c r="G3862" s="25" t="s">
        <v>293</v>
      </c>
      <c r="H3862" s="25"/>
      <c r="BA3862" s="73" t="s">
        <v>355</v>
      </c>
      <c r="BB3862" s="48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357</v>
      </c>
      <c r="E3863" s="1" t="s">
        <v>126</v>
      </c>
      <c r="F3863" s="26">
        <v>157</v>
      </c>
      <c r="G3863" s="25" t="s">
        <v>293</v>
      </c>
      <c r="H3863" s="25"/>
      <c r="BA3863" s="73" t="s">
        <v>355</v>
      </c>
      <c r="BB3863" s="48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357</v>
      </c>
      <c r="E3864" s="1" t="s">
        <v>349</v>
      </c>
      <c r="F3864" s="26">
        <v>395</v>
      </c>
      <c r="G3864" s="25" t="s">
        <v>293</v>
      </c>
      <c r="H3864" s="25"/>
      <c r="BA3864" s="73" t="s">
        <v>355</v>
      </c>
      <c r="BB3864" s="48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357</v>
      </c>
      <c r="E3865" s="1" t="s">
        <v>350</v>
      </c>
      <c r="F3865" s="26">
        <v>90</v>
      </c>
      <c r="G3865" s="25" t="s">
        <v>293</v>
      </c>
      <c r="H3865" s="25"/>
      <c r="BA3865" s="73" t="s">
        <v>355</v>
      </c>
      <c r="BB3865" s="48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357</v>
      </c>
      <c r="E3866" s="1" t="s">
        <v>122</v>
      </c>
      <c r="F3866" s="26">
        <v>220</v>
      </c>
      <c r="G3866" s="25" t="s">
        <v>293</v>
      </c>
      <c r="H3866" s="25"/>
      <c r="BA3866" s="73" t="s">
        <v>355</v>
      </c>
      <c r="BB3866" s="48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357</v>
      </c>
      <c r="E3867" s="1" t="s">
        <v>124</v>
      </c>
      <c r="F3867" s="26">
        <v>105</v>
      </c>
      <c r="G3867" s="25" t="s">
        <v>293</v>
      </c>
      <c r="H3867" s="25"/>
      <c r="BA3867" s="73" t="s">
        <v>355</v>
      </c>
      <c r="BB3867" s="48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357</v>
      </c>
      <c r="E3868" s="1" t="s">
        <v>351</v>
      </c>
      <c r="F3868" s="26">
        <v>3.61</v>
      </c>
      <c r="G3868" s="25" t="s">
        <v>293</v>
      </c>
      <c r="H3868" s="25"/>
      <c r="BA3868" s="73" t="s">
        <v>355</v>
      </c>
      <c r="BB3868" s="48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357</v>
      </c>
      <c r="E3869" s="1" t="s">
        <v>353</v>
      </c>
      <c r="F3869" s="26">
        <v>16.2</v>
      </c>
      <c r="G3869" s="25" t="s">
        <v>293</v>
      </c>
      <c r="H3869" s="25"/>
      <c r="BA3869" s="73" t="s">
        <v>355</v>
      </c>
      <c r="BB3869" s="48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357</v>
      </c>
      <c r="E3870" s="1" t="s">
        <v>133</v>
      </c>
      <c r="F3870" s="26">
        <v>129</v>
      </c>
      <c r="G3870" s="25" t="s">
        <v>293</v>
      </c>
      <c r="H3870" s="25"/>
      <c r="BA3870" s="73" t="s">
        <v>355</v>
      </c>
      <c r="BB3870" s="48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357</v>
      </c>
      <c r="E3871" s="1" t="s">
        <v>135</v>
      </c>
      <c r="F3871" s="26">
        <v>6.7</v>
      </c>
      <c r="G3871" s="25" t="s">
        <v>293</v>
      </c>
      <c r="H3871" s="25"/>
      <c r="BA3871" s="73" t="s">
        <v>355</v>
      </c>
      <c r="BB3871" s="48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357</v>
      </c>
      <c r="E3872" s="1" t="s">
        <v>136</v>
      </c>
      <c r="F3872" s="26">
        <v>95</v>
      </c>
      <c r="G3872" s="25" t="s">
        <v>293</v>
      </c>
      <c r="H3872" s="25"/>
      <c r="BA3872" s="73" t="s">
        <v>355</v>
      </c>
      <c r="BB3872" s="48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357</v>
      </c>
      <c r="E3873" s="1" t="s">
        <v>339</v>
      </c>
      <c r="F3873" s="26">
        <v>1.17</v>
      </c>
      <c r="G3873" s="25" t="s">
        <v>293</v>
      </c>
      <c r="H3873" s="25"/>
      <c r="BA3873" s="73" t="s">
        <v>355</v>
      </c>
      <c r="BB3873" s="48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357</v>
      </c>
      <c r="E3874" s="1" t="s">
        <v>118</v>
      </c>
      <c r="F3874" s="26">
        <v>9.6999999999999993</v>
      </c>
      <c r="G3874" s="25" t="s">
        <v>293</v>
      </c>
      <c r="H3874" s="25"/>
      <c r="BA3874" s="73" t="s">
        <v>355</v>
      </c>
      <c r="BB3874" s="48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357</v>
      </c>
      <c r="E3875" s="1" t="s">
        <v>130</v>
      </c>
      <c r="F3875" s="26">
        <v>2.44</v>
      </c>
      <c r="G3875" s="25" t="s">
        <v>293</v>
      </c>
      <c r="H3875" s="25"/>
      <c r="BA3875" s="73" t="s">
        <v>355</v>
      </c>
      <c r="BB3875" s="48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357</v>
      </c>
      <c r="E3876" s="1" t="s">
        <v>341</v>
      </c>
      <c r="F3876" s="26">
        <v>1.07</v>
      </c>
      <c r="G3876" s="25" t="s">
        <v>293</v>
      </c>
      <c r="H3876" s="25"/>
      <c r="BA3876" s="73" t="s">
        <v>355</v>
      </c>
      <c r="BB3876" s="48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357</v>
      </c>
      <c r="E3877" s="1" t="s">
        <v>127</v>
      </c>
      <c r="F3877" s="26">
        <v>4.62</v>
      </c>
      <c r="G3877" s="25" t="s">
        <v>293</v>
      </c>
      <c r="H3877" s="25"/>
      <c r="BA3877" s="73" t="s">
        <v>355</v>
      </c>
      <c r="BB3877" s="48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357</v>
      </c>
      <c r="E3878" s="1" t="s">
        <v>131</v>
      </c>
      <c r="F3878" s="26">
        <v>12.3</v>
      </c>
      <c r="G3878" s="25" t="s">
        <v>293</v>
      </c>
      <c r="H3878" s="25"/>
      <c r="BA3878" s="73" t="s">
        <v>355</v>
      </c>
      <c r="BB3878" s="48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357</v>
      </c>
      <c r="E3879" s="1" t="s">
        <v>342</v>
      </c>
      <c r="F3879" s="26">
        <v>200</v>
      </c>
      <c r="G3879" s="25" t="s">
        <v>293</v>
      </c>
      <c r="H3879" s="25"/>
      <c r="BA3879" s="73" t="s">
        <v>355</v>
      </c>
      <c r="BB3879" s="48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357</v>
      </c>
      <c r="E3880" s="1" t="s">
        <v>119</v>
      </c>
      <c r="F3880" s="26">
        <v>89</v>
      </c>
      <c r="G3880" s="25" t="s">
        <v>293</v>
      </c>
      <c r="H3880" s="25"/>
      <c r="BA3880" s="73" t="s">
        <v>355</v>
      </c>
      <c r="BB3880" s="48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357</v>
      </c>
      <c r="E3881" s="1" t="s">
        <v>120</v>
      </c>
      <c r="F3881" s="26">
        <v>27</v>
      </c>
      <c r="G3881" s="25" t="s">
        <v>293</v>
      </c>
      <c r="H3881" s="25"/>
      <c r="BA3881" s="73" t="s">
        <v>355</v>
      </c>
      <c r="BB3881" s="48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357</v>
      </c>
      <c r="E3882" s="1" t="s">
        <v>117</v>
      </c>
      <c r="F3882" s="26">
        <v>6.34</v>
      </c>
      <c r="G3882" s="25" t="s">
        <v>293</v>
      </c>
      <c r="H3882" s="25"/>
      <c r="BA3882" s="73" t="s">
        <v>355</v>
      </c>
      <c r="BB3882" s="48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357</v>
      </c>
      <c r="E3883" s="1" t="s">
        <v>344</v>
      </c>
      <c r="F3883" s="26">
        <v>70</v>
      </c>
      <c r="G3883" s="25" t="s">
        <v>293</v>
      </c>
      <c r="H3883" s="25"/>
      <c r="BA3883" s="73" t="s">
        <v>355</v>
      </c>
      <c r="BB3883" s="48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357</v>
      </c>
      <c r="E3884" s="1" t="s">
        <v>132</v>
      </c>
      <c r="F3884" s="26">
        <v>7.15</v>
      </c>
      <c r="G3884" s="25" t="s">
        <v>293</v>
      </c>
      <c r="H3884" s="25"/>
      <c r="BA3884" s="73" t="s">
        <v>355</v>
      </c>
      <c r="BB3884" s="48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357</v>
      </c>
      <c r="E3885" s="1" t="s">
        <v>111</v>
      </c>
      <c r="F3885" s="26">
        <v>286</v>
      </c>
      <c r="G3885" s="25" t="s">
        <v>293</v>
      </c>
      <c r="H3885" s="25"/>
      <c r="BA3885" s="73" t="s">
        <v>355</v>
      </c>
      <c r="BB3885" s="48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357</v>
      </c>
      <c r="E3886" s="1" t="s">
        <v>345</v>
      </c>
      <c r="F3886" s="26">
        <v>9.9</v>
      </c>
      <c r="G3886" s="25" t="s">
        <v>293</v>
      </c>
      <c r="H3886" s="25"/>
      <c r="BA3886" s="73" t="s">
        <v>355</v>
      </c>
      <c r="BB3886" s="48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357</v>
      </c>
      <c r="E3887" s="1" t="s">
        <v>347</v>
      </c>
      <c r="F3887" s="26">
        <v>5.01</v>
      </c>
      <c r="G3887" s="25" t="s">
        <v>293</v>
      </c>
      <c r="H3887" s="25"/>
      <c r="BA3887" s="73" t="s">
        <v>355</v>
      </c>
      <c r="BB3887" s="48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357</v>
      </c>
      <c r="E3888" s="1" t="s">
        <v>128</v>
      </c>
      <c r="F3888" s="26">
        <v>4.4000000000000004</v>
      </c>
      <c r="G3888" s="25" t="s">
        <v>293</v>
      </c>
      <c r="H3888" s="25"/>
      <c r="BA3888" s="73" t="s">
        <v>355</v>
      </c>
      <c r="BB3888" s="48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357</v>
      </c>
      <c r="E3889" s="1" t="s">
        <v>121</v>
      </c>
      <c r="F3889" s="26">
        <v>81</v>
      </c>
      <c r="G3889" s="25" t="s">
        <v>293</v>
      </c>
      <c r="H3889" s="25"/>
      <c r="BA3889" s="73" t="s">
        <v>355</v>
      </c>
      <c r="BB3889" s="48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357</v>
      </c>
      <c r="E3890" s="1" t="s">
        <v>115</v>
      </c>
      <c r="F3890" s="26">
        <v>94</v>
      </c>
      <c r="G3890" s="25" t="s">
        <v>293</v>
      </c>
      <c r="H3890" s="25"/>
      <c r="BA3890" s="73" t="s">
        <v>355</v>
      </c>
      <c r="BB3890" s="48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357</v>
      </c>
      <c r="E3891" s="1" t="s">
        <v>137</v>
      </c>
      <c r="F3891" s="26">
        <v>479</v>
      </c>
      <c r="G3891" s="25" t="s">
        <v>293</v>
      </c>
      <c r="H3891" s="25"/>
      <c r="BA3891" s="73" t="s">
        <v>355</v>
      </c>
      <c r="BB3891" s="48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357</v>
      </c>
      <c r="E3892" s="1" t="s">
        <v>348</v>
      </c>
      <c r="F3892" s="26">
        <v>430</v>
      </c>
      <c r="G3892" s="25" t="s">
        <v>293</v>
      </c>
      <c r="H3892" s="25"/>
      <c r="BA3892" s="73" t="s">
        <v>355</v>
      </c>
      <c r="BB3892" s="48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357</v>
      </c>
      <c r="E3893" s="1" t="s">
        <v>125</v>
      </c>
      <c r="F3893" s="26">
        <v>435</v>
      </c>
      <c r="G3893" s="25" t="s">
        <v>293</v>
      </c>
      <c r="H3893" s="25"/>
      <c r="BA3893" s="73" t="s">
        <v>355</v>
      </c>
      <c r="BB3893" s="48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357</v>
      </c>
      <c r="E3894" s="1" t="s">
        <v>126</v>
      </c>
      <c r="F3894" s="26">
        <v>152</v>
      </c>
      <c r="G3894" s="25" t="s">
        <v>293</v>
      </c>
      <c r="H3894" s="25"/>
      <c r="BA3894" s="73" t="s">
        <v>355</v>
      </c>
      <c r="BB3894" s="48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357</v>
      </c>
      <c r="E3895" s="1" t="s">
        <v>349</v>
      </c>
      <c r="F3895" s="26">
        <v>372</v>
      </c>
      <c r="G3895" s="25" t="s">
        <v>293</v>
      </c>
      <c r="H3895" s="25"/>
      <c r="BA3895" s="73" t="s">
        <v>355</v>
      </c>
      <c r="BB3895" s="48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357</v>
      </c>
      <c r="E3896" s="1" t="s">
        <v>350</v>
      </c>
      <c r="F3896" s="26">
        <v>90</v>
      </c>
      <c r="G3896" s="25" t="s">
        <v>293</v>
      </c>
      <c r="H3896" s="25"/>
      <c r="BA3896" s="73" t="s">
        <v>355</v>
      </c>
      <c r="BB3896" s="48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357</v>
      </c>
      <c r="E3897" s="1" t="s">
        <v>122</v>
      </c>
      <c r="F3897" s="26">
        <v>216</v>
      </c>
      <c r="G3897" s="25" t="s">
        <v>293</v>
      </c>
      <c r="H3897" s="25"/>
      <c r="BA3897" s="73" t="s">
        <v>355</v>
      </c>
      <c r="BB3897" s="48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357</v>
      </c>
      <c r="E3898" s="1" t="s">
        <v>124</v>
      </c>
      <c r="F3898" s="26">
        <v>104</v>
      </c>
      <c r="G3898" s="25" t="s">
        <v>293</v>
      </c>
      <c r="H3898" s="25"/>
      <c r="BA3898" s="73" t="s">
        <v>355</v>
      </c>
      <c r="BB3898" s="48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357</v>
      </c>
      <c r="E3899" s="1" t="s">
        <v>351</v>
      </c>
      <c r="F3899" s="26">
        <v>3.58</v>
      </c>
      <c r="G3899" s="25" t="s">
        <v>293</v>
      </c>
      <c r="H3899" s="25"/>
      <c r="BA3899" s="73" t="s">
        <v>355</v>
      </c>
      <c r="BB3899" s="48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357</v>
      </c>
      <c r="E3900" s="1" t="s">
        <v>353</v>
      </c>
      <c r="F3900" s="26">
        <v>20.9</v>
      </c>
      <c r="G3900" s="25" t="s">
        <v>293</v>
      </c>
      <c r="H3900" s="25"/>
      <c r="BA3900" s="73" t="s">
        <v>355</v>
      </c>
      <c r="BB3900" s="48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357</v>
      </c>
      <c r="E3901" s="1" t="s">
        <v>133</v>
      </c>
      <c r="F3901" s="26">
        <v>128</v>
      </c>
      <c r="G3901" s="25" t="s">
        <v>293</v>
      </c>
      <c r="H3901" s="25"/>
      <c r="BA3901" s="73" t="s">
        <v>355</v>
      </c>
      <c r="BB3901" s="48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357</v>
      </c>
      <c r="E3902" s="1" t="s">
        <v>135</v>
      </c>
      <c r="F3902" s="26">
        <v>6.5</v>
      </c>
      <c r="G3902" s="25" t="s">
        <v>293</v>
      </c>
      <c r="H3902" s="25"/>
      <c r="BA3902" s="73" t="s">
        <v>355</v>
      </c>
      <c r="BB3902" s="48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357</v>
      </c>
      <c r="E3903" s="1" t="s">
        <v>136</v>
      </c>
      <c r="F3903" s="26">
        <v>96</v>
      </c>
      <c r="G3903" s="25" t="s">
        <v>293</v>
      </c>
      <c r="H3903" s="25"/>
      <c r="BA3903" s="73" t="s">
        <v>355</v>
      </c>
      <c r="BB3903" s="48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357</v>
      </c>
      <c r="E3904" s="1" t="s">
        <v>339</v>
      </c>
      <c r="F3904" s="26">
        <v>1.1299999999999999</v>
      </c>
      <c r="G3904" s="25" t="s">
        <v>293</v>
      </c>
      <c r="H3904" s="25"/>
      <c r="BA3904" s="73" t="s">
        <v>355</v>
      </c>
      <c r="BB3904" s="48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357</v>
      </c>
      <c r="E3905" s="1" t="s">
        <v>118</v>
      </c>
      <c r="F3905" s="26">
        <v>9.6</v>
      </c>
      <c r="G3905" s="25" t="s">
        <v>293</v>
      </c>
      <c r="H3905" s="25"/>
      <c r="BA3905" s="73" t="s">
        <v>355</v>
      </c>
      <c r="BB3905" s="48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357</v>
      </c>
      <c r="E3906" s="1" t="s">
        <v>130</v>
      </c>
      <c r="F3906" s="26">
        <v>2.4</v>
      </c>
      <c r="G3906" s="25" t="s">
        <v>293</v>
      </c>
      <c r="H3906" s="25"/>
      <c r="BA3906" s="73" t="s">
        <v>355</v>
      </c>
      <c r="BB3906" s="48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357</v>
      </c>
      <c r="E3907" s="1" t="s">
        <v>341</v>
      </c>
      <c r="F3907" s="26">
        <v>1.1000000000000001</v>
      </c>
      <c r="G3907" s="25" t="s">
        <v>293</v>
      </c>
      <c r="H3907" s="25"/>
      <c r="BA3907" s="73" t="s">
        <v>355</v>
      </c>
      <c r="BB3907" s="48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357</v>
      </c>
      <c r="E3908" s="1" t="s">
        <v>127</v>
      </c>
      <c r="F3908" s="26">
        <v>4.68</v>
      </c>
      <c r="G3908" s="25" t="s">
        <v>293</v>
      </c>
      <c r="H3908" s="25"/>
      <c r="BA3908" s="73" t="s">
        <v>355</v>
      </c>
      <c r="BB3908" s="48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357</v>
      </c>
      <c r="E3909" s="1" t="s">
        <v>131</v>
      </c>
      <c r="F3909" s="26">
        <v>12.2</v>
      </c>
      <c r="G3909" s="25" t="s">
        <v>293</v>
      </c>
      <c r="H3909" s="25"/>
      <c r="BA3909" s="73" t="s">
        <v>355</v>
      </c>
      <c r="BB3909" s="48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357</v>
      </c>
      <c r="E3910" s="1" t="s">
        <v>342</v>
      </c>
      <c r="F3910" s="26">
        <v>194</v>
      </c>
      <c r="G3910" s="25" t="s">
        <v>293</v>
      </c>
      <c r="H3910" s="25"/>
      <c r="BA3910" s="73" t="s">
        <v>355</v>
      </c>
      <c r="BB3910" s="48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357</v>
      </c>
      <c r="E3911" s="1" t="s">
        <v>119</v>
      </c>
      <c r="F3911" s="26">
        <v>87</v>
      </c>
      <c r="G3911" s="25" t="s">
        <v>293</v>
      </c>
      <c r="H3911" s="25"/>
      <c r="BA3911" s="73" t="s">
        <v>355</v>
      </c>
      <c r="BB3911" s="48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357</v>
      </c>
      <c r="E3912" s="1" t="s">
        <v>120</v>
      </c>
      <c r="F3912" s="26">
        <v>27</v>
      </c>
      <c r="G3912" s="25" t="s">
        <v>293</v>
      </c>
      <c r="H3912" s="25"/>
      <c r="BA3912" s="73" t="s">
        <v>355</v>
      </c>
      <c r="BB3912" s="48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357</v>
      </c>
      <c r="E3913" s="1" t="s">
        <v>117</v>
      </c>
      <c r="F3913" s="26">
        <v>6.22</v>
      </c>
      <c r="G3913" s="25" t="s">
        <v>293</v>
      </c>
      <c r="H3913" s="25"/>
      <c r="BA3913" s="73" t="s">
        <v>355</v>
      </c>
      <c r="BB3913" s="48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357</v>
      </c>
      <c r="E3914" s="1" t="s">
        <v>344</v>
      </c>
      <c r="F3914" s="26">
        <v>68</v>
      </c>
      <c r="G3914" s="25" t="s">
        <v>293</v>
      </c>
      <c r="H3914" s="25"/>
      <c r="BA3914" s="73" t="s">
        <v>355</v>
      </c>
      <c r="BB3914" s="48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357</v>
      </c>
      <c r="E3915" s="1" t="s">
        <v>132</v>
      </c>
      <c r="F3915" s="26">
        <v>7.14</v>
      </c>
      <c r="G3915" s="25" t="s">
        <v>293</v>
      </c>
      <c r="H3915" s="25"/>
      <c r="BA3915" s="73" t="s">
        <v>355</v>
      </c>
      <c r="BB3915" s="48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357</v>
      </c>
      <c r="E3916" s="1" t="s">
        <v>111</v>
      </c>
      <c r="F3916" s="26">
        <v>279</v>
      </c>
      <c r="G3916" s="25" t="s">
        <v>293</v>
      </c>
      <c r="H3916" s="25"/>
      <c r="BA3916" s="73" t="s">
        <v>355</v>
      </c>
      <c r="BB3916" s="48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357</v>
      </c>
      <c r="E3917" s="1" t="s">
        <v>345</v>
      </c>
      <c r="F3917" s="26">
        <v>9.8699999999999992</v>
      </c>
      <c r="G3917" s="25" t="s">
        <v>293</v>
      </c>
      <c r="H3917" s="25"/>
      <c r="BA3917" s="73" t="s">
        <v>355</v>
      </c>
      <c r="BB3917" s="48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357</v>
      </c>
      <c r="E3918" s="1" t="s">
        <v>347</v>
      </c>
      <c r="F3918" s="26">
        <v>5</v>
      </c>
      <c r="G3918" s="25" t="s">
        <v>293</v>
      </c>
      <c r="H3918" s="25"/>
      <c r="BA3918" s="73" t="s">
        <v>355</v>
      </c>
      <c r="BB3918" s="48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357</v>
      </c>
      <c r="E3919" s="1" t="s">
        <v>128</v>
      </c>
      <c r="F3919" s="26">
        <v>4.2</v>
      </c>
      <c r="G3919" s="25" t="s">
        <v>293</v>
      </c>
      <c r="H3919" s="25"/>
      <c r="BA3919" s="73" t="s">
        <v>355</v>
      </c>
      <c r="BB3919" s="48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357</v>
      </c>
      <c r="E3920" s="1" t="s">
        <v>121</v>
      </c>
      <c r="F3920" s="26">
        <v>80</v>
      </c>
      <c r="G3920" s="25" t="s">
        <v>293</v>
      </c>
      <c r="H3920" s="25"/>
      <c r="BA3920" s="73" t="s">
        <v>355</v>
      </c>
      <c r="BB3920" s="48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357</v>
      </c>
      <c r="E3921" s="1" t="s">
        <v>115</v>
      </c>
      <c r="F3921" s="26">
        <v>97</v>
      </c>
      <c r="G3921" s="25" t="s">
        <v>293</v>
      </c>
      <c r="H3921" s="25"/>
      <c r="BA3921" s="73" t="s">
        <v>355</v>
      </c>
      <c r="BB3921" s="48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357</v>
      </c>
      <c r="E3922" s="1" t="s">
        <v>137</v>
      </c>
      <c r="F3922" s="26">
        <v>485</v>
      </c>
      <c r="G3922" s="25" t="s">
        <v>293</v>
      </c>
      <c r="H3922" s="25"/>
      <c r="BA3922" s="73" t="s">
        <v>355</v>
      </c>
      <c r="BB3922" s="48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357</v>
      </c>
      <c r="E3923" s="1" t="s">
        <v>348</v>
      </c>
      <c r="F3923" s="26">
        <v>437</v>
      </c>
      <c r="G3923" s="25" t="s">
        <v>293</v>
      </c>
      <c r="H3923" s="25"/>
      <c r="BA3923" s="73" t="s">
        <v>355</v>
      </c>
      <c r="BB3923" s="48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357</v>
      </c>
      <c r="E3924" s="1" t="s">
        <v>125</v>
      </c>
      <c r="F3924" s="26">
        <v>420</v>
      </c>
      <c r="G3924" s="25" t="s">
        <v>293</v>
      </c>
      <c r="H3924" s="25"/>
      <c r="BA3924" s="73" t="s">
        <v>355</v>
      </c>
      <c r="BB3924" s="48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357</v>
      </c>
      <c r="E3925" s="1" t="s">
        <v>126</v>
      </c>
      <c r="F3925" s="26">
        <v>154</v>
      </c>
      <c r="G3925" s="25" t="s">
        <v>293</v>
      </c>
      <c r="H3925" s="25"/>
      <c r="BA3925" s="73" t="s">
        <v>355</v>
      </c>
      <c r="BB3925" s="48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357</v>
      </c>
      <c r="E3926" s="1" t="s">
        <v>349</v>
      </c>
      <c r="F3926" s="26">
        <v>365</v>
      </c>
      <c r="G3926" s="25" t="s">
        <v>293</v>
      </c>
      <c r="H3926" s="25"/>
      <c r="BA3926" s="73" t="s">
        <v>355</v>
      </c>
      <c r="BB3926" s="48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357</v>
      </c>
      <c r="E3927" s="1" t="s">
        <v>350</v>
      </c>
      <c r="F3927" s="26">
        <v>89</v>
      </c>
      <c r="G3927" s="25" t="s">
        <v>293</v>
      </c>
      <c r="H3927" s="25"/>
      <c r="BA3927" s="73" t="s">
        <v>355</v>
      </c>
      <c r="BB3927" s="48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357</v>
      </c>
      <c r="E3928" s="1" t="s">
        <v>122</v>
      </c>
      <c r="F3928" s="26">
        <v>217</v>
      </c>
      <c r="G3928" s="25" t="s">
        <v>293</v>
      </c>
      <c r="H3928" s="25"/>
      <c r="BA3928" s="73" t="s">
        <v>355</v>
      </c>
      <c r="BB3928" s="48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357</v>
      </c>
      <c r="E3929" s="1" t="s">
        <v>124</v>
      </c>
      <c r="F3929" s="26">
        <v>106</v>
      </c>
      <c r="G3929" s="25" t="s">
        <v>293</v>
      </c>
      <c r="H3929" s="25"/>
      <c r="BA3929" s="73" t="s">
        <v>355</v>
      </c>
      <c r="BB3929" s="48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357</v>
      </c>
      <c r="E3930" s="1" t="s">
        <v>351</v>
      </c>
      <c r="F3930" s="26">
        <v>3.62</v>
      </c>
      <c r="G3930" s="25" t="s">
        <v>293</v>
      </c>
      <c r="H3930" s="25"/>
      <c r="BA3930" s="73" t="s">
        <v>355</v>
      </c>
      <c r="BB3930" s="48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357</v>
      </c>
      <c r="E3931" s="1" t="s">
        <v>353</v>
      </c>
      <c r="F3931" s="26">
        <v>17.600000000000001</v>
      </c>
      <c r="G3931" s="25" t="s">
        <v>293</v>
      </c>
      <c r="H3931" s="25"/>
      <c r="BA3931" s="73" t="s">
        <v>355</v>
      </c>
      <c r="BB3931" s="48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357</v>
      </c>
      <c r="E3932" s="1" t="s">
        <v>133</v>
      </c>
      <c r="F3932" s="26">
        <v>127</v>
      </c>
      <c r="G3932" s="25" t="s">
        <v>293</v>
      </c>
      <c r="H3932" s="25"/>
      <c r="BA3932" s="73" t="s">
        <v>355</v>
      </c>
      <c r="BB3932" s="48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357</v>
      </c>
      <c r="E3933" s="1" t="s">
        <v>135</v>
      </c>
      <c r="F3933" s="26">
        <v>6.5</v>
      </c>
      <c r="G3933" s="25" t="s">
        <v>293</v>
      </c>
      <c r="H3933" s="25"/>
      <c r="BA3933" s="73" t="s">
        <v>355</v>
      </c>
      <c r="BB3933" s="48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357</v>
      </c>
      <c r="E3934" s="1" t="s">
        <v>136</v>
      </c>
      <c r="F3934" s="26">
        <v>96</v>
      </c>
      <c r="G3934" s="25" t="s">
        <v>293</v>
      </c>
      <c r="H3934" s="25"/>
      <c r="BA3934" s="73" t="s">
        <v>355</v>
      </c>
      <c r="BB3934" s="48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357</v>
      </c>
      <c r="E3935" s="1" t="s">
        <v>339</v>
      </c>
      <c r="F3935" s="26">
        <v>1.0900000000000001</v>
      </c>
      <c r="G3935" s="25" t="s">
        <v>293</v>
      </c>
      <c r="H3935" s="25"/>
      <c r="BA3935" s="73" t="s">
        <v>355</v>
      </c>
      <c r="BB3935" s="48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357</v>
      </c>
      <c r="E3936" s="1" t="s">
        <v>118</v>
      </c>
      <c r="F3936" s="26">
        <v>9.6</v>
      </c>
      <c r="G3936" s="25" t="s">
        <v>293</v>
      </c>
      <c r="H3936" s="25"/>
      <c r="BA3936" s="73" t="s">
        <v>355</v>
      </c>
      <c r="BB3936" s="48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357</v>
      </c>
      <c r="E3937" s="1" t="s">
        <v>130</v>
      </c>
      <c r="F3937" s="26">
        <v>2.37</v>
      </c>
      <c r="G3937" s="25" t="s">
        <v>293</v>
      </c>
      <c r="H3937" s="25"/>
      <c r="BA3937" s="73" t="s">
        <v>355</v>
      </c>
      <c r="BB3937" s="48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357</v>
      </c>
      <c r="E3938" s="1" t="s">
        <v>341</v>
      </c>
      <c r="F3938" s="26">
        <v>1.07</v>
      </c>
      <c r="G3938" s="25" t="s">
        <v>293</v>
      </c>
      <c r="H3938" s="25"/>
      <c r="BA3938" s="73" t="s">
        <v>355</v>
      </c>
      <c r="BB3938" s="48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357</v>
      </c>
      <c r="E3939" s="1" t="s">
        <v>127</v>
      </c>
      <c r="F3939" s="26">
        <v>4.6500000000000004</v>
      </c>
      <c r="G3939" s="25" t="s">
        <v>293</v>
      </c>
      <c r="H3939" s="25"/>
      <c r="BA3939" s="73" t="s">
        <v>355</v>
      </c>
      <c r="BB3939" s="48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357</v>
      </c>
      <c r="E3940" s="1" t="s">
        <v>131</v>
      </c>
      <c r="F3940" s="26">
        <v>12.2</v>
      </c>
      <c r="G3940" s="25" t="s">
        <v>293</v>
      </c>
      <c r="H3940" s="25"/>
      <c r="BA3940" s="73" t="s">
        <v>355</v>
      </c>
      <c r="BB3940" s="48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357</v>
      </c>
      <c r="E3941" s="1" t="s">
        <v>342</v>
      </c>
      <c r="F3941" s="26">
        <v>187</v>
      </c>
      <c r="G3941" s="25" t="s">
        <v>293</v>
      </c>
      <c r="H3941" s="25"/>
      <c r="BA3941" s="73" t="s">
        <v>355</v>
      </c>
      <c r="BB3941" s="48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357</v>
      </c>
      <c r="E3942" s="1" t="s">
        <v>119</v>
      </c>
      <c r="F3942" s="26">
        <v>90</v>
      </c>
      <c r="G3942" s="25" t="s">
        <v>293</v>
      </c>
      <c r="H3942" s="25"/>
      <c r="BA3942" s="73" t="s">
        <v>355</v>
      </c>
      <c r="BB3942" s="48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357</v>
      </c>
      <c r="E3943" s="1" t="s">
        <v>120</v>
      </c>
      <c r="F3943" s="26">
        <v>27</v>
      </c>
      <c r="G3943" s="25" t="s">
        <v>293</v>
      </c>
      <c r="H3943" s="25"/>
      <c r="BA3943" s="73" t="s">
        <v>355</v>
      </c>
      <c r="BB3943" s="48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357</v>
      </c>
      <c r="E3944" s="1" t="s">
        <v>117</v>
      </c>
      <c r="F3944" s="26">
        <v>6.22</v>
      </c>
      <c r="G3944" s="25" t="s">
        <v>293</v>
      </c>
      <c r="H3944" s="25"/>
      <c r="BA3944" s="73" t="s">
        <v>355</v>
      </c>
      <c r="BB3944" s="48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357</v>
      </c>
      <c r="E3945" s="1" t="s">
        <v>344</v>
      </c>
      <c r="F3945" s="26">
        <v>68</v>
      </c>
      <c r="G3945" s="25" t="s">
        <v>293</v>
      </c>
      <c r="H3945" s="25"/>
      <c r="BA3945" s="73" t="s">
        <v>355</v>
      </c>
      <c r="BB3945" s="48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357</v>
      </c>
      <c r="E3946" s="1" t="s">
        <v>132</v>
      </c>
      <c r="F3946" s="26">
        <v>7.18</v>
      </c>
      <c r="G3946" s="25" t="s">
        <v>293</v>
      </c>
      <c r="H3946" s="25"/>
      <c r="BA3946" s="73" t="s">
        <v>355</v>
      </c>
      <c r="BB3946" s="48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357</v>
      </c>
      <c r="E3947" s="1" t="s">
        <v>111</v>
      </c>
      <c r="F3947" s="26">
        <v>282</v>
      </c>
      <c r="G3947" s="25" t="s">
        <v>293</v>
      </c>
      <c r="H3947" s="25"/>
      <c r="BA3947" s="73" t="s">
        <v>355</v>
      </c>
      <c r="BB3947" s="48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357</v>
      </c>
      <c r="E3948" s="1" t="s">
        <v>345</v>
      </c>
      <c r="F3948" s="26">
        <v>9.7799999999999994</v>
      </c>
      <c r="G3948" s="25" t="s">
        <v>293</v>
      </c>
      <c r="H3948" s="25"/>
      <c r="BA3948" s="73" t="s">
        <v>355</v>
      </c>
      <c r="BB3948" s="48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357</v>
      </c>
      <c r="E3949" s="1" t="s">
        <v>347</v>
      </c>
      <c r="F3949" s="26">
        <v>4.8499999999999996</v>
      </c>
      <c r="G3949" s="25" t="s">
        <v>293</v>
      </c>
      <c r="H3949" s="25"/>
      <c r="BA3949" s="73" t="s">
        <v>355</v>
      </c>
      <c r="BB3949" s="48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357</v>
      </c>
      <c r="E3950" s="1" t="s">
        <v>128</v>
      </c>
      <c r="F3950" s="26">
        <v>4.3</v>
      </c>
      <c r="G3950" s="25" t="s">
        <v>293</v>
      </c>
      <c r="H3950" s="25"/>
      <c r="BA3950" s="73" t="s">
        <v>355</v>
      </c>
      <c r="BB3950" s="48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357</v>
      </c>
      <c r="E3951" s="1" t="s">
        <v>121</v>
      </c>
      <c r="F3951" s="26">
        <v>81</v>
      </c>
      <c r="G3951" s="25" t="s">
        <v>293</v>
      </c>
      <c r="H3951" s="25"/>
      <c r="BA3951" s="73" t="s">
        <v>355</v>
      </c>
      <c r="BB3951" s="48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357</v>
      </c>
      <c r="E3952" s="1" t="s">
        <v>115</v>
      </c>
      <c r="F3952" s="26">
        <v>95</v>
      </c>
      <c r="G3952" s="25" t="s">
        <v>293</v>
      </c>
      <c r="H3952" s="25"/>
      <c r="BA3952" s="73" t="s">
        <v>355</v>
      </c>
      <c r="BB3952" s="48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357</v>
      </c>
      <c r="E3953" s="1" t="s">
        <v>137</v>
      </c>
      <c r="F3953" s="26">
        <v>477</v>
      </c>
      <c r="G3953" s="25" t="s">
        <v>293</v>
      </c>
      <c r="H3953" s="25"/>
      <c r="BA3953" s="73" t="s">
        <v>355</v>
      </c>
      <c r="BB3953" s="48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357</v>
      </c>
      <c r="E3954" s="1" t="s">
        <v>348</v>
      </c>
      <c r="F3954" s="26">
        <v>430</v>
      </c>
      <c r="G3954" s="25" t="s">
        <v>293</v>
      </c>
      <c r="H3954" s="25"/>
      <c r="BA3954" s="73" t="s">
        <v>355</v>
      </c>
      <c r="BB3954" s="48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357</v>
      </c>
      <c r="E3955" s="1" t="s">
        <v>125</v>
      </c>
      <c r="F3955" s="26">
        <v>420</v>
      </c>
      <c r="G3955" s="25" t="s">
        <v>293</v>
      </c>
      <c r="H3955" s="25"/>
      <c r="BA3955" s="73" t="s">
        <v>355</v>
      </c>
      <c r="BB3955" s="48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357</v>
      </c>
      <c r="E3956" s="1" t="s">
        <v>126</v>
      </c>
      <c r="F3956" s="26">
        <v>153</v>
      </c>
      <c r="G3956" s="25" t="s">
        <v>293</v>
      </c>
      <c r="H3956" s="25"/>
      <c r="BA3956" s="73" t="s">
        <v>355</v>
      </c>
      <c r="BB3956" s="48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357</v>
      </c>
      <c r="E3957" s="1" t="s">
        <v>349</v>
      </c>
      <c r="F3957" s="26">
        <v>383</v>
      </c>
      <c r="G3957" s="25" t="s">
        <v>293</v>
      </c>
      <c r="H3957" s="25"/>
      <c r="BA3957" s="73" t="s">
        <v>355</v>
      </c>
      <c r="BB3957" s="48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357</v>
      </c>
      <c r="E3958" s="1" t="s">
        <v>350</v>
      </c>
      <c r="F3958" s="26">
        <v>89</v>
      </c>
      <c r="G3958" s="25" t="s">
        <v>293</v>
      </c>
      <c r="H3958" s="25"/>
      <c r="BA3958" s="73" t="s">
        <v>355</v>
      </c>
      <c r="BB3958" s="48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357</v>
      </c>
      <c r="E3959" s="1" t="s">
        <v>122</v>
      </c>
      <c r="F3959" s="26">
        <v>214</v>
      </c>
      <c r="G3959" s="25" t="s">
        <v>293</v>
      </c>
      <c r="H3959" s="25"/>
      <c r="BA3959" s="73" t="s">
        <v>355</v>
      </c>
      <c r="BB3959" s="48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357</v>
      </c>
      <c r="E3960" s="1" t="s">
        <v>124</v>
      </c>
      <c r="F3960" s="26">
        <v>104</v>
      </c>
      <c r="G3960" s="25" t="s">
        <v>293</v>
      </c>
      <c r="H3960" s="25"/>
      <c r="BA3960" s="73" t="s">
        <v>355</v>
      </c>
      <c r="BB3960" s="48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357</v>
      </c>
      <c r="E3961" s="1" t="s">
        <v>351</v>
      </c>
      <c r="F3961" s="26">
        <v>3.55</v>
      </c>
      <c r="G3961" s="25" t="s">
        <v>293</v>
      </c>
      <c r="H3961" s="25"/>
      <c r="BA3961" s="73" t="s">
        <v>355</v>
      </c>
      <c r="BB3961" s="48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357</v>
      </c>
      <c r="E3962" s="1" t="s">
        <v>353</v>
      </c>
      <c r="F3962" s="26">
        <v>18.600000000000001</v>
      </c>
      <c r="G3962" s="25" t="s">
        <v>293</v>
      </c>
      <c r="H3962" s="25"/>
      <c r="BA3962" s="73" t="s">
        <v>355</v>
      </c>
      <c r="BB3962" s="48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357</v>
      </c>
      <c r="E3963" s="1" t="s">
        <v>133</v>
      </c>
      <c r="F3963" s="26">
        <v>128</v>
      </c>
      <c r="G3963" s="25" t="s">
        <v>293</v>
      </c>
      <c r="H3963" s="25"/>
      <c r="BA3963" s="73" t="s">
        <v>355</v>
      </c>
      <c r="BB3963" s="48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357</v>
      </c>
      <c r="E3964" s="1" t="s">
        <v>135</v>
      </c>
      <c r="F3964" s="26">
        <v>6.5</v>
      </c>
      <c r="G3964" s="25" t="s">
        <v>293</v>
      </c>
      <c r="H3964" s="25"/>
      <c r="BA3964" s="73" t="s">
        <v>355</v>
      </c>
      <c r="BB3964" s="48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357</v>
      </c>
      <c r="E3965" s="1" t="s">
        <v>136</v>
      </c>
      <c r="F3965" s="26">
        <v>96</v>
      </c>
      <c r="G3965" s="25" t="s">
        <v>293</v>
      </c>
      <c r="H3965" s="25"/>
      <c r="BA3965" s="73" t="s">
        <v>355</v>
      </c>
      <c r="BB3965" s="48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357</v>
      </c>
      <c r="E3966" s="1" t="s">
        <v>339</v>
      </c>
      <c r="F3966" s="26">
        <v>1.0900000000000001</v>
      </c>
      <c r="G3966" s="25" t="s">
        <v>293</v>
      </c>
      <c r="H3966" s="25"/>
      <c r="BA3966" s="73" t="s">
        <v>355</v>
      </c>
      <c r="BB3966" s="48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357</v>
      </c>
      <c r="E3967" s="1" t="s">
        <v>118</v>
      </c>
      <c r="F3967" s="26">
        <v>9.3000000000000007</v>
      </c>
      <c r="G3967" s="25" t="s">
        <v>293</v>
      </c>
      <c r="H3967" s="25"/>
      <c r="BA3967" s="73" t="s">
        <v>355</v>
      </c>
      <c r="BB3967" s="48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357</v>
      </c>
      <c r="E3968" s="1" t="s">
        <v>130</v>
      </c>
      <c r="F3968" s="26">
        <v>2.42</v>
      </c>
      <c r="G3968" s="25" t="s">
        <v>293</v>
      </c>
      <c r="H3968" s="25"/>
      <c r="BA3968" s="73" t="s">
        <v>355</v>
      </c>
      <c r="BB3968" s="48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357</v>
      </c>
      <c r="E3969" s="1" t="s">
        <v>341</v>
      </c>
      <c r="F3969" s="26">
        <v>1.07</v>
      </c>
      <c r="G3969" s="25" t="s">
        <v>293</v>
      </c>
      <c r="H3969" s="25"/>
      <c r="BA3969" s="73" t="s">
        <v>355</v>
      </c>
      <c r="BB3969" s="48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357</v>
      </c>
      <c r="E3970" s="1" t="s">
        <v>127</v>
      </c>
      <c r="F3970" s="26">
        <v>4.6449999999999996</v>
      </c>
      <c r="G3970" s="25" t="s">
        <v>293</v>
      </c>
      <c r="H3970" s="25"/>
      <c r="BA3970" s="73" t="s">
        <v>355</v>
      </c>
      <c r="BB3970" s="48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357</v>
      </c>
      <c r="E3971" s="1" t="s">
        <v>131</v>
      </c>
      <c r="F3971" s="26">
        <v>12.2</v>
      </c>
      <c r="G3971" s="25" t="s">
        <v>293</v>
      </c>
      <c r="H3971" s="25"/>
      <c r="BA3971" s="73" t="s">
        <v>355</v>
      </c>
      <c r="BB3971" s="48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357</v>
      </c>
      <c r="E3972" s="1" t="s">
        <v>342</v>
      </c>
      <c r="F3972" s="26">
        <v>187</v>
      </c>
      <c r="G3972" s="25" t="s">
        <v>293</v>
      </c>
      <c r="H3972" s="25"/>
      <c r="BA3972" s="73" t="s">
        <v>355</v>
      </c>
      <c r="BB3972" s="48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357</v>
      </c>
      <c r="E3973" s="1" t="s">
        <v>119</v>
      </c>
      <c r="F3973" s="26">
        <v>88</v>
      </c>
      <c r="G3973" s="25" t="s">
        <v>293</v>
      </c>
      <c r="H3973" s="25"/>
      <c r="BA3973" s="73" t="s">
        <v>355</v>
      </c>
      <c r="BB3973" s="48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357</v>
      </c>
      <c r="E3974" s="1" t="s">
        <v>120</v>
      </c>
      <c r="F3974" s="26">
        <v>27</v>
      </c>
      <c r="G3974" s="25" t="s">
        <v>293</v>
      </c>
      <c r="H3974" s="25"/>
      <c r="BA3974" s="73" t="s">
        <v>355</v>
      </c>
      <c r="BB3974" s="48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357</v>
      </c>
      <c r="E3975" s="1" t="s">
        <v>117</v>
      </c>
      <c r="F3975" s="26">
        <v>6.29</v>
      </c>
      <c r="G3975" s="25" t="s">
        <v>293</v>
      </c>
      <c r="H3975" s="25"/>
      <c r="BA3975" s="73" t="s">
        <v>355</v>
      </c>
      <c r="BB3975" s="48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357</v>
      </c>
      <c r="E3976" s="1" t="s">
        <v>344</v>
      </c>
      <c r="F3976" s="26">
        <v>68</v>
      </c>
      <c r="G3976" s="25" t="s">
        <v>293</v>
      </c>
      <c r="H3976" s="25"/>
      <c r="BA3976" s="73" t="s">
        <v>355</v>
      </c>
      <c r="BB3976" s="48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357</v>
      </c>
      <c r="E3977" s="1" t="s">
        <v>132</v>
      </c>
      <c r="F3977" s="26">
        <v>7.26</v>
      </c>
      <c r="G3977" s="25" t="s">
        <v>293</v>
      </c>
      <c r="H3977" s="25"/>
      <c r="BA3977" s="73" t="s">
        <v>355</v>
      </c>
      <c r="BB3977" s="48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357</v>
      </c>
      <c r="E3978" s="1" t="s">
        <v>111</v>
      </c>
      <c r="F3978" s="26">
        <v>283</v>
      </c>
      <c r="G3978" s="25" t="s">
        <v>293</v>
      </c>
      <c r="H3978" s="25"/>
      <c r="BA3978" s="73" t="s">
        <v>355</v>
      </c>
      <c r="BB3978" s="48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357</v>
      </c>
      <c r="E3979" s="1" t="s">
        <v>345</v>
      </c>
      <c r="F3979" s="26">
        <v>9.9</v>
      </c>
      <c r="G3979" s="25" t="s">
        <v>293</v>
      </c>
      <c r="H3979" s="25"/>
      <c r="BA3979" s="73" t="s">
        <v>355</v>
      </c>
      <c r="BB3979" s="48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357</v>
      </c>
      <c r="E3980" s="1" t="s">
        <v>347</v>
      </c>
      <c r="F3980" s="26">
        <v>4.84</v>
      </c>
      <c r="G3980" s="25" t="s">
        <v>293</v>
      </c>
      <c r="H3980" s="25"/>
      <c r="BA3980" s="73" t="s">
        <v>355</v>
      </c>
      <c r="BB3980" s="48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357</v>
      </c>
      <c r="E3981" s="1" t="s">
        <v>128</v>
      </c>
      <c r="F3981" s="26">
        <v>4.4000000000000004</v>
      </c>
      <c r="G3981" s="25" t="s">
        <v>293</v>
      </c>
      <c r="H3981" s="25"/>
      <c r="BA3981" s="73" t="s">
        <v>355</v>
      </c>
      <c r="BB3981" s="48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357</v>
      </c>
      <c r="E3982" s="1" t="s">
        <v>121</v>
      </c>
      <c r="F3982" s="26">
        <v>80</v>
      </c>
      <c r="G3982" s="25" t="s">
        <v>293</v>
      </c>
      <c r="H3982" s="25"/>
      <c r="BA3982" s="73" t="s">
        <v>355</v>
      </c>
      <c r="BB3982" s="48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357</v>
      </c>
      <c r="E3983" s="1" t="s">
        <v>115</v>
      </c>
      <c r="F3983" s="26">
        <v>94</v>
      </c>
      <c r="G3983" s="25" t="s">
        <v>293</v>
      </c>
      <c r="H3983" s="25"/>
      <c r="BA3983" s="73" t="s">
        <v>355</v>
      </c>
      <c r="BB3983" s="48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357</v>
      </c>
      <c r="E3984" s="1" t="s">
        <v>137</v>
      </c>
      <c r="F3984" s="26">
        <v>484</v>
      </c>
      <c r="G3984" s="25" t="s">
        <v>293</v>
      </c>
      <c r="H3984" s="25"/>
      <c r="BA3984" s="73" t="s">
        <v>355</v>
      </c>
      <c r="BB3984" s="48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357</v>
      </c>
      <c r="E3985" s="1" t="s">
        <v>348</v>
      </c>
      <c r="F3985" s="26">
        <v>428</v>
      </c>
      <c r="G3985" s="25" t="s">
        <v>293</v>
      </c>
      <c r="H3985" s="25"/>
      <c r="BA3985" s="73" t="s">
        <v>355</v>
      </c>
      <c r="BB3985" s="48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357</v>
      </c>
      <c r="E3986" s="1" t="s">
        <v>125</v>
      </c>
      <c r="F3986" s="26">
        <v>424</v>
      </c>
      <c r="G3986" s="25" t="s">
        <v>293</v>
      </c>
      <c r="H3986" s="25"/>
      <c r="BA3986" s="73" t="s">
        <v>355</v>
      </c>
      <c r="BB3986" s="48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357</v>
      </c>
      <c r="E3987" s="1" t="s">
        <v>126</v>
      </c>
      <c r="F3987" s="26">
        <v>152</v>
      </c>
      <c r="G3987" s="25" t="s">
        <v>293</v>
      </c>
      <c r="H3987" s="25"/>
      <c r="BA3987" s="73" t="s">
        <v>355</v>
      </c>
      <c r="BB3987" s="48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357</v>
      </c>
      <c r="E3988" s="1" t="s">
        <v>349</v>
      </c>
      <c r="F3988" s="26">
        <v>370</v>
      </c>
      <c r="G3988" s="25" t="s">
        <v>293</v>
      </c>
      <c r="H3988" s="25"/>
      <c r="BA3988" s="73" t="s">
        <v>355</v>
      </c>
      <c r="BB3988" s="48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357</v>
      </c>
      <c r="E3989" s="1" t="s">
        <v>350</v>
      </c>
      <c r="F3989" s="26">
        <v>90</v>
      </c>
      <c r="G3989" s="25" t="s">
        <v>293</v>
      </c>
      <c r="H3989" s="25"/>
      <c r="BA3989" s="73" t="s">
        <v>355</v>
      </c>
      <c r="BB3989" s="48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357</v>
      </c>
      <c r="E3990" s="1" t="s">
        <v>122</v>
      </c>
      <c r="F3990" s="26">
        <v>213</v>
      </c>
      <c r="G3990" s="25" t="s">
        <v>293</v>
      </c>
      <c r="H3990" s="25"/>
      <c r="BA3990" s="73" t="s">
        <v>355</v>
      </c>
      <c r="BB3990" s="48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357</v>
      </c>
      <c r="E3991" s="1" t="s">
        <v>124</v>
      </c>
      <c r="F3991" s="26">
        <v>102</v>
      </c>
      <c r="G3991" s="25" t="s">
        <v>293</v>
      </c>
      <c r="H3991" s="25"/>
      <c r="BA3991" s="73" t="s">
        <v>355</v>
      </c>
      <c r="BB3991" s="48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357</v>
      </c>
      <c r="E3992" s="1" t="s">
        <v>351</v>
      </c>
      <c r="F3992" s="26">
        <v>3.52</v>
      </c>
      <c r="G3992" s="25" t="s">
        <v>293</v>
      </c>
      <c r="H3992" s="25"/>
      <c r="BA3992" s="73" t="s">
        <v>355</v>
      </c>
      <c r="BB3992" s="48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357</v>
      </c>
      <c r="E3993" s="1" t="s">
        <v>353</v>
      </c>
      <c r="F3993" s="26">
        <v>20.5</v>
      </c>
      <c r="G3993" s="25" t="s">
        <v>293</v>
      </c>
      <c r="H3993" s="25"/>
      <c r="BA3993" s="73" t="s">
        <v>355</v>
      </c>
      <c r="BB3993" s="48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357</v>
      </c>
      <c r="E3994" s="1" t="s">
        <v>133</v>
      </c>
      <c r="F3994" s="26">
        <v>128</v>
      </c>
      <c r="G3994" s="25" t="s">
        <v>293</v>
      </c>
      <c r="H3994" s="25"/>
      <c r="BA3994" s="73" t="s">
        <v>355</v>
      </c>
      <c r="BB3994" s="48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357</v>
      </c>
      <c r="E3995" s="1" t="s">
        <v>135</v>
      </c>
      <c r="F3995" s="26">
        <v>6.5</v>
      </c>
      <c r="G3995" s="25" t="s">
        <v>293</v>
      </c>
      <c r="H3995" s="25"/>
      <c r="BA3995" s="73" t="s">
        <v>355</v>
      </c>
      <c r="BB3995" s="48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357</v>
      </c>
      <c r="E3996" s="1" t="s">
        <v>136</v>
      </c>
      <c r="F3996" s="26">
        <v>95</v>
      </c>
      <c r="G3996" s="25" t="s">
        <v>293</v>
      </c>
      <c r="H3996" s="25"/>
      <c r="BA3996" s="73" t="s">
        <v>355</v>
      </c>
      <c r="BB3996" s="48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357</v>
      </c>
      <c r="E3997" s="1" t="s">
        <v>339</v>
      </c>
      <c r="F3997" s="26">
        <v>1.19</v>
      </c>
      <c r="G3997" s="25" t="s">
        <v>293</v>
      </c>
      <c r="H3997" s="25"/>
      <c r="BA3997" s="73" t="s">
        <v>355</v>
      </c>
      <c r="BB3997" s="48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357</v>
      </c>
      <c r="E3998" s="1" t="s">
        <v>118</v>
      </c>
      <c r="F3998" s="26">
        <v>9.6</v>
      </c>
      <c r="G3998" s="25" t="s">
        <v>293</v>
      </c>
      <c r="H3998" s="25"/>
      <c r="BA3998" s="73" t="s">
        <v>355</v>
      </c>
      <c r="BB3998" s="48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357</v>
      </c>
      <c r="E3999" s="1" t="s">
        <v>130</v>
      </c>
      <c r="F3999" s="26">
        <v>2.4</v>
      </c>
      <c r="G3999" s="25" t="s">
        <v>293</v>
      </c>
      <c r="H3999" s="25"/>
      <c r="BA3999" s="73" t="s">
        <v>355</v>
      </c>
      <c r="BB3999" s="48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357</v>
      </c>
      <c r="E4000" s="1" t="s">
        <v>341</v>
      </c>
      <c r="F4000" s="26">
        <v>1.167</v>
      </c>
      <c r="G4000" s="25" t="s">
        <v>293</v>
      </c>
      <c r="H4000" s="25"/>
      <c r="BA4000" s="73" t="s">
        <v>355</v>
      </c>
      <c r="BB4000" s="48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357</v>
      </c>
      <c r="E4001" s="1" t="s">
        <v>127</v>
      </c>
      <c r="F4001" s="26">
        <v>4.6390000000000002</v>
      </c>
      <c r="G4001" s="25" t="s">
        <v>293</v>
      </c>
      <c r="H4001" s="25"/>
      <c r="BA4001" s="73" t="s">
        <v>355</v>
      </c>
      <c r="BB4001" s="48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357</v>
      </c>
      <c r="E4002" s="1" t="s">
        <v>131</v>
      </c>
      <c r="F4002" s="26">
        <v>12.4</v>
      </c>
      <c r="G4002" s="25" t="s">
        <v>293</v>
      </c>
      <c r="H4002" s="25"/>
      <c r="BA4002" s="73" t="s">
        <v>355</v>
      </c>
      <c r="BB4002" s="48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357</v>
      </c>
      <c r="E4003" s="1" t="s">
        <v>342</v>
      </c>
      <c r="F4003" s="26">
        <v>190</v>
      </c>
      <c r="G4003" s="25" t="s">
        <v>293</v>
      </c>
      <c r="H4003" s="25"/>
      <c r="BA4003" s="73" t="s">
        <v>355</v>
      </c>
      <c r="BB4003" s="48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357</v>
      </c>
      <c r="E4004" s="1" t="s">
        <v>119</v>
      </c>
      <c r="F4004" s="26">
        <v>88</v>
      </c>
      <c r="G4004" s="25" t="s">
        <v>293</v>
      </c>
      <c r="H4004" s="25"/>
      <c r="BA4004" s="73" t="s">
        <v>355</v>
      </c>
      <c r="BB4004" s="48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357</v>
      </c>
      <c r="E4005" s="1" t="s">
        <v>120</v>
      </c>
      <c r="F4005" s="26">
        <v>27</v>
      </c>
      <c r="G4005" s="25" t="s">
        <v>293</v>
      </c>
      <c r="H4005" s="25"/>
      <c r="BA4005" s="73" t="s">
        <v>355</v>
      </c>
      <c r="BB4005" s="48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357</v>
      </c>
      <c r="E4006" s="1" t="s">
        <v>117</v>
      </c>
      <c r="F4006" s="26">
        <v>6.24</v>
      </c>
      <c r="G4006" s="25" t="s">
        <v>293</v>
      </c>
      <c r="H4006" s="25"/>
      <c r="BA4006" s="73" t="s">
        <v>355</v>
      </c>
      <c r="BB4006" s="48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357</v>
      </c>
      <c r="E4007" s="1" t="s">
        <v>344</v>
      </c>
      <c r="F4007" s="26">
        <v>68</v>
      </c>
      <c r="G4007" s="25" t="s">
        <v>293</v>
      </c>
      <c r="H4007" s="25"/>
      <c r="BA4007" s="73" t="s">
        <v>355</v>
      </c>
      <c r="BB4007" s="48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357</v>
      </c>
      <c r="E4008" s="1" t="s">
        <v>132</v>
      </c>
      <c r="F4008" s="26">
        <v>7.19</v>
      </c>
      <c r="G4008" s="25" t="s">
        <v>293</v>
      </c>
      <c r="H4008" s="25"/>
      <c r="BA4008" s="73" t="s">
        <v>355</v>
      </c>
      <c r="BB4008" s="48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357</v>
      </c>
      <c r="E4009" s="1" t="s">
        <v>111</v>
      </c>
      <c r="F4009" s="26">
        <v>281</v>
      </c>
      <c r="G4009" s="25" t="s">
        <v>293</v>
      </c>
      <c r="H4009" s="25"/>
      <c r="BA4009" s="73" t="s">
        <v>355</v>
      </c>
      <c r="BB4009" s="48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357</v>
      </c>
      <c r="E4010" s="1" t="s">
        <v>345</v>
      </c>
      <c r="F4010" s="26">
        <v>10.02</v>
      </c>
      <c r="G4010" s="25" t="s">
        <v>293</v>
      </c>
      <c r="H4010" s="25"/>
      <c r="BA4010" s="73" t="s">
        <v>355</v>
      </c>
      <c r="BB4010" s="48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357</v>
      </c>
      <c r="E4011" s="1" t="s">
        <v>347</v>
      </c>
      <c r="F4011" s="26">
        <v>4.9400000000000004</v>
      </c>
      <c r="G4011" s="25" t="s">
        <v>293</v>
      </c>
      <c r="H4011" s="25"/>
      <c r="BA4011" s="73" t="s">
        <v>355</v>
      </c>
      <c r="BB4011" s="48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357</v>
      </c>
      <c r="E4012" s="1" t="s">
        <v>128</v>
      </c>
      <c r="F4012" s="26">
        <v>4.2</v>
      </c>
      <c r="G4012" s="25" t="s">
        <v>293</v>
      </c>
      <c r="H4012" s="25"/>
      <c r="BA4012" s="73" t="s">
        <v>355</v>
      </c>
      <c r="BB4012" s="48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357</v>
      </c>
      <c r="E4013" s="1" t="s">
        <v>121</v>
      </c>
      <c r="F4013" s="26">
        <v>79</v>
      </c>
      <c r="G4013" s="25" t="s">
        <v>293</v>
      </c>
      <c r="H4013" s="25"/>
      <c r="BA4013" s="73" t="s">
        <v>355</v>
      </c>
      <c r="BB4013" s="48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357</v>
      </c>
      <c r="E4014" s="1" t="s">
        <v>115</v>
      </c>
      <c r="F4014" s="26">
        <v>94</v>
      </c>
      <c r="G4014" s="25" t="s">
        <v>293</v>
      </c>
      <c r="H4014" s="25"/>
      <c r="BA4014" s="73" t="s">
        <v>355</v>
      </c>
      <c r="BB4014" s="48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357</v>
      </c>
      <c r="E4015" s="1" t="s">
        <v>137</v>
      </c>
      <c r="F4015" s="26">
        <v>483</v>
      </c>
      <c r="G4015" s="25" t="s">
        <v>293</v>
      </c>
      <c r="H4015" s="25"/>
      <c r="BA4015" s="73" t="s">
        <v>355</v>
      </c>
      <c r="BB4015" s="48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357</v>
      </c>
      <c r="E4016" s="1" t="s">
        <v>348</v>
      </c>
      <c r="F4016" s="26">
        <v>427</v>
      </c>
      <c r="G4016" s="25" t="s">
        <v>293</v>
      </c>
      <c r="H4016" s="25"/>
      <c r="BA4016" s="73" t="s">
        <v>355</v>
      </c>
      <c r="BB4016" s="48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357</v>
      </c>
      <c r="E4017" s="1" t="s">
        <v>125</v>
      </c>
      <c r="F4017" s="26">
        <v>423</v>
      </c>
      <c r="G4017" s="25" t="s">
        <v>293</v>
      </c>
      <c r="H4017" s="25"/>
      <c r="BA4017" s="73" t="s">
        <v>355</v>
      </c>
      <c r="BB4017" s="48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357</v>
      </c>
      <c r="E4018" s="1" t="s">
        <v>126</v>
      </c>
      <c r="F4018" s="26">
        <v>150</v>
      </c>
      <c r="G4018" s="25" t="s">
        <v>293</v>
      </c>
      <c r="H4018" s="25"/>
      <c r="BA4018" s="73" t="s">
        <v>355</v>
      </c>
      <c r="BB4018" s="48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357</v>
      </c>
      <c r="E4019" s="1" t="s">
        <v>349</v>
      </c>
      <c r="F4019" s="26">
        <v>379</v>
      </c>
      <c r="G4019" s="25" t="s">
        <v>293</v>
      </c>
      <c r="H4019" s="25"/>
      <c r="BA4019" s="73" t="s">
        <v>355</v>
      </c>
      <c r="BB4019" s="48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357</v>
      </c>
      <c r="E4020" s="1" t="s">
        <v>350</v>
      </c>
      <c r="F4020" s="26">
        <v>84</v>
      </c>
      <c r="G4020" s="25" t="s">
        <v>293</v>
      </c>
      <c r="H4020" s="25"/>
      <c r="BA4020" s="73" t="s">
        <v>355</v>
      </c>
      <c r="BB4020" s="48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357</v>
      </c>
      <c r="E4021" s="1" t="s">
        <v>122</v>
      </c>
      <c r="F4021" s="26">
        <v>210</v>
      </c>
      <c r="G4021" s="25" t="s">
        <v>293</v>
      </c>
      <c r="H4021" s="25"/>
      <c r="BA4021" s="73" t="s">
        <v>355</v>
      </c>
      <c r="BB4021" s="48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357</v>
      </c>
      <c r="E4022" s="1" t="s">
        <v>124</v>
      </c>
      <c r="F4022" s="26">
        <v>103</v>
      </c>
      <c r="G4022" s="25" t="s">
        <v>293</v>
      </c>
      <c r="H4022" s="25"/>
      <c r="BA4022" s="73" t="s">
        <v>355</v>
      </c>
      <c r="BB4022" s="48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357</v>
      </c>
      <c r="E4023" s="1" t="s">
        <v>351</v>
      </c>
      <c r="F4023" s="26">
        <v>3.6</v>
      </c>
      <c r="G4023" s="25" t="s">
        <v>293</v>
      </c>
      <c r="H4023" s="25"/>
      <c r="BA4023" s="73" t="s">
        <v>355</v>
      </c>
      <c r="BB4023" s="48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357</v>
      </c>
      <c r="E4024" s="1" t="s">
        <v>353</v>
      </c>
      <c r="F4024" s="26">
        <v>16.7</v>
      </c>
      <c r="G4024" s="25" t="s">
        <v>293</v>
      </c>
      <c r="H4024" s="25"/>
      <c r="BA4024" s="73" t="s">
        <v>355</v>
      </c>
      <c r="BB4024" s="48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357</v>
      </c>
      <c r="E4025" s="1" t="s">
        <v>133</v>
      </c>
      <c r="F4025" s="26">
        <v>126</v>
      </c>
      <c r="G4025" s="25" t="s">
        <v>293</v>
      </c>
      <c r="H4025" s="25"/>
      <c r="BA4025" s="73" t="s">
        <v>355</v>
      </c>
      <c r="BB4025" s="48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357</v>
      </c>
      <c r="E4026" s="1" t="s">
        <v>135</v>
      </c>
      <c r="F4026" s="26">
        <v>6.4</v>
      </c>
      <c r="G4026" s="25" t="s">
        <v>293</v>
      </c>
      <c r="H4026" s="25"/>
      <c r="BA4026" s="73" t="s">
        <v>355</v>
      </c>
      <c r="BB4026" s="48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357</v>
      </c>
      <c r="E4027" s="1" t="s">
        <v>136</v>
      </c>
      <c r="F4027" s="26">
        <v>95</v>
      </c>
      <c r="G4027" s="25" t="s">
        <v>293</v>
      </c>
      <c r="H4027" s="25"/>
      <c r="BA4027" s="73" t="s">
        <v>355</v>
      </c>
      <c r="BB4027" s="48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357</v>
      </c>
      <c r="E4028" s="1" t="s">
        <v>339</v>
      </c>
      <c r="F4028" s="26">
        <v>1.1299999999999999</v>
      </c>
      <c r="G4028" s="25" t="s">
        <v>293</v>
      </c>
      <c r="H4028" s="25"/>
      <c r="BA4028" s="73" t="s">
        <v>355</v>
      </c>
      <c r="BB4028" s="48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357</v>
      </c>
      <c r="E4029" s="1" t="s">
        <v>118</v>
      </c>
      <c r="F4029" s="26">
        <v>9.6</v>
      </c>
      <c r="G4029" s="25" t="s">
        <v>293</v>
      </c>
      <c r="H4029" s="25"/>
      <c r="BA4029" s="73" t="s">
        <v>355</v>
      </c>
      <c r="BB4029" s="48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357</v>
      </c>
      <c r="E4030" s="1" t="s">
        <v>130</v>
      </c>
      <c r="F4030" s="26">
        <v>2.46</v>
      </c>
      <c r="G4030" s="25" t="s">
        <v>293</v>
      </c>
      <c r="H4030" s="25"/>
      <c r="BA4030" s="73" t="s">
        <v>355</v>
      </c>
      <c r="BB4030" s="48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357</v>
      </c>
      <c r="E4031" s="1" t="s">
        <v>341</v>
      </c>
      <c r="F4031" s="26">
        <v>1.18</v>
      </c>
      <c r="G4031" s="25" t="s">
        <v>293</v>
      </c>
      <c r="H4031" s="25"/>
      <c r="BA4031" s="73" t="s">
        <v>355</v>
      </c>
      <c r="BB4031" s="48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357</v>
      </c>
      <c r="E4032" s="1" t="s">
        <v>127</v>
      </c>
      <c r="F4032" s="26">
        <v>4.6369999999999996</v>
      </c>
      <c r="G4032" s="25" t="s">
        <v>293</v>
      </c>
      <c r="H4032" s="25"/>
      <c r="BA4032" s="73" t="s">
        <v>355</v>
      </c>
      <c r="BB4032" s="48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357</v>
      </c>
      <c r="E4033" s="1" t="s">
        <v>131</v>
      </c>
      <c r="F4033" s="26">
        <v>11.9</v>
      </c>
      <c r="G4033" s="25" t="s">
        <v>293</v>
      </c>
      <c r="H4033" s="25"/>
      <c r="BA4033" s="73" t="s">
        <v>355</v>
      </c>
      <c r="BB4033" s="48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357</v>
      </c>
      <c r="E4034" s="1" t="s">
        <v>342</v>
      </c>
      <c r="F4034" s="26">
        <v>205</v>
      </c>
      <c r="G4034" s="25" t="s">
        <v>293</v>
      </c>
      <c r="H4034" s="25"/>
      <c r="BA4034" s="73" t="s">
        <v>355</v>
      </c>
      <c r="BB4034" s="48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357</v>
      </c>
      <c r="E4035" s="1" t="s">
        <v>119</v>
      </c>
      <c r="F4035" s="26">
        <v>90</v>
      </c>
      <c r="G4035" s="25" t="s">
        <v>293</v>
      </c>
      <c r="H4035" s="25"/>
      <c r="BA4035" s="73" t="s">
        <v>355</v>
      </c>
      <c r="BB4035" s="48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357</v>
      </c>
      <c r="E4036" s="1" t="s">
        <v>120</v>
      </c>
      <c r="F4036" s="26">
        <v>27</v>
      </c>
      <c r="G4036" s="25" t="s">
        <v>293</v>
      </c>
      <c r="H4036" s="25"/>
      <c r="BA4036" s="73" t="s">
        <v>355</v>
      </c>
      <c r="BB4036" s="48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357</v>
      </c>
      <c r="E4037" s="1" t="s">
        <v>117</v>
      </c>
      <c r="F4037" s="26">
        <v>6.24</v>
      </c>
      <c r="G4037" s="25" t="s">
        <v>293</v>
      </c>
      <c r="H4037" s="25"/>
      <c r="BA4037" s="73" t="s">
        <v>355</v>
      </c>
      <c r="BB4037" s="48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357</v>
      </c>
      <c r="E4038" s="1" t="s">
        <v>344</v>
      </c>
      <c r="F4038" s="26">
        <v>70</v>
      </c>
      <c r="G4038" s="25" t="s">
        <v>293</v>
      </c>
      <c r="H4038" s="25"/>
      <c r="BA4038" s="73" t="s">
        <v>355</v>
      </c>
      <c r="BB4038" s="48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357</v>
      </c>
      <c r="E4039" s="1" t="s">
        <v>132</v>
      </c>
      <c r="F4039" s="26">
        <v>7.12</v>
      </c>
      <c r="G4039" s="25" t="s">
        <v>293</v>
      </c>
      <c r="H4039" s="25"/>
      <c r="BA4039" s="73" t="s">
        <v>355</v>
      </c>
      <c r="BB4039" s="48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357</v>
      </c>
      <c r="E4040" s="1" t="s">
        <v>111</v>
      </c>
      <c r="F4040" s="26">
        <v>286</v>
      </c>
      <c r="G4040" s="25" t="s">
        <v>293</v>
      </c>
      <c r="H4040" s="25"/>
      <c r="BA4040" s="73" t="s">
        <v>355</v>
      </c>
      <c r="BB4040" s="48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357</v>
      </c>
      <c r="E4041" s="1" t="s">
        <v>345</v>
      </c>
      <c r="F4041" s="26">
        <v>9.9</v>
      </c>
      <c r="G4041" s="25" t="s">
        <v>293</v>
      </c>
      <c r="H4041" s="25"/>
      <c r="BA4041" s="73" t="s">
        <v>355</v>
      </c>
      <c r="BB4041" s="48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357</v>
      </c>
      <c r="E4042" s="1" t="s">
        <v>347</v>
      </c>
      <c r="F4042" s="26">
        <v>4.74</v>
      </c>
      <c r="G4042" s="25" t="s">
        <v>293</v>
      </c>
      <c r="H4042" s="25"/>
      <c r="BA4042" s="73" t="s">
        <v>355</v>
      </c>
      <c r="BB4042" s="48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357</v>
      </c>
      <c r="E4043" s="1" t="s">
        <v>128</v>
      </c>
      <c r="F4043" s="26">
        <v>4.4000000000000004</v>
      </c>
      <c r="G4043" s="25" t="s">
        <v>293</v>
      </c>
      <c r="H4043" s="25"/>
      <c r="BA4043" s="73" t="s">
        <v>355</v>
      </c>
      <c r="BB4043" s="48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357</v>
      </c>
      <c r="E4044" s="1" t="s">
        <v>121</v>
      </c>
      <c r="F4044" s="26">
        <v>79</v>
      </c>
      <c r="G4044" s="25" t="s">
        <v>293</v>
      </c>
      <c r="H4044" s="25"/>
      <c r="BA4044" s="73" t="s">
        <v>355</v>
      </c>
      <c r="BB4044" s="48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357</v>
      </c>
      <c r="E4045" s="1" t="s">
        <v>115</v>
      </c>
      <c r="F4045" s="26">
        <v>96</v>
      </c>
      <c r="G4045" s="25" t="s">
        <v>293</v>
      </c>
      <c r="H4045" s="25"/>
      <c r="BA4045" s="73" t="s">
        <v>355</v>
      </c>
      <c r="BB4045" s="48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357</v>
      </c>
      <c r="E4046" s="1" t="s">
        <v>137</v>
      </c>
      <c r="F4046" s="26">
        <v>475</v>
      </c>
      <c r="G4046" s="25" t="s">
        <v>293</v>
      </c>
      <c r="H4046" s="25"/>
      <c r="BA4046" s="73" t="s">
        <v>355</v>
      </c>
      <c r="BB4046" s="48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357</v>
      </c>
      <c r="E4047" s="1" t="s">
        <v>348</v>
      </c>
      <c r="F4047" s="26">
        <v>435</v>
      </c>
      <c r="G4047" s="25" t="s">
        <v>293</v>
      </c>
      <c r="H4047" s="25"/>
      <c r="BA4047" s="73" t="s">
        <v>355</v>
      </c>
      <c r="BB4047" s="48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357</v>
      </c>
      <c r="E4048" s="1" t="s">
        <v>125</v>
      </c>
      <c r="F4048" s="26">
        <v>423</v>
      </c>
      <c r="G4048" s="25" t="s">
        <v>293</v>
      </c>
      <c r="H4048" s="25"/>
      <c r="BA4048" s="73" t="s">
        <v>355</v>
      </c>
      <c r="BB4048" s="48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357</v>
      </c>
      <c r="E4049" s="1" t="s">
        <v>126</v>
      </c>
      <c r="F4049" s="26">
        <v>154</v>
      </c>
      <c r="G4049" s="25" t="s">
        <v>293</v>
      </c>
      <c r="H4049" s="25"/>
      <c r="BA4049" s="73" t="s">
        <v>355</v>
      </c>
      <c r="BB4049" s="48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357</v>
      </c>
      <c r="E4050" s="1" t="s">
        <v>349</v>
      </c>
      <c r="F4050" s="26">
        <v>382</v>
      </c>
      <c r="G4050" s="25" t="s">
        <v>293</v>
      </c>
      <c r="H4050" s="25"/>
      <c r="BA4050" s="73" t="s">
        <v>355</v>
      </c>
      <c r="BB4050" s="48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357</v>
      </c>
      <c r="E4051" s="1" t="s">
        <v>350</v>
      </c>
      <c r="F4051" s="26">
        <v>85</v>
      </c>
      <c r="G4051" s="25" t="s">
        <v>293</v>
      </c>
      <c r="H4051" s="25"/>
      <c r="BA4051" s="73" t="s">
        <v>355</v>
      </c>
      <c r="BB4051" s="48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357</v>
      </c>
      <c r="E4052" s="1" t="s">
        <v>122</v>
      </c>
      <c r="F4052" s="26">
        <v>225</v>
      </c>
      <c r="G4052" s="25" t="s">
        <v>293</v>
      </c>
      <c r="H4052" s="25"/>
      <c r="BA4052" s="73" t="s">
        <v>355</v>
      </c>
      <c r="BB4052" s="48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357</v>
      </c>
      <c r="E4053" s="1" t="s">
        <v>124</v>
      </c>
      <c r="F4053" s="26">
        <v>102</v>
      </c>
      <c r="G4053" s="25" t="s">
        <v>293</v>
      </c>
      <c r="H4053" s="25"/>
      <c r="BA4053" s="73" t="s">
        <v>355</v>
      </c>
      <c r="BB4053" s="48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357</v>
      </c>
      <c r="E4054" s="1" t="s">
        <v>351</v>
      </c>
      <c r="F4054" s="26">
        <v>3.6</v>
      </c>
      <c r="G4054" s="25" t="s">
        <v>293</v>
      </c>
      <c r="H4054" s="25"/>
      <c r="BA4054" s="73" t="s">
        <v>355</v>
      </c>
      <c r="BB4054" s="48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357</v>
      </c>
      <c r="E4055" s="1" t="s">
        <v>353</v>
      </c>
      <c r="F4055" s="26">
        <v>21.8</v>
      </c>
      <c r="G4055" s="25" t="s">
        <v>293</v>
      </c>
      <c r="H4055" s="25"/>
      <c r="BA4055" s="73" t="s">
        <v>355</v>
      </c>
      <c r="BB4055" s="48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357</v>
      </c>
      <c r="E4056" s="1" t="s">
        <v>133</v>
      </c>
      <c r="F4056" s="26">
        <v>127</v>
      </c>
      <c r="G4056" s="25" t="s">
        <v>293</v>
      </c>
      <c r="H4056" s="25"/>
      <c r="BA4056" s="73" t="s">
        <v>355</v>
      </c>
      <c r="BB4056" s="48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357</v>
      </c>
      <c r="E4057" s="1" t="s">
        <v>135</v>
      </c>
      <c r="F4057" s="26">
        <v>6.4</v>
      </c>
      <c r="G4057" s="25" t="s">
        <v>293</v>
      </c>
      <c r="H4057" s="25"/>
      <c r="BA4057" s="73" t="s">
        <v>355</v>
      </c>
      <c r="BB4057" s="48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357</v>
      </c>
      <c r="E4058" s="1" t="s">
        <v>136</v>
      </c>
      <c r="F4058" s="26">
        <v>94</v>
      </c>
      <c r="G4058" s="25" t="s">
        <v>293</v>
      </c>
      <c r="H4058" s="25"/>
      <c r="BA4058" s="73" t="s">
        <v>355</v>
      </c>
      <c r="BB4058" s="48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357</v>
      </c>
      <c r="E4059" s="1" t="s">
        <v>339</v>
      </c>
      <c r="F4059" s="26">
        <v>1.1599999999999999</v>
      </c>
      <c r="G4059" s="25" t="s">
        <v>293</v>
      </c>
      <c r="H4059" s="25"/>
      <c r="BA4059" s="73" t="s">
        <v>355</v>
      </c>
      <c r="BB4059" s="48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357</v>
      </c>
      <c r="E4060" s="1" t="s">
        <v>118</v>
      </c>
      <c r="F4060" s="26">
        <v>9.5</v>
      </c>
      <c r="G4060" s="25" t="s">
        <v>293</v>
      </c>
      <c r="H4060" s="25"/>
      <c r="BA4060" s="73" t="s">
        <v>355</v>
      </c>
      <c r="BB4060" s="48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357</v>
      </c>
      <c r="E4061" s="1" t="s">
        <v>130</v>
      </c>
      <c r="F4061" s="26">
        <v>2.4700000000000002</v>
      </c>
      <c r="G4061" s="25" t="s">
        <v>293</v>
      </c>
      <c r="H4061" s="25"/>
      <c r="BA4061" s="73" t="s">
        <v>355</v>
      </c>
      <c r="BB4061" s="48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357</v>
      </c>
      <c r="E4062" s="1" t="s">
        <v>341</v>
      </c>
      <c r="F4062" s="26">
        <v>1.18</v>
      </c>
      <c r="G4062" s="25" t="s">
        <v>293</v>
      </c>
      <c r="H4062" s="25"/>
      <c r="BA4062" s="73" t="s">
        <v>355</v>
      </c>
      <c r="BB4062" s="48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357</v>
      </c>
      <c r="E4063" s="1" t="s">
        <v>127</v>
      </c>
      <c r="F4063" s="26">
        <v>4.5999999999999996</v>
      </c>
      <c r="G4063" s="25" t="s">
        <v>293</v>
      </c>
      <c r="H4063" s="25"/>
      <c r="BA4063" s="73" t="s">
        <v>355</v>
      </c>
      <c r="BB4063" s="48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357</v>
      </c>
      <c r="E4064" s="1" t="s">
        <v>131</v>
      </c>
      <c r="F4064" s="26">
        <v>11.9</v>
      </c>
      <c r="G4064" s="25" t="s">
        <v>293</v>
      </c>
      <c r="H4064" s="25"/>
      <c r="BA4064" s="73" t="s">
        <v>355</v>
      </c>
      <c r="BB4064" s="48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357</v>
      </c>
      <c r="E4065" s="1" t="s">
        <v>342</v>
      </c>
      <c r="F4065" s="26">
        <v>203</v>
      </c>
      <c r="G4065" s="25" t="s">
        <v>293</v>
      </c>
      <c r="H4065" s="25"/>
      <c r="BA4065" s="73" t="s">
        <v>355</v>
      </c>
      <c r="BB4065" s="48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357</v>
      </c>
      <c r="E4066" s="1" t="s">
        <v>119</v>
      </c>
      <c r="F4066" s="26">
        <v>90</v>
      </c>
      <c r="G4066" s="25" t="s">
        <v>293</v>
      </c>
      <c r="H4066" s="25"/>
      <c r="BA4066" s="73" t="s">
        <v>355</v>
      </c>
      <c r="BB4066" s="48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357</v>
      </c>
      <c r="E4067" s="1" t="s">
        <v>120</v>
      </c>
      <c r="F4067" s="26">
        <v>27</v>
      </c>
      <c r="G4067" s="25" t="s">
        <v>293</v>
      </c>
      <c r="H4067" s="25"/>
      <c r="BA4067" s="73" t="s">
        <v>355</v>
      </c>
      <c r="BB4067" s="48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357</v>
      </c>
      <c r="E4068" s="1" t="s">
        <v>117</v>
      </c>
      <c r="F4068" s="26">
        <v>6.22</v>
      </c>
      <c r="G4068" s="25" t="s">
        <v>293</v>
      </c>
      <c r="H4068" s="25"/>
      <c r="BA4068" s="73" t="s">
        <v>355</v>
      </c>
      <c r="BB4068" s="48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357</v>
      </c>
      <c r="E4069" s="1" t="s">
        <v>344</v>
      </c>
      <c r="F4069" s="26">
        <v>69</v>
      </c>
      <c r="G4069" s="25" t="s">
        <v>293</v>
      </c>
      <c r="H4069" s="25"/>
      <c r="BA4069" s="73" t="s">
        <v>355</v>
      </c>
      <c r="BB4069" s="48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357</v>
      </c>
      <c r="E4070" s="1" t="s">
        <v>132</v>
      </c>
      <c r="F4070" s="26">
        <v>7.2</v>
      </c>
      <c r="G4070" s="25" t="s">
        <v>293</v>
      </c>
      <c r="H4070" s="25"/>
      <c r="BA4070" s="73" t="s">
        <v>355</v>
      </c>
      <c r="BB4070" s="48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357</v>
      </c>
      <c r="E4071" s="1" t="s">
        <v>111</v>
      </c>
      <c r="F4071" s="26">
        <v>281</v>
      </c>
      <c r="G4071" s="25" t="s">
        <v>293</v>
      </c>
      <c r="H4071" s="25"/>
      <c r="BA4071" s="73" t="s">
        <v>355</v>
      </c>
      <c r="BB4071" s="48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357</v>
      </c>
      <c r="E4072" s="1" t="s">
        <v>345</v>
      </c>
      <c r="F4072" s="26">
        <v>9.89</v>
      </c>
      <c r="G4072" s="25" t="s">
        <v>293</v>
      </c>
      <c r="H4072" s="25"/>
      <c r="BA4072" s="73" t="s">
        <v>355</v>
      </c>
      <c r="BB4072" s="48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357</v>
      </c>
      <c r="E4073" s="1" t="s">
        <v>347</v>
      </c>
      <c r="F4073" s="26">
        <v>4.72</v>
      </c>
      <c r="G4073" s="25" t="s">
        <v>293</v>
      </c>
      <c r="H4073" s="25"/>
      <c r="BA4073" s="73" t="s">
        <v>355</v>
      </c>
      <c r="BB4073" s="48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357</v>
      </c>
      <c r="E4074" s="1" t="s">
        <v>128</v>
      </c>
      <c r="F4074" s="26">
        <v>4.4000000000000004</v>
      </c>
      <c r="G4074" s="25" t="s">
        <v>293</v>
      </c>
      <c r="H4074" s="25"/>
      <c r="BA4074" s="73" t="s">
        <v>355</v>
      </c>
      <c r="BB4074" s="48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357</v>
      </c>
      <c r="E4075" s="1" t="s">
        <v>121</v>
      </c>
      <c r="F4075" s="26">
        <v>80</v>
      </c>
      <c r="G4075" s="25" t="s">
        <v>293</v>
      </c>
      <c r="H4075" s="25"/>
      <c r="BA4075" s="73" t="s">
        <v>355</v>
      </c>
      <c r="BB4075" s="48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357</v>
      </c>
      <c r="E4076" s="1" t="s">
        <v>115</v>
      </c>
      <c r="F4076" s="26">
        <v>94</v>
      </c>
      <c r="G4076" s="25" t="s">
        <v>293</v>
      </c>
      <c r="H4076" s="25"/>
      <c r="BA4076" s="73" t="s">
        <v>355</v>
      </c>
      <c r="BB4076" s="48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357</v>
      </c>
      <c r="E4077" s="1" t="s">
        <v>137</v>
      </c>
      <c r="F4077" s="26">
        <v>484</v>
      </c>
      <c r="G4077" s="25" t="s">
        <v>293</v>
      </c>
      <c r="H4077" s="25"/>
      <c r="BA4077" s="73" t="s">
        <v>355</v>
      </c>
      <c r="BB4077" s="48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357</v>
      </c>
      <c r="E4078" s="1" t="s">
        <v>348</v>
      </c>
      <c r="F4078" s="26">
        <v>431</v>
      </c>
      <c r="G4078" s="25" t="s">
        <v>293</v>
      </c>
      <c r="H4078" s="25"/>
      <c r="BA4078" s="73" t="s">
        <v>355</v>
      </c>
      <c r="BB4078" s="48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357</v>
      </c>
      <c r="E4079" s="1" t="s">
        <v>125</v>
      </c>
      <c r="F4079" s="26">
        <v>416</v>
      </c>
      <c r="G4079" s="25" t="s">
        <v>293</v>
      </c>
      <c r="H4079" s="25"/>
      <c r="BA4079" s="73" t="s">
        <v>355</v>
      </c>
      <c r="BB4079" s="48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357</v>
      </c>
      <c r="E4080" s="1" t="s">
        <v>126</v>
      </c>
      <c r="F4080" s="26">
        <v>154</v>
      </c>
      <c r="G4080" s="25" t="s">
        <v>293</v>
      </c>
      <c r="H4080" s="25"/>
      <c r="BA4080" s="73" t="s">
        <v>355</v>
      </c>
      <c r="BB4080" s="48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357</v>
      </c>
      <c r="E4081" s="1" t="s">
        <v>349</v>
      </c>
      <c r="F4081" s="26">
        <v>351</v>
      </c>
      <c r="G4081" s="25" t="s">
        <v>293</v>
      </c>
      <c r="H4081" s="25"/>
      <c r="BA4081" s="73" t="s">
        <v>355</v>
      </c>
      <c r="BB4081" s="48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357</v>
      </c>
      <c r="E4082" s="1" t="s">
        <v>350</v>
      </c>
      <c r="F4082" s="26">
        <v>84</v>
      </c>
      <c r="G4082" s="25" t="s">
        <v>293</v>
      </c>
      <c r="H4082" s="25"/>
      <c r="BA4082" s="73" t="s">
        <v>355</v>
      </c>
      <c r="BB4082" s="48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357</v>
      </c>
      <c r="E4083" s="1" t="s">
        <v>122</v>
      </c>
      <c r="F4083" s="26">
        <v>222</v>
      </c>
      <c r="G4083" s="25" t="s">
        <v>293</v>
      </c>
      <c r="H4083" s="25"/>
      <c r="BA4083" s="73" t="s">
        <v>355</v>
      </c>
      <c r="BB4083" s="48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357</v>
      </c>
      <c r="E4084" s="1" t="s">
        <v>124</v>
      </c>
      <c r="F4084" s="26">
        <v>104</v>
      </c>
      <c r="G4084" s="25" t="s">
        <v>293</v>
      </c>
      <c r="H4084" s="25"/>
      <c r="BA4084" s="73" t="s">
        <v>355</v>
      </c>
      <c r="BB4084" s="48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357</v>
      </c>
      <c r="E4085" s="1" t="s">
        <v>351</v>
      </c>
      <c r="F4085" s="26">
        <v>3.56</v>
      </c>
      <c r="G4085" s="25" t="s">
        <v>293</v>
      </c>
      <c r="H4085" s="25"/>
      <c r="BA4085" s="73" t="s">
        <v>355</v>
      </c>
      <c r="BB4085" s="48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357</v>
      </c>
      <c r="E4086" s="1" t="s">
        <v>353</v>
      </c>
      <c r="F4086" s="26">
        <v>19.7</v>
      </c>
      <c r="G4086" s="25" t="s">
        <v>293</v>
      </c>
      <c r="H4086" s="25"/>
      <c r="BA4086" s="73" t="s">
        <v>355</v>
      </c>
      <c r="BB4086" s="48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357</v>
      </c>
      <c r="E4087" s="1" t="s">
        <v>133</v>
      </c>
      <c r="F4087" s="26">
        <v>127</v>
      </c>
      <c r="G4087" s="25" t="s">
        <v>293</v>
      </c>
      <c r="H4087" s="25"/>
      <c r="BA4087" s="73" t="s">
        <v>355</v>
      </c>
      <c r="BB4087" s="48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357</v>
      </c>
      <c r="E4088" s="1" t="s">
        <v>135</v>
      </c>
      <c r="F4088" s="26">
        <v>6.5</v>
      </c>
      <c r="G4088" s="25" t="s">
        <v>293</v>
      </c>
      <c r="H4088" s="25"/>
      <c r="BA4088" s="73" t="s">
        <v>355</v>
      </c>
      <c r="BB4088" s="48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357</v>
      </c>
      <c r="E4089" s="1" t="s">
        <v>136</v>
      </c>
      <c r="F4089" s="26">
        <v>94</v>
      </c>
      <c r="G4089" s="25" t="s">
        <v>293</v>
      </c>
      <c r="H4089" s="25"/>
      <c r="BA4089" s="73" t="s">
        <v>355</v>
      </c>
      <c r="BB4089" s="48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357</v>
      </c>
      <c r="E4090" s="1" t="s">
        <v>339</v>
      </c>
      <c r="F4090" s="26">
        <v>1.06</v>
      </c>
      <c r="G4090" s="25" t="s">
        <v>293</v>
      </c>
      <c r="H4090" s="25"/>
      <c r="BA4090" s="73" t="s">
        <v>355</v>
      </c>
      <c r="BB4090" s="48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357</v>
      </c>
      <c r="E4091" s="1" t="s">
        <v>118</v>
      </c>
      <c r="F4091" s="26">
        <v>9.6999999999999993</v>
      </c>
      <c r="G4091" s="25" t="s">
        <v>293</v>
      </c>
      <c r="H4091" s="25"/>
      <c r="BA4091" s="73" t="s">
        <v>355</v>
      </c>
      <c r="BB4091" s="48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357</v>
      </c>
      <c r="E4092" s="1" t="s">
        <v>130</v>
      </c>
      <c r="F4092" s="26">
        <v>2.44</v>
      </c>
      <c r="G4092" s="25" t="s">
        <v>293</v>
      </c>
      <c r="H4092" s="25"/>
      <c r="BA4092" s="73" t="s">
        <v>355</v>
      </c>
      <c r="BB4092" s="48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357</v>
      </c>
      <c r="E4093" s="1" t="s">
        <v>341</v>
      </c>
      <c r="F4093" s="26">
        <v>1.1299999999999999</v>
      </c>
      <c r="G4093" s="25" t="s">
        <v>293</v>
      </c>
      <c r="H4093" s="25"/>
      <c r="BA4093" s="73" t="s">
        <v>355</v>
      </c>
      <c r="BB4093" s="48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357</v>
      </c>
      <c r="E4094" s="1" t="s">
        <v>127</v>
      </c>
      <c r="F4094" s="26">
        <v>4.59</v>
      </c>
      <c r="G4094" s="25" t="s">
        <v>293</v>
      </c>
      <c r="H4094" s="25"/>
      <c r="BA4094" s="73" t="s">
        <v>355</v>
      </c>
      <c r="BB4094" s="48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357</v>
      </c>
      <c r="E4095" s="1" t="s">
        <v>131</v>
      </c>
      <c r="F4095" s="26">
        <v>12.1</v>
      </c>
      <c r="G4095" s="25" t="s">
        <v>293</v>
      </c>
      <c r="H4095" s="25"/>
      <c r="BA4095" s="73" t="s">
        <v>355</v>
      </c>
      <c r="BB4095" s="48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357</v>
      </c>
      <c r="E4096" s="1" t="s">
        <v>342</v>
      </c>
      <c r="F4096" s="26">
        <v>214</v>
      </c>
      <c r="G4096" s="25" t="s">
        <v>293</v>
      </c>
      <c r="H4096" s="25"/>
      <c r="BA4096" s="73" t="s">
        <v>355</v>
      </c>
      <c r="BB4096" s="48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357</v>
      </c>
      <c r="E4097" s="1" t="s">
        <v>119</v>
      </c>
      <c r="F4097" s="26">
        <v>88</v>
      </c>
      <c r="G4097" s="25" t="s">
        <v>293</v>
      </c>
      <c r="H4097" s="25"/>
      <c r="BA4097" s="73" t="s">
        <v>355</v>
      </c>
      <c r="BB4097" s="48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357</v>
      </c>
      <c r="E4098" s="1" t="s">
        <v>120</v>
      </c>
      <c r="F4098" s="26">
        <v>27</v>
      </c>
      <c r="G4098" s="25" t="s">
        <v>293</v>
      </c>
      <c r="H4098" s="25"/>
      <c r="BA4098" s="73" t="s">
        <v>355</v>
      </c>
      <c r="BB4098" s="48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357</v>
      </c>
      <c r="E4099" s="1" t="s">
        <v>117</v>
      </c>
      <c r="F4099" s="26">
        <v>6.17</v>
      </c>
      <c r="G4099" s="25" t="s">
        <v>293</v>
      </c>
      <c r="H4099" s="25"/>
      <c r="BA4099" s="73" t="s">
        <v>355</v>
      </c>
      <c r="BB4099" s="48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357</v>
      </c>
      <c r="E4100" s="1" t="s">
        <v>344</v>
      </c>
      <c r="F4100" s="26">
        <v>69</v>
      </c>
      <c r="G4100" s="25" t="s">
        <v>293</v>
      </c>
      <c r="H4100" s="25"/>
      <c r="BA4100" s="73" t="s">
        <v>355</v>
      </c>
      <c r="BB4100" s="48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357</v>
      </c>
      <c r="E4101" s="1" t="s">
        <v>132</v>
      </c>
      <c r="F4101" s="26">
        <v>7.19</v>
      </c>
      <c r="G4101" s="25" t="s">
        <v>293</v>
      </c>
      <c r="H4101" s="25"/>
      <c r="BA4101" s="73" t="s">
        <v>355</v>
      </c>
      <c r="BB4101" s="48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357</v>
      </c>
      <c r="E4102" s="1" t="s">
        <v>111</v>
      </c>
      <c r="F4102" s="26">
        <v>283</v>
      </c>
      <c r="G4102" s="25" t="s">
        <v>293</v>
      </c>
      <c r="H4102" s="25"/>
      <c r="BA4102" s="73" t="s">
        <v>355</v>
      </c>
      <c r="BB4102" s="48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357</v>
      </c>
      <c r="E4103" s="1" t="s">
        <v>345</v>
      </c>
      <c r="F4103" s="26">
        <v>9.89</v>
      </c>
      <c r="G4103" s="25" t="s">
        <v>293</v>
      </c>
      <c r="H4103" s="25"/>
      <c r="BA4103" s="73" t="s">
        <v>355</v>
      </c>
      <c r="BB4103" s="48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357</v>
      </c>
      <c r="E4104" s="1" t="s">
        <v>347</v>
      </c>
      <c r="F4104" s="26">
        <v>4.8499999999999996</v>
      </c>
      <c r="G4104" s="25" t="s">
        <v>293</v>
      </c>
      <c r="H4104" s="25"/>
      <c r="BA4104" s="73" t="s">
        <v>355</v>
      </c>
      <c r="BB4104" s="48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357</v>
      </c>
      <c r="E4105" s="1" t="s">
        <v>128</v>
      </c>
      <c r="F4105" s="26">
        <v>4.5</v>
      </c>
      <c r="G4105" s="25" t="s">
        <v>293</v>
      </c>
      <c r="H4105" s="25"/>
      <c r="BA4105" s="73" t="s">
        <v>355</v>
      </c>
      <c r="BB4105" s="48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357</v>
      </c>
      <c r="E4106" s="1" t="s">
        <v>121</v>
      </c>
      <c r="F4106" s="26">
        <v>82</v>
      </c>
      <c r="G4106" s="25" t="s">
        <v>293</v>
      </c>
      <c r="H4106" s="25"/>
      <c r="BA4106" s="73" t="s">
        <v>355</v>
      </c>
      <c r="BB4106" s="48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357</v>
      </c>
      <c r="E4107" s="1" t="s">
        <v>115</v>
      </c>
      <c r="F4107" s="26">
        <v>94</v>
      </c>
      <c r="G4107" s="25" t="s">
        <v>293</v>
      </c>
      <c r="H4107" s="25"/>
      <c r="BA4107" s="73" t="s">
        <v>355</v>
      </c>
      <c r="BB4107" s="48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357</v>
      </c>
      <c r="E4108" s="1" t="s">
        <v>137</v>
      </c>
      <c r="F4108" s="26">
        <v>489</v>
      </c>
      <c r="G4108" s="25" t="s">
        <v>293</v>
      </c>
      <c r="H4108" s="25"/>
      <c r="BA4108" s="73" t="s">
        <v>355</v>
      </c>
      <c r="BB4108" s="48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357</v>
      </c>
      <c r="E4109" s="1" t="s">
        <v>348</v>
      </c>
      <c r="F4109" s="26">
        <v>436</v>
      </c>
      <c r="G4109" s="25" t="s">
        <v>293</v>
      </c>
      <c r="H4109" s="25"/>
      <c r="BA4109" s="73" t="s">
        <v>355</v>
      </c>
      <c r="BB4109" s="48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357</v>
      </c>
      <c r="E4110" s="1" t="s">
        <v>125</v>
      </c>
      <c r="F4110" s="26">
        <v>419</v>
      </c>
      <c r="G4110" s="25" t="s">
        <v>293</v>
      </c>
      <c r="H4110" s="25"/>
      <c r="BA4110" s="73" t="s">
        <v>355</v>
      </c>
      <c r="BB4110" s="48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357</v>
      </c>
      <c r="E4111" s="1" t="s">
        <v>126</v>
      </c>
      <c r="F4111" s="26">
        <v>152</v>
      </c>
      <c r="G4111" s="25" t="s">
        <v>293</v>
      </c>
      <c r="H4111" s="25"/>
      <c r="BA4111" s="73" t="s">
        <v>355</v>
      </c>
      <c r="BB4111" s="48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357</v>
      </c>
      <c r="E4112" s="1" t="s">
        <v>349</v>
      </c>
      <c r="F4112" s="26">
        <v>378</v>
      </c>
      <c r="G4112" s="25" t="s">
        <v>293</v>
      </c>
      <c r="H4112" s="25"/>
      <c r="BA4112" s="73" t="s">
        <v>355</v>
      </c>
      <c r="BB4112" s="48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357</v>
      </c>
      <c r="E4113" s="1" t="s">
        <v>350</v>
      </c>
      <c r="F4113" s="26">
        <v>84</v>
      </c>
      <c r="G4113" s="25" t="s">
        <v>293</v>
      </c>
      <c r="H4113" s="25"/>
      <c r="BA4113" s="73" t="s">
        <v>355</v>
      </c>
      <c r="BB4113" s="48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357</v>
      </c>
      <c r="E4114" s="1" t="s">
        <v>122</v>
      </c>
      <c r="F4114" s="26">
        <v>215</v>
      </c>
      <c r="G4114" s="25" t="s">
        <v>293</v>
      </c>
      <c r="H4114" s="25"/>
      <c r="BA4114" s="73" t="s">
        <v>355</v>
      </c>
      <c r="BB4114" s="48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357</v>
      </c>
      <c r="E4115" s="1" t="s">
        <v>124</v>
      </c>
      <c r="F4115" s="26">
        <v>105</v>
      </c>
      <c r="G4115" s="25" t="s">
        <v>293</v>
      </c>
      <c r="H4115" s="25"/>
      <c r="BA4115" s="73" t="s">
        <v>355</v>
      </c>
      <c r="BB4115" s="48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357</v>
      </c>
      <c r="E4116" s="1" t="s">
        <v>351</v>
      </c>
      <c r="F4116" s="26">
        <v>3.6</v>
      </c>
      <c r="G4116" s="25" t="s">
        <v>293</v>
      </c>
      <c r="H4116" s="25"/>
      <c r="BA4116" s="73" t="s">
        <v>355</v>
      </c>
      <c r="BB4116" s="48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357</v>
      </c>
      <c r="E4117" s="1" t="s">
        <v>353</v>
      </c>
      <c r="F4117" s="26">
        <v>21.1</v>
      </c>
      <c r="G4117" s="25" t="s">
        <v>293</v>
      </c>
      <c r="H4117" s="25"/>
      <c r="BA4117" s="73" t="s">
        <v>355</v>
      </c>
      <c r="BB4117" s="48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357</v>
      </c>
      <c r="E4118" s="1" t="s">
        <v>133</v>
      </c>
      <c r="F4118" s="26">
        <v>127</v>
      </c>
      <c r="G4118" s="25" t="s">
        <v>293</v>
      </c>
      <c r="H4118" s="25"/>
      <c r="BA4118" s="73" t="s">
        <v>355</v>
      </c>
      <c r="BB4118" s="48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357</v>
      </c>
      <c r="E4119" s="1" t="s">
        <v>135</v>
      </c>
      <c r="F4119" s="26">
        <v>6.4</v>
      </c>
      <c r="G4119" s="25" t="s">
        <v>293</v>
      </c>
      <c r="H4119" s="25"/>
      <c r="BA4119" s="73" t="s">
        <v>355</v>
      </c>
      <c r="BB4119" s="48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357</v>
      </c>
      <c r="E4120" s="1" t="s">
        <v>136</v>
      </c>
      <c r="F4120" s="26">
        <v>93</v>
      </c>
      <c r="G4120" s="25" t="s">
        <v>293</v>
      </c>
      <c r="H4120" s="25"/>
      <c r="BA4120" s="73" t="s">
        <v>355</v>
      </c>
      <c r="BB4120" s="48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357</v>
      </c>
      <c r="E4121" s="1" t="s">
        <v>339</v>
      </c>
      <c r="F4121" s="26">
        <v>1.1200000000000001</v>
      </c>
      <c r="G4121" s="25" t="s">
        <v>293</v>
      </c>
      <c r="H4121" s="25"/>
      <c r="BA4121" s="73" t="s">
        <v>355</v>
      </c>
      <c r="BB4121" s="48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357</v>
      </c>
      <c r="E4122" s="1" t="s">
        <v>118</v>
      </c>
      <c r="F4122" s="26">
        <v>9.6999999999999993</v>
      </c>
      <c r="G4122" s="25" t="s">
        <v>293</v>
      </c>
      <c r="H4122" s="25"/>
      <c r="BA4122" s="73" t="s">
        <v>355</v>
      </c>
      <c r="BB4122" s="48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357</v>
      </c>
      <c r="E4123" s="1" t="s">
        <v>130</v>
      </c>
      <c r="F4123" s="26">
        <v>2.4700000000000002</v>
      </c>
      <c r="G4123" s="25" t="s">
        <v>293</v>
      </c>
      <c r="H4123" s="25"/>
      <c r="BA4123" s="73" t="s">
        <v>355</v>
      </c>
      <c r="BB4123" s="48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357</v>
      </c>
      <c r="E4124" s="1" t="s">
        <v>341</v>
      </c>
      <c r="F4124" s="26">
        <v>1.1599999999999999</v>
      </c>
      <c r="G4124" s="25" t="s">
        <v>293</v>
      </c>
      <c r="H4124" s="25"/>
      <c r="BA4124" s="73" t="s">
        <v>355</v>
      </c>
      <c r="BB4124" s="48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357</v>
      </c>
      <c r="E4125" s="1" t="s">
        <v>127</v>
      </c>
      <c r="F4125" s="26">
        <v>4.5599999999999996</v>
      </c>
      <c r="G4125" s="25" t="s">
        <v>293</v>
      </c>
      <c r="H4125" s="25"/>
      <c r="BA4125" s="73" t="s">
        <v>355</v>
      </c>
      <c r="BB4125" s="48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357</v>
      </c>
      <c r="E4126" s="1" t="s">
        <v>131</v>
      </c>
      <c r="F4126" s="26">
        <v>12.1</v>
      </c>
      <c r="G4126" s="25" t="s">
        <v>293</v>
      </c>
      <c r="H4126" s="25"/>
      <c r="BA4126" s="73" t="s">
        <v>355</v>
      </c>
      <c r="BB4126" s="48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357</v>
      </c>
      <c r="E4127" s="1" t="s">
        <v>342</v>
      </c>
      <c r="F4127" s="26">
        <v>216</v>
      </c>
      <c r="G4127" s="25" t="s">
        <v>293</v>
      </c>
      <c r="H4127" s="25"/>
      <c r="BA4127" s="73" t="s">
        <v>355</v>
      </c>
      <c r="BB4127" s="48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357</v>
      </c>
      <c r="E4128" s="1" t="s">
        <v>119</v>
      </c>
      <c r="F4128" s="26">
        <v>90</v>
      </c>
      <c r="G4128" s="25" t="s">
        <v>293</v>
      </c>
      <c r="H4128" s="25"/>
      <c r="BA4128" s="73" t="s">
        <v>355</v>
      </c>
      <c r="BB4128" s="48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357</v>
      </c>
      <c r="E4129" s="1" t="s">
        <v>120</v>
      </c>
      <c r="F4129" s="26">
        <v>27</v>
      </c>
      <c r="G4129" s="25" t="s">
        <v>293</v>
      </c>
      <c r="H4129" s="25"/>
      <c r="BA4129" s="73" t="s">
        <v>355</v>
      </c>
      <c r="BB4129" s="48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357</v>
      </c>
      <c r="E4130" s="1" t="s">
        <v>117</v>
      </c>
      <c r="F4130" s="26">
        <v>6.2</v>
      </c>
      <c r="G4130" s="25" t="s">
        <v>293</v>
      </c>
      <c r="H4130" s="25"/>
      <c r="BA4130" s="73" t="s">
        <v>355</v>
      </c>
      <c r="BB4130" s="48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357</v>
      </c>
      <c r="E4131" s="1" t="s">
        <v>344</v>
      </c>
      <c r="F4131" s="26">
        <v>69</v>
      </c>
      <c r="G4131" s="25" t="s">
        <v>293</v>
      </c>
      <c r="H4131" s="25"/>
      <c r="BA4131" s="73" t="s">
        <v>355</v>
      </c>
      <c r="BB4131" s="48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357</v>
      </c>
      <c r="E4132" s="1" t="s">
        <v>132</v>
      </c>
      <c r="F4132" s="26">
        <v>7.15</v>
      </c>
      <c r="G4132" s="25" t="s">
        <v>293</v>
      </c>
      <c r="H4132" s="25"/>
      <c r="BA4132" s="73" t="s">
        <v>355</v>
      </c>
      <c r="BB4132" s="48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357</v>
      </c>
      <c r="E4133" s="1" t="s">
        <v>111</v>
      </c>
      <c r="F4133" s="26">
        <v>282</v>
      </c>
      <c r="G4133" s="25" t="s">
        <v>293</v>
      </c>
      <c r="H4133" s="25"/>
      <c r="BA4133" s="73" t="s">
        <v>355</v>
      </c>
      <c r="BB4133" s="48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357</v>
      </c>
      <c r="E4134" s="1" t="s">
        <v>345</v>
      </c>
      <c r="F4134" s="26">
        <v>9.9499999999999993</v>
      </c>
      <c r="G4134" s="25" t="s">
        <v>293</v>
      </c>
      <c r="H4134" s="25"/>
      <c r="BA4134" s="73" t="s">
        <v>355</v>
      </c>
      <c r="BB4134" s="48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357</v>
      </c>
      <c r="E4135" s="1" t="s">
        <v>347</v>
      </c>
      <c r="F4135" s="26">
        <v>4.7699999999999996</v>
      </c>
      <c r="G4135" s="25" t="s">
        <v>293</v>
      </c>
      <c r="H4135" s="25"/>
      <c r="BA4135" s="73" t="s">
        <v>355</v>
      </c>
      <c r="BB4135" s="48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357</v>
      </c>
      <c r="E4136" s="1" t="s">
        <v>128</v>
      </c>
      <c r="F4136" s="26">
        <v>4.4000000000000004</v>
      </c>
      <c r="G4136" s="25" t="s">
        <v>293</v>
      </c>
      <c r="H4136" s="25"/>
      <c r="BA4136" s="73" t="s">
        <v>355</v>
      </c>
      <c r="BB4136" s="48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357</v>
      </c>
      <c r="E4137" s="1" t="s">
        <v>121</v>
      </c>
      <c r="F4137" s="26">
        <v>80</v>
      </c>
      <c r="G4137" s="25" t="s">
        <v>293</v>
      </c>
      <c r="H4137" s="25"/>
      <c r="BA4137" s="73" t="s">
        <v>355</v>
      </c>
      <c r="BB4137" s="48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357</v>
      </c>
      <c r="E4138" s="1" t="s">
        <v>115</v>
      </c>
      <c r="F4138" s="26">
        <v>94</v>
      </c>
      <c r="G4138" s="25" t="s">
        <v>293</v>
      </c>
      <c r="H4138" s="25"/>
      <c r="BA4138" s="73" t="s">
        <v>355</v>
      </c>
      <c r="BB4138" s="48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357</v>
      </c>
      <c r="E4139" s="1" t="s">
        <v>137</v>
      </c>
      <c r="F4139" s="26">
        <v>486</v>
      </c>
      <c r="G4139" s="25" t="s">
        <v>293</v>
      </c>
      <c r="H4139" s="25"/>
      <c r="BA4139" s="73" t="s">
        <v>355</v>
      </c>
      <c r="BB4139" s="48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357</v>
      </c>
      <c r="E4140" s="1" t="s">
        <v>348</v>
      </c>
      <c r="F4140" s="26">
        <v>435</v>
      </c>
      <c r="G4140" s="25" t="s">
        <v>293</v>
      </c>
      <c r="H4140" s="25"/>
      <c r="BA4140" s="73" t="s">
        <v>355</v>
      </c>
      <c r="BB4140" s="48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357</v>
      </c>
      <c r="E4141" s="1" t="s">
        <v>125</v>
      </c>
      <c r="F4141" s="26">
        <v>428</v>
      </c>
      <c r="G4141" s="25" t="s">
        <v>293</v>
      </c>
      <c r="H4141" s="25"/>
      <c r="BA4141" s="73" t="s">
        <v>355</v>
      </c>
      <c r="BB4141" s="48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357</v>
      </c>
      <c r="E4142" s="1" t="s">
        <v>126</v>
      </c>
      <c r="F4142" s="26">
        <v>156</v>
      </c>
      <c r="G4142" s="25" t="s">
        <v>293</v>
      </c>
      <c r="H4142" s="25"/>
      <c r="BA4142" s="73" t="s">
        <v>355</v>
      </c>
      <c r="BB4142" s="48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357</v>
      </c>
      <c r="E4143" s="1" t="s">
        <v>349</v>
      </c>
      <c r="F4143" s="26">
        <v>362</v>
      </c>
      <c r="G4143" s="25" t="s">
        <v>293</v>
      </c>
      <c r="H4143" s="25"/>
      <c r="BA4143" s="73" t="s">
        <v>355</v>
      </c>
      <c r="BB4143" s="48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357</v>
      </c>
      <c r="E4144" s="1" t="s">
        <v>350</v>
      </c>
      <c r="F4144" s="26">
        <v>83</v>
      </c>
      <c r="G4144" s="25" t="s">
        <v>293</v>
      </c>
      <c r="H4144" s="25"/>
      <c r="BA4144" s="73" t="s">
        <v>355</v>
      </c>
      <c r="BB4144" s="48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357</v>
      </c>
      <c r="E4145" s="1" t="s">
        <v>122</v>
      </c>
      <c r="F4145" s="26">
        <v>214</v>
      </c>
      <c r="G4145" s="25" t="s">
        <v>293</v>
      </c>
      <c r="H4145" s="25"/>
      <c r="BA4145" s="73" t="s">
        <v>355</v>
      </c>
      <c r="BB4145" s="48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357</v>
      </c>
      <c r="E4146" s="1" t="s">
        <v>124</v>
      </c>
      <c r="F4146" s="26">
        <v>104</v>
      </c>
      <c r="G4146" s="25" t="s">
        <v>293</v>
      </c>
      <c r="H4146" s="25"/>
      <c r="BA4146" s="73" t="s">
        <v>355</v>
      </c>
      <c r="BB4146" s="48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357</v>
      </c>
      <c r="E4147" s="1" t="s">
        <v>351</v>
      </c>
      <c r="F4147" s="26">
        <v>3.56</v>
      </c>
      <c r="G4147" s="25" t="s">
        <v>293</v>
      </c>
      <c r="H4147" s="25"/>
      <c r="BA4147" s="73" t="s">
        <v>355</v>
      </c>
      <c r="BB4147" s="48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357</v>
      </c>
      <c r="E4148" s="1" t="s">
        <v>353</v>
      </c>
      <c r="F4148" s="26">
        <v>19.8</v>
      </c>
      <c r="G4148" s="25" t="s">
        <v>293</v>
      </c>
      <c r="H4148" s="25"/>
      <c r="BA4148" s="73" t="s">
        <v>355</v>
      </c>
      <c r="BB4148" s="48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357</v>
      </c>
      <c r="E4149" s="1" t="s">
        <v>133</v>
      </c>
      <c r="F4149" s="26">
        <v>127</v>
      </c>
      <c r="G4149" s="25" t="s">
        <v>293</v>
      </c>
      <c r="H4149" s="25"/>
      <c r="BA4149" s="73" t="s">
        <v>355</v>
      </c>
      <c r="BB4149" s="48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357</v>
      </c>
      <c r="E4150" s="1" t="s">
        <v>135</v>
      </c>
      <c r="F4150" s="26">
        <v>6.4</v>
      </c>
      <c r="G4150" s="25" t="s">
        <v>293</v>
      </c>
      <c r="H4150" s="25"/>
      <c r="BA4150" s="73" t="s">
        <v>355</v>
      </c>
      <c r="BB4150" s="48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357</v>
      </c>
      <c r="E4151" s="1" t="s">
        <v>136</v>
      </c>
      <c r="F4151" s="26">
        <v>94</v>
      </c>
      <c r="G4151" s="25" t="s">
        <v>293</v>
      </c>
      <c r="H4151" s="25"/>
      <c r="BA4151" s="73" t="s">
        <v>355</v>
      </c>
      <c r="BB4151" s="48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357</v>
      </c>
      <c r="E4152" s="1" t="s">
        <v>339</v>
      </c>
      <c r="F4152" s="26">
        <v>1.18</v>
      </c>
      <c r="G4152" s="25" t="s">
        <v>293</v>
      </c>
      <c r="H4152" s="25"/>
      <c r="BA4152" s="73" t="s">
        <v>355</v>
      </c>
      <c r="BB4152" s="48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357</v>
      </c>
      <c r="E4153" s="1" t="s">
        <v>118</v>
      </c>
      <c r="F4153" s="26">
        <v>9.5</v>
      </c>
      <c r="G4153" s="25" t="s">
        <v>293</v>
      </c>
      <c r="H4153" s="25"/>
      <c r="BA4153" s="73" t="s">
        <v>355</v>
      </c>
      <c r="BB4153" s="48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357</v>
      </c>
      <c r="E4154" s="1" t="s">
        <v>130</v>
      </c>
      <c r="F4154" s="26">
        <v>2.4300000000000002</v>
      </c>
      <c r="G4154" s="25" t="s">
        <v>293</v>
      </c>
      <c r="H4154" s="25"/>
      <c r="BA4154" s="73" t="s">
        <v>355</v>
      </c>
      <c r="BB4154" s="48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357</v>
      </c>
      <c r="E4155" s="1" t="s">
        <v>341</v>
      </c>
      <c r="F4155" s="26">
        <v>1.1399999999999999</v>
      </c>
      <c r="G4155" s="25" t="s">
        <v>293</v>
      </c>
      <c r="H4155" s="25"/>
      <c r="BA4155" s="73" t="s">
        <v>355</v>
      </c>
      <c r="BB4155" s="48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357</v>
      </c>
      <c r="E4156" s="1" t="s">
        <v>127</v>
      </c>
      <c r="F4156" s="26">
        <v>4.5999999999999996</v>
      </c>
      <c r="G4156" s="25" t="s">
        <v>293</v>
      </c>
      <c r="H4156" s="25"/>
      <c r="BA4156" s="73" t="s">
        <v>355</v>
      </c>
      <c r="BB4156" s="48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357</v>
      </c>
      <c r="E4157" s="1" t="s">
        <v>131</v>
      </c>
      <c r="F4157" s="26">
        <v>12.1</v>
      </c>
      <c r="G4157" s="25" t="s">
        <v>293</v>
      </c>
      <c r="H4157" s="25"/>
      <c r="BA4157" s="73" t="s">
        <v>355</v>
      </c>
      <c r="BB4157" s="48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357</v>
      </c>
      <c r="E4158" s="1" t="s">
        <v>342</v>
      </c>
      <c r="F4158" s="26">
        <v>215</v>
      </c>
      <c r="G4158" s="25" t="s">
        <v>293</v>
      </c>
      <c r="H4158" s="25"/>
      <c r="BA4158" s="73" t="s">
        <v>355</v>
      </c>
      <c r="BB4158" s="48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357</v>
      </c>
      <c r="E4159" s="1" t="s">
        <v>119</v>
      </c>
      <c r="F4159" s="26">
        <v>90</v>
      </c>
      <c r="G4159" s="25" t="s">
        <v>293</v>
      </c>
      <c r="H4159" s="25"/>
      <c r="BA4159" s="73" t="s">
        <v>355</v>
      </c>
      <c r="BB4159" s="48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357</v>
      </c>
      <c r="E4160" s="1" t="s">
        <v>120</v>
      </c>
      <c r="F4160" s="26">
        <v>27</v>
      </c>
      <c r="G4160" s="25" t="s">
        <v>293</v>
      </c>
      <c r="H4160" s="25"/>
      <c r="BA4160" s="73" t="s">
        <v>355</v>
      </c>
      <c r="BB4160" s="48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357</v>
      </c>
      <c r="E4161" s="1" t="s">
        <v>117</v>
      </c>
      <c r="F4161" s="26">
        <v>6.4</v>
      </c>
      <c r="G4161" s="25" t="s">
        <v>293</v>
      </c>
      <c r="H4161" s="25"/>
      <c r="BA4161" s="73" t="s">
        <v>355</v>
      </c>
      <c r="BB4161" s="48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357</v>
      </c>
      <c r="E4162" s="1" t="s">
        <v>344</v>
      </c>
      <c r="F4162" s="26">
        <v>70</v>
      </c>
      <c r="G4162" s="25" t="s">
        <v>293</v>
      </c>
      <c r="H4162" s="25"/>
      <c r="BA4162" s="73" t="s">
        <v>355</v>
      </c>
      <c r="BB4162" s="48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357</v>
      </c>
      <c r="E4163" s="1" t="s">
        <v>132</v>
      </c>
      <c r="F4163" s="26">
        <v>6.97</v>
      </c>
      <c r="G4163" s="25" t="s">
        <v>293</v>
      </c>
      <c r="H4163" s="25"/>
      <c r="BA4163" s="73" t="s">
        <v>355</v>
      </c>
      <c r="BB4163" s="48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357</v>
      </c>
      <c r="E4164" s="1" t="s">
        <v>111</v>
      </c>
      <c r="F4164" s="26">
        <v>281</v>
      </c>
      <c r="G4164" s="25" t="s">
        <v>293</v>
      </c>
      <c r="H4164" s="25"/>
      <c r="BA4164" s="73" t="s">
        <v>355</v>
      </c>
      <c r="BB4164" s="48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357</v>
      </c>
      <c r="E4165" s="1" t="s">
        <v>345</v>
      </c>
      <c r="F4165" s="26">
        <v>10</v>
      </c>
      <c r="G4165" s="25" t="s">
        <v>293</v>
      </c>
      <c r="H4165" s="25"/>
      <c r="BA4165" s="73" t="s">
        <v>355</v>
      </c>
      <c r="BB4165" s="48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357</v>
      </c>
      <c r="E4166" s="1" t="s">
        <v>347</v>
      </c>
      <c r="F4166" s="26">
        <v>4.8600000000000003</v>
      </c>
      <c r="G4166" s="25" t="s">
        <v>293</v>
      </c>
      <c r="H4166" s="25"/>
      <c r="BA4166" s="73" t="s">
        <v>355</v>
      </c>
      <c r="BB4166" s="48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357</v>
      </c>
      <c r="E4167" s="1" t="s">
        <v>128</v>
      </c>
      <c r="F4167" s="26">
        <v>4.4000000000000004</v>
      </c>
      <c r="G4167" s="25" t="s">
        <v>293</v>
      </c>
      <c r="H4167" s="25"/>
      <c r="BA4167" s="73" t="s">
        <v>355</v>
      </c>
      <c r="BB4167" s="48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357</v>
      </c>
      <c r="E4168" s="1" t="s">
        <v>121</v>
      </c>
      <c r="F4168" s="26">
        <v>78</v>
      </c>
      <c r="G4168" s="25" t="s">
        <v>293</v>
      </c>
      <c r="H4168" s="25"/>
      <c r="BA4168" s="73" t="s">
        <v>355</v>
      </c>
      <c r="BB4168" s="48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357</v>
      </c>
      <c r="E4169" s="1" t="s">
        <v>115</v>
      </c>
      <c r="F4169" s="26">
        <v>96</v>
      </c>
      <c r="G4169" s="25" t="s">
        <v>293</v>
      </c>
      <c r="H4169" s="25"/>
      <c r="BA4169" s="73" t="s">
        <v>355</v>
      </c>
      <c r="BB4169" s="48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357</v>
      </c>
      <c r="E4170" s="1" t="s">
        <v>137</v>
      </c>
      <c r="F4170" s="26">
        <v>486</v>
      </c>
      <c r="G4170" s="25" t="s">
        <v>293</v>
      </c>
      <c r="H4170" s="25"/>
      <c r="BA4170" s="73" t="s">
        <v>355</v>
      </c>
      <c r="BB4170" s="48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357</v>
      </c>
      <c r="E4171" s="1" t="s">
        <v>348</v>
      </c>
      <c r="F4171" s="26">
        <v>424</v>
      </c>
      <c r="G4171" s="25" t="s">
        <v>293</v>
      </c>
      <c r="H4171" s="25"/>
      <c r="BA4171" s="73" t="s">
        <v>355</v>
      </c>
      <c r="BB4171" s="48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357</v>
      </c>
      <c r="E4172" s="1" t="s">
        <v>125</v>
      </c>
      <c r="F4172" s="26">
        <v>419</v>
      </c>
      <c r="G4172" s="25" t="s">
        <v>293</v>
      </c>
      <c r="H4172" s="25"/>
      <c r="BA4172" s="73" t="s">
        <v>355</v>
      </c>
      <c r="BB4172" s="48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357</v>
      </c>
      <c r="E4173" s="1" t="s">
        <v>126</v>
      </c>
      <c r="F4173" s="26">
        <v>153</v>
      </c>
      <c r="G4173" s="25" t="s">
        <v>293</v>
      </c>
      <c r="H4173" s="25"/>
      <c r="BA4173" s="73" t="s">
        <v>355</v>
      </c>
      <c r="BB4173" s="48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357</v>
      </c>
      <c r="E4174" s="1" t="s">
        <v>349</v>
      </c>
      <c r="F4174" s="26">
        <v>380</v>
      </c>
      <c r="G4174" s="25" t="s">
        <v>293</v>
      </c>
      <c r="H4174" s="25"/>
      <c r="BA4174" s="73" t="s">
        <v>355</v>
      </c>
      <c r="BB4174" s="48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357</v>
      </c>
      <c r="E4175" s="1" t="s">
        <v>350</v>
      </c>
      <c r="F4175" s="26">
        <v>84</v>
      </c>
      <c r="G4175" s="25" t="s">
        <v>293</v>
      </c>
      <c r="H4175" s="25"/>
      <c r="BA4175" s="73" t="s">
        <v>355</v>
      </c>
      <c r="BB4175" s="48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357</v>
      </c>
      <c r="E4176" s="1" t="s">
        <v>122</v>
      </c>
      <c r="F4176" s="26">
        <v>216</v>
      </c>
      <c r="G4176" s="25" t="s">
        <v>293</v>
      </c>
      <c r="H4176" s="25"/>
      <c r="BA4176" s="73" t="s">
        <v>355</v>
      </c>
      <c r="BB4176" s="48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357</v>
      </c>
      <c r="E4177" s="1" t="s">
        <v>124</v>
      </c>
      <c r="F4177" s="26">
        <v>103</v>
      </c>
      <c r="G4177" s="25" t="s">
        <v>293</v>
      </c>
      <c r="H4177" s="25"/>
      <c r="BA4177" s="73" t="s">
        <v>355</v>
      </c>
      <c r="BB4177" s="48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357</v>
      </c>
      <c r="E4178" s="1" t="s">
        <v>351</v>
      </c>
      <c r="F4178" s="26">
        <v>3.54</v>
      </c>
      <c r="G4178" s="25" t="s">
        <v>293</v>
      </c>
      <c r="H4178" s="25"/>
      <c r="BA4178" s="73" t="s">
        <v>355</v>
      </c>
      <c r="BB4178" s="48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357</v>
      </c>
      <c r="E4179" s="1" t="s">
        <v>353</v>
      </c>
      <c r="F4179" s="26">
        <v>16.399999999999999</v>
      </c>
      <c r="G4179" s="25" t="s">
        <v>293</v>
      </c>
      <c r="H4179" s="25"/>
      <c r="BA4179" s="73" t="s">
        <v>355</v>
      </c>
      <c r="BB4179" s="48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357</v>
      </c>
      <c r="E4180" s="1" t="s">
        <v>133</v>
      </c>
      <c r="F4180" s="26">
        <v>125</v>
      </c>
      <c r="G4180" s="25" t="s">
        <v>293</v>
      </c>
      <c r="H4180" s="25"/>
      <c r="BA4180" s="73" t="s">
        <v>355</v>
      </c>
      <c r="BB4180" s="48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357</v>
      </c>
      <c r="E4181" s="1" t="s">
        <v>135</v>
      </c>
      <c r="F4181" s="26">
        <v>6.3</v>
      </c>
      <c r="G4181" s="25" t="s">
        <v>293</v>
      </c>
      <c r="H4181" s="25"/>
      <c r="BA4181" s="73" t="s">
        <v>355</v>
      </c>
      <c r="BB4181" s="48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357</v>
      </c>
      <c r="E4182" s="1" t="s">
        <v>136</v>
      </c>
      <c r="F4182" s="26">
        <v>94</v>
      </c>
      <c r="G4182" s="25" t="s">
        <v>293</v>
      </c>
      <c r="H4182" s="25"/>
      <c r="BA4182" s="73" t="s">
        <v>355</v>
      </c>
      <c r="BB4182" s="48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357</v>
      </c>
      <c r="E4183" s="1" t="s">
        <v>339</v>
      </c>
      <c r="F4183" s="26">
        <v>1.07</v>
      </c>
      <c r="G4183" s="25" t="s">
        <v>293</v>
      </c>
      <c r="H4183" s="25"/>
      <c r="BA4183" s="73" t="s">
        <v>355</v>
      </c>
      <c r="BB4183" s="48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357</v>
      </c>
      <c r="E4184" s="1" t="s">
        <v>118</v>
      </c>
      <c r="F4184" s="26">
        <v>9.5</v>
      </c>
      <c r="G4184" s="25" t="s">
        <v>293</v>
      </c>
      <c r="H4184" s="25"/>
      <c r="BA4184" s="73" t="s">
        <v>355</v>
      </c>
      <c r="BB4184" s="48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357</v>
      </c>
      <c r="E4185" s="1" t="s">
        <v>130</v>
      </c>
      <c r="F4185" s="26">
        <v>2.4</v>
      </c>
      <c r="G4185" s="25" t="s">
        <v>293</v>
      </c>
      <c r="H4185" s="25"/>
      <c r="BA4185" s="73" t="s">
        <v>355</v>
      </c>
      <c r="BB4185" s="48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357</v>
      </c>
      <c r="E4186" s="1" t="s">
        <v>341</v>
      </c>
      <c r="F4186" s="26">
        <v>1.18</v>
      </c>
      <c r="G4186" s="25" t="s">
        <v>293</v>
      </c>
      <c r="H4186" s="25"/>
      <c r="BA4186" s="73" t="s">
        <v>355</v>
      </c>
      <c r="BB4186" s="48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357</v>
      </c>
      <c r="E4187" s="1" t="s">
        <v>127</v>
      </c>
      <c r="F4187" s="26">
        <v>4.4800000000000004</v>
      </c>
      <c r="G4187" s="25" t="s">
        <v>293</v>
      </c>
      <c r="H4187" s="25"/>
      <c r="BA4187" s="73" t="s">
        <v>355</v>
      </c>
      <c r="BB4187" s="48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357</v>
      </c>
      <c r="E4188" s="1" t="s">
        <v>131</v>
      </c>
      <c r="F4188" s="26">
        <v>12.2</v>
      </c>
      <c r="G4188" s="25" t="s">
        <v>293</v>
      </c>
      <c r="H4188" s="25"/>
      <c r="BA4188" s="73" t="s">
        <v>355</v>
      </c>
      <c r="BB4188" s="48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357</v>
      </c>
      <c r="E4189" s="1" t="s">
        <v>342</v>
      </c>
      <c r="F4189" s="26">
        <v>218</v>
      </c>
      <c r="G4189" s="25" t="s">
        <v>293</v>
      </c>
      <c r="H4189" s="25"/>
      <c r="BA4189" s="73" t="s">
        <v>355</v>
      </c>
      <c r="BB4189" s="48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357</v>
      </c>
      <c r="E4190" s="1" t="s">
        <v>119</v>
      </c>
      <c r="F4190" s="26">
        <v>88</v>
      </c>
      <c r="G4190" s="25" t="s">
        <v>293</v>
      </c>
      <c r="H4190" s="25"/>
      <c r="BA4190" s="73" t="s">
        <v>355</v>
      </c>
      <c r="BB4190" s="48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357</v>
      </c>
      <c r="E4191" s="1" t="s">
        <v>120</v>
      </c>
      <c r="F4191" s="26">
        <v>27</v>
      </c>
      <c r="G4191" s="25" t="s">
        <v>293</v>
      </c>
      <c r="H4191" s="25"/>
      <c r="BA4191" s="73" t="s">
        <v>355</v>
      </c>
      <c r="BB4191" s="48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357</v>
      </c>
      <c r="E4192" s="1" t="s">
        <v>117</v>
      </c>
      <c r="F4192" s="26">
        <v>6.2</v>
      </c>
      <c r="G4192" s="25" t="s">
        <v>293</v>
      </c>
      <c r="H4192" s="25"/>
      <c r="BA4192" s="73" t="s">
        <v>355</v>
      </c>
      <c r="BB4192" s="48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357</v>
      </c>
      <c r="E4193" s="1" t="s">
        <v>344</v>
      </c>
      <c r="F4193" s="26">
        <v>69</v>
      </c>
      <c r="G4193" s="25" t="s">
        <v>293</v>
      </c>
      <c r="H4193" s="25"/>
      <c r="BA4193" s="73" t="s">
        <v>355</v>
      </c>
      <c r="BB4193" s="48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357</v>
      </c>
      <c r="E4194" s="1" t="s">
        <v>132</v>
      </c>
      <c r="F4194" s="26">
        <v>7.1</v>
      </c>
      <c r="G4194" s="25" t="s">
        <v>293</v>
      </c>
      <c r="H4194" s="25"/>
      <c r="BA4194" s="73" t="s">
        <v>355</v>
      </c>
      <c r="BB4194" s="48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357</v>
      </c>
      <c r="E4195" s="1" t="s">
        <v>111</v>
      </c>
      <c r="F4195" s="26">
        <v>279</v>
      </c>
      <c r="G4195" s="25" t="s">
        <v>293</v>
      </c>
      <c r="H4195" s="25"/>
      <c r="BA4195" s="73" t="s">
        <v>355</v>
      </c>
      <c r="BB4195" s="48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357</v>
      </c>
      <c r="E4196" s="1" t="s">
        <v>345</v>
      </c>
      <c r="F4196" s="26">
        <v>9.85</v>
      </c>
      <c r="G4196" s="25" t="s">
        <v>293</v>
      </c>
      <c r="H4196" s="25"/>
      <c r="BA4196" s="73" t="s">
        <v>355</v>
      </c>
      <c r="BB4196" s="48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357</v>
      </c>
      <c r="E4197" s="1" t="s">
        <v>347</v>
      </c>
      <c r="F4197" s="26">
        <v>4.84</v>
      </c>
      <c r="G4197" s="25" t="s">
        <v>293</v>
      </c>
      <c r="H4197" s="25"/>
      <c r="BA4197" s="73" t="s">
        <v>355</v>
      </c>
      <c r="BB4197" s="48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357</v>
      </c>
      <c r="E4198" s="1" t="s">
        <v>128</v>
      </c>
      <c r="F4198" s="26">
        <v>4.5</v>
      </c>
      <c r="G4198" s="25" t="s">
        <v>293</v>
      </c>
      <c r="H4198" s="25"/>
      <c r="BA4198" s="73" t="s">
        <v>355</v>
      </c>
      <c r="BB4198" s="48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357</v>
      </c>
      <c r="E4199" s="1" t="s">
        <v>121</v>
      </c>
      <c r="F4199" s="26">
        <v>79</v>
      </c>
      <c r="G4199" s="25" t="s">
        <v>293</v>
      </c>
      <c r="H4199" s="25"/>
      <c r="BA4199" s="73" t="s">
        <v>355</v>
      </c>
      <c r="BB4199" s="48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357</v>
      </c>
      <c r="E4200" s="1" t="s">
        <v>115</v>
      </c>
      <c r="F4200" s="26">
        <v>98</v>
      </c>
      <c r="G4200" s="25" t="s">
        <v>293</v>
      </c>
      <c r="H4200" s="25"/>
      <c r="BA4200" s="73" t="s">
        <v>355</v>
      </c>
      <c r="BB4200" s="48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357</v>
      </c>
      <c r="E4201" s="1" t="s">
        <v>137</v>
      </c>
      <c r="F4201" s="26">
        <v>481</v>
      </c>
      <c r="G4201" s="25" t="s">
        <v>293</v>
      </c>
      <c r="H4201" s="25"/>
      <c r="BA4201" s="73" t="s">
        <v>355</v>
      </c>
      <c r="BB4201" s="48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357</v>
      </c>
      <c r="E4202" s="1" t="s">
        <v>348</v>
      </c>
      <c r="F4202" s="26">
        <v>423</v>
      </c>
      <c r="G4202" s="25" t="s">
        <v>293</v>
      </c>
      <c r="H4202" s="25"/>
      <c r="BA4202" s="73" t="s">
        <v>355</v>
      </c>
      <c r="BB4202" s="48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357</v>
      </c>
      <c r="E4203" s="1" t="s">
        <v>125</v>
      </c>
      <c r="F4203" s="26">
        <v>421</v>
      </c>
      <c r="G4203" s="25" t="s">
        <v>293</v>
      </c>
      <c r="H4203" s="25"/>
      <c r="BA4203" s="73" t="s">
        <v>355</v>
      </c>
      <c r="BB4203" s="48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357</v>
      </c>
      <c r="E4204" s="1" t="s">
        <v>126</v>
      </c>
      <c r="F4204" s="26">
        <v>152</v>
      </c>
      <c r="G4204" s="25" t="s">
        <v>293</v>
      </c>
      <c r="H4204" s="25"/>
      <c r="BA4204" s="73" t="s">
        <v>355</v>
      </c>
      <c r="BB4204" s="48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357</v>
      </c>
      <c r="E4205" s="1" t="s">
        <v>349</v>
      </c>
      <c r="F4205" s="26">
        <v>375</v>
      </c>
      <c r="G4205" s="25" t="s">
        <v>293</v>
      </c>
      <c r="H4205" s="25"/>
      <c r="BA4205" s="73" t="s">
        <v>355</v>
      </c>
      <c r="BB4205" s="48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357</v>
      </c>
      <c r="E4206" s="1" t="s">
        <v>350</v>
      </c>
      <c r="F4206" s="26">
        <v>84</v>
      </c>
      <c r="G4206" s="25" t="s">
        <v>293</v>
      </c>
      <c r="H4206" s="25"/>
      <c r="BA4206" s="73" t="s">
        <v>355</v>
      </c>
      <c r="BB4206" s="48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357</v>
      </c>
      <c r="E4207" s="1" t="s">
        <v>122</v>
      </c>
      <c r="F4207" s="26">
        <v>211</v>
      </c>
      <c r="G4207" s="25" t="s">
        <v>293</v>
      </c>
      <c r="H4207" s="25"/>
      <c r="BA4207" s="73" t="s">
        <v>355</v>
      </c>
      <c r="BB4207" s="48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357</v>
      </c>
      <c r="E4208" s="1" t="s">
        <v>124</v>
      </c>
      <c r="F4208" s="26">
        <v>101</v>
      </c>
      <c r="G4208" s="25" t="s">
        <v>293</v>
      </c>
      <c r="H4208" s="25"/>
      <c r="BA4208" s="73" t="s">
        <v>355</v>
      </c>
      <c r="BB4208" s="48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357</v>
      </c>
      <c r="E4209" s="1" t="s">
        <v>351</v>
      </c>
      <c r="F4209" s="26">
        <v>3.63</v>
      </c>
      <c r="G4209" s="25" t="s">
        <v>293</v>
      </c>
      <c r="H4209" s="25"/>
      <c r="BA4209" s="73" t="s">
        <v>355</v>
      </c>
      <c r="BB4209" s="48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357</v>
      </c>
      <c r="E4210" s="1" t="s">
        <v>353</v>
      </c>
      <c r="F4210" s="26">
        <v>17.3</v>
      </c>
      <c r="G4210" s="25" t="s">
        <v>293</v>
      </c>
      <c r="H4210" s="25"/>
      <c r="BA4210" s="73" t="s">
        <v>355</v>
      </c>
      <c r="BB4210" s="48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357</v>
      </c>
      <c r="E4211" s="1" t="s">
        <v>133</v>
      </c>
      <c r="F4211" s="26">
        <v>126</v>
      </c>
      <c r="G4211" s="25" t="s">
        <v>293</v>
      </c>
      <c r="H4211" s="25"/>
      <c r="BA4211" s="73" t="s">
        <v>355</v>
      </c>
      <c r="BB4211" s="48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357</v>
      </c>
      <c r="E4212" s="1" t="s">
        <v>135</v>
      </c>
      <c r="F4212" s="26">
        <v>6.4</v>
      </c>
      <c r="G4212" s="25" t="s">
        <v>293</v>
      </c>
      <c r="H4212" s="25"/>
      <c r="BA4212" s="73" t="s">
        <v>355</v>
      </c>
      <c r="BB4212" s="48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357</v>
      </c>
      <c r="E4213" s="1" t="s">
        <v>136</v>
      </c>
      <c r="F4213" s="26">
        <v>93</v>
      </c>
      <c r="G4213" s="25" t="s">
        <v>293</v>
      </c>
      <c r="H4213" s="25"/>
      <c r="BA4213" s="73" t="s">
        <v>355</v>
      </c>
      <c r="BB4213" s="48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357</v>
      </c>
      <c r="E4214" s="1" t="s">
        <v>339</v>
      </c>
      <c r="F4214" s="26">
        <v>1.1000000000000001</v>
      </c>
      <c r="G4214" s="25" t="s">
        <v>293</v>
      </c>
      <c r="H4214" s="25"/>
      <c r="BA4214" s="73" t="s">
        <v>355</v>
      </c>
      <c r="BB4214" s="48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357</v>
      </c>
      <c r="E4215" s="1" t="s">
        <v>118</v>
      </c>
      <c r="F4215" s="26">
        <v>9.5</v>
      </c>
      <c r="G4215" s="25" t="s">
        <v>293</v>
      </c>
      <c r="H4215" s="25"/>
      <c r="BA4215" s="73" t="s">
        <v>355</v>
      </c>
      <c r="BB4215" s="48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357</v>
      </c>
      <c r="E4216" s="1" t="s">
        <v>130</v>
      </c>
      <c r="F4216" s="26">
        <v>2.39</v>
      </c>
      <c r="G4216" s="25" t="s">
        <v>293</v>
      </c>
      <c r="H4216" s="25"/>
      <c r="BA4216" s="73" t="s">
        <v>355</v>
      </c>
      <c r="BB4216" s="48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357</v>
      </c>
      <c r="E4217" s="1" t="s">
        <v>341</v>
      </c>
      <c r="F4217" s="26">
        <v>1.1399999999999999</v>
      </c>
      <c r="G4217" s="25" t="s">
        <v>293</v>
      </c>
      <c r="H4217" s="25"/>
      <c r="BA4217" s="73" t="s">
        <v>355</v>
      </c>
      <c r="BB4217" s="48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357</v>
      </c>
      <c r="E4218" s="1" t="s">
        <v>127</v>
      </c>
      <c r="F4218" s="26">
        <v>4.46</v>
      </c>
      <c r="G4218" s="25" t="s">
        <v>293</v>
      </c>
      <c r="H4218" s="25"/>
      <c r="BA4218" s="73" t="s">
        <v>355</v>
      </c>
      <c r="BB4218" s="48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357</v>
      </c>
      <c r="E4219" s="1" t="s">
        <v>131</v>
      </c>
      <c r="F4219" s="26">
        <v>12.1</v>
      </c>
      <c r="G4219" s="25" t="s">
        <v>293</v>
      </c>
      <c r="H4219" s="25"/>
      <c r="BA4219" s="73" t="s">
        <v>355</v>
      </c>
      <c r="BB4219" s="48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357</v>
      </c>
      <c r="E4220" s="1" t="s">
        <v>342</v>
      </c>
      <c r="F4220" s="26">
        <v>217</v>
      </c>
      <c r="G4220" s="25" t="s">
        <v>293</v>
      </c>
      <c r="H4220" s="25"/>
      <c r="BA4220" s="73" t="s">
        <v>355</v>
      </c>
      <c r="BB4220" s="48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357</v>
      </c>
      <c r="E4221" s="1" t="s">
        <v>119</v>
      </c>
      <c r="F4221" s="26">
        <v>90</v>
      </c>
      <c r="G4221" s="25" t="s">
        <v>293</v>
      </c>
      <c r="H4221" s="25"/>
      <c r="BA4221" s="73" t="s">
        <v>355</v>
      </c>
      <c r="BB4221" s="48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357</v>
      </c>
      <c r="E4222" s="1" t="s">
        <v>120</v>
      </c>
      <c r="F4222" s="26">
        <v>27</v>
      </c>
      <c r="G4222" s="25" t="s">
        <v>293</v>
      </c>
      <c r="H4222" s="25"/>
      <c r="BA4222" s="73" t="s">
        <v>355</v>
      </c>
      <c r="BB4222" s="48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357</v>
      </c>
      <c r="E4223" s="1" t="s">
        <v>117</v>
      </c>
      <c r="F4223" s="26">
        <v>6.36</v>
      </c>
      <c r="G4223" s="25" t="s">
        <v>293</v>
      </c>
      <c r="H4223" s="25"/>
      <c r="BA4223" s="73" t="s">
        <v>355</v>
      </c>
      <c r="BB4223" s="48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357</v>
      </c>
      <c r="E4224" s="1" t="s">
        <v>344</v>
      </c>
      <c r="F4224" s="26">
        <v>70</v>
      </c>
      <c r="G4224" s="25" t="s">
        <v>293</v>
      </c>
      <c r="H4224" s="25"/>
      <c r="BA4224" s="73" t="s">
        <v>355</v>
      </c>
      <c r="BB4224" s="48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357</v>
      </c>
      <c r="E4225" s="1" t="s">
        <v>132</v>
      </c>
      <c r="F4225" s="26">
        <v>7.15</v>
      </c>
      <c r="G4225" s="25" t="s">
        <v>293</v>
      </c>
      <c r="H4225" s="25"/>
      <c r="BA4225" s="73" t="s">
        <v>355</v>
      </c>
      <c r="BB4225" s="48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357</v>
      </c>
      <c r="E4226" s="1" t="s">
        <v>111</v>
      </c>
      <c r="F4226" s="26">
        <v>281</v>
      </c>
      <c r="G4226" s="25" t="s">
        <v>293</v>
      </c>
      <c r="H4226" s="25"/>
      <c r="BA4226" s="73" t="s">
        <v>355</v>
      </c>
      <c r="BB4226" s="48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357</v>
      </c>
      <c r="E4227" s="1" t="s">
        <v>345</v>
      </c>
      <c r="F4227" s="26">
        <v>9.9499999999999993</v>
      </c>
      <c r="G4227" s="25" t="s">
        <v>293</v>
      </c>
      <c r="H4227" s="25"/>
      <c r="BA4227" s="73" t="s">
        <v>355</v>
      </c>
      <c r="BB4227" s="48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357</v>
      </c>
      <c r="E4228" s="1" t="s">
        <v>347</v>
      </c>
      <c r="F4228" s="26">
        <v>4.7699999999999996</v>
      </c>
      <c r="G4228" s="25" t="s">
        <v>293</v>
      </c>
      <c r="H4228" s="25"/>
      <c r="BA4228" s="73" t="s">
        <v>355</v>
      </c>
      <c r="BB4228" s="48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357</v>
      </c>
      <c r="E4229" s="1" t="s">
        <v>128</v>
      </c>
      <c r="F4229" s="26">
        <v>4.5</v>
      </c>
      <c r="G4229" s="25" t="s">
        <v>293</v>
      </c>
      <c r="H4229" s="25"/>
      <c r="BA4229" s="73" t="s">
        <v>355</v>
      </c>
      <c r="BB4229" s="48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357</v>
      </c>
      <c r="E4230" s="1" t="s">
        <v>121</v>
      </c>
      <c r="F4230" s="26">
        <v>81</v>
      </c>
      <c r="G4230" s="25" t="s">
        <v>293</v>
      </c>
      <c r="H4230" s="25"/>
      <c r="BA4230" s="73" t="s">
        <v>355</v>
      </c>
      <c r="BB4230" s="48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357</v>
      </c>
      <c r="E4231" s="1" t="s">
        <v>115</v>
      </c>
      <c r="F4231" s="26">
        <v>94</v>
      </c>
      <c r="G4231" s="25" t="s">
        <v>293</v>
      </c>
      <c r="H4231" s="25"/>
      <c r="BA4231" s="73" t="s">
        <v>355</v>
      </c>
      <c r="BB4231" s="48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357</v>
      </c>
      <c r="E4232" s="1" t="s">
        <v>137</v>
      </c>
      <c r="F4232" s="26">
        <v>484</v>
      </c>
      <c r="G4232" s="25" t="s">
        <v>293</v>
      </c>
      <c r="H4232" s="25"/>
      <c r="BA4232" s="73" t="s">
        <v>355</v>
      </c>
      <c r="BB4232" s="48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357</v>
      </c>
      <c r="E4233" s="1" t="s">
        <v>348</v>
      </c>
      <c r="F4233" s="26">
        <v>424</v>
      </c>
      <c r="G4233" s="25" t="s">
        <v>293</v>
      </c>
      <c r="H4233" s="25"/>
      <c r="BA4233" s="73" t="s">
        <v>355</v>
      </c>
      <c r="BB4233" s="48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357</v>
      </c>
      <c r="E4234" s="1" t="s">
        <v>125</v>
      </c>
      <c r="F4234" s="26">
        <v>425</v>
      </c>
      <c r="G4234" s="25" t="s">
        <v>293</v>
      </c>
      <c r="H4234" s="25"/>
      <c r="BA4234" s="73" t="s">
        <v>355</v>
      </c>
      <c r="BB4234" s="48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357</v>
      </c>
      <c r="E4235" s="1" t="s">
        <v>126</v>
      </c>
      <c r="F4235" s="26">
        <v>152</v>
      </c>
      <c r="G4235" s="25" t="s">
        <v>293</v>
      </c>
      <c r="H4235" s="25"/>
      <c r="BA4235" s="73" t="s">
        <v>355</v>
      </c>
      <c r="BB4235" s="48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357</v>
      </c>
      <c r="E4236" s="1" t="s">
        <v>349</v>
      </c>
      <c r="F4236" s="26">
        <v>382</v>
      </c>
      <c r="G4236" s="25" t="s">
        <v>293</v>
      </c>
      <c r="H4236" s="25"/>
      <c r="BA4236" s="73" t="s">
        <v>355</v>
      </c>
      <c r="BB4236" s="48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357</v>
      </c>
      <c r="E4237" s="1" t="s">
        <v>350</v>
      </c>
      <c r="F4237" s="26">
        <v>83</v>
      </c>
      <c r="G4237" s="25" t="s">
        <v>293</v>
      </c>
      <c r="H4237" s="25"/>
      <c r="BA4237" s="73" t="s">
        <v>355</v>
      </c>
      <c r="BB4237" s="48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357</v>
      </c>
      <c r="E4238" s="1" t="s">
        <v>122</v>
      </c>
      <c r="F4238" s="26">
        <v>209</v>
      </c>
      <c r="G4238" s="25" t="s">
        <v>293</v>
      </c>
      <c r="H4238" s="25"/>
      <c r="BA4238" s="73" t="s">
        <v>355</v>
      </c>
      <c r="BB4238" s="48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357</v>
      </c>
      <c r="E4239" s="1" t="s">
        <v>124</v>
      </c>
      <c r="F4239" s="26">
        <v>99</v>
      </c>
      <c r="G4239" s="25" t="s">
        <v>293</v>
      </c>
      <c r="H4239" s="25"/>
      <c r="BA4239" s="73" t="s">
        <v>355</v>
      </c>
      <c r="BB4239" s="48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357</v>
      </c>
      <c r="E4240" s="1" t="s">
        <v>351</v>
      </c>
      <c r="F4240" s="26">
        <v>3.6</v>
      </c>
      <c r="G4240" s="25" t="s">
        <v>293</v>
      </c>
      <c r="H4240" s="25"/>
      <c r="BA4240" s="73" t="s">
        <v>355</v>
      </c>
      <c r="BB4240" s="48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357</v>
      </c>
      <c r="E4241" s="1" t="s">
        <v>353</v>
      </c>
      <c r="F4241" s="26">
        <v>16.8</v>
      </c>
      <c r="G4241" s="25" t="s">
        <v>293</v>
      </c>
      <c r="H4241" s="25"/>
      <c r="BA4241" s="73" t="s">
        <v>355</v>
      </c>
      <c r="BB4241" s="48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357</v>
      </c>
      <c r="E4242" s="1" t="s">
        <v>133</v>
      </c>
      <c r="F4242" s="26">
        <v>125</v>
      </c>
      <c r="G4242" s="25" t="s">
        <v>293</v>
      </c>
      <c r="H4242" s="25"/>
      <c r="BA4242" s="73" t="s">
        <v>355</v>
      </c>
      <c r="BB4242" s="48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357</v>
      </c>
      <c r="E4243" s="1" t="s">
        <v>135</v>
      </c>
      <c r="F4243" s="26">
        <v>6.3</v>
      </c>
      <c r="G4243" s="25" t="s">
        <v>293</v>
      </c>
      <c r="H4243" s="25"/>
      <c r="BA4243" s="73" t="s">
        <v>355</v>
      </c>
      <c r="BB4243" s="48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357</v>
      </c>
      <c r="E4244" s="1" t="s">
        <v>136</v>
      </c>
      <c r="F4244" s="26">
        <v>94</v>
      </c>
      <c r="G4244" s="25" t="s">
        <v>293</v>
      </c>
      <c r="H4244" s="25"/>
      <c r="BA4244" s="73" t="s">
        <v>355</v>
      </c>
      <c r="BB4244" s="48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357</v>
      </c>
      <c r="E4245" s="1" t="s">
        <v>339</v>
      </c>
      <c r="F4245" s="26">
        <v>1.07</v>
      </c>
      <c r="G4245" s="25" t="s">
        <v>293</v>
      </c>
      <c r="H4245" s="25"/>
      <c r="BA4245" s="73" t="s">
        <v>355</v>
      </c>
      <c r="BB4245" s="48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357</v>
      </c>
      <c r="E4246" s="1" t="s">
        <v>118</v>
      </c>
      <c r="F4246" s="26">
        <v>9.4</v>
      </c>
      <c r="G4246" s="25" t="s">
        <v>293</v>
      </c>
      <c r="H4246" s="25"/>
      <c r="BA4246" s="73" t="s">
        <v>355</v>
      </c>
      <c r="BB4246" s="48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357</v>
      </c>
      <c r="E4247" s="1" t="s">
        <v>130</v>
      </c>
      <c r="F4247" s="26">
        <v>2.5099999999999998</v>
      </c>
      <c r="G4247" s="25" t="s">
        <v>293</v>
      </c>
      <c r="H4247" s="25"/>
      <c r="BA4247" s="73" t="s">
        <v>355</v>
      </c>
      <c r="BB4247" s="48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357</v>
      </c>
      <c r="E4248" s="1" t="s">
        <v>341</v>
      </c>
      <c r="F4248" s="26">
        <v>1.1399999999999999</v>
      </c>
      <c r="G4248" s="25" t="s">
        <v>293</v>
      </c>
      <c r="H4248" s="25"/>
      <c r="BA4248" s="73" t="s">
        <v>355</v>
      </c>
      <c r="BB4248" s="48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357</v>
      </c>
      <c r="E4249" s="1" t="s">
        <v>127</v>
      </c>
      <c r="F4249" s="26">
        <v>4.5</v>
      </c>
      <c r="G4249" s="25" t="s">
        <v>293</v>
      </c>
      <c r="H4249" s="25"/>
      <c r="BA4249" s="73" t="s">
        <v>355</v>
      </c>
      <c r="BB4249" s="48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357</v>
      </c>
      <c r="E4250" s="1" t="s">
        <v>131</v>
      </c>
      <c r="F4250" s="26">
        <v>11.8</v>
      </c>
      <c r="G4250" s="25" t="s">
        <v>293</v>
      </c>
      <c r="H4250" s="25"/>
      <c r="BA4250" s="73" t="s">
        <v>355</v>
      </c>
      <c r="BB4250" s="48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357</v>
      </c>
      <c r="E4251" s="1" t="s">
        <v>342</v>
      </c>
      <c r="F4251" s="26">
        <v>210</v>
      </c>
      <c r="G4251" s="25" t="s">
        <v>293</v>
      </c>
      <c r="H4251" s="25"/>
      <c r="BA4251" s="73" t="s">
        <v>355</v>
      </c>
      <c r="BB4251" s="48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357</v>
      </c>
      <c r="E4252" s="1" t="s">
        <v>119</v>
      </c>
      <c r="F4252" s="26">
        <v>89</v>
      </c>
      <c r="G4252" s="25" t="s">
        <v>293</v>
      </c>
      <c r="H4252" s="25"/>
      <c r="BA4252" s="73" t="s">
        <v>355</v>
      </c>
      <c r="BB4252" s="48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357</v>
      </c>
      <c r="E4253" s="1" t="s">
        <v>120</v>
      </c>
      <c r="F4253" s="26">
        <v>26</v>
      </c>
      <c r="G4253" s="25" t="s">
        <v>293</v>
      </c>
      <c r="H4253" s="25"/>
      <c r="BA4253" s="73" t="s">
        <v>355</v>
      </c>
      <c r="BB4253" s="48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357</v>
      </c>
      <c r="E4254" s="1" t="s">
        <v>117</v>
      </c>
      <c r="F4254" s="26">
        <v>6.15</v>
      </c>
      <c r="G4254" s="25" t="s">
        <v>293</v>
      </c>
      <c r="H4254" s="25"/>
      <c r="BA4254" s="73" t="s">
        <v>355</v>
      </c>
      <c r="BB4254" s="48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357</v>
      </c>
      <c r="E4255" s="1" t="s">
        <v>344</v>
      </c>
      <c r="F4255" s="26">
        <v>70</v>
      </c>
      <c r="G4255" s="25" t="s">
        <v>293</v>
      </c>
      <c r="H4255" s="25"/>
      <c r="BA4255" s="73" t="s">
        <v>355</v>
      </c>
      <c r="BB4255" s="48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357</v>
      </c>
      <c r="E4256" s="1" t="s">
        <v>132</v>
      </c>
      <c r="F4256" s="26">
        <v>7.11</v>
      </c>
      <c r="G4256" s="25" t="s">
        <v>293</v>
      </c>
      <c r="H4256" s="25"/>
      <c r="BA4256" s="73" t="s">
        <v>355</v>
      </c>
      <c r="BB4256" s="48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357</v>
      </c>
      <c r="E4257" s="1" t="s">
        <v>111</v>
      </c>
      <c r="F4257" s="26">
        <v>279</v>
      </c>
      <c r="G4257" s="25" t="s">
        <v>293</v>
      </c>
      <c r="H4257" s="25"/>
      <c r="BA4257" s="73" t="s">
        <v>355</v>
      </c>
      <c r="BB4257" s="48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357</v>
      </c>
      <c r="E4258" s="1" t="s">
        <v>345</v>
      </c>
      <c r="F4258" s="26">
        <v>9.8699999999999992</v>
      </c>
      <c r="G4258" s="25" t="s">
        <v>293</v>
      </c>
      <c r="H4258" s="25"/>
      <c r="BA4258" s="73" t="s">
        <v>355</v>
      </c>
      <c r="BB4258" s="48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357</v>
      </c>
      <c r="E4259" s="1" t="s">
        <v>347</v>
      </c>
      <c r="F4259" s="26">
        <v>4.83</v>
      </c>
      <c r="G4259" s="25" t="s">
        <v>293</v>
      </c>
      <c r="H4259" s="25"/>
      <c r="BA4259" s="73" t="s">
        <v>355</v>
      </c>
      <c r="BB4259" s="48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357</v>
      </c>
      <c r="E4260" s="1" t="s">
        <v>128</v>
      </c>
      <c r="F4260" s="26">
        <v>4.5</v>
      </c>
      <c r="G4260" s="25" t="s">
        <v>293</v>
      </c>
      <c r="H4260" s="25"/>
      <c r="BA4260" s="73" t="s">
        <v>355</v>
      </c>
      <c r="BB4260" s="48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357</v>
      </c>
      <c r="E4261" s="1" t="s">
        <v>121</v>
      </c>
      <c r="F4261" s="26">
        <v>80</v>
      </c>
      <c r="G4261" s="25" t="s">
        <v>293</v>
      </c>
      <c r="H4261" s="25"/>
      <c r="BA4261" s="73" t="s">
        <v>355</v>
      </c>
      <c r="BB4261" s="48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357</v>
      </c>
      <c r="E4262" s="1" t="s">
        <v>115</v>
      </c>
      <c r="F4262" s="26">
        <v>96</v>
      </c>
      <c r="G4262" s="25" t="s">
        <v>293</v>
      </c>
      <c r="H4262" s="25"/>
      <c r="BA4262" s="73" t="s">
        <v>355</v>
      </c>
      <c r="BB4262" s="48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357</v>
      </c>
      <c r="E4263" s="1" t="s">
        <v>137</v>
      </c>
      <c r="F4263" s="26">
        <v>475</v>
      </c>
      <c r="G4263" s="25" t="s">
        <v>293</v>
      </c>
      <c r="H4263" s="25"/>
      <c r="BA4263" s="73" t="s">
        <v>355</v>
      </c>
      <c r="BB4263" s="48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357</v>
      </c>
      <c r="E4264" s="1" t="s">
        <v>348</v>
      </c>
      <c r="F4264" s="26">
        <v>420</v>
      </c>
      <c r="G4264" s="25" t="s">
        <v>293</v>
      </c>
      <c r="H4264" s="25"/>
      <c r="BA4264" s="73" t="s">
        <v>355</v>
      </c>
      <c r="BB4264" s="48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357</v>
      </c>
      <c r="E4265" s="1" t="s">
        <v>125</v>
      </c>
      <c r="F4265" s="26">
        <v>422</v>
      </c>
      <c r="G4265" s="25" t="s">
        <v>293</v>
      </c>
      <c r="H4265" s="25"/>
      <c r="BA4265" s="73" t="s">
        <v>355</v>
      </c>
      <c r="BB4265" s="48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357</v>
      </c>
      <c r="E4266" s="1" t="s">
        <v>126</v>
      </c>
      <c r="F4266" s="26">
        <v>153</v>
      </c>
      <c r="G4266" s="25" t="s">
        <v>293</v>
      </c>
      <c r="H4266" s="25"/>
      <c r="BA4266" s="73" t="s">
        <v>355</v>
      </c>
      <c r="BB4266" s="48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357</v>
      </c>
      <c r="E4267" s="1" t="s">
        <v>349</v>
      </c>
      <c r="F4267" s="26">
        <v>363</v>
      </c>
      <c r="G4267" s="25" t="s">
        <v>293</v>
      </c>
      <c r="H4267" s="25"/>
      <c r="BA4267" s="73" t="s">
        <v>355</v>
      </c>
      <c r="BB4267" s="48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357</v>
      </c>
      <c r="E4268" s="1" t="s">
        <v>350</v>
      </c>
      <c r="F4268" s="26">
        <v>83</v>
      </c>
      <c r="G4268" s="25" t="s">
        <v>293</v>
      </c>
      <c r="H4268" s="25"/>
      <c r="BA4268" s="73" t="s">
        <v>355</v>
      </c>
      <c r="BB4268" s="48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357</v>
      </c>
      <c r="E4269" s="1" t="s">
        <v>122</v>
      </c>
      <c r="F4269" s="26">
        <v>211</v>
      </c>
      <c r="G4269" s="25" t="s">
        <v>293</v>
      </c>
      <c r="H4269" s="25"/>
      <c r="BA4269" s="73" t="s">
        <v>355</v>
      </c>
      <c r="BB4269" s="48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357</v>
      </c>
      <c r="E4270" s="1" t="s">
        <v>124</v>
      </c>
      <c r="F4270" s="26">
        <v>98</v>
      </c>
      <c r="G4270" s="25" t="s">
        <v>293</v>
      </c>
      <c r="H4270" s="25"/>
      <c r="BA4270" s="73" t="s">
        <v>355</v>
      </c>
      <c r="BB4270" s="48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357</v>
      </c>
      <c r="E4271" s="1" t="s">
        <v>351</v>
      </c>
      <c r="F4271" s="26">
        <v>3.59</v>
      </c>
      <c r="G4271" s="25" t="s">
        <v>293</v>
      </c>
      <c r="H4271" s="25"/>
      <c r="BA4271" s="73" t="s">
        <v>355</v>
      </c>
      <c r="BB4271" s="48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357</v>
      </c>
      <c r="E4272" s="1" t="s">
        <v>353</v>
      </c>
      <c r="F4272" s="26">
        <v>19.3</v>
      </c>
      <c r="G4272" s="25" t="s">
        <v>293</v>
      </c>
      <c r="H4272" s="25"/>
      <c r="BA4272" s="73" t="s">
        <v>355</v>
      </c>
      <c r="BB4272" s="48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357</v>
      </c>
      <c r="E4273" s="1" t="s">
        <v>133</v>
      </c>
      <c r="F4273" s="26">
        <v>125</v>
      </c>
      <c r="G4273" s="25" t="s">
        <v>293</v>
      </c>
      <c r="H4273" s="25"/>
      <c r="BA4273" s="73" t="s">
        <v>355</v>
      </c>
      <c r="BB4273" s="48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357</v>
      </c>
      <c r="E4274" s="1" t="s">
        <v>135</v>
      </c>
      <c r="F4274" s="26">
        <v>6.4</v>
      </c>
      <c r="G4274" s="25" t="s">
        <v>293</v>
      </c>
      <c r="H4274" s="25"/>
      <c r="BA4274" s="73" t="s">
        <v>355</v>
      </c>
      <c r="BB4274" s="48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357</v>
      </c>
      <c r="E4275" s="1" t="s">
        <v>136</v>
      </c>
      <c r="F4275" s="26">
        <v>92</v>
      </c>
      <c r="G4275" s="25" t="s">
        <v>293</v>
      </c>
      <c r="H4275" s="25"/>
      <c r="BA4275" s="73" t="s">
        <v>355</v>
      </c>
      <c r="BB4275" s="48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357</v>
      </c>
      <c r="E4276" s="1" t="s">
        <v>339</v>
      </c>
      <c r="F4276" s="26">
        <v>1.26</v>
      </c>
      <c r="G4276" s="25" t="s">
        <v>293</v>
      </c>
      <c r="H4276" s="25"/>
      <c r="BA4276" s="73" t="s">
        <v>355</v>
      </c>
      <c r="BB4276" s="48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357</v>
      </c>
      <c r="E4277" s="1" t="s">
        <v>118</v>
      </c>
      <c r="F4277" s="26">
        <v>9.5</v>
      </c>
      <c r="G4277" s="25" t="s">
        <v>293</v>
      </c>
      <c r="H4277" s="25"/>
      <c r="BA4277" s="73" t="s">
        <v>355</v>
      </c>
      <c r="BB4277" s="48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357</v>
      </c>
      <c r="E4278" s="1" t="s">
        <v>130</v>
      </c>
      <c r="F4278" s="26">
        <v>2.5</v>
      </c>
      <c r="G4278" s="25" t="s">
        <v>293</v>
      </c>
      <c r="H4278" s="25"/>
      <c r="BA4278" s="73" t="s">
        <v>355</v>
      </c>
      <c r="BB4278" s="48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357</v>
      </c>
      <c r="E4279" s="1" t="s">
        <v>341</v>
      </c>
      <c r="F4279" s="26">
        <v>1.17</v>
      </c>
      <c r="G4279" s="25" t="s">
        <v>293</v>
      </c>
      <c r="H4279" s="25"/>
      <c r="BA4279" s="73" t="s">
        <v>355</v>
      </c>
      <c r="BB4279" s="48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357</v>
      </c>
      <c r="E4280" s="1" t="s">
        <v>127</v>
      </c>
      <c r="F4280" s="26">
        <v>4.6100000000000003</v>
      </c>
      <c r="G4280" s="25" t="s">
        <v>293</v>
      </c>
      <c r="H4280" s="25"/>
      <c r="BA4280" s="73" t="s">
        <v>355</v>
      </c>
      <c r="BB4280" s="48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357</v>
      </c>
      <c r="E4281" s="1" t="s">
        <v>131</v>
      </c>
      <c r="F4281" s="26">
        <v>12.2</v>
      </c>
      <c r="G4281" s="25" t="s">
        <v>293</v>
      </c>
      <c r="H4281" s="25"/>
      <c r="BA4281" s="73" t="s">
        <v>355</v>
      </c>
      <c r="BB4281" s="48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357</v>
      </c>
      <c r="E4282" s="1" t="s">
        <v>342</v>
      </c>
      <c r="F4282" s="26">
        <v>218</v>
      </c>
      <c r="G4282" s="25" t="s">
        <v>293</v>
      </c>
      <c r="H4282" s="25"/>
      <c r="BA4282" s="73" t="s">
        <v>355</v>
      </c>
      <c r="BB4282" s="48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357</v>
      </c>
      <c r="E4283" s="1" t="s">
        <v>119</v>
      </c>
      <c r="F4283" s="26">
        <v>86</v>
      </c>
      <c r="G4283" s="25" t="s">
        <v>293</v>
      </c>
      <c r="H4283" s="25"/>
      <c r="BA4283" s="73" t="s">
        <v>355</v>
      </c>
      <c r="BB4283" s="48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357</v>
      </c>
      <c r="E4284" s="1" t="s">
        <v>120</v>
      </c>
      <c r="F4284" s="26">
        <v>27</v>
      </c>
      <c r="G4284" s="25" t="s">
        <v>293</v>
      </c>
      <c r="H4284" s="25"/>
      <c r="BA4284" s="73" t="s">
        <v>355</v>
      </c>
      <c r="BB4284" s="48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357</v>
      </c>
      <c r="E4285" s="1" t="s">
        <v>117</v>
      </c>
      <c r="F4285" s="26">
        <v>6.28</v>
      </c>
      <c r="G4285" s="25" t="s">
        <v>293</v>
      </c>
      <c r="H4285" s="25"/>
      <c r="BA4285" s="73" t="s">
        <v>355</v>
      </c>
      <c r="BB4285" s="48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357</v>
      </c>
      <c r="E4286" s="1" t="s">
        <v>344</v>
      </c>
      <c r="F4286" s="26">
        <v>69</v>
      </c>
      <c r="G4286" s="25" t="s">
        <v>293</v>
      </c>
      <c r="H4286" s="25"/>
      <c r="BA4286" s="73" t="s">
        <v>355</v>
      </c>
      <c r="BB4286" s="48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357</v>
      </c>
      <c r="E4287" s="1" t="s">
        <v>132</v>
      </c>
      <c r="F4287" s="26">
        <v>7.2</v>
      </c>
      <c r="G4287" s="25" t="s">
        <v>293</v>
      </c>
      <c r="H4287" s="25"/>
      <c r="BA4287" s="73" t="s">
        <v>355</v>
      </c>
      <c r="BB4287" s="48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357</v>
      </c>
      <c r="E4288" s="1" t="s">
        <v>111</v>
      </c>
      <c r="F4288" s="26">
        <v>279</v>
      </c>
      <c r="G4288" s="25" t="s">
        <v>293</v>
      </c>
      <c r="H4288" s="25"/>
      <c r="BA4288" s="73" t="s">
        <v>355</v>
      </c>
      <c r="BB4288" s="48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357</v>
      </c>
      <c r="E4289" s="1" t="s">
        <v>345</v>
      </c>
      <c r="F4289" s="26">
        <v>9.9</v>
      </c>
      <c r="G4289" s="25" t="s">
        <v>293</v>
      </c>
      <c r="H4289" s="25"/>
      <c r="BA4289" s="73" t="s">
        <v>355</v>
      </c>
      <c r="BB4289" s="48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357</v>
      </c>
      <c r="E4290" s="1" t="s">
        <v>347</v>
      </c>
      <c r="F4290" s="26">
        <v>4.96</v>
      </c>
      <c r="G4290" s="25" t="s">
        <v>293</v>
      </c>
      <c r="H4290" s="25"/>
      <c r="BA4290" s="73" t="s">
        <v>355</v>
      </c>
      <c r="BB4290" s="48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357</v>
      </c>
      <c r="E4291" s="1" t="s">
        <v>128</v>
      </c>
      <c r="F4291" s="26">
        <v>4.5</v>
      </c>
      <c r="G4291" s="25" t="s">
        <v>293</v>
      </c>
      <c r="H4291" s="25"/>
      <c r="BA4291" s="73" t="s">
        <v>355</v>
      </c>
      <c r="BB4291" s="48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357</v>
      </c>
      <c r="E4292" s="1" t="s">
        <v>121</v>
      </c>
      <c r="F4292" s="26">
        <v>82</v>
      </c>
      <c r="G4292" s="25" t="s">
        <v>293</v>
      </c>
      <c r="H4292" s="25"/>
      <c r="BA4292" s="73" t="s">
        <v>355</v>
      </c>
      <c r="BB4292" s="48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357</v>
      </c>
      <c r="E4293" s="1" t="s">
        <v>115</v>
      </c>
      <c r="F4293" s="26">
        <v>97</v>
      </c>
      <c r="G4293" s="25" t="s">
        <v>293</v>
      </c>
      <c r="H4293" s="25"/>
      <c r="BA4293" s="73" t="s">
        <v>355</v>
      </c>
      <c r="BB4293" s="48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357</v>
      </c>
      <c r="E4294" s="1" t="s">
        <v>137</v>
      </c>
      <c r="F4294" s="26">
        <v>489</v>
      </c>
      <c r="G4294" s="25" t="s">
        <v>293</v>
      </c>
      <c r="H4294" s="25"/>
      <c r="BA4294" s="73" t="s">
        <v>355</v>
      </c>
      <c r="BB4294" s="48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357</v>
      </c>
      <c r="E4295" s="1" t="s">
        <v>348</v>
      </c>
      <c r="F4295" s="26">
        <v>431</v>
      </c>
      <c r="G4295" s="25" t="s">
        <v>293</v>
      </c>
      <c r="H4295" s="25"/>
      <c r="BA4295" s="73" t="s">
        <v>355</v>
      </c>
      <c r="BB4295" s="48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357</v>
      </c>
      <c r="E4296" s="1" t="s">
        <v>125</v>
      </c>
      <c r="F4296" s="26">
        <v>409</v>
      </c>
      <c r="G4296" s="25" t="s">
        <v>293</v>
      </c>
      <c r="H4296" s="25"/>
      <c r="BA4296" s="73" t="s">
        <v>355</v>
      </c>
      <c r="BB4296" s="48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357</v>
      </c>
      <c r="E4297" s="1" t="s">
        <v>126</v>
      </c>
      <c r="F4297" s="26">
        <v>156</v>
      </c>
      <c r="G4297" s="25" t="s">
        <v>293</v>
      </c>
      <c r="H4297" s="25"/>
      <c r="BA4297" s="73" t="s">
        <v>355</v>
      </c>
      <c r="BB4297" s="48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357</v>
      </c>
      <c r="E4298" s="1" t="s">
        <v>349</v>
      </c>
      <c r="F4298" s="26">
        <v>382</v>
      </c>
      <c r="G4298" s="25" t="s">
        <v>293</v>
      </c>
      <c r="H4298" s="25"/>
      <c r="BA4298" s="73" t="s">
        <v>355</v>
      </c>
      <c r="BB4298" s="48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357</v>
      </c>
      <c r="E4299" s="1" t="s">
        <v>350</v>
      </c>
      <c r="F4299" s="26">
        <v>83</v>
      </c>
      <c r="G4299" s="25" t="s">
        <v>293</v>
      </c>
      <c r="H4299" s="25"/>
      <c r="BA4299" s="73" t="s">
        <v>355</v>
      </c>
      <c r="BB4299" s="48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357</v>
      </c>
      <c r="E4300" s="1" t="s">
        <v>122</v>
      </c>
      <c r="F4300" s="26">
        <v>218</v>
      </c>
      <c r="G4300" s="25" t="s">
        <v>293</v>
      </c>
      <c r="H4300" s="25"/>
      <c r="BA4300" s="73" t="s">
        <v>355</v>
      </c>
      <c r="BB4300" s="48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357</v>
      </c>
      <c r="E4301" s="1" t="s">
        <v>124</v>
      </c>
      <c r="F4301" s="26">
        <v>106</v>
      </c>
      <c r="G4301" s="25" t="s">
        <v>293</v>
      </c>
      <c r="H4301" s="25"/>
      <c r="BA4301" s="73" t="s">
        <v>355</v>
      </c>
      <c r="BB4301" s="48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357</v>
      </c>
      <c r="E4302" s="1" t="s">
        <v>351</v>
      </c>
      <c r="F4302" s="26">
        <v>3.6</v>
      </c>
      <c r="G4302" s="25" t="s">
        <v>293</v>
      </c>
      <c r="H4302" s="25"/>
      <c r="BA4302" s="73" t="s">
        <v>355</v>
      </c>
      <c r="BB4302" s="48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357</v>
      </c>
      <c r="E4303" s="1" t="s">
        <v>353</v>
      </c>
      <c r="F4303" s="26">
        <v>20</v>
      </c>
      <c r="G4303" s="25" t="s">
        <v>293</v>
      </c>
      <c r="H4303" s="25"/>
      <c r="BA4303" s="73" t="s">
        <v>355</v>
      </c>
      <c r="BB4303" s="48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357</v>
      </c>
      <c r="E4304" s="1" t="s">
        <v>133</v>
      </c>
      <c r="F4304" s="26">
        <v>127</v>
      </c>
      <c r="G4304" s="25" t="s">
        <v>293</v>
      </c>
      <c r="H4304" s="25"/>
      <c r="BA4304" s="73" t="s">
        <v>355</v>
      </c>
      <c r="BB4304" s="48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357</v>
      </c>
      <c r="E4305" s="1" t="s">
        <v>135</v>
      </c>
      <c r="F4305" s="26">
        <v>6.5</v>
      </c>
      <c r="G4305" s="25" t="s">
        <v>293</v>
      </c>
      <c r="H4305" s="25"/>
      <c r="BA4305" s="73" t="s">
        <v>355</v>
      </c>
      <c r="BB4305" s="48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357</v>
      </c>
      <c r="E4306" s="1" t="s">
        <v>136</v>
      </c>
      <c r="F4306" s="26">
        <v>94</v>
      </c>
      <c r="G4306" s="25" t="s">
        <v>293</v>
      </c>
      <c r="H4306" s="25"/>
      <c r="BA4306" s="73" t="s">
        <v>355</v>
      </c>
      <c r="BB4306" s="48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357</v>
      </c>
      <c r="E4307" s="1" t="s">
        <v>339</v>
      </c>
      <c r="F4307" s="26">
        <v>1.26</v>
      </c>
      <c r="G4307" s="25" t="s">
        <v>293</v>
      </c>
      <c r="H4307" s="25"/>
      <c r="BA4307" s="73" t="s">
        <v>355</v>
      </c>
      <c r="BB4307" s="48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357</v>
      </c>
      <c r="E4308" s="1" t="s">
        <v>118</v>
      </c>
      <c r="F4308" s="26">
        <v>9.6999999999999993</v>
      </c>
      <c r="G4308" s="25" t="s">
        <v>293</v>
      </c>
      <c r="H4308" s="25"/>
      <c r="BA4308" s="73" t="s">
        <v>355</v>
      </c>
      <c r="BB4308" s="48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357</v>
      </c>
      <c r="E4309" s="1" t="s">
        <v>130</v>
      </c>
      <c r="F4309" s="26">
        <v>2.5099999999999998</v>
      </c>
      <c r="G4309" s="25" t="s">
        <v>293</v>
      </c>
      <c r="H4309" s="25"/>
      <c r="BA4309" s="73" t="s">
        <v>355</v>
      </c>
      <c r="BB4309" s="48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357</v>
      </c>
      <c r="E4310" s="1" t="s">
        <v>341</v>
      </c>
      <c r="F4310" s="26">
        <v>1.19</v>
      </c>
      <c r="G4310" s="25" t="s">
        <v>293</v>
      </c>
      <c r="H4310" s="25"/>
      <c r="BA4310" s="73" t="s">
        <v>355</v>
      </c>
      <c r="BB4310" s="48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357</v>
      </c>
      <c r="E4311" s="1" t="s">
        <v>127</v>
      </c>
      <c r="F4311" s="26">
        <v>4.57</v>
      </c>
      <c r="G4311" s="25" t="s">
        <v>293</v>
      </c>
      <c r="H4311" s="25"/>
      <c r="BA4311" s="73" t="s">
        <v>355</v>
      </c>
      <c r="BB4311" s="48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357</v>
      </c>
      <c r="E4312" s="1" t="s">
        <v>131</v>
      </c>
      <c r="F4312" s="26">
        <v>12</v>
      </c>
      <c r="G4312" s="25" t="s">
        <v>293</v>
      </c>
      <c r="H4312" s="25"/>
      <c r="BA4312" s="73" t="s">
        <v>355</v>
      </c>
      <c r="BB4312" s="48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357</v>
      </c>
      <c r="E4313" s="1" t="s">
        <v>342</v>
      </c>
      <c r="F4313" s="26">
        <v>220</v>
      </c>
      <c r="G4313" s="25" t="s">
        <v>293</v>
      </c>
      <c r="H4313" s="25"/>
      <c r="BA4313" s="73" t="s">
        <v>355</v>
      </c>
      <c r="BB4313" s="48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357</v>
      </c>
      <c r="E4314" s="1" t="s">
        <v>119</v>
      </c>
      <c r="F4314" s="26">
        <v>90</v>
      </c>
      <c r="G4314" s="25" t="s">
        <v>293</v>
      </c>
      <c r="H4314" s="25"/>
      <c r="BA4314" s="73" t="s">
        <v>355</v>
      </c>
      <c r="BB4314" s="48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357</v>
      </c>
      <c r="E4315" s="1" t="s">
        <v>120</v>
      </c>
      <c r="F4315" s="26">
        <v>27</v>
      </c>
      <c r="G4315" s="25" t="s">
        <v>293</v>
      </c>
      <c r="H4315" s="25"/>
      <c r="BA4315" s="73" t="s">
        <v>355</v>
      </c>
      <c r="BB4315" s="48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357</v>
      </c>
      <c r="E4316" s="1" t="s">
        <v>117</v>
      </c>
      <c r="F4316" s="26">
        <v>6.25</v>
      </c>
      <c r="G4316" s="25" t="s">
        <v>293</v>
      </c>
      <c r="H4316" s="25"/>
      <c r="BA4316" s="73" t="s">
        <v>355</v>
      </c>
      <c r="BB4316" s="48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357</v>
      </c>
      <c r="E4317" s="1" t="s">
        <v>344</v>
      </c>
      <c r="F4317" s="26">
        <v>70</v>
      </c>
      <c r="G4317" s="25" t="s">
        <v>293</v>
      </c>
      <c r="H4317" s="25"/>
      <c r="BA4317" s="73" t="s">
        <v>355</v>
      </c>
      <c r="BB4317" s="48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357</v>
      </c>
      <c r="E4318" s="1" t="s">
        <v>132</v>
      </c>
      <c r="F4318" s="26">
        <v>7.24</v>
      </c>
      <c r="G4318" s="25" t="s">
        <v>293</v>
      </c>
      <c r="H4318" s="25"/>
      <c r="BA4318" s="73" t="s">
        <v>355</v>
      </c>
      <c r="BB4318" s="48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357</v>
      </c>
      <c r="E4319" s="1" t="s">
        <v>111</v>
      </c>
      <c r="F4319" s="26">
        <v>279</v>
      </c>
      <c r="G4319" s="25" t="s">
        <v>293</v>
      </c>
      <c r="H4319" s="25"/>
      <c r="BA4319" s="73" t="s">
        <v>355</v>
      </c>
      <c r="BB4319" s="48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357</v>
      </c>
      <c r="E4320" s="1" t="s">
        <v>345</v>
      </c>
      <c r="F4320" s="26">
        <v>9.82</v>
      </c>
      <c r="G4320" s="25" t="s">
        <v>293</v>
      </c>
      <c r="H4320" s="25"/>
      <c r="BA4320" s="73" t="s">
        <v>355</v>
      </c>
      <c r="BB4320" s="48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357</v>
      </c>
      <c r="E4321" s="1" t="s">
        <v>347</v>
      </c>
      <c r="F4321" s="26">
        <v>4.9000000000000004</v>
      </c>
      <c r="G4321" s="25" t="s">
        <v>293</v>
      </c>
      <c r="H4321" s="25"/>
      <c r="BA4321" s="73" t="s">
        <v>355</v>
      </c>
      <c r="BB4321" s="48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357</v>
      </c>
      <c r="E4322" s="1" t="s">
        <v>128</v>
      </c>
      <c r="F4322" s="26">
        <v>4.5</v>
      </c>
      <c r="G4322" s="25" t="s">
        <v>293</v>
      </c>
      <c r="H4322" s="25"/>
      <c r="BA4322" s="73" t="s">
        <v>355</v>
      </c>
      <c r="BB4322" s="48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357</v>
      </c>
      <c r="E4323" s="1" t="s">
        <v>121</v>
      </c>
      <c r="F4323" s="26">
        <v>82</v>
      </c>
      <c r="G4323" s="25" t="s">
        <v>293</v>
      </c>
      <c r="H4323" s="25"/>
      <c r="BA4323" s="73" t="s">
        <v>355</v>
      </c>
      <c r="BB4323" s="48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357</v>
      </c>
      <c r="E4324" s="1" t="s">
        <v>115</v>
      </c>
      <c r="F4324" s="26">
        <v>94</v>
      </c>
      <c r="G4324" s="25" t="s">
        <v>293</v>
      </c>
      <c r="H4324" s="25"/>
      <c r="BA4324" s="73" t="s">
        <v>355</v>
      </c>
      <c r="BB4324" s="48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357</v>
      </c>
      <c r="E4325" s="1" t="s">
        <v>137</v>
      </c>
      <c r="F4325" s="26">
        <v>489</v>
      </c>
      <c r="G4325" s="25" t="s">
        <v>293</v>
      </c>
      <c r="H4325" s="25"/>
      <c r="BA4325" s="73" t="s">
        <v>355</v>
      </c>
      <c r="BB4325" s="48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357</v>
      </c>
      <c r="E4326" s="1" t="s">
        <v>348</v>
      </c>
      <c r="F4326" s="26">
        <v>430</v>
      </c>
      <c r="G4326" s="25" t="s">
        <v>293</v>
      </c>
      <c r="H4326" s="25"/>
      <c r="BA4326" s="73" t="s">
        <v>355</v>
      </c>
      <c r="BB4326" s="48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357</v>
      </c>
      <c r="E4327" s="1" t="s">
        <v>125</v>
      </c>
      <c r="F4327" s="26">
        <v>416</v>
      </c>
      <c r="G4327" s="25" t="s">
        <v>293</v>
      </c>
      <c r="H4327" s="25"/>
      <c r="BA4327" s="73" t="s">
        <v>355</v>
      </c>
      <c r="BB4327" s="48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357</v>
      </c>
      <c r="E4328" s="1" t="s">
        <v>126</v>
      </c>
      <c r="F4328" s="26">
        <v>152</v>
      </c>
      <c r="G4328" s="25" t="s">
        <v>293</v>
      </c>
      <c r="H4328" s="25"/>
      <c r="BA4328" s="73" t="s">
        <v>355</v>
      </c>
      <c r="BB4328" s="48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357</v>
      </c>
      <c r="E4329" s="1" t="s">
        <v>349</v>
      </c>
      <c r="F4329" s="26">
        <v>387</v>
      </c>
      <c r="G4329" s="25" t="s">
        <v>293</v>
      </c>
      <c r="H4329" s="25"/>
      <c r="BA4329" s="73" t="s">
        <v>355</v>
      </c>
      <c r="BB4329" s="48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357</v>
      </c>
      <c r="E4330" s="1" t="s">
        <v>350</v>
      </c>
      <c r="F4330" s="26">
        <v>84</v>
      </c>
      <c r="G4330" s="25" t="s">
        <v>293</v>
      </c>
      <c r="H4330" s="25"/>
      <c r="BA4330" s="73" t="s">
        <v>355</v>
      </c>
      <c r="BB4330" s="48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357</v>
      </c>
      <c r="E4331" s="1" t="s">
        <v>122</v>
      </c>
      <c r="F4331" s="26">
        <v>213</v>
      </c>
      <c r="G4331" s="25" t="s">
        <v>293</v>
      </c>
      <c r="H4331" s="25"/>
      <c r="BA4331" s="73" t="s">
        <v>355</v>
      </c>
      <c r="BB4331" s="48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357</v>
      </c>
      <c r="E4332" s="1" t="s">
        <v>124</v>
      </c>
      <c r="F4332" s="26">
        <v>104</v>
      </c>
      <c r="G4332" s="25" t="s">
        <v>293</v>
      </c>
      <c r="H4332" s="25"/>
      <c r="BA4332" s="73" t="s">
        <v>355</v>
      </c>
      <c r="BB4332" s="48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357</v>
      </c>
      <c r="E4333" s="1" t="s">
        <v>351</v>
      </c>
      <c r="F4333" s="26">
        <v>3.36</v>
      </c>
      <c r="G4333" s="25" t="s">
        <v>293</v>
      </c>
      <c r="H4333" s="25"/>
      <c r="BA4333" s="73" t="s">
        <v>355</v>
      </c>
      <c r="BB4333" s="48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357</v>
      </c>
      <c r="E4334" s="1" t="s">
        <v>353</v>
      </c>
      <c r="F4334" s="26">
        <v>18.100000000000001</v>
      </c>
      <c r="G4334" s="25" t="s">
        <v>293</v>
      </c>
      <c r="H4334" s="25"/>
      <c r="BA4334" s="73" t="s">
        <v>355</v>
      </c>
      <c r="BB4334" s="48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357</v>
      </c>
      <c r="E4335" s="1" t="s">
        <v>133</v>
      </c>
      <c r="F4335" s="26">
        <v>127</v>
      </c>
      <c r="G4335" s="25" t="s">
        <v>293</v>
      </c>
      <c r="H4335" s="25"/>
      <c r="BA4335" s="73" t="s">
        <v>355</v>
      </c>
      <c r="BB4335" s="48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357</v>
      </c>
      <c r="E4336" s="1" t="s">
        <v>135</v>
      </c>
      <c r="F4336" s="26">
        <v>6.5</v>
      </c>
      <c r="G4336" s="25" t="s">
        <v>293</v>
      </c>
      <c r="H4336" s="25"/>
      <c r="BA4336" s="73" t="s">
        <v>355</v>
      </c>
      <c r="BB4336" s="48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357</v>
      </c>
      <c r="E4337" s="1" t="s">
        <v>136</v>
      </c>
      <c r="F4337" s="26">
        <v>93</v>
      </c>
      <c r="G4337" s="25" t="s">
        <v>293</v>
      </c>
      <c r="H4337" s="25"/>
      <c r="BA4337" s="73" t="s">
        <v>355</v>
      </c>
      <c r="BB4337" s="48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356</v>
      </c>
      <c r="E4338" s="1" t="s">
        <v>339</v>
      </c>
      <c r="F4338" s="26">
        <v>4.58</v>
      </c>
      <c r="G4338" s="25" t="s">
        <v>293</v>
      </c>
      <c r="H4338" s="25"/>
      <c r="BA4338" s="73" t="s">
        <v>355</v>
      </c>
      <c r="BB4338" s="48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356</v>
      </c>
      <c r="E4339" s="1" t="s">
        <v>118</v>
      </c>
      <c r="F4339" s="26">
        <v>4.5</v>
      </c>
      <c r="G4339" s="25" t="s">
        <v>293</v>
      </c>
      <c r="H4339" s="25"/>
      <c r="BA4339" s="73" t="s">
        <v>355</v>
      </c>
      <c r="BB4339" s="48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356</v>
      </c>
      <c r="E4340" s="1" t="s">
        <v>130</v>
      </c>
      <c r="F4340" s="26">
        <v>3.93</v>
      </c>
      <c r="G4340" s="25" t="s">
        <v>293</v>
      </c>
      <c r="H4340" s="25"/>
      <c r="BA4340" s="73" t="s">
        <v>355</v>
      </c>
      <c r="BB4340" s="48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356</v>
      </c>
      <c r="E4341" s="1" t="s">
        <v>341</v>
      </c>
      <c r="F4341" s="26">
        <v>0.308</v>
      </c>
      <c r="G4341" s="25" t="s">
        <v>293</v>
      </c>
      <c r="H4341" s="25"/>
      <c r="BA4341" s="73" t="s">
        <v>355</v>
      </c>
      <c r="BB4341" s="48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356</v>
      </c>
      <c r="E4342" s="1" t="s">
        <v>127</v>
      </c>
      <c r="F4342" s="26">
        <v>1.1819999999999999</v>
      </c>
      <c r="G4342" s="25" t="s">
        <v>293</v>
      </c>
      <c r="H4342" s="25"/>
      <c r="BA4342" s="73" t="s">
        <v>355</v>
      </c>
      <c r="BB4342" s="48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356</v>
      </c>
      <c r="E4343" s="1" t="s">
        <v>131</v>
      </c>
      <c r="F4343" s="26">
        <v>9</v>
      </c>
      <c r="G4343" s="25" t="s">
        <v>293</v>
      </c>
      <c r="H4343" s="25"/>
      <c r="BA4343" s="73" t="s">
        <v>355</v>
      </c>
      <c r="BB4343" s="48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356</v>
      </c>
      <c r="E4344" s="1" t="s">
        <v>342</v>
      </c>
      <c r="F4344" s="26">
        <v>365</v>
      </c>
      <c r="G4344" s="25" t="s">
        <v>293</v>
      </c>
      <c r="H4344" s="25"/>
      <c r="BA4344" s="73" t="s">
        <v>355</v>
      </c>
      <c r="BB4344" s="48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356</v>
      </c>
      <c r="E4345" s="1" t="s">
        <v>119</v>
      </c>
      <c r="F4345" s="26">
        <v>234</v>
      </c>
      <c r="G4345" s="25" t="s">
        <v>293</v>
      </c>
      <c r="H4345" s="25"/>
      <c r="BA4345" s="73" t="s">
        <v>355</v>
      </c>
      <c r="BB4345" s="48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356</v>
      </c>
      <c r="E4346" s="1" t="s">
        <v>120</v>
      </c>
      <c r="F4346" s="26">
        <v>78</v>
      </c>
      <c r="G4346" s="25" t="s">
        <v>293</v>
      </c>
      <c r="H4346" s="25"/>
      <c r="BA4346" s="73" t="s">
        <v>355</v>
      </c>
      <c r="BB4346" s="48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356</v>
      </c>
      <c r="E4347" s="1" t="s">
        <v>117</v>
      </c>
      <c r="F4347" s="26">
        <v>2.8</v>
      </c>
      <c r="G4347" s="25" t="s">
        <v>293</v>
      </c>
      <c r="H4347" s="25"/>
      <c r="BA4347" s="73" t="s">
        <v>355</v>
      </c>
      <c r="BB4347" s="48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356</v>
      </c>
      <c r="E4348" s="1" t="s">
        <v>344</v>
      </c>
      <c r="F4348" s="26">
        <v>236</v>
      </c>
      <c r="G4348" s="25" t="s">
        <v>293</v>
      </c>
      <c r="H4348" s="25"/>
      <c r="BA4348" s="73" t="s">
        <v>355</v>
      </c>
      <c r="BB4348" s="48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356</v>
      </c>
      <c r="E4349" s="1" t="s">
        <v>132</v>
      </c>
      <c r="F4349" s="26">
        <v>3.59</v>
      </c>
      <c r="G4349" s="25" t="s">
        <v>293</v>
      </c>
      <c r="H4349" s="25"/>
      <c r="BA4349" s="73" t="s">
        <v>355</v>
      </c>
      <c r="BB4349" s="48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356</v>
      </c>
      <c r="E4350" s="1" t="s">
        <v>111</v>
      </c>
      <c r="F4350" s="26">
        <v>90</v>
      </c>
      <c r="G4350" s="25" t="s">
        <v>293</v>
      </c>
      <c r="H4350" s="25"/>
      <c r="BA4350" s="73" t="s">
        <v>355</v>
      </c>
      <c r="BB4350" s="48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356</v>
      </c>
      <c r="E4351" s="1" t="s">
        <v>345</v>
      </c>
      <c r="F4351" s="26">
        <v>5.29</v>
      </c>
      <c r="G4351" s="25" t="s">
        <v>293</v>
      </c>
      <c r="H4351" s="25"/>
      <c r="BA4351" s="73" t="s">
        <v>355</v>
      </c>
      <c r="BB4351" s="48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356</v>
      </c>
      <c r="E4352" s="1" t="s">
        <v>347</v>
      </c>
      <c r="F4352" s="26">
        <v>2.38</v>
      </c>
      <c r="G4352" s="25" t="s">
        <v>293</v>
      </c>
      <c r="H4352" s="25"/>
      <c r="BA4352" s="73" t="s">
        <v>355</v>
      </c>
      <c r="BB4352" s="48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356</v>
      </c>
      <c r="E4353" s="1" t="s">
        <v>128</v>
      </c>
      <c r="F4353" s="26">
        <v>7</v>
      </c>
      <c r="G4353" s="25" t="s">
        <v>293</v>
      </c>
      <c r="H4353" s="25"/>
      <c r="BA4353" s="73" t="s">
        <v>355</v>
      </c>
      <c r="BB4353" s="48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356</v>
      </c>
      <c r="E4354" s="1" t="s">
        <v>121</v>
      </c>
      <c r="F4354" s="26">
        <v>164</v>
      </c>
      <c r="G4354" s="25" t="s">
        <v>293</v>
      </c>
      <c r="H4354" s="25"/>
      <c r="BA4354" s="73" t="s">
        <v>355</v>
      </c>
      <c r="BB4354" s="48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356</v>
      </c>
      <c r="E4355" s="1" t="s">
        <v>115</v>
      </c>
      <c r="F4355" s="26">
        <v>32</v>
      </c>
      <c r="G4355" s="25" t="s">
        <v>293</v>
      </c>
      <c r="H4355" s="25"/>
      <c r="BA4355" s="73" t="s">
        <v>355</v>
      </c>
      <c r="BB4355" s="48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356</v>
      </c>
      <c r="E4356" s="1" t="s">
        <v>137</v>
      </c>
      <c r="F4356" s="26">
        <v>75</v>
      </c>
      <c r="G4356" s="25" t="s">
        <v>293</v>
      </c>
      <c r="H4356" s="25"/>
      <c r="BA4356" s="73" t="s">
        <v>355</v>
      </c>
      <c r="BB4356" s="48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356</v>
      </c>
      <c r="E4357" s="1" t="s">
        <v>348</v>
      </c>
      <c r="F4357" s="26">
        <v>140</v>
      </c>
      <c r="G4357" s="25" t="s">
        <v>293</v>
      </c>
      <c r="H4357" s="25"/>
      <c r="BA4357" s="73" t="s">
        <v>355</v>
      </c>
      <c r="BB4357" s="48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356</v>
      </c>
      <c r="E4358" s="1" t="s">
        <v>125</v>
      </c>
      <c r="F4358" s="26">
        <v>106</v>
      </c>
      <c r="G4358" s="25" t="s">
        <v>293</v>
      </c>
      <c r="H4358" s="25"/>
      <c r="BA4358" s="73" t="s">
        <v>355</v>
      </c>
      <c r="BB4358" s="48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356</v>
      </c>
      <c r="E4359" s="1" t="s">
        <v>126</v>
      </c>
      <c r="F4359" s="26">
        <v>81</v>
      </c>
      <c r="G4359" s="25" t="s">
        <v>293</v>
      </c>
      <c r="H4359" s="25"/>
      <c r="BA4359" s="73" t="s">
        <v>355</v>
      </c>
      <c r="BB4359" s="48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356</v>
      </c>
      <c r="E4360" s="1" t="s">
        <v>349</v>
      </c>
      <c r="F4360" s="26">
        <v>169</v>
      </c>
      <c r="G4360" s="25" t="s">
        <v>293</v>
      </c>
      <c r="H4360" s="25"/>
      <c r="BA4360" s="73" t="s">
        <v>355</v>
      </c>
      <c r="BB4360" s="48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356</v>
      </c>
      <c r="E4361" s="1" t="s">
        <v>350</v>
      </c>
      <c r="F4361" s="26">
        <v>59</v>
      </c>
      <c r="G4361" s="25" t="s">
        <v>293</v>
      </c>
      <c r="H4361" s="25"/>
      <c r="BA4361" s="73" t="s">
        <v>355</v>
      </c>
      <c r="BB4361" s="48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356</v>
      </c>
      <c r="E4362" s="1" t="s">
        <v>122</v>
      </c>
      <c r="F4362" s="26">
        <v>46</v>
      </c>
      <c r="G4362" s="25" t="s">
        <v>293</v>
      </c>
      <c r="H4362" s="25"/>
      <c r="BA4362" s="73" t="s">
        <v>355</v>
      </c>
      <c r="BB4362" s="48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356</v>
      </c>
      <c r="E4363" s="1" t="s">
        <v>124</v>
      </c>
      <c r="F4363" s="26">
        <v>29</v>
      </c>
      <c r="G4363" s="25" t="s">
        <v>293</v>
      </c>
      <c r="H4363" s="25"/>
      <c r="BA4363" s="73" t="s">
        <v>355</v>
      </c>
      <c r="BB4363" s="48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356</v>
      </c>
      <c r="E4364" s="1" t="s">
        <v>351</v>
      </c>
      <c r="F4364" s="26">
        <v>0.99</v>
      </c>
      <c r="G4364" s="25" t="s">
        <v>293</v>
      </c>
      <c r="H4364" s="25"/>
      <c r="BA4364" s="73" t="s">
        <v>355</v>
      </c>
      <c r="BB4364" s="48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356</v>
      </c>
      <c r="E4365" s="1" t="s">
        <v>353</v>
      </c>
      <c r="F4365" s="26">
        <v>33.799999999999997</v>
      </c>
      <c r="G4365" s="25" t="s">
        <v>293</v>
      </c>
      <c r="H4365" s="25"/>
      <c r="BA4365" s="73" t="s">
        <v>355</v>
      </c>
      <c r="BB4365" s="48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356</v>
      </c>
      <c r="E4366" s="1" t="s">
        <v>133</v>
      </c>
      <c r="F4366" s="26">
        <v>146</v>
      </c>
      <c r="G4366" s="25" t="s">
        <v>293</v>
      </c>
      <c r="H4366" s="25"/>
      <c r="BA4366" s="73" t="s">
        <v>355</v>
      </c>
      <c r="BB4366" s="48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356</v>
      </c>
      <c r="E4367" s="1" t="s">
        <v>135</v>
      </c>
      <c r="F4367" s="26">
        <v>3.9</v>
      </c>
      <c r="G4367" s="25" t="s">
        <v>293</v>
      </c>
      <c r="H4367" s="25"/>
      <c r="BA4367" s="73" t="s">
        <v>355</v>
      </c>
      <c r="BB4367" s="48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356</v>
      </c>
      <c r="E4368" s="1" t="s">
        <v>136</v>
      </c>
      <c r="F4368" s="26">
        <v>118</v>
      </c>
      <c r="G4368" s="25" t="s">
        <v>293</v>
      </c>
      <c r="H4368" s="25"/>
      <c r="BA4368" s="73" t="s">
        <v>355</v>
      </c>
      <c r="BB4368" s="48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356</v>
      </c>
      <c r="E4369" s="1" t="s">
        <v>339</v>
      </c>
      <c r="F4369" s="26">
        <v>4.5999999999999996</v>
      </c>
      <c r="G4369" s="25" t="s">
        <v>293</v>
      </c>
      <c r="H4369" s="25"/>
      <c r="BA4369" s="73" t="s">
        <v>355</v>
      </c>
      <c r="BB4369" s="48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356</v>
      </c>
      <c r="E4370" s="1" t="s">
        <v>118</v>
      </c>
      <c r="F4370" s="26">
        <v>4.5999999999999996</v>
      </c>
      <c r="G4370" s="25" t="s">
        <v>293</v>
      </c>
      <c r="H4370" s="25"/>
      <c r="BA4370" s="73" t="s">
        <v>355</v>
      </c>
      <c r="BB4370" s="48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356</v>
      </c>
      <c r="E4371" s="1" t="s">
        <v>130</v>
      </c>
      <c r="F4371" s="26">
        <v>3.84</v>
      </c>
      <c r="G4371" s="25" t="s">
        <v>293</v>
      </c>
      <c r="H4371" s="25"/>
      <c r="BA4371" s="73" t="s">
        <v>355</v>
      </c>
      <c r="BB4371" s="48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356</v>
      </c>
      <c r="E4372" s="1" t="s">
        <v>341</v>
      </c>
      <c r="F4372" s="26">
        <v>0.313</v>
      </c>
      <c r="G4372" s="25" t="s">
        <v>293</v>
      </c>
      <c r="H4372" s="25"/>
      <c r="BA4372" s="73" t="s">
        <v>355</v>
      </c>
      <c r="BB4372" s="48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356</v>
      </c>
      <c r="E4373" s="1" t="s">
        <v>127</v>
      </c>
      <c r="F4373" s="26">
        <v>1.173</v>
      </c>
      <c r="G4373" s="25" t="s">
        <v>293</v>
      </c>
      <c r="H4373" s="25"/>
      <c r="BA4373" s="73" t="s">
        <v>355</v>
      </c>
      <c r="BB4373" s="48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356</v>
      </c>
      <c r="E4374" s="1" t="s">
        <v>131</v>
      </c>
      <c r="F4374" s="26">
        <v>8.8000000000000007</v>
      </c>
      <c r="G4374" s="25" t="s">
        <v>293</v>
      </c>
      <c r="H4374" s="25"/>
      <c r="BA4374" s="73" t="s">
        <v>355</v>
      </c>
      <c r="BB4374" s="48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356</v>
      </c>
      <c r="E4375" s="1" t="s">
        <v>342</v>
      </c>
      <c r="F4375" s="26">
        <v>355</v>
      </c>
      <c r="G4375" s="25" t="s">
        <v>293</v>
      </c>
      <c r="H4375" s="25"/>
      <c r="BA4375" s="73" t="s">
        <v>355</v>
      </c>
      <c r="BB4375" s="48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356</v>
      </c>
      <c r="E4376" s="1" t="s">
        <v>119</v>
      </c>
      <c r="F4376" s="26">
        <v>231</v>
      </c>
      <c r="G4376" s="25" t="s">
        <v>293</v>
      </c>
      <c r="H4376" s="25"/>
      <c r="BA4376" s="73" t="s">
        <v>355</v>
      </c>
      <c r="BB4376" s="48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356</v>
      </c>
      <c r="E4377" s="1" t="s">
        <v>120</v>
      </c>
      <c r="F4377" s="26">
        <v>74</v>
      </c>
      <c r="G4377" s="25" t="s">
        <v>293</v>
      </c>
      <c r="H4377" s="25"/>
      <c r="BA4377" s="73" t="s">
        <v>355</v>
      </c>
      <c r="BB4377" s="48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356</v>
      </c>
      <c r="E4378" s="1" t="s">
        <v>117</v>
      </c>
      <c r="F4378" s="26">
        <v>2.62</v>
      </c>
      <c r="G4378" s="25" t="s">
        <v>293</v>
      </c>
      <c r="H4378" s="25"/>
      <c r="BA4378" s="73" t="s">
        <v>355</v>
      </c>
      <c r="BB4378" s="48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356</v>
      </c>
      <c r="E4379" s="1" t="s">
        <v>344</v>
      </c>
      <c r="F4379" s="26">
        <v>231</v>
      </c>
      <c r="G4379" s="25" t="s">
        <v>293</v>
      </c>
      <c r="H4379" s="25"/>
      <c r="BA4379" s="73" t="s">
        <v>355</v>
      </c>
      <c r="BB4379" s="48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356</v>
      </c>
      <c r="E4380" s="1" t="s">
        <v>132</v>
      </c>
      <c r="F4380" s="26">
        <v>3.49</v>
      </c>
      <c r="G4380" s="25" t="s">
        <v>293</v>
      </c>
      <c r="H4380" s="25"/>
      <c r="BA4380" s="73" t="s">
        <v>355</v>
      </c>
      <c r="BB4380" s="48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356</v>
      </c>
      <c r="E4381" s="1" t="s">
        <v>111</v>
      </c>
      <c r="F4381" s="26">
        <v>89</v>
      </c>
      <c r="G4381" s="25" t="s">
        <v>293</v>
      </c>
      <c r="H4381" s="25"/>
      <c r="BA4381" s="73" t="s">
        <v>355</v>
      </c>
      <c r="BB4381" s="48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356</v>
      </c>
      <c r="E4382" s="1" t="s">
        <v>345</v>
      </c>
      <c r="F4382" s="26">
        <v>5.16</v>
      </c>
      <c r="G4382" s="25" t="s">
        <v>293</v>
      </c>
      <c r="H4382" s="25"/>
      <c r="BA4382" s="73" t="s">
        <v>355</v>
      </c>
      <c r="BB4382" s="48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356</v>
      </c>
      <c r="E4383" s="1" t="s">
        <v>347</v>
      </c>
      <c r="F4383" s="26">
        <v>2.11</v>
      </c>
      <c r="G4383" s="25" t="s">
        <v>293</v>
      </c>
      <c r="H4383" s="25"/>
      <c r="BA4383" s="73" t="s">
        <v>355</v>
      </c>
      <c r="BB4383" s="48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356</v>
      </c>
      <c r="E4384" s="1" t="s">
        <v>128</v>
      </c>
      <c r="F4384" s="26">
        <v>7.1</v>
      </c>
      <c r="G4384" s="25" t="s">
        <v>293</v>
      </c>
      <c r="H4384" s="25"/>
      <c r="BA4384" s="73" t="s">
        <v>355</v>
      </c>
      <c r="BB4384" s="48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356</v>
      </c>
      <c r="E4385" s="1" t="s">
        <v>121</v>
      </c>
      <c r="F4385" s="26">
        <v>160</v>
      </c>
      <c r="G4385" s="25" t="s">
        <v>293</v>
      </c>
      <c r="H4385" s="25"/>
      <c r="BA4385" s="73" t="s">
        <v>355</v>
      </c>
      <c r="BB4385" s="48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356</v>
      </c>
      <c r="E4386" s="1" t="s">
        <v>115</v>
      </c>
      <c r="F4386" s="26">
        <v>33</v>
      </c>
      <c r="G4386" s="25" t="s">
        <v>293</v>
      </c>
      <c r="H4386" s="25"/>
      <c r="BA4386" s="73" t="s">
        <v>355</v>
      </c>
      <c r="BB4386" s="48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356</v>
      </c>
      <c r="E4387" s="1" t="s">
        <v>137</v>
      </c>
      <c r="F4387" s="26">
        <v>75</v>
      </c>
      <c r="G4387" s="25" t="s">
        <v>293</v>
      </c>
      <c r="H4387" s="25"/>
      <c r="BA4387" s="73" t="s">
        <v>355</v>
      </c>
      <c r="BB4387" s="48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356</v>
      </c>
      <c r="E4388" s="1" t="s">
        <v>348</v>
      </c>
      <c r="F4388" s="26">
        <v>139</v>
      </c>
      <c r="G4388" s="25" t="s">
        <v>293</v>
      </c>
      <c r="H4388" s="25"/>
      <c r="BA4388" s="73" t="s">
        <v>355</v>
      </c>
      <c r="BB4388" s="48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356</v>
      </c>
      <c r="E4389" s="1" t="s">
        <v>125</v>
      </c>
      <c r="F4389" s="26">
        <v>115</v>
      </c>
      <c r="G4389" s="25" t="s">
        <v>293</v>
      </c>
      <c r="H4389" s="25"/>
      <c r="BA4389" s="73" t="s">
        <v>355</v>
      </c>
      <c r="BB4389" s="48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356</v>
      </c>
      <c r="E4390" s="1" t="s">
        <v>126</v>
      </c>
      <c r="F4390" s="26">
        <v>80</v>
      </c>
      <c r="G4390" s="25" t="s">
        <v>293</v>
      </c>
      <c r="H4390" s="25"/>
      <c r="BA4390" s="73" t="s">
        <v>355</v>
      </c>
      <c r="BB4390" s="48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356</v>
      </c>
      <c r="E4391" s="1" t="s">
        <v>349</v>
      </c>
      <c r="F4391" s="26">
        <v>157</v>
      </c>
      <c r="G4391" s="25" t="s">
        <v>293</v>
      </c>
      <c r="H4391" s="25"/>
      <c r="BA4391" s="73" t="s">
        <v>355</v>
      </c>
      <c r="BB4391" s="48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356</v>
      </c>
      <c r="E4392" s="1" t="s">
        <v>350</v>
      </c>
      <c r="F4392" s="26">
        <v>58</v>
      </c>
      <c r="G4392" s="25" t="s">
        <v>293</v>
      </c>
      <c r="H4392" s="25"/>
      <c r="BA4392" s="73" t="s">
        <v>355</v>
      </c>
      <c r="BB4392" s="48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356</v>
      </c>
      <c r="E4393" s="1" t="s">
        <v>122</v>
      </c>
      <c r="F4393" s="26">
        <v>46</v>
      </c>
      <c r="G4393" s="25" t="s">
        <v>293</v>
      </c>
      <c r="H4393" s="25"/>
      <c r="BA4393" s="73" t="s">
        <v>355</v>
      </c>
      <c r="BB4393" s="48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356</v>
      </c>
      <c r="E4394" s="1" t="s">
        <v>124</v>
      </c>
      <c r="F4394" s="26">
        <v>29</v>
      </c>
      <c r="G4394" s="25" t="s">
        <v>293</v>
      </c>
      <c r="H4394" s="25"/>
      <c r="BA4394" s="73" t="s">
        <v>355</v>
      </c>
      <c r="BB4394" s="48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356</v>
      </c>
      <c r="E4395" s="1" t="s">
        <v>351</v>
      </c>
      <c r="F4395" s="26">
        <v>0.93</v>
      </c>
      <c r="G4395" s="25" t="s">
        <v>293</v>
      </c>
      <c r="H4395" s="25"/>
      <c r="BA4395" s="73" t="s">
        <v>355</v>
      </c>
      <c r="BB4395" s="48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356</v>
      </c>
      <c r="E4396" s="1" t="s">
        <v>353</v>
      </c>
      <c r="F4396" s="26">
        <v>36.299999999999997</v>
      </c>
      <c r="G4396" s="25" t="s">
        <v>293</v>
      </c>
      <c r="H4396" s="25"/>
      <c r="BA4396" s="73" t="s">
        <v>355</v>
      </c>
      <c r="BB4396" s="48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356</v>
      </c>
      <c r="E4397" s="1" t="s">
        <v>133</v>
      </c>
      <c r="F4397" s="26">
        <v>147</v>
      </c>
      <c r="G4397" s="25" t="s">
        <v>293</v>
      </c>
      <c r="H4397" s="25"/>
      <c r="BA4397" s="73" t="s">
        <v>355</v>
      </c>
      <c r="BB4397" s="48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356</v>
      </c>
      <c r="E4398" s="1" t="s">
        <v>135</v>
      </c>
      <c r="F4398" s="26">
        <v>3.8</v>
      </c>
      <c r="G4398" s="25" t="s">
        <v>293</v>
      </c>
      <c r="H4398" s="25"/>
      <c r="BA4398" s="73" t="s">
        <v>355</v>
      </c>
      <c r="BB4398" s="48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356</v>
      </c>
      <c r="E4399" s="1" t="s">
        <v>136</v>
      </c>
      <c r="F4399" s="26">
        <v>118</v>
      </c>
      <c r="G4399" s="25" t="s">
        <v>293</v>
      </c>
      <c r="H4399" s="25"/>
      <c r="BA4399" s="73" t="s">
        <v>355</v>
      </c>
      <c r="BB4399" s="48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356</v>
      </c>
      <c r="E4400" s="1" t="s">
        <v>339</v>
      </c>
      <c r="F4400" s="26">
        <v>4.53</v>
      </c>
      <c r="G4400" s="25" t="s">
        <v>293</v>
      </c>
      <c r="H4400" s="25"/>
      <c r="BA4400" s="73" t="s">
        <v>355</v>
      </c>
      <c r="BB4400" s="48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356</v>
      </c>
      <c r="E4401" s="1" t="s">
        <v>118</v>
      </c>
      <c r="F4401" s="26">
        <v>4.5999999999999996</v>
      </c>
      <c r="G4401" s="25" t="s">
        <v>293</v>
      </c>
      <c r="H4401" s="25"/>
      <c r="BA4401" s="73" t="s">
        <v>355</v>
      </c>
      <c r="BB4401" s="48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356</v>
      </c>
      <c r="E4402" s="1" t="s">
        <v>130</v>
      </c>
      <c r="F4402" s="26">
        <v>3.9</v>
      </c>
      <c r="G4402" s="25" t="s">
        <v>293</v>
      </c>
      <c r="H4402" s="25"/>
      <c r="BA4402" s="73" t="s">
        <v>355</v>
      </c>
      <c r="BB4402" s="48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356</v>
      </c>
      <c r="E4403" s="1" t="s">
        <v>341</v>
      </c>
      <c r="F4403" s="26">
        <v>0.33700000000000002</v>
      </c>
      <c r="G4403" s="25" t="s">
        <v>293</v>
      </c>
      <c r="H4403" s="25"/>
      <c r="BA4403" s="73" t="s">
        <v>355</v>
      </c>
      <c r="BB4403" s="48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356</v>
      </c>
      <c r="E4404" s="1" t="s">
        <v>127</v>
      </c>
      <c r="F4404" s="26">
        <v>1.1859999999999999</v>
      </c>
      <c r="G4404" s="25" t="s">
        <v>293</v>
      </c>
      <c r="H4404" s="25"/>
      <c r="BA4404" s="73" t="s">
        <v>355</v>
      </c>
      <c r="BB4404" s="48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356</v>
      </c>
      <c r="E4405" s="1" t="s">
        <v>131</v>
      </c>
      <c r="F4405" s="26">
        <v>8.6</v>
      </c>
      <c r="G4405" s="25" t="s">
        <v>293</v>
      </c>
      <c r="H4405" s="25"/>
      <c r="BA4405" s="73" t="s">
        <v>355</v>
      </c>
      <c r="BB4405" s="48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356</v>
      </c>
      <c r="E4406" s="1" t="s">
        <v>342</v>
      </c>
      <c r="F4406" s="26">
        <v>318</v>
      </c>
      <c r="G4406" s="25" t="s">
        <v>293</v>
      </c>
      <c r="H4406" s="25"/>
      <c r="BA4406" s="73" t="s">
        <v>355</v>
      </c>
      <c r="BB4406" s="48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356</v>
      </c>
      <c r="E4407" s="1" t="s">
        <v>119</v>
      </c>
      <c r="F4407" s="26">
        <v>238</v>
      </c>
      <c r="G4407" s="25" t="s">
        <v>293</v>
      </c>
      <c r="H4407" s="25"/>
      <c r="BA4407" s="73" t="s">
        <v>355</v>
      </c>
      <c r="BB4407" s="48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356</v>
      </c>
      <c r="E4408" s="1" t="s">
        <v>120</v>
      </c>
      <c r="F4408" s="26">
        <v>78</v>
      </c>
      <c r="G4408" s="25" t="s">
        <v>293</v>
      </c>
      <c r="H4408" s="25"/>
      <c r="BA4408" s="73" t="s">
        <v>355</v>
      </c>
      <c r="BB4408" s="48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356</v>
      </c>
      <c r="E4409" s="1" t="s">
        <v>117</v>
      </c>
      <c r="F4409" s="26">
        <v>2.71</v>
      </c>
      <c r="G4409" s="25" t="s">
        <v>293</v>
      </c>
      <c r="H4409" s="25"/>
      <c r="BA4409" s="73" t="s">
        <v>355</v>
      </c>
      <c r="BB4409" s="48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356</v>
      </c>
      <c r="E4410" s="1" t="s">
        <v>344</v>
      </c>
      <c r="F4410" s="26">
        <v>233</v>
      </c>
      <c r="G4410" s="25" t="s">
        <v>293</v>
      </c>
      <c r="H4410" s="25"/>
      <c r="BA4410" s="73" t="s">
        <v>355</v>
      </c>
      <c r="BB4410" s="48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356</v>
      </c>
      <c r="E4411" s="1" t="s">
        <v>132</v>
      </c>
      <c r="F4411" s="26">
        <v>3.46</v>
      </c>
      <c r="G4411" s="25" t="s">
        <v>293</v>
      </c>
      <c r="H4411" s="25"/>
      <c r="BA4411" s="73" t="s">
        <v>355</v>
      </c>
      <c r="BB4411" s="48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356</v>
      </c>
      <c r="E4412" s="1" t="s">
        <v>111</v>
      </c>
      <c r="F4412" s="26">
        <v>87</v>
      </c>
      <c r="G4412" s="25" t="s">
        <v>293</v>
      </c>
      <c r="H4412" s="25"/>
      <c r="BA4412" s="73" t="s">
        <v>355</v>
      </c>
      <c r="BB4412" s="48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356</v>
      </c>
      <c r="E4413" s="1" t="s">
        <v>345</v>
      </c>
      <c r="F4413" s="26">
        <v>5.19</v>
      </c>
      <c r="G4413" s="25" t="s">
        <v>293</v>
      </c>
      <c r="H4413" s="25"/>
      <c r="BA4413" s="73" t="s">
        <v>355</v>
      </c>
      <c r="BB4413" s="48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356</v>
      </c>
      <c r="E4414" s="1" t="s">
        <v>347</v>
      </c>
      <c r="F4414" s="26">
        <v>2.12</v>
      </c>
      <c r="G4414" s="25" t="s">
        <v>293</v>
      </c>
      <c r="H4414" s="25"/>
      <c r="BA4414" s="73" t="s">
        <v>355</v>
      </c>
      <c r="BB4414" s="48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356</v>
      </c>
      <c r="E4415" s="1" t="s">
        <v>128</v>
      </c>
      <c r="F4415" s="26">
        <v>7</v>
      </c>
      <c r="G4415" s="25" t="s">
        <v>293</v>
      </c>
      <c r="H4415" s="25"/>
      <c r="BA4415" s="73" t="s">
        <v>355</v>
      </c>
      <c r="BB4415" s="48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356</v>
      </c>
      <c r="E4416" s="1" t="s">
        <v>121</v>
      </c>
      <c r="F4416" s="26">
        <v>159</v>
      </c>
      <c r="G4416" s="25" t="s">
        <v>293</v>
      </c>
      <c r="H4416" s="25"/>
      <c r="BA4416" s="73" t="s">
        <v>355</v>
      </c>
      <c r="BB4416" s="48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356</v>
      </c>
      <c r="E4417" s="1" t="s">
        <v>115</v>
      </c>
      <c r="F4417" s="26">
        <v>33</v>
      </c>
      <c r="G4417" s="25" t="s">
        <v>293</v>
      </c>
      <c r="H4417" s="25"/>
      <c r="BA4417" s="73" t="s">
        <v>355</v>
      </c>
      <c r="BB4417" s="48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356</v>
      </c>
      <c r="E4418" s="1" t="s">
        <v>137</v>
      </c>
      <c r="F4418" s="26">
        <v>74</v>
      </c>
      <c r="G4418" s="25" t="s">
        <v>293</v>
      </c>
      <c r="H4418" s="25"/>
      <c r="BA4418" s="73" t="s">
        <v>355</v>
      </c>
      <c r="BB4418" s="48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356</v>
      </c>
      <c r="E4419" s="1" t="s">
        <v>348</v>
      </c>
      <c r="F4419" s="26">
        <v>140</v>
      </c>
      <c r="G4419" s="25" t="s">
        <v>293</v>
      </c>
      <c r="H4419" s="25"/>
      <c r="BA4419" s="73" t="s">
        <v>355</v>
      </c>
      <c r="BB4419" s="48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356</v>
      </c>
      <c r="E4420" s="1" t="s">
        <v>125</v>
      </c>
      <c r="F4420" s="26">
        <v>112</v>
      </c>
      <c r="G4420" s="25" t="s">
        <v>293</v>
      </c>
      <c r="H4420" s="25"/>
      <c r="BA4420" s="73" t="s">
        <v>355</v>
      </c>
      <c r="BB4420" s="48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356</v>
      </c>
      <c r="E4421" s="1" t="s">
        <v>126</v>
      </c>
      <c r="F4421" s="26">
        <v>80</v>
      </c>
      <c r="G4421" s="25" t="s">
        <v>293</v>
      </c>
      <c r="H4421" s="25"/>
      <c r="BA4421" s="73" t="s">
        <v>355</v>
      </c>
      <c r="BB4421" s="48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356</v>
      </c>
      <c r="E4422" s="1" t="s">
        <v>349</v>
      </c>
      <c r="F4422" s="26">
        <v>142</v>
      </c>
      <c r="G4422" s="25" t="s">
        <v>293</v>
      </c>
      <c r="H4422" s="25"/>
      <c r="BA4422" s="73" t="s">
        <v>355</v>
      </c>
      <c r="BB4422" s="48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356</v>
      </c>
      <c r="E4423" s="1" t="s">
        <v>350</v>
      </c>
      <c r="F4423" s="26">
        <v>59</v>
      </c>
      <c r="G4423" s="25" t="s">
        <v>293</v>
      </c>
      <c r="H4423" s="25"/>
      <c r="BA4423" s="73" t="s">
        <v>355</v>
      </c>
      <c r="BB4423" s="48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356</v>
      </c>
      <c r="E4424" s="1" t="s">
        <v>122</v>
      </c>
      <c r="F4424" s="26">
        <v>45</v>
      </c>
      <c r="G4424" s="25" t="s">
        <v>293</v>
      </c>
      <c r="H4424" s="25"/>
      <c r="BA4424" s="73" t="s">
        <v>355</v>
      </c>
      <c r="BB4424" s="48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356</v>
      </c>
      <c r="E4425" s="1" t="s">
        <v>124</v>
      </c>
      <c r="F4425" s="26">
        <v>30</v>
      </c>
      <c r="G4425" s="25" t="s">
        <v>293</v>
      </c>
      <c r="H4425" s="25"/>
      <c r="BA4425" s="73" t="s">
        <v>355</v>
      </c>
      <c r="BB4425" s="48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356</v>
      </c>
      <c r="E4426" s="1" t="s">
        <v>351</v>
      </c>
      <c r="F4426" s="26">
        <v>0.96</v>
      </c>
      <c r="G4426" s="25" t="s">
        <v>293</v>
      </c>
      <c r="H4426" s="25"/>
      <c r="BA4426" s="73" t="s">
        <v>355</v>
      </c>
      <c r="BB4426" s="48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356</v>
      </c>
      <c r="E4427" s="1" t="s">
        <v>353</v>
      </c>
      <c r="F4427" s="26">
        <v>34.1</v>
      </c>
      <c r="G4427" s="25" t="s">
        <v>293</v>
      </c>
      <c r="H4427" s="25"/>
      <c r="BA4427" s="73" t="s">
        <v>355</v>
      </c>
      <c r="BB4427" s="48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356</v>
      </c>
      <c r="E4428" s="1" t="s">
        <v>133</v>
      </c>
      <c r="F4428" s="26">
        <v>147</v>
      </c>
      <c r="G4428" s="25" t="s">
        <v>293</v>
      </c>
      <c r="H4428" s="25"/>
      <c r="BA4428" s="73" t="s">
        <v>355</v>
      </c>
      <c r="BB4428" s="48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356</v>
      </c>
      <c r="E4429" s="1" t="s">
        <v>135</v>
      </c>
      <c r="F4429" s="26">
        <v>3.8</v>
      </c>
      <c r="G4429" s="25" t="s">
        <v>293</v>
      </c>
      <c r="H4429" s="25"/>
      <c r="BA4429" s="73" t="s">
        <v>355</v>
      </c>
      <c r="BB4429" s="48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356</v>
      </c>
      <c r="E4430" s="1" t="s">
        <v>136</v>
      </c>
      <c r="F4430" s="26">
        <v>118</v>
      </c>
      <c r="G4430" s="25" t="s">
        <v>293</v>
      </c>
      <c r="H4430" s="25"/>
      <c r="BA4430" s="73" t="s">
        <v>355</v>
      </c>
      <c r="BB4430" s="48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356</v>
      </c>
      <c r="E4431" s="1" t="s">
        <v>339</v>
      </c>
      <c r="F4431" s="26">
        <v>4.55</v>
      </c>
      <c r="G4431" s="25" t="s">
        <v>293</v>
      </c>
      <c r="H4431" s="25"/>
      <c r="BA4431" s="73" t="s">
        <v>355</v>
      </c>
      <c r="BB4431" s="48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356</v>
      </c>
      <c r="E4432" s="1" t="s">
        <v>118</v>
      </c>
      <c r="F4432" s="26">
        <v>4.5999999999999996</v>
      </c>
      <c r="G4432" s="25" t="s">
        <v>293</v>
      </c>
      <c r="H4432" s="25"/>
      <c r="BA4432" s="73" t="s">
        <v>355</v>
      </c>
      <c r="BB4432" s="48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356</v>
      </c>
      <c r="E4433" s="1" t="s">
        <v>130</v>
      </c>
      <c r="F4433" s="26">
        <v>3.97</v>
      </c>
      <c r="G4433" s="25" t="s">
        <v>293</v>
      </c>
      <c r="H4433" s="25"/>
      <c r="BA4433" s="73" t="s">
        <v>355</v>
      </c>
      <c r="BB4433" s="48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356</v>
      </c>
      <c r="E4434" s="1" t="s">
        <v>341</v>
      </c>
      <c r="F4434" s="26">
        <v>0.33</v>
      </c>
      <c r="G4434" s="25" t="s">
        <v>293</v>
      </c>
      <c r="H4434" s="25"/>
      <c r="BA4434" s="73" t="s">
        <v>355</v>
      </c>
      <c r="BB4434" s="48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356</v>
      </c>
      <c r="E4435" s="1" t="s">
        <v>127</v>
      </c>
      <c r="F4435" s="26">
        <v>1.1819999999999999</v>
      </c>
      <c r="G4435" s="25" t="s">
        <v>293</v>
      </c>
      <c r="H4435" s="25"/>
      <c r="BA4435" s="73" t="s">
        <v>355</v>
      </c>
      <c r="BB4435" s="48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356</v>
      </c>
      <c r="E4436" s="1" t="s">
        <v>131</v>
      </c>
      <c r="F4436" s="26">
        <v>8.5</v>
      </c>
      <c r="G4436" s="25" t="s">
        <v>293</v>
      </c>
      <c r="H4436" s="25"/>
      <c r="BA4436" s="73" t="s">
        <v>355</v>
      </c>
      <c r="BB4436" s="48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356</v>
      </c>
      <c r="E4437" s="1" t="s">
        <v>342</v>
      </c>
      <c r="F4437" s="26">
        <v>337</v>
      </c>
      <c r="G4437" s="25" t="s">
        <v>293</v>
      </c>
      <c r="H4437" s="25"/>
      <c r="BA4437" s="73" t="s">
        <v>355</v>
      </c>
      <c r="BB4437" s="48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356</v>
      </c>
      <c r="E4438" s="1" t="s">
        <v>119</v>
      </c>
      <c r="F4438" s="26">
        <v>240</v>
      </c>
      <c r="G4438" s="25" t="s">
        <v>293</v>
      </c>
      <c r="H4438" s="25"/>
      <c r="BA4438" s="73" t="s">
        <v>355</v>
      </c>
      <c r="BB4438" s="48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356</v>
      </c>
      <c r="E4439" s="1" t="s">
        <v>120</v>
      </c>
      <c r="F4439" s="26">
        <v>80</v>
      </c>
      <c r="G4439" s="25" t="s">
        <v>293</v>
      </c>
      <c r="H4439" s="25"/>
      <c r="BA4439" s="73" t="s">
        <v>355</v>
      </c>
      <c r="BB4439" s="48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356</v>
      </c>
      <c r="E4440" s="1" t="s">
        <v>117</v>
      </c>
      <c r="F4440" s="26">
        <v>2.63</v>
      </c>
      <c r="G4440" s="25" t="s">
        <v>293</v>
      </c>
      <c r="H4440" s="25"/>
      <c r="BA4440" s="73" t="s">
        <v>355</v>
      </c>
      <c r="BB4440" s="48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356</v>
      </c>
      <c r="E4441" s="1" t="s">
        <v>344</v>
      </c>
      <c r="F4441" s="26">
        <v>234</v>
      </c>
      <c r="G4441" s="25" t="s">
        <v>293</v>
      </c>
      <c r="H4441" s="25"/>
      <c r="BA4441" s="73" t="s">
        <v>355</v>
      </c>
      <c r="BB4441" s="48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356</v>
      </c>
      <c r="E4442" s="1" t="s">
        <v>132</v>
      </c>
      <c r="F4442" s="26">
        <v>3.42</v>
      </c>
      <c r="G4442" s="25" t="s">
        <v>293</v>
      </c>
      <c r="H4442" s="25"/>
      <c r="BA4442" s="73" t="s">
        <v>355</v>
      </c>
      <c r="BB4442" s="48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356</v>
      </c>
      <c r="E4443" s="1" t="s">
        <v>111</v>
      </c>
      <c r="F4443" s="26">
        <v>88</v>
      </c>
      <c r="G4443" s="25" t="s">
        <v>293</v>
      </c>
      <c r="H4443" s="25"/>
      <c r="BA4443" s="73" t="s">
        <v>355</v>
      </c>
      <c r="BB4443" s="48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356</v>
      </c>
      <c r="E4444" s="1" t="s">
        <v>345</v>
      </c>
      <c r="F4444" s="26">
        <v>5.22</v>
      </c>
      <c r="G4444" s="25" t="s">
        <v>293</v>
      </c>
      <c r="H4444" s="25"/>
      <c r="BA4444" s="73" t="s">
        <v>355</v>
      </c>
      <c r="BB4444" s="48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356</v>
      </c>
      <c r="E4445" s="1" t="s">
        <v>347</v>
      </c>
      <c r="F4445" s="26">
        <v>2.17</v>
      </c>
      <c r="G4445" s="25" t="s">
        <v>293</v>
      </c>
      <c r="H4445" s="25"/>
      <c r="BA4445" s="73" t="s">
        <v>355</v>
      </c>
      <c r="BB4445" s="48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356</v>
      </c>
      <c r="E4446" s="1" t="s">
        <v>128</v>
      </c>
      <c r="F4446" s="26">
        <v>7.1</v>
      </c>
      <c r="G4446" s="25" t="s">
        <v>293</v>
      </c>
      <c r="H4446" s="25"/>
      <c r="BA4446" s="73" t="s">
        <v>355</v>
      </c>
      <c r="BB4446" s="48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356</v>
      </c>
      <c r="E4447" s="1" t="s">
        <v>121</v>
      </c>
      <c r="F4447" s="26">
        <v>160</v>
      </c>
      <c r="G4447" s="25" t="s">
        <v>293</v>
      </c>
      <c r="H4447" s="25"/>
      <c r="BA4447" s="73" t="s">
        <v>355</v>
      </c>
      <c r="BB4447" s="48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356</v>
      </c>
      <c r="E4448" s="1" t="s">
        <v>115</v>
      </c>
      <c r="F4448" s="26">
        <v>31</v>
      </c>
      <c r="G4448" s="25" t="s">
        <v>293</v>
      </c>
      <c r="H4448" s="25"/>
      <c r="BA4448" s="73" t="s">
        <v>355</v>
      </c>
      <c r="BB4448" s="48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356</v>
      </c>
      <c r="E4449" s="1" t="s">
        <v>137</v>
      </c>
      <c r="F4449" s="26">
        <v>75</v>
      </c>
      <c r="G4449" s="25" t="s">
        <v>293</v>
      </c>
      <c r="H4449" s="25"/>
      <c r="BA4449" s="73" t="s">
        <v>355</v>
      </c>
      <c r="BB4449" s="48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356</v>
      </c>
      <c r="E4450" s="1" t="s">
        <v>348</v>
      </c>
      <c r="F4450" s="26">
        <v>142</v>
      </c>
      <c r="G4450" s="25" t="s">
        <v>293</v>
      </c>
      <c r="H4450" s="25"/>
      <c r="BA4450" s="73" t="s">
        <v>355</v>
      </c>
      <c r="BB4450" s="48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356</v>
      </c>
      <c r="E4451" s="1" t="s">
        <v>125</v>
      </c>
      <c r="F4451" s="26">
        <v>115</v>
      </c>
      <c r="G4451" s="25" t="s">
        <v>293</v>
      </c>
      <c r="H4451" s="25"/>
      <c r="BA4451" s="73" t="s">
        <v>355</v>
      </c>
      <c r="BB4451" s="48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356</v>
      </c>
      <c r="E4452" s="1" t="s">
        <v>126</v>
      </c>
      <c r="F4452" s="26">
        <v>81</v>
      </c>
      <c r="G4452" s="25" t="s">
        <v>293</v>
      </c>
      <c r="H4452" s="25"/>
      <c r="BA4452" s="73" t="s">
        <v>355</v>
      </c>
      <c r="BB4452" s="48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356</v>
      </c>
      <c r="E4453" s="1" t="s">
        <v>349</v>
      </c>
      <c r="F4453" s="26">
        <v>143</v>
      </c>
      <c r="G4453" s="25" t="s">
        <v>293</v>
      </c>
      <c r="H4453" s="25"/>
      <c r="BA4453" s="73" t="s">
        <v>355</v>
      </c>
      <c r="BB4453" s="48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356</v>
      </c>
      <c r="E4454" s="1" t="s">
        <v>350</v>
      </c>
      <c r="F4454" s="26">
        <v>57</v>
      </c>
      <c r="G4454" s="25" t="s">
        <v>293</v>
      </c>
      <c r="H4454" s="25"/>
      <c r="BA4454" s="73" t="s">
        <v>355</v>
      </c>
      <c r="BB4454" s="48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356</v>
      </c>
      <c r="E4455" s="1" t="s">
        <v>122</v>
      </c>
      <c r="F4455" s="26">
        <v>46</v>
      </c>
      <c r="G4455" s="25" t="s">
        <v>293</v>
      </c>
      <c r="H4455" s="25"/>
      <c r="BA4455" s="73" t="s">
        <v>355</v>
      </c>
      <c r="BB4455" s="48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356</v>
      </c>
      <c r="E4456" s="1" t="s">
        <v>124</v>
      </c>
      <c r="F4456" s="26">
        <v>31</v>
      </c>
      <c r="G4456" s="25" t="s">
        <v>293</v>
      </c>
      <c r="H4456" s="25"/>
      <c r="BA4456" s="73" t="s">
        <v>355</v>
      </c>
      <c r="BB4456" s="48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356</v>
      </c>
      <c r="E4457" s="1" t="s">
        <v>351</v>
      </c>
      <c r="F4457" s="26">
        <v>0.97</v>
      </c>
      <c r="G4457" s="25" t="s">
        <v>293</v>
      </c>
      <c r="H4457" s="25"/>
      <c r="BA4457" s="73" t="s">
        <v>355</v>
      </c>
      <c r="BB4457" s="48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356</v>
      </c>
      <c r="E4458" s="1" t="s">
        <v>353</v>
      </c>
      <c r="F4458" s="26">
        <v>37.4</v>
      </c>
      <c r="G4458" s="25" t="s">
        <v>293</v>
      </c>
      <c r="H4458" s="25"/>
      <c r="BA4458" s="73" t="s">
        <v>355</v>
      </c>
      <c r="BB4458" s="48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356</v>
      </c>
      <c r="E4459" s="1" t="s">
        <v>133</v>
      </c>
      <c r="F4459" s="26">
        <v>148</v>
      </c>
      <c r="G4459" s="25" t="s">
        <v>293</v>
      </c>
      <c r="H4459" s="25"/>
      <c r="BA4459" s="73" t="s">
        <v>355</v>
      </c>
      <c r="BB4459" s="48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356</v>
      </c>
      <c r="E4460" s="1" t="s">
        <v>135</v>
      </c>
      <c r="F4460" s="26">
        <v>3.9</v>
      </c>
      <c r="G4460" s="25" t="s">
        <v>293</v>
      </c>
      <c r="H4460" s="25"/>
      <c r="BA4460" s="73" t="s">
        <v>355</v>
      </c>
      <c r="BB4460" s="48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356</v>
      </c>
      <c r="E4461" s="1" t="s">
        <v>136</v>
      </c>
      <c r="F4461" s="26">
        <v>119</v>
      </c>
      <c r="G4461" s="25" t="s">
        <v>293</v>
      </c>
      <c r="H4461" s="25"/>
      <c r="BA4461" s="73" t="s">
        <v>355</v>
      </c>
      <c r="BB4461" s="48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356</v>
      </c>
      <c r="E4462" s="1" t="s">
        <v>339</v>
      </c>
      <c r="F4462" s="26">
        <v>4.55</v>
      </c>
      <c r="G4462" s="25" t="s">
        <v>293</v>
      </c>
      <c r="H4462" s="25"/>
      <c r="BA4462" s="73" t="s">
        <v>355</v>
      </c>
      <c r="BB4462" s="48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356</v>
      </c>
      <c r="E4463" s="1" t="s">
        <v>118</v>
      </c>
      <c r="F4463" s="26">
        <v>4.5</v>
      </c>
      <c r="G4463" s="25" t="s">
        <v>293</v>
      </c>
      <c r="H4463" s="25"/>
      <c r="BA4463" s="73" t="s">
        <v>355</v>
      </c>
      <c r="BB4463" s="48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356</v>
      </c>
      <c r="E4464" s="1" t="s">
        <v>130</v>
      </c>
      <c r="F4464" s="26">
        <v>3.98</v>
      </c>
      <c r="G4464" s="25" t="s">
        <v>293</v>
      </c>
      <c r="H4464" s="25"/>
      <c r="BA4464" s="73" t="s">
        <v>355</v>
      </c>
      <c r="BB4464" s="48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356</v>
      </c>
      <c r="E4465" s="1" t="s">
        <v>341</v>
      </c>
      <c r="F4465" s="26">
        <v>0.30499999999999999</v>
      </c>
      <c r="G4465" s="25" t="s">
        <v>293</v>
      </c>
      <c r="H4465" s="25"/>
      <c r="BA4465" s="73" t="s">
        <v>355</v>
      </c>
      <c r="BB4465" s="48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356</v>
      </c>
      <c r="E4466" s="1" t="s">
        <v>127</v>
      </c>
      <c r="F4466" s="26">
        <v>1.1739999999999999</v>
      </c>
      <c r="G4466" s="25" t="s">
        <v>293</v>
      </c>
      <c r="H4466" s="25"/>
      <c r="BA4466" s="73" t="s">
        <v>355</v>
      </c>
      <c r="BB4466" s="48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356</v>
      </c>
      <c r="E4467" s="1" t="s">
        <v>131</v>
      </c>
      <c r="F4467" s="26">
        <v>8.6</v>
      </c>
      <c r="G4467" s="25" t="s">
        <v>293</v>
      </c>
      <c r="H4467" s="25"/>
      <c r="BA4467" s="73" t="s">
        <v>355</v>
      </c>
      <c r="BB4467" s="48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356</v>
      </c>
      <c r="E4468" s="1" t="s">
        <v>342</v>
      </c>
      <c r="F4468" s="26">
        <v>336</v>
      </c>
      <c r="G4468" s="25" t="s">
        <v>293</v>
      </c>
      <c r="H4468" s="25"/>
      <c r="BA4468" s="73" t="s">
        <v>355</v>
      </c>
      <c r="BB4468" s="48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356</v>
      </c>
      <c r="E4469" s="1" t="s">
        <v>119</v>
      </c>
      <c r="F4469" s="26">
        <v>251</v>
      </c>
      <c r="G4469" s="25" t="s">
        <v>293</v>
      </c>
      <c r="H4469" s="25"/>
      <c r="BA4469" s="73" t="s">
        <v>355</v>
      </c>
      <c r="BB4469" s="48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356</v>
      </c>
      <c r="E4470" s="1" t="s">
        <v>120</v>
      </c>
      <c r="F4470" s="26">
        <v>77</v>
      </c>
      <c r="G4470" s="25" t="s">
        <v>293</v>
      </c>
      <c r="H4470" s="25"/>
      <c r="BA4470" s="73" t="s">
        <v>355</v>
      </c>
      <c r="BB4470" s="48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356</v>
      </c>
      <c r="E4471" s="1" t="s">
        <v>117</v>
      </c>
      <c r="F4471" s="26">
        <v>2.61</v>
      </c>
      <c r="G4471" s="25" t="s">
        <v>293</v>
      </c>
      <c r="H4471" s="25"/>
      <c r="BA4471" s="73" t="s">
        <v>355</v>
      </c>
      <c r="BB4471" s="48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356</v>
      </c>
      <c r="E4472" s="1" t="s">
        <v>344</v>
      </c>
      <c r="F4472" s="26">
        <v>234</v>
      </c>
      <c r="G4472" s="25" t="s">
        <v>293</v>
      </c>
      <c r="H4472" s="25"/>
      <c r="BA4472" s="73" t="s">
        <v>355</v>
      </c>
      <c r="BB4472" s="48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356</v>
      </c>
      <c r="E4473" s="1" t="s">
        <v>132</v>
      </c>
      <c r="F4473" s="26">
        <v>3.6</v>
      </c>
      <c r="G4473" s="25" t="s">
        <v>293</v>
      </c>
      <c r="H4473" s="25"/>
      <c r="BA4473" s="73" t="s">
        <v>355</v>
      </c>
      <c r="BB4473" s="48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356</v>
      </c>
      <c r="E4474" s="1" t="s">
        <v>111</v>
      </c>
      <c r="F4474" s="26">
        <v>88</v>
      </c>
      <c r="G4474" s="25" t="s">
        <v>293</v>
      </c>
      <c r="H4474" s="25"/>
      <c r="BA4474" s="73" t="s">
        <v>355</v>
      </c>
      <c r="BB4474" s="48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356</v>
      </c>
      <c r="E4475" s="1" t="s">
        <v>345</v>
      </c>
      <c r="F4475" s="26">
        <v>5.17</v>
      </c>
      <c r="G4475" s="25" t="s">
        <v>293</v>
      </c>
      <c r="H4475" s="25"/>
      <c r="BA4475" s="73" t="s">
        <v>355</v>
      </c>
      <c r="BB4475" s="48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356</v>
      </c>
      <c r="E4476" s="1" t="s">
        <v>347</v>
      </c>
      <c r="F4476" s="26">
        <v>2.137</v>
      </c>
      <c r="G4476" s="25" t="s">
        <v>293</v>
      </c>
      <c r="H4476" s="25"/>
      <c r="BA4476" s="73" t="s">
        <v>355</v>
      </c>
      <c r="BB4476" s="48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356</v>
      </c>
      <c r="E4477" s="1" t="s">
        <v>128</v>
      </c>
      <c r="F4477" s="26">
        <v>7.1</v>
      </c>
      <c r="G4477" s="25" t="s">
        <v>293</v>
      </c>
      <c r="H4477" s="25"/>
      <c r="BA4477" s="73" t="s">
        <v>355</v>
      </c>
      <c r="BB4477" s="48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356</v>
      </c>
      <c r="E4478" s="1" t="s">
        <v>121</v>
      </c>
      <c r="F4478" s="26">
        <v>159</v>
      </c>
      <c r="G4478" s="25" t="s">
        <v>293</v>
      </c>
      <c r="H4478" s="25"/>
      <c r="BA4478" s="73" t="s">
        <v>355</v>
      </c>
      <c r="BB4478" s="48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356</v>
      </c>
      <c r="E4479" s="1" t="s">
        <v>115</v>
      </c>
      <c r="F4479" s="26">
        <v>32</v>
      </c>
      <c r="G4479" s="25" t="s">
        <v>293</v>
      </c>
      <c r="H4479" s="25"/>
      <c r="BA4479" s="73" t="s">
        <v>355</v>
      </c>
      <c r="BB4479" s="48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356</v>
      </c>
      <c r="E4480" s="1" t="s">
        <v>137</v>
      </c>
      <c r="F4480" s="26">
        <v>75</v>
      </c>
      <c r="G4480" s="25" t="s">
        <v>293</v>
      </c>
      <c r="H4480" s="25"/>
      <c r="BA4480" s="73" t="s">
        <v>355</v>
      </c>
      <c r="BB4480" s="48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356</v>
      </c>
      <c r="E4481" s="1" t="s">
        <v>348</v>
      </c>
      <c r="F4481" s="26">
        <v>140</v>
      </c>
      <c r="G4481" s="25" t="s">
        <v>293</v>
      </c>
      <c r="H4481" s="25"/>
      <c r="BA4481" s="73" t="s">
        <v>355</v>
      </c>
      <c r="BB4481" s="48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356</v>
      </c>
      <c r="E4482" s="1" t="s">
        <v>125</v>
      </c>
      <c r="F4482" s="26">
        <v>112</v>
      </c>
      <c r="G4482" s="25" t="s">
        <v>293</v>
      </c>
      <c r="H4482" s="25"/>
      <c r="BA4482" s="73" t="s">
        <v>355</v>
      </c>
      <c r="BB4482" s="48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356</v>
      </c>
      <c r="E4483" s="1" t="s">
        <v>126</v>
      </c>
      <c r="F4483" s="26">
        <v>81</v>
      </c>
      <c r="G4483" s="25" t="s">
        <v>293</v>
      </c>
      <c r="H4483" s="25"/>
      <c r="BA4483" s="73" t="s">
        <v>355</v>
      </c>
      <c r="BB4483" s="48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356</v>
      </c>
      <c r="E4484" s="1" t="s">
        <v>349</v>
      </c>
      <c r="F4484" s="26">
        <v>137</v>
      </c>
      <c r="G4484" s="25" t="s">
        <v>293</v>
      </c>
      <c r="H4484" s="25"/>
      <c r="BA4484" s="73" t="s">
        <v>355</v>
      </c>
      <c r="BB4484" s="48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356</v>
      </c>
      <c r="E4485" s="1" t="s">
        <v>350</v>
      </c>
      <c r="F4485" s="26">
        <v>58</v>
      </c>
      <c r="G4485" s="25" t="s">
        <v>293</v>
      </c>
      <c r="H4485" s="25"/>
      <c r="BA4485" s="73" t="s">
        <v>355</v>
      </c>
      <c r="BB4485" s="48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356</v>
      </c>
      <c r="E4486" s="1" t="s">
        <v>122</v>
      </c>
      <c r="F4486" s="26">
        <v>46</v>
      </c>
      <c r="G4486" s="25" t="s">
        <v>293</v>
      </c>
      <c r="H4486" s="25"/>
      <c r="BA4486" s="73" t="s">
        <v>355</v>
      </c>
      <c r="BB4486" s="48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356</v>
      </c>
      <c r="E4487" s="1" t="s">
        <v>124</v>
      </c>
      <c r="F4487" s="26">
        <v>30</v>
      </c>
      <c r="G4487" s="25" t="s">
        <v>293</v>
      </c>
      <c r="H4487" s="25"/>
      <c r="BA4487" s="73" t="s">
        <v>355</v>
      </c>
      <c r="BB4487" s="48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356</v>
      </c>
      <c r="E4488" s="1" t="s">
        <v>351</v>
      </c>
      <c r="F4488" s="26">
        <v>0.96</v>
      </c>
      <c r="G4488" s="25" t="s">
        <v>293</v>
      </c>
      <c r="H4488" s="25"/>
      <c r="BA4488" s="73" t="s">
        <v>355</v>
      </c>
      <c r="BB4488" s="48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356</v>
      </c>
      <c r="E4489" s="1" t="s">
        <v>353</v>
      </c>
      <c r="F4489" s="26">
        <v>34.6</v>
      </c>
      <c r="G4489" s="25" t="s">
        <v>293</v>
      </c>
      <c r="H4489" s="25"/>
      <c r="BA4489" s="73" t="s">
        <v>355</v>
      </c>
      <c r="BB4489" s="48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356</v>
      </c>
      <c r="E4490" s="1" t="s">
        <v>133</v>
      </c>
      <c r="F4490" s="26">
        <v>147</v>
      </c>
      <c r="G4490" s="25" t="s">
        <v>293</v>
      </c>
      <c r="H4490" s="25"/>
      <c r="BA4490" s="73" t="s">
        <v>355</v>
      </c>
      <c r="BB4490" s="48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356</v>
      </c>
      <c r="E4491" s="1" t="s">
        <v>135</v>
      </c>
      <c r="F4491" s="26">
        <v>3.8</v>
      </c>
      <c r="G4491" s="25" t="s">
        <v>293</v>
      </c>
      <c r="H4491" s="25"/>
      <c r="BA4491" s="73" t="s">
        <v>355</v>
      </c>
      <c r="BB4491" s="48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356</v>
      </c>
      <c r="E4492" s="1" t="s">
        <v>136</v>
      </c>
      <c r="F4492" s="26">
        <v>117</v>
      </c>
      <c r="G4492" s="25" t="s">
        <v>293</v>
      </c>
      <c r="H4492" s="25"/>
      <c r="BA4492" s="73" t="s">
        <v>355</v>
      </c>
      <c r="BB4492" s="48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356</v>
      </c>
      <c r="E4493" s="1" t="s">
        <v>339</v>
      </c>
      <c r="F4493" s="26">
        <v>4.67</v>
      </c>
      <c r="G4493" s="25" t="s">
        <v>293</v>
      </c>
      <c r="H4493" s="25"/>
      <c r="BA4493" s="73" t="s">
        <v>355</v>
      </c>
      <c r="BB4493" s="48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356</v>
      </c>
      <c r="E4494" s="1" t="s">
        <v>118</v>
      </c>
      <c r="F4494" s="26">
        <v>4.4000000000000004</v>
      </c>
      <c r="G4494" s="25" t="s">
        <v>293</v>
      </c>
      <c r="H4494" s="25"/>
      <c r="BA4494" s="73" t="s">
        <v>355</v>
      </c>
      <c r="BB4494" s="48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356</v>
      </c>
      <c r="E4495" s="1" t="s">
        <v>130</v>
      </c>
      <c r="F4495" s="26">
        <v>3.99</v>
      </c>
      <c r="G4495" s="25" t="s">
        <v>293</v>
      </c>
      <c r="H4495" s="25"/>
      <c r="BA4495" s="73" t="s">
        <v>355</v>
      </c>
      <c r="BB4495" s="48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356</v>
      </c>
      <c r="E4496" s="1" t="s">
        <v>341</v>
      </c>
      <c r="F4496" s="26">
        <v>0.33</v>
      </c>
      <c r="G4496" s="25" t="s">
        <v>293</v>
      </c>
      <c r="H4496" s="25"/>
      <c r="BA4496" s="73" t="s">
        <v>355</v>
      </c>
      <c r="BB4496" s="48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356</v>
      </c>
      <c r="E4497" s="1" t="s">
        <v>127</v>
      </c>
      <c r="F4497" s="26">
        <v>1.2070000000000001</v>
      </c>
      <c r="G4497" s="25" t="s">
        <v>293</v>
      </c>
      <c r="H4497" s="25"/>
      <c r="BA4497" s="73" t="s">
        <v>355</v>
      </c>
      <c r="BB4497" s="48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356</v>
      </c>
      <c r="E4498" s="1" t="s">
        <v>131</v>
      </c>
      <c r="F4498" s="26">
        <v>8.6999999999999993</v>
      </c>
      <c r="G4498" s="25" t="s">
        <v>293</v>
      </c>
      <c r="H4498" s="25"/>
      <c r="BA4498" s="73" t="s">
        <v>355</v>
      </c>
      <c r="BB4498" s="48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356</v>
      </c>
      <c r="E4499" s="1" t="s">
        <v>342</v>
      </c>
      <c r="F4499" s="26">
        <v>305</v>
      </c>
      <c r="G4499" s="25" t="s">
        <v>293</v>
      </c>
      <c r="H4499" s="25"/>
      <c r="BA4499" s="73" t="s">
        <v>355</v>
      </c>
      <c r="BB4499" s="48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356</v>
      </c>
      <c r="E4500" s="1" t="s">
        <v>119</v>
      </c>
      <c r="F4500" s="26">
        <v>250</v>
      </c>
      <c r="G4500" s="25" t="s">
        <v>293</v>
      </c>
      <c r="H4500" s="25"/>
      <c r="BA4500" s="73" t="s">
        <v>355</v>
      </c>
      <c r="BB4500" s="48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356</v>
      </c>
      <c r="E4501" s="1" t="s">
        <v>120</v>
      </c>
      <c r="F4501" s="26">
        <v>77</v>
      </c>
      <c r="G4501" s="25" t="s">
        <v>293</v>
      </c>
      <c r="H4501" s="25"/>
      <c r="BA4501" s="73" t="s">
        <v>355</v>
      </c>
      <c r="BB4501" s="48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356</v>
      </c>
      <c r="E4502" s="1" t="s">
        <v>117</v>
      </c>
      <c r="F4502" s="26">
        <v>2.79</v>
      </c>
      <c r="G4502" s="25" t="s">
        <v>293</v>
      </c>
      <c r="H4502" s="25"/>
      <c r="BA4502" s="73" t="s">
        <v>355</v>
      </c>
      <c r="BB4502" s="48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356</v>
      </c>
      <c r="E4503" s="1" t="s">
        <v>344</v>
      </c>
      <c r="F4503" s="26">
        <v>233</v>
      </c>
      <c r="G4503" s="25" t="s">
        <v>293</v>
      </c>
      <c r="H4503" s="25"/>
      <c r="BA4503" s="73" t="s">
        <v>355</v>
      </c>
      <c r="BB4503" s="48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356</v>
      </c>
      <c r="E4504" s="1" t="s">
        <v>132</v>
      </c>
      <c r="F4504" s="26">
        <v>3.58</v>
      </c>
      <c r="G4504" s="25" t="s">
        <v>293</v>
      </c>
      <c r="H4504" s="25"/>
      <c r="BA4504" s="73" t="s">
        <v>355</v>
      </c>
      <c r="BB4504" s="48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356</v>
      </c>
      <c r="E4505" s="1" t="s">
        <v>111</v>
      </c>
      <c r="F4505" s="26">
        <v>88</v>
      </c>
      <c r="G4505" s="25" t="s">
        <v>293</v>
      </c>
      <c r="H4505" s="25"/>
      <c r="BA4505" s="73" t="s">
        <v>355</v>
      </c>
      <c r="BB4505" s="48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356</v>
      </c>
      <c r="E4506" s="1" t="s">
        <v>345</v>
      </c>
      <c r="F4506" s="26">
        <v>5.15</v>
      </c>
      <c r="G4506" s="25" t="s">
        <v>293</v>
      </c>
      <c r="H4506" s="25"/>
      <c r="BA4506" s="73" t="s">
        <v>355</v>
      </c>
      <c r="BB4506" s="48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356</v>
      </c>
      <c r="E4507" s="1" t="s">
        <v>347</v>
      </c>
      <c r="F4507" s="26">
        <v>2.2200000000000002</v>
      </c>
      <c r="G4507" s="25" t="s">
        <v>293</v>
      </c>
      <c r="H4507" s="25"/>
      <c r="BA4507" s="73" t="s">
        <v>355</v>
      </c>
      <c r="BB4507" s="48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356</v>
      </c>
      <c r="E4508" s="1" t="s">
        <v>128</v>
      </c>
      <c r="F4508" s="26">
        <v>7</v>
      </c>
      <c r="G4508" s="25" t="s">
        <v>293</v>
      </c>
      <c r="H4508" s="25"/>
      <c r="BA4508" s="73" t="s">
        <v>355</v>
      </c>
      <c r="BB4508" s="48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356</v>
      </c>
      <c r="E4509" s="1" t="s">
        <v>121</v>
      </c>
      <c r="F4509" s="26">
        <v>161</v>
      </c>
      <c r="G4509" s="25" t="s">
        <v>293</v>
      </c>
      <c r="H4509" s="25"/>
      <c r="BA4509" s="73" t="s">
        <v>355</v>
      </c>
      <c r="BB4509" s="48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356</v>
      </c>
      <c r="E4510" s="1" t="s">
        <v>115</v>
      </c>
      <c r="F4510" s="26">
        <v>30</v>
      </c>
      <c r="G4510" s="25" t="s">
        <v>293</v>
      </c>
      <c r="H4510" s="25"/>
      <c r="BA4510" s="73" t="s">
        <v>355</v>
      </c>
      <c r="BB4510" s="48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356</v>
      </c>
      <c r="E4511" s="1" t="s">
        <v>137</v>
      </c>
      <c r="F4511" s="26">
        <v>77</v>
      </c>
      <c r="G4511" s="25" t="s">
        <v>293</v>
      </c>
      <c r="H4511" s="25"/>
      <c r="BA4511" s="73" t="s">
        <v>355</v>
      </c>
      <c r="BB4511" s="48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356</v>
      </c>
      <c r="E4512" s="1" t="s">
        <v>348</v>
      </c>
      <c r="F4512" s="26">
        <v>139</v>
      </c>
      <c r="G4512" s="25" t="s">
        <v>293</v>
      </c>
      <c r="H4512" s="25"/>
      <c r="BA4512" s="73" t="s">
        <v>355</v>
      </c>
      <c r="BB4512" s="48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356</v>
      </c>
      <c r="E4513" s="1" t="s">
        <v>125</v>
      </c>
      <c r="F4513" s="26">
        <v>118</v>
      </c>
      <c r="G4513" s="25" t="s">
        <v>293</v>
      </c>
      <c r="H4513" s="25"/>
      <c r="BA4513" s="73" t="s">
        <v>355</v>
      </c>
      <c r="BB4513" s="48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356</v>
      </c>
      <c r="E4514" s="1" t="s">
        <v>126</v>
      </c>
      <c r="F4514" s="26">
        <v>81</v>
      </c>
      <c r="G4514" s="25" t="s">
        <v>293</v>
      </c>
      <c r="H4514" s="25"/>
      <c r="BA4514" s="73" t="s">
        <v>355</v>
      </c>
      <c r="BB4514" s="48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356</v>
      </c>
      <c r="E4515" s="1" t="s">
        <v>349</v>
      </c>
      <c r="F4515" s="26">
        <v>150</v>
      </c>
      <c r="G4515" s="25" t="s">
        <v>293</v>
      </c>
      <c r="H4515" s="25"/>
      <c r="BA4515" s="73" t="s">
        <v>355</v>
      </c>
      <c r="BB4515" s="48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356</v>
      </c>
      <c r="E4516" s="1" t="s">
        <v>350</v>
      </c>
      <c r="F4516" s="26">
        <v>56</v>
      </c>
      <c r="G4516" s="25" t="s">
        <v>293</v>
      </c>
      <c r="H4516" s="25"/>
      <c r="BA4516" s="73" t="s">
        <v>355</v>
      </c>
      <c r="BB4516" s="48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356</v>
      </c>
      <c r="E4517" s="1" t="s">
        <v>122</v>
      </c>
      <c r="F4517" s="26">
        <v>46</v>
      </c>
      <c r="G4517" s="25" t="s">
        <v>293</v>
      </c>
      <c r="H4517" s="25"/>
      <c r="BA4517" s="73" t="s">
        <v>355</v>
      </c>
      <c r="BB4517" s="48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356</v>
      </c>
      <c r="E4518" s="1" t="s">
        <v>124</v>
      </c>
      <c r="F4518" s="26">
        <v>28</v>
      </c>
      <c r="G4518" s="25" t="s">
        <v>293</v>
      </c>
      <c r="H4518" s="25"/>
      <c r="BA4518" s="73" t="s">
        <v>355</v>
      </c>
      <c r="BB4518" s="48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356</v>
      </c>
      <c r="E4519" s="1" t="s">
        <v>351</v>
      </c>
      <c r="F4519" s="26">
        <v>0.93</v>
      </c>
      <c r="G4519" s="25" t="s">
        <v>293</v>
      </c>
      <c r="H4519" s="25"/>
      <c r="BA4519" s="73" t="s">
        <v>355</v>
      </c>
      <c r="BB4519" s="48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356</v>
      </c>
      <c r="E4520" s="1" t="s">
        <v>353</v>
      </c>
      <c r="F4520" s="26">
        <v>34.299999999999997</v>
      </c>
      <c r="G4520" s="25" t="s">
        <v>293</v>
      </c>
      <c r="H4520" s="25"/>
      <c r="BA4520" s="73" t="s">
        <v>355</v>
      </c>
      <c r="BB4520" s="48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356</v>
      </c>
      <c r="E4521" s="1" t="s">
        <v>133</v>
      </c>
      <c r="F4521" s="26">
        <v>145</v>
      </c>
      <c r="G4521" s="25" t="s">
        <v>293</v>
      </c>
      <c r="H4521" s="25"/>
      <c r="BA4521" s="73" t="s">
        <v>355</v>
      </c>
      <c r="BB4521" s="48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356</v>
      </c>
      <c r="E4522" s="1" t="s">
        <v>135</v>
      </c>
      <c r="F4522" s="26">
        <v>3.8</v>
      </c>
      <c r="G4522" s="25" t="s">
        <v>293</v>
      </c>
      <c r="H4522" s="25"/>
      <c r="BA4522" s="73" t="s">
        <v>355</v>
      </c>
      <c r="BB4522" s="48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356</v>
      </c>
      <c r="E4523" s="1" t="s">
        <v>136</v>
      </c>
      <c r="F4523" s="26">
        <v>117</v>
      </c>
      <c r="G4523" s="25" t="s">
        <v>293</v>
      </c>
      <c r="H4523" s="25"/>
      <c r="BA4523" s="73" t="s">
        <v>355</v>
      </c>
      <c r="BB4523" s="48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356</v>
      </c>
      <c r="E4524" s="1" t="s">
        <v>339</v>
      </c>
      <c r="F4524" s="26">
        <v>4.6100000000000003</v>
      </c>
      <c r="G4524" s="25" t="s">
        <v>293</v>
      </c>
      <c r="H4524" s="25"/>
      <c r="BA4524" s="73" t="s">
        <v>355</v>
      </c>
      <c r="BB4524" s="48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356</v>
      </c>
      <c r="E4525" s="1" t="s">
        <v>118</v>
      </c>
      <c r="F4525" s="26">
        <v>4.4000000000000004</v>
      </c>
      <c r="G4525" s="25" t="s">
        <v>293</v>
      </c>
      <c r="H4525" s="25"/>
      <c r="BA4525" s="73" t="s">
        <v>355</v>
      </c>
      <c r="BB4525" s="48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356</v>
      </c>
      <c r="E4526" s="1" t="s">
        <v>130</v>
      </c>
      <c r="F4526" s="26">
        <v>4.07</v>
      </c>
      <c r="G4526" s="25" t="s">
        <v>293</v>
      </c>
      <c r="H4526" s="25"/>
      <c r="BA4526" s="73" t="s">
        <v>355</v>
      </c>
      <c r="BB4526" s="48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356</v>
      </c>
      <c r="E4527" s="1" t="s">
        <v>341</v>
      </c>
      <c r="F4527" s="26">
        <v>0.32500000000000001</v>
      </c>
      <c r="G4527" s="25" t="s">
        <v>293</v>
      </c>
      <c r="H4527" s="25"/>
      <c r="BA4527" s="73" t="s">
        <v>355</v>
      </c>
      <c r="BB4527" s="48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356</v>
      </c>
      <c r="E4528" s="1" t="s">
        <v>127</v>
      </c>
      <c r="F4528" s="26">
        <v>1.179</v>
      </c>
      <c r="G4528" s="25" t="s">
        <v>293</v>
      </c>
      <c r="H4528" s="25"/>
      <c r="BA4528" s="73" t="s">
        <v>355</v>
      </c>
      <c r="BB4528" s="48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356</v>
      </c>
      <c r="E4529" s="1" t="s">
        <v>131</v>
      </c>
      <c r="F4529" s="26">
        <v>8.6</v>
      </c>
      <c r="G4529" s="25" t="s">
        <v>293</v>
      </c>
      <c r="H4529" s="25"/>
      <c r="BA4529" s="73" t="s">
        <v>355</v>
      </c>
      <c r="BB4529" s="48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356</v>
      </c>
      <c r="E4530" s="1" t="s">
        <v>342</v>
      </c>
      <c r="F4530" s="26">
        <v>322</v>
      </c>
      <c r="G4530" s="25" t="s">
        <v>293</v>
      </c>
      <c r="H4530" s="25"/>
      <c r="BA4530" s="73" t="s">
        <v>355</v>
      </c>
      <c r="BB4530" s="48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356</v>
      </c>
      <c r="E4531" s="1" t="s">
        <v>119</v>
      </c>
      <c r="F4531" s="26">
        <v>246</v>
      </c>
      <c r="G4531" s="25" t="s">
        <v>293</v>
      </c>
      <c r="H4531" s="25"/>
      <c r="BA4531" s="73" t="s">
        <v>355</v>
      </c>
      <c r="BB4531" s="48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356</v>
      </c>
      <c r="E4532" s="1" t="s">
        <v>120</v>
      </c>
      <c r="F4532" s="26">
        <v>79</v>
      </c>
      <c r="G4532" s="25" t="s">
        <v>293</v>
      </c>
      <c r="H4532" s="25"/>
      <c r="BA4532" s="73" t="s">
        <v>355</v>
      </c>
      <c r="BB4532" s="48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356</v>
      </c>
      <c r="E4533" s="1" t="s">
        <v>117</v>
      </c>
      <c r="F4533" s="26">
        <v>2.69</v>
      </c>
      <c r="G4533" s="25" t="s">
        <v>293</v>
      </c>
      <c r="H4533" s="25"/>
      <c r="BA4533" s="73" t="s">
        <v>355</v>
      </c>
      <c r="BB4533" s="48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356</v>
      </c>
      <c r="E4534" s="1" t="s">
        <v>344</v>
      </c>
      <c r="F4534" s="26">
        <v>237</v>
      </c>
      <c r="G4534" s="25" t="s">
        <v>293</v>
      </c>
      <c r="H4534" s="25"/>
      <c r="BA4534" s="73" t="s">
        <v>355</v>
      </c>
      <c r="BB4534" s="48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356</v>
      </c>
      <c r="E4535" s="1" t="s">
        <v>132</v>
      </c>
      <c r="F4535" s="26">
        <v>3.53</v>
      </c>
      <c r="G4535" s="25" t="s">
        <v>293</v>
      </c>
      <c r="H4535" s="25"/>
      <c r="BA4535" s="73" t="s">
        <v>355</v>
      </c>
      <c r="BB4535" s="48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356</v>
      </c>
      <c r="E4536" s="1" t="s">
        <v>111</v>
      </c>
      <c r="F4536" s="26">
        <v>88</v>
      </c>
      <c r="G4536" s="25" t="s">
        <v>293</v>
      </c>
      <c r="H4536" s="25"/>
      <c r="BA4536" s="73" t="s">
        <v>355</v>
      </c>
      <c r="BB4536" s="48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356</v>
      </c>
      <c r="E4537" s="1" t="s">
        <v>345</v>
      </c>
      <c r="F4537" s="26">
        <v>5</v>
      </c>
      <c r="G4537" s="25" t="s">
        <v>293</v>
      </c>
      <c r="H4537" s="25"/>
      <c r="BA4537" s="73" t="s">
        <v>355</v>
      </c>
      <c r="BB4537" s="48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356</v>
      </c>
      <c r="E4538" s="1" t="s">
        <v>347</v>
      </c>
      <c r="F4538" s="26">
        <v>2.04</v>
      </c>
      <c r="G4538" s="25" t="s">
        <v>293</v>
      </c>
      <c r="H4538" s="25"/>
      <c r="BA4538" s="73" t="s">
        <v>355</v>
      </c>
      <c r="BB4538" s="48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356</v>
      </c>
      <c r="E4539" s="1" t="s">
        <v>128</v>
      </c>
      <c r="F4539" s="26">
        <v>7</v>
      </c>
      <c r="G4539" s="25" t="s">
        <v>293</v>
      </c>
      <c r="H4539" s="25"/>
      <c r="BA4539" s="73" t="s">
        <v>355</v>
      </c>
      <c r="BB4539" s="48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356</v>
      </c>
      <c r="E4540" s="1" t="s">
        <v>121</v>
      </c>
      <c r="F4540" s="26">
        <v>158</v>
      </c>
      <c r="G4540" s="25" t="s">
        <v>293</v>
      </c>
      <c r="H4540" s="25"/>
      <c r="BA4540" s="73" t="s">
        <v>355</v>
      </c>
      <c r="BB4540" s="48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356</v>
      </c>
      <c r="E4541" s="1" t="s">
        <v>115</v>
      </c>
      <c r="F4541" s="26">
        <v>34</v>
      </c>
      <c r="G4541" s="25" t="s">
        <v>293</v>
      </c>
      <c r="H4541" s="25"/>
      <c r="BA4541" s="73" t="s">
        <v>355</v>
      </c>
      <c r="BB4541" s="48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356</v>
      </c>
      <c r="E4542" s="1" t="s">
        <v>137</v>
      </c>
      <c r="F4542" s="26">
        <v>76</v>
      </c>
      <c r="G4542" s="25" t="s">
        <v>293</v>
      </c>
      <c r="H4542" s="25"/>
      <c r="BA4542" s="73" t="s">
        <v>355</v>
      </c>
      <c r="BB4542" s="48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356</v>
      </c>
      <c r="E4543" s="1" t="s">
        <v>348</v>
      </c>
      <c r="F4543" s="26">
        <v>139</v>
      </c>
      <c r="G4543" s="25" t="s">
        <v>293</v>
      </c>
      <c r="H4543" s="25"/>
      <c r="BA4543" s="73" t="s">
        <v>355</v>
      </c>
      <c r="BB4543" s="48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356</v>
      </c>
      <c r="E4544" s="1" t="s">
        <v>125</v>
      </c>
      <c r="F4544" s="26">
        <v>118</v>
      </c>
      <c r="G4544" s="25" t="s">
        <v>293</v>
      </c>
      <c r="H4544" s="25"/>
      <c r="BA4544" s="73" t="s">
        <v>355</v>
      </c>
      <c r="BB4544" s="48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356</v>
      </c>
      <c r="E4545" s="1" t="s">
        <v>126</v>
      </c>
      <c r="F4545" s="26">
        <v>79</v>
      </c>
      <c r="G4545" s="25" t="s">
        <v>293</v>
      </c>
      <c r="H4545" s="25"/>
      <c r="BA4545" s="73" t="s">
        <v>355</v>
      </c>
      <c r="BB4545" s="48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356</v>
      </c>
      <c r="E4546" s="1" t="s">
        <v>349</v>
      </c>
      <c r="F4546" s="26">
        <v>142</v>
      </c>
      <c r="G4546" s="25" t="s">
        <v>293</v>
      </c>
      <c r="H4546" s="25"/>
      <c r="BA4546" s="73" t="s">
        <v>355</v>
      </c>
      <c r="BB4546" s="48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356</v>
      </c>
      <c r="E4547" s="1" t="s">
        <v>350</v>
      </c>
      <c r="F4547" s="26">
        <v>57</v>
      </c>
      <c r="G4547" s="25" t="s">
        <v>293</v>
      </c>
      <c r="H4547" s="25"/>
      <c r="BA4547" s="73" t="s">
        <v>355</v>
      </c>
      <c r="BB4547" s="48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356</v>
      </c>
      <c r="E4548" s="1" t="s">
        <v>122</v>
      </c>
      <c r="F4548" s="26">
        <v>44</v>
      </c>
      <c r="G4548" s="25" t="s">
        <v>293</v>
      </c>
      <c r="H4548" s="25"/>
      <c r="BA4548" s="73" t="s">
        <v>355</v>
      </c>
      <c r="BB4548" s="48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356</v>
      </c>
      <c r="E4549" s="1" t="s">
        <v>124</v>
      </c>
      <c r="F4549" s="26">
        <v>28</v>
      </c>
      <c r="G4549" s="25" t="s">
        <v>293</v>
      </c>
      <c r="H4549" s="25"/>
      <c r="BA4549" s="73" t="s">
        <v>355</v>
      </c>
      <c r="BB4549" s="48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356</v>
      </c>
      <c r="E4550" s="1" t="s">
        <v>351</v>
      </c>
      <c r="F4550" s="26">
        <v>0.96</v>
      </c>
      <c r="G4550" s="25" t="s">
        <v>293</v>
      </c>
      <c r="H4550" s="25"/>
      <c r="BA4550" s="73" t="s">
        <v>355</v>
      </c>
      <c r="BB4550" s="48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356</v>
      </c>
      <c r="E4551" s="1" t="s">
        <v>353</v>
      </c>
      <c r="F4551" s="26">
        <v>36.6</v>
      </c>
      <c r="G4551" s="25" t="s">
        <v>293</v>
      </c>
      <c r="H4551" s="25"/>
      <c r="BA4551" s="73" t="s">
        <v>355</v>
      </c>
      <c r="BB4551" s="48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356</v>
      </c>
      <c r="E4552" s="1" t="s">
        <v>133</v>
      </c>
      <c r="F4552" s="26">
        <v>147</v>
      </c>
      <c r="G4552" s="25" t="s">
        <v>293</v>
      </c>
      <c r="H4552" s="25"/>
      <c r="BA4552" s="73" t="s">
        <v>355</v>
      </c>
      <c r="BB4552" s="48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356</v>
      </c>
      <c r="E4553" s="1" t="s">
        <v>135</v>
      </c>
      <c r="F4553" s="26">
        <v>3.8</v>
      </c>
      <c r="G4553" s="25" t="s">
        <v>293</v>
      </c>
      <c r="H4553" s="25"/>
      <c r="BA4553" s="73" t="s">
        <v>355</v>
      </c>
      <c r="BB4553" s="48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356</v>
      </c>
      <c r="E4554" s="1" t="s">
        <v>136</v>
      </c>
      <c r="F4554" s="26">
        <v>121</v>
      </c>
      <c r="G4554" s="25" t="s">
        <v>293</v>
      </c>
      <c r="H4554" s="25"/>
      <c r="BA4554" s="73" t="s">
        <v>355</v>
      </c>
      <c r="BB4554" s="48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356</v>
      </c>
      <c r="E4555" s="1" t="s">
        <v>339</v>
      </c>
      <c r="F4555" s="26">
        <v>4.51</v>
      </c>
      <c r="G4555" s="25" t="s">
        <v>293</v>
      </c>
      <c r="H4555" s="25"/>
      <c r="BA4555" s="73" t="s">
        <v>355</v>
      </c>
      <c r="BB4555" s="48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356</v>
      </c>
      <c r="E4556" s="1" t="s">
        <v>118</v>
      </c>
      <c r="F4556" s="26">
        <v>4.4000000000000004</v>
      </c>
      <c r="G4556" s="25" t="s">
        <v>293</v>
      </c>
      <c r="H4556" s="25"/>
      <c r="BA4556" s="73" t="s">
        <v>355</v>
      </c>
      <c r="BB4556" s="48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356</v>
      </c>
      <c r="E4557" s="1" t="s">
        <v>130</v>
      </c>
      <c r="F4557" s="26">
        <v>3.89</v>
      </c>
      <c r="G4557" s="25" t="s">
        <v>293</v>
      </c>
      <c r="H4557" s="25"/>
      <c r="BA4557" s="73" t="s">
        <v>355</v>
      </c>
      <c r="BB4557" s="48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356</v>
      </c>
      <c r="E4558" s="1" t="s">
        <v>341</v>
      </c>
      <c r="F4558" s="26">
        <v>0.33500000000000002</v>
      </c>
      <c r="G4558" s="25" t="s">
        <v>293</v>
      </c>
      <c r="H4558" s="25"/>
      <c r="BA4558" s="73" t="s">
        <v>355</v>
      </c>
      <c r="BB4558" s="48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356</v>
      </c>
      <c r="E4559" s="1" t="s">
        <v>127</v>
      </c>
      <c r="F4559" s="26">
        <v>1.179</v>
      </c>
      <c r="G4559" s="25" t="s">
        <v>293</v>
      </c>
      <c r="H4559" s="25"/>
      <c r="BA4559" s="73" t="s">
        <v>355</v>
      </c>
      <c r="BB4559" s="48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356</v>
      </c>
      <c r="E4560" s="1" t="s">
        <v>131</v>
      </c>
      <c r="F4560" s="26">
        <v>8.3000000000000007</v>
      </c>
      <c r="G4560" s="25" t="s">
        <v>293</v>
      </c>
      <c r="H4560" s="25"/>
      <c r="BA4560" s="73" t="s">
        <v>355</v>
      </c>
      <c r="BB4560" s="48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356</v>
      </c>
      <c r="E4561" s="1" t="s">
        <v>342</v>
      </c>
      <c r="F4561" s="26">
        <v>308</v>
      </c>
      <c r="G4561" s="25" t="s">
        <v>293</v>
      </c>
      <c r="H4561" s="25"/>
      <c r="BA4561" s="73" t="s">
        <v>355</v>
      </c>
      <c r="BB4561" s="48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356</v>
      </c>
      <c r="E4562" s="1" t="s">
        <v>119</v>
      </c>
      <c r="F4562" s="26">
        <v>246</v>
      </c>
      <c r="G4562" s="25" t="s">
        <v>293</v>
      </c>
      <c r="H4562" s="25"/>
      <c r="BA4562" s="73" t="s">
        <v>355</v>
      </c>
      <c r="BB4562" s="48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356</v>
      </c>
      <c r="E4563" s="1" t="s">
        <v>120</v>
      </c>
      <c r="F4563" s="26">
        <v>80</v>
      </c>
      <c r="G4563" s="25" t="s">
        <v>293</v>
      </c>
      <c r="H4563" s="25"/>
      <c r="BA4563" s="73" t="s">
        <v>355</v>
      </c>
      <c r="BB4563" s="48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356</v>
      </c>
      <c r="E4564" s="1" t="s">
        <v>117</v>
      </c>
      <c r="F4564" s="26">
        <v>2.71</v>
      </c>
      <c r="G4564" s="25" t="s">
        <v>293</v>
      </c>
      <c r="H4564" s="25"/>
      <c r="BA4564" s="73" t="s">
        <v>355</v>
      </c>
      <c r="BB4564" s="48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356</v>
      </c>
      <c r="E4565" s="1" t="s">
        <v>344</v>
      </c>
      <c r="F4565" s="26">
        <v>230</v>
      </c>
      <c r="G4565" s="25" t="s">
        <v>293</v>
      </c>
      <c r="H4565" s="25"/>
      <c r="BA4565" s="73" t="s">
        <v>355</v>
      </c>
      <c r="BB4565" s="48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356</v>
      </c>
      <c r="E4566" s="1" t="s">
        <v>132</v>
      </c>
      <c r="F4566" s="26">
        <v>3.48</v>
      </c>
      <c r="G4566" s="25" t="s">
        <v>293</v>
      </c>
      <c r="H4566" s="25"/>
      <c r="BA4566" s="73" t="s">
        <v>355</v>
      </c>
      <c r="BB4566" s="48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356</v>
      </c>
      <c r="E4567" s="1" t="s">
        <v>111</v>
      </c>
      <c r="F4567" s="26">
        <v>88</v>
      </c>
      <c r="G4567" s="25" t="s">
        <v>293</v>
      </c>
      <c r="H4567" s="25"/>
      <c r="BA4567" s="73" t="s">
        <v>355</v>
      </c>
      <c r="BB4567" s="48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356</v>
      </c>
      <c r="E4568" s="1" t="s">
        <v>345</v>
      </c>
      <c r="F4568" s="26">
        <v>5.07</v>
      </c>
      <c r="G4568" s="25" t="s">
        <v>293</v>
      </c>
      <c r="H4568" s="25"/>
      <c r="BA4568" s="73" t="s">
        <v>355</v>
      </c>
      <c r="BB4568" s="48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356</v>
      </c>
      <c r="E4569" s="1" t="s">
        <v>347</v>
      </c>
      <c r="F4569" s="26">
        <v>2.2400000000000002</v>
      </c>
      <c r="G4569" s="25" t="s">
        <v>293</v>
      </c>
      <c r="H4569" s="25"/>
      <c r="BA4569" s="73" t="s">
        <v>355</v>
      </c>
      <c r="BB4569" s="48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356</v>
      </c>
      <c r="E4570" s="1" t="s">
        <v>128</v>
      </c>
      <c r="F4570" s="26">
        <v>7.1</v>
      </c>
      <c r="G4570" s="25" t="s">
        <v>293</v>
      </c>
      <c r="H4570" s="25"/>
      <c r="BA4570" s="73" t="s">
        <v>355</v>
      </c>
      <c r="BB4570" s="48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356</v>
      </c>
      <c r="E4571" s="1" t="s">
        <v>121</v>
      </c>
      <c r="F4571" s="26">
        <v>156</v>
      </c>
      <c r="G4571" s="25" t="s">
        <v>293</v>
      </c>
      <c r="H4571" s="25"/>
      <c r="BA4571" s="73" t="s">
        <v>355</v>
      </c>
      <c r="BB4571" s="48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356</v>
      </c>
      <c r="E4572" s="1" t="s">
        <v>115</v>
      </c>
      <c r="F4572" s="26">
        <v>34</v>
      </c>
      <c r="G4572" s="25" t="s">
        <v>293</v>
      </c>
      <c r="H4572" s="25"/>
      <c r="BA4572" s="73" t="s">
        <v>355</v>
      </c>
      <c r="BB4572" s="48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356</v>
      </c>
      <c r="E4573" s="1" t="s">
        <v>137</v>
      </c>
      <c r="F4573" s="26">
        <v>74</v>
      </c>
      <c r="G4573" s="25" t="s">
        <v>293</v>
      </c>
      <c r="H4573" s="25"/>
      <c r="BA4573" s="73" t="s">
        <v>355</v>
      </c>
      <c r="BB4573" s="48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356</v>
      </c>
      <c r="E4574" s="1" t="s">
        <v>348</v>
      </c>
      <c r="F4574" s="26">
        <v>139</v>
      </c>
      <c r="G4574" s="25" t="s">
        <v>293</v>
      </c>
      <c r="H4574" s="25"/>
      <c r="BA4574" s="73" t="s">
        <v>355</v>
      </c>
      <c r="BB4574" s="48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356</v>
      </c>
      <c r="E4575" s="1" t="s">
        <v>125</v>
      </c>
      <c r="F4575" s="26">
        <v>111</v>
      </c>
      <c r="G4575" s="25" t="s">
        <v>293</v>
      </c>
      <c r="H4575" s="25"/>
      <c r="BA4575" s="73" t="s">
        <v>355</v>
      </c>
      <c r="BB4575" s="48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356</v>
      </c>
      <c r="E4576" s="1" t="s">
        <v>126</v>
      </c>
      <c r="F4576" s="26">
        <v>82</v>
      </c>
      <c r="G4576" s="25" t="s">
        <v>293</v>
      </c>
      <c r="H4576" s="25"/>
      <c r="BA4576" s="73" t="s">
        <v>355</v>
      </c>
      <c r="BB4576" s="48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356</v>
      </c>
      <c r="E4577" s="1" t="s">
        <v>349</v>
      </c>
      <c r="F4577" s="26">
        <v>137</v>
      </c>
      <c r="G4577" s="25" t="s">
        <v>293</v>
      </c>
      <c r="H4577" s="25"/>
      <c r="BA4577" s="73" t="s">
        <v>355</v>
      </c>
      <c r="BB4577" s="48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356</v>
      </c>
      <c r="E4578" s="1" t="s">
        <v>350</v>
      </c>
      <c r="F4578" s="26">
        <v>57</v>
      </c>
      <c r="G4578" s="25" t="s">
        <v>293</v>
      </c>
      <c r="H4578" s="25"/>
      <c r="BA4578" s="73" t="s">
        <v>355</v>
      </c>
      <c r="BB4578" s="48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356</v>
      </c>
      <c r="E4579" s="1" t="s">
        <v>122</v>
      </c>
      <c r="F4579" s="26">
        <v>44</v>
      </c>
      <c r="G4579" s="25" t="s">
        <v>293</v>
      </c>
      <c r="H4579" s="25"/>
      <c r="BA4579" s="73" t="s">
        <v>355</v>
      </c>
      <c r="BB4579" s="48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356</v>
      </c>
      <c r="E4580" s="1" t="s">
        <v>124</v>
      </c>
      <c r="F4580" s="26">
        <v>29</v>
      </c>
      <c r="G4580" s="25" t="s">
        <v>293</v>
      </c>
      <c r="H4580" s="25"/>
      <c r="BA4580" s="73" t="s">
        <v>355</v>
      </c>
      <c r="BB4580" s="48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356</v>
      </c>
      <c r="E4581" s="1" t="s">
        <v>351</v>
      </c>
      <c r="F4581" s="26">
        <v>0.89</v>
      </c>
      <c r="G4581" s="25" t="s">
        <v>293</v>
      </c>
      <c r="H4581" s="25"/>
      <c r="BA4581" s="73" t="s">
        <v>355</v>
      </c>
      <c r="BB4581" s="48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356</v>
      </c>
      <c r="E4582" s="1" t="s">
        <v>353</v>
      </c>
      <c r="F4582" s="26">
        <v>32.1</v>
      </c>
      <c r="G4582" s="25" t="s">
        <v>293</v>
      </c>
      <c r="H4582" s="25"/>
      <c r="BA4582" s="73" t="s">
        <v>355</v>
      </c>
      <c r="BB4582" s="48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356</v>
      </c>
      <c r="E4583" s="1" t="s">
        <v>133</v>
      </c>
      <c r="F4583" s="26">
        <v>143</v>
      </c>
      <c r="G4583" s="25" t="s">
        <v>293</v>
      </c>
      <c r="H4583" s="25"/>
      <c r="BA4583" s="73" t="s">
        <v>355</v>
      </c>
      <c r="BB4583" s="48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356</v>
      </c>
      <c r="E4584" s="1" t="s">
        <v>135</v>
      </c>
      <c r="F4584" s="26">
        <v>3.7</v>
      </c>
      <c r="G4584" s="25" t="s">
        <v>293</v>
      </c>
      <c r="H4584" s="25"/>
      <c r="BA4584" s="73" t="s">
        <v>355</v>
      </c>
      <c r="BB4584" s="48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356</v>
      </c>
      <c r="E4585" s="1" t="s">
        <v>136</v>
      </c>
      <c r="F4585" s="26">
        <v>116</v>
      </c>
      <c r="G4585" s="25" t="s">
        <v>293</v>
      </c>
      <c r="H4585" s="25"/>
      <c r="BA4585" s="73" t="s">
        <v>355</v>
      </c>
      <c r="BB4585" s="48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356</v>
      </c>
      <c r="E4586" s="1" t="s">
        <v>339</v>
      </c>
      <c r="F4586" s="26">
        <v>4.67</v>
      </c>
      <c r="G4586" s="25" t="s">
        <v>293</v>
      </c>
      <c r="H4586" s="25"/>
      <c r="BA4586" s="73" t="s">
        <v>355</v>
      </c>
      <c r="BB4586" s="48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356</v>
      </c>
      <c r="E4587" s="1" t="s">
        <v>118</v>
      </c>
      <c r="F4587" s="26">
        <v>4.5</v>
      </c>
      <c r="G4587" s="25" t="s">
        <v>293</v>
      </c>
      <c r="H4587" s="25"/>
      <c r="BA4587" s="73" t="s">
        <v>355</v>
      </c>
      <c r="BB4587" s="48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356</v>
      </c>
      <c r="E4588" s="1" t="s">
        <v>130</v>
      </c>
      <c r="F4588" s="26">
        <v>3.88</v>
      </c>
      <c r="G4588" s="25" t="s">
        <v>293</v>
      </c>
      <c r="H4588" s="25"/>
      <c r="BA4588" s="73" t="s">
        <v>355</v>
      </c>
      <c r="BB4588" s="48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356</v>
      </c>
      <c r="E4589" s="1" t="s">
        <v>341</v>
      </c>
      <c r="F4589" s="26">
        <v>0.314</v>
      </c>
      <c r="G4589" s="25" t="s">
        <v>293</v>
      </c>
      <c r="H4589" s="25"/>
      <c r="BA4589" s="73" t="s">
        <v>355</v>
      </c>
      <c r="BB4589" s="48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356</v>
      </c>
      <c r="E4590" s="1" t="s">
        <v>127</v>
      </c>
      <c r="F4590" s="26">
        <v>1.1619999999999999</v>
      </c>
      <c r="G4590" s="25" t="s">
        <v>293</v>
      </c>
      <c r="H4590" s="25"/>
      <c r="BA4590" s="73" t="s">
        <v>355</v>
      </c>
      <c r="BB4590" s="48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356</v>
      </c>
      <c r="E4591" s="1" t="s">
        <v>131</v>
      </c>
      <c r="F4591" s="26">
        <v>8.6999999999999993</v>
      </c>
      <c r="G4591" s="25" t="s">
        <v>293</v>
      </c>
      <c r="H4591" s="25"/>
      <c r="BA4591" s="73" t="s">
        <v>355</v>
      </c>
      <c r="BB4591" s="48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356</v>
      </c>
      <c r="E4592" s="1" t="s">
        <v>342</v>
      </c>
      <c r="F4592" s="26">
        <v>323</v>
      </c>
      <c r="G4592" s="25" t="s">
        <v>293</v>
      </c>
      <c r="H4592" s="25"/>
      <c r="BA4592" s="73" t="s">
        <v>355</v>
      </c>
      <c r="BB4592" s="48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356</v>
      </c>
      <c r="E4593" s="1" t="s">
        <v>119</v>
      </c>
      <c r="F4593" s="26">
        <v>250</v>
      </c>
      <c r="G4593" s="25" t="s">
        <v>293</v>
      </c>
      <c r="H4593" s="25"/>
      <c r="BA4593" s="73" t="s">
        <v>355</v>
      </c>
      <c r="BB4593" s="48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356</v>
      </c>
      <c r="E4594" s="1" t="s">
        <v>120</v>
      </c>
      <c r="F4594" s="26">
        <v>78</v>
      </c>
      <c r="G4594" s="25" t="s">
        <v>293</v>
      </c>
      <c r="H4594" s="25"/>
      <c r="BA4594" s="73" t="s">
        <v>355</v>
      </c>
      <c r="BB4594" s="48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356</v>
      </c>
      <c r="E4595" s="1" t="s">
        <v>117</v>
      </c>
      <c r="F4595" s="26">
        <v>2.7</v>
      </c>
      <c r="G4595" s="25" t="s">
        <v>293</v>
      </c>
      <c r="H4595" s="25"/>
      <c r="BA4595" s="73" t="s">
        <v>355</v>
      </c>
      <c r="BB4595" s="48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356</v>
      </c>
      <c r="E4596" s="1" t="s">
        <v>344</v>
      </c>
      <c r="F4596" s="26">
        <v>230</v>
      </c>
      <c r="G4596" s="25" t="s">
        <v>293</v>
      </c>
      <c r="H4596" s="25"/>
      <c r="BA4596" s="73" t="s">
        <v>355</v>
      </c>
      <c r="BB4596" s="48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356</v>
      </c>
      <c r="E4597" s="1" t="s">
        <v>132</v>
      </c>
      <c r="F4597" s="26">
        <v>3.48</v>
      </c>
      <c r="G4597" s="25" t="s">
        <v>293</v>
      </c>
      <c r="H4597" s="25"/>
      <c r="BA4597" s="73" t="s">
        <v>355</v>
      </c>
      <c r="BB4597" s="48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356</v>
      </c>
      <c r="E4598" s="1" t="s">
        <v>111</v>
      </c>
      <c r="F4598" s="26">
        <v>86</v>
      </c>
      <c r="G4598" s="25" t="s">
        <v>293</v>
      </c>
      <c r="H4598" s="25"/>
      <c r="BA4598" s="73" t="s">
        <v>355</v>
      </c>
      <c r="BB4598" s="48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356</v>
      </c>
      <c r="E4599" s="1" t="s">
        <v>345</v>
      </c>
      <c r="F4599" s="26">
        <v>5.09</v>
      </c>
      <c r="G4599" s="25" t="s">
        <v>293</v>
      </c>
      <c r="H4599" s="25"/>
      <c r="BA4599" s="73" t="s">
        <v>355</v>
      </c>
      <c r="BB4599" s="48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356</v>
      </c>
      <c r="E4600" s="1" t="s">
        <v>347</v>
      </c>
      <c r="F4600" s="26">
        <v>2.2400000000000002</v>
      </c>
      <c r="G4600" s="25" t="s">
        <v>293</v>
      </c>
      <c r="H4600" s="25"/>
      <c r="BA4600" s="73" t="s">
        <v>355</v>
      </c>
      <c r="BB4600" s="48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356</v>
      </c>
      <c r="E4601" s="1" t="s">
        <v>128</v>
      </c>
      <c r="F4601" s="26">
        <v>7.1</v>
      </c>
      <c r="G4601" s="25" t="s">
        <v>293</v>
      </c>
      <c r="H4601" s="25"/>
      <c r="BA4601" s="73" t="s">
        <v>355</v>
      </c>
      <c r="BB4601" s="48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356</v>
      </c>
      <c r="E4602" s="1" t="s">
        <v>121</v>
      </c>
      <c r="F4602" s="26">
        <v>157</v>
      </c>
      <c r="G4602" s="25" t="s">
        <v>293</v>
      </c>
      <c r="H4602" s="25"/>
      <c r="BA4602" s="73" t="s">
        <v>355</v>
      </c>
      <c r="BB4602" s="48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356</v>
      </c>
      <c r="E4603" s="1" t="s">
        <v>115</v>
      </c>
      <c r="F4603" s="26">
        <v>33</v>
      </c>
      <c r="G4603" s="25" t="s">
        <v>293</v>
      </c>
      <c r="H4603" s="25"/>
      <c r="BA4603" s="73" t="s">
        <v>355</v>
      </c>
      <c r="BB4603" s="48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356</v>
      </c>
      <c r="E4604" s="1" t="s">
        <v>137</v>
      </c>
      <c r="F4604" s="26">
        <v>75</v>
      </c>
      <c r="G4604" s="25" t="s">
        <v>293</v>
      </c>
      <c r="H4604" s="25"/>
      <c r="BA4604" s="73" t="s">
        <v>355</v>
      </c>
      <c r="BB4604" s="48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356</v>
      </c>
      <c r="E4605" s="1" t="s">
        <v>348</v>
      </c>
      <c r="F4605" s="26">
        <v>141</v>
      </c>
      <c r="G4605" s="25" t="s">
        <v>293</v>
      </c>
      <c r="H4605" s="25"/>
      <c r="BA4605" s="73" t="s">
        <v>355</v>
      </c>
      <c r="BB4605" s="48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356</v>
      </c>
      <c r="E4606" s="1" t="s">
        <v>125</v>
      </c>
      <c r="F4606" s="26">
        <v>114</v>
      </c>
      <c r="G4606" s="25" t="s">
        <v>293</v>
      </c>
      <c r="H4606" s="25"/>
      <c r="BA4606" s="73" t="s">
        <v>355</v>
      </c>
      <c r="BB4606" s="48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356</v>
      </c>
      <c r="E4607" s="1" t="s">
        <v>126</v>
      </c>
      <c r="F4607" s="26">
        <v>79</v>
      </c>
      <c r="G4607" s="25" t="s">
        <v>293</v>
      </c>
      <c r="H4607" s="25"/>
      <c r="BA4607" s="73" t="s">
        <v>355</v>
      </c>
      <c r="BB4607" s="48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356</v>
      </c>
      <c r="E4608" s="1" t="s">
        <v>349</v>
      </c>
      <c r="F4608" s="26">
        <v>138</v>
      </c>
      <c r="G4608" s="25" t="s">
        <v>293</v>
      </c>
      <c r="H4608" s="25"/>
      <c r="BA4608" s="73" t="s">
        <v>355</v>
      </c>
      <c r="BB4608" s="48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356</v>
      </c>
      <c r="E4609" s="1" t="s">
        <v>350</v>
      </c>
      <c r="F4609" s="26">
        <v>57</v>
      </c>
      <c r="G4609" s="25" t="s">
        <v>293</v>
      </c>
      <c r="H4609" s="25"/>
      <c r="BA4609" s="73" t="s">
        <v>355</v>
      </c>
      <c r="BB4609" s="48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356</v>
      </c>
      <c r="E4610" s="1" t="s">
        <v>122</v>
      </c>
      <c r="F4610" s="26">
        <v>44</v>
      </c>
      <c r="G4610" s="25" t="s">
        <v>293</v>
      </c>
      <c r="H4610" s="25"/>
      <c r="BA4610" s="73" t="s">
        <v>355</v>
      </c>
      <c r="BB4610" s="48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356</v>
      </c>
      <c r="E4611" s="1" t="s">
        <v>124</v>
      </c>
      <c r="F4611" s="26">
        <v>28</v>
      </c>
      <c r="G4611" s="25" t="s">
        <v>293</v>
      </c>
      <c r="H4611" s="25"/>
      <c r="BA4611" s="73" t="s">
        <v>355</v>
      </c>
      <c r="BB4611" s="48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356</v>
      </c>
      <c r="E4612" s="1" t="s">
        <v>351</v>
      </c>
      <c r="F4612" s="26">
        <v>0.91</v>
      </c>
      <c r="G4612" s="25" t="s">
        <v>293</v>
      </c>
      <c r="H4612" s="25"/>
      <c r="BA4612" s="73" t="s">
        <v>355</v>
      </c>
      <c r="BB4612" s="48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356</v>
      </c>
      <c r="E4613" s="1" t="s">
        <v>353</v>
      </c>
      <c r="F4613" s="26">
        <v>34.9</v>
      </c>
      <c r="G4613" s="25" t="s">
        <v>293</v>
      </c>
      <c r="H4613" s="25"/>
      <c r="BA4613" s="73" t="s">
        <v>355</v>
      </c>
      <c r="BB4613" s="48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356</v>
      </c>
      <c r="E4614" s="1" t="s">
        <v>133</v>
      </c>
      <c r="F4614" s="26">
        <v>145</v>
      </c>
      <c r="G4614" s="25" t="s">
        <v>293</v>
      </c>
      <c r="H4614" s="25"/>
      <c r="BA4614" s="73" t="s">
        <v>355</v>
      </c>
      <c r="BB4614" s="48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356</v>
      </c>
      <c r="E4615" s="1" t="s">
        <v>135</v>
      </c>
      <c r="F4615" s="26">
        <v>3.7</v>
      </c>
      <c r="G4615" s="25" t="s">
        <v>293</v>
      </c>
      <c r="H4615" s="25"/>
      <c r="BA4615" s="73" t="s">
        <v>355</v>
      </c>
      <c r="BB4615" s="48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356</v>
      </c>
      <c r="E4616" s="1" t="s">
        <v>136</v>
      </c>
      <c r="F4616" s="26">
        <v>117</v>
      </c>
      <c r="G4616" s="25" t="s">
        <v>293</v>
      </c>
      <c r="H4616" s="25"/>
      <c r="BA4616" s="73" t="s">
        <v>355</v>
      </c>
      <c r="BB4616" s="48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356</v>
      </c>
      <c r="E4617" s="1" t="s">
        <v>339</v>
      </c>
      <c r="F4617" s="26">
        <v>4.54</v>
      </c>
      <c r="G4617" s="25" t="s">
        <v>293</v>
      </c>
      <c r="H4617" s="25"/>
      <c r="BA4617" s="73" t="s">
        <v>355</v>
      </c>
      <c r="BB4617" s="48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356</v>
      </c>
      <c r="E4618" s="1" t="s">
        <v>118</v>
      </c>
      <c r="F4618" s="26">
        <v>4.5999999999999996</v>
      </c>
      <c r="G4618" s="25" t="s">
        <v>293</v>
      </c>
      <c r="H4618" s="25"/>
      <c r="BA4618" s="73" t="s">
        <v>355</v>
      </c>
      <c r="BB4618" s="48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356</v>
      </c>
      <c r="E4619" s="1" t="s">
        <v>130</v>
      </c>
      <c r="F4619" s="26">
        <v>3.92</v>
      </c>
      <c r="G4619" s="25" t="s">
        <v>293</v>
      </c>
      <c r="H4619" s="25"/>
      <c r="BA4619" s="73" t="s">
        <v>355</v>
      </c>
      <c r="BB4619" s="48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356</v>
      </c>
      <c r="E4620" s="1" t="s">
        <v>341</v>
      </c>
      <c r="F4620" s="26">
        <v>0.35099999999999998</v>
      </c>
      <c r="G4620" s="25" t="s">
        <v>293</v>
      </c>
      <c r="H4620" s="25"/>
      <c r="BA4620" s="73" t="s">
        <v>355</v>
      </c>
      <c r="BB4620" s="48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356</v>
      </c>
      <c r="E4621" s="1" t="s">
        <v>127</v>
      </c>
      <c r="F4621" s="26">
        <v>1.25</v>
      </c>
      <c r="G4621" s="25" t="s">
        <v>293</v>
      </c>
      <c r="H4621" s="25"/>
      <c r="BA4621" s="73" t="s">
        <v>355</v>
      </c>
      <c r="BB4621" s="48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356</v>
      </c>
      <c r="E4622" s="1" t="s">
        <v>131</v>
      </c>
      <c r="F4622" s="26">
        <v>8.6</v>
      </c>
      <c r="G4622" s="25" t="s">
        <v>293</v>
      </c>
      <c r="H4622" s="25"/>
      <c r="BA4622" s="73" t="s">
        <v>355</v>
      </c>
      <c r="BB4622" s="48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356</v>
      </c>
      <c r="E4623" s="1" t="s">
        <v>342</v>
      </c>
      <c r="F4623" s="26">
        <v>311</v>
      </c>
      <c r="G4623" s="25" t="s">
        <v>293</v>
      </c>
      <c r="H4623" s="25"/>
      <c r="BA4623" s="73" t="s">
        <v>355</v>
      </c>
      <c r="BB4623" s="48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356</v>
      </c>
      <c r="E4624" s="1" t="s">
        <v>119</v>
      </c>
      <c r="F4624" s="26">
        <v>249</v>
      </c>
      <c r="G4624" s="25" t="s">
        <v>293</v>
      </c>
      <c r="H4624" s="25"/>
      <c r="BA4624" s="73" t="s">
        <v>355</v>
      </c>
      <c r="BB4624" s="48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356</v>
      </c>
      <c r="E4625" s="1" t="s">
        <v>120</v>
      </c>
      <c r="F4625" s="26">
        <v>80</v>
      </c>
      <c r="G4625" s="25" t="s">
        <v>293</v>
      </c>
      <c r="H4625" s="25"/>
      <c r="BA4625" s="73" t="s">
        <v>355</v>
      </c>
      <c r="BB4625" s="48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356</v>
      </c>
      <c r="E4626" s="1" t="s">
        <v>117</v>
      </c>
      <c r="F4626" s="26">
        <v>2.61</v>
      </c>
      <c r="G4626" s="25" t="s">
        <v>293</v>
      </c>
      <c r="H4626" s="25"/>
      <c r="BA4626" s="73" t="s">
        <v>355</v>
      </c>
      <c r="BB4626" s="48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356</v>
      </c>
      <c r="E4627" s="1" t="s">
        <v>344</v>
      </c>
      <c r="F4627" s="26">
        <v>230</v>
      </c>
      <c r="G4627" s="25" t="s">
        <v>293</v>
      </c>
      <c r="H4627" s="25"/>
      <c r="BA4627" s="73" t="s">
        <v>355</v>
      </c>
      <c r="BB4627" s="48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356</v>
      </c>
      <c r="E4628" s="1" t="s">
        <v>132</v>
      </c>
      <c r="F4628" s="26">
        <v>3.5</v>
      </c>
      <c r="G4628" s="25" t="s">
        <v>293</v>
      </c>
      <c r="H4628" s="25"/>
      <c r="BA4628" s="73" t="s">
        <v>355</v>
      </c>
      <c r="BB4628" s="48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356</v>
      </c>
      <c r="E4629" s="1" t="s">
        <v>111</v>
      </c>
      <c r="F4629" s="26">
        <v>85</v>
      </c>
      <c r="G4629" s="25" t="s">
        <v>293</v>
      </c>
      <c r="H4629" s="25"/>
      <c r="BA4629" s="73" t="s">
        <v>355</v>
      </c>
      <c r="BB4629" s="48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356</v>
      </c>
      <c r="E4630" s="1" t="s">
        <v>345</v>
      </c>
      <c r="F4630" s="26">
        <v>5.09</v>
      </c>
      <c r="G4630" s="25" t="s">
        <v>293</v>
      </c>
      <c r="H4630" s="25"/>
      <c r="BA4630" s="73" t="s">
        <v>355</v>
      </c>
      <c r="BB4630" s="48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356</v>
      </c>
      <c r="E4631" s="1" t="s">
        <v>347</v>
      </c>
      <c r="F4631" s="26">
        <v>2.17</v>
      </c>
      <c r="G4631" s="25" t="s">
        <v>293</v>
      </c>
      <c r="H4631" s="25"/>
      <c r="BA4631" s="73" t="s">
        <v>355</v>
      </c>
      <c r="BB4631" s="48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356</v>
      </c>
      <c r="E4632" s="1" t="s">
        <v>128</v>
      </c>
      <c r="F4632" s="26">
        <v>7</v>
      </c>
      <c r="G4632" s="25" t="s">
        <v>293</v>
      </c>
      <c r="H4632" s="25"/>
      <c r="BA4632" s="73" t="s">
        <v>355</v>
      </c>
      <c r="BB4632" s="48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356</v>
      </c>
      <c r="E4633" s="1" t="s">
        <v>121</v>
      </c>
      <c r="F4633" s="26">
        <v>158</v>
      </c>
      <c r="G4633" s="25" t="s">
        <v>293</v>
      </c>
      <c r="H4633" s="25"/>
      <c r="BA4633" s="73" t="s">
        <v>355</v>
      </c>
      <c r="BB4633" s="48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356</v>
      </c>
      <c r="E4634" s="1" t="s">
        <v>115</v>
      </c>
      <c r="F4634" s="26">
        <v>33</v>
      </c>
      <c r="G4634" s="25" t="s">
        <v>293</v>
      </c>
      <c r="H4634" s="25"/>
      <c r="BA4634" s="73" t="s">
        <v>355</v>
      </c>
      <c r="BB4634" s="48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356</v>
      </c>
      <c r="E4635" s="1" t="s">
        <v>137</v>
      </c>
      <c r="F4635" s="26">
        <v>75</v>
      </c>
      <c r="G4635" s="25" t="s">
        <v>293</v>
      </c>
      <c r="H4635" s="25"/>
      <c r="BA4635" s="73" t="s">
        <v>355</v>
      </c>
      <c r="BB4635" s="48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356</v>
      </c>
      <c r="E4636" s="1" t="s">
        <v>348</v>
      </c>
      <c r="F4636" s="26">
        <v>143</v>
      </c>
      <c r="G4636" s="25" t="s">
        <v>293</v>
      </c>
      <c r="H4636" s="25"/>
      <c r="BA4636" s="73" t="s">
        <v>355</v>
      </c>
      <c r="BB4636" s="48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356</v>
      </c>
      <c r="E4637" s="1" t="s">
        <v>125</v>
      </c>
      <c r="F4637" s="26">
        <v>106</v>
      </c>
      <c r="G4637" s="25" t="s">
        <v>293</v>
      </c>
      <c r="H4637" s="25"/>
      <c r="BA4637" s="73" t="s">
        <v>355</v>
      </c>
      <c r="BB4637" s="48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356</v>
      </c>
      <c r="E4638" s="1" t="s">
        <v>126</v>
      </c>
      <c r="F4638" s="26">
        <v>79</v>
      </c>
      <c r="G4638" s="25" t="s">
        <v>293</v>
      </c>
      <c r="H4638" s="25"/>
      <c r="BA4638" s="73" t="s">
        <v>355</v>
      </c>
      <c r="BB4638" s="48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356</v>
      </c>
      <c r="E4639" s="1" t="s">
        <v>349</v>
      </c>
      <c r="F4639" s="26">
        <v>151</v>
      </c>
      <c r="G4639" s="25" t="s">
        <v>293</v>
      </c>
      <c r="H4639" s="25"/>
      <c r="BA4639" s="73" t="s">
        <v>355</v>
      </c>
      <c r="BB4639" s="48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356</v>
      </c>
      <c r="E4640" s="1" t="s">
        <v>350</v>
      </c>
      <c r="F4640" s="26">
        <v>56</v>
      </c>
      <c r="G4640" s="25" t="s">
        <v>293</v>
      </c>
      <c r="H4640" s="25"/>
      <c r="BA4640" s="73" t="s">
        <v>355</v>
      </c>
      <c r="BB4640" s="48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356</v>
      </c>
      <c r="E4641" s="1" t="s">
        <v>122</v>
      </c>
      <c r="F4641" s="26">
        <v>47</v>
      </c>
      <c r="G4641" s="25" t="s">
        <v>293</v>
      </c>
      <c r="H4641" s="25"/>
      <c r="BA4641" s="73" t="s">
        <v>355</v>
      </c>
      <c r="BB4641" s="48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356</v>
      </c>
      <c r="E4642" s="1" t="s">
        <v>124</v>
      </c>
      <c r="F4642" s="26">
        <v>31</v>
      </c>
      <c r="G4642" s="25" t="s">
        <v>293</v>
      </c>
      <c r="H4642" s="25"/>
      <c r="BA4642" s="73" t="s">
        <v>355</v>
      </c>
      <c r="BB4642" s="48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356</v>
      </c>
      <c r="E4643" s="1" t="s">
        <v>351</v>
      </c>
      <c r="F4643" s="26">
        <v>0.88</v>
      </c>
      <c r="G4643" s="25" t="s">
        <v>293</v>
      </c>
      <c r="H4643" s="25"/>
      <c r="BA4643" s="73" t="s">
        <v>355</v>
      </c>
      <c r="BB4643" s="48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356</v>
      </c>
      <c r="E4644" s="1" t="s">
        <v>353</v>
      </c>
      <c r="F4644" s="26">
        <v>35.700000000000003</v>
      </c>
      <c r="G4644" s="25" t="s">
        <v>293</v>
      </c>
      <c r="H4644" s="25"/>
      <c r="BA4644" s="73" t="s">
        <v>355</v>
      </c>
      <c r="BB4644" s="48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356</v>
      </c>
      <c r="E4645" s="1" t="s">
        <v>133</v>
      </c>
      <c r="F4645" s="26">
        <v>143</v>
      </c>
      <c r="G4645" s="25" t="s">
        <v>293</v>
      </c>
      <c r="H4645" s="25"/>
      <c r="BA4645" s="73" t="s">
        <v>355</v>
      </c>
      <c r="BB4645" s="48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356</v>
      </c>
      <c r="E4646" s="1" t="s">
        <v>135</v>
      </c>
      <c r="F4646" s="26">
        <v>3.7</v>
      </c>
      <c r="G4646" s="25" t="s">
        <v>293</v>
      </c>
      <c r="H4646" s="25"/>
      <c r="BA4646" s="73" t="s">
        <v>355</v>
      </c>
      <c r="BB4646" s="48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356</v>
      </c>
      <c r="E4647" s="1" t="s">
        <v>136</v>
      </c>
      <c r="F4647" s="26">
        <v>117</v>
      </c>
      <c r="G4647" s="25" t="s">
        <v>293</v>
      </c>
      <c r="H4647" s="25"/>
      <c r="BA4647" s="73" t="s">
        <v>355</v>
      </c>
      <c r="BB4647" s="48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356</v>
      </c>
      <c r="E4648" s="1" t="s">
        <v>339</v>
      </c>
      <c r="F4648" s="26">
        <v>4.6900000000000004</v>
      </c>
      <c r="G4648" s="25" t="s">
        <v>293</v>
      </c>
      <c r="H4648" s="25"/>
      <c r="BA4648" s="73" t="s">
        <v>355</v>
      </c>
      <c r="BB4648" s="48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356</v>
      </c>
      <c r="E4649" s="1" t="s">
        <v>118</v>
      </c>
      <c r="F4649" s="26">
        <v>4.5</v>
      </c>
      <c r="G4649" s="25" t="s">
        <v>293</v>
      </c>
      <c r="H4649" s="25"/>
      <c r="BA4649" s="73" t="s">
        <v>355</v>
      </c>
      <c r="BB4649" s="48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356</v>
      </c>
      <c r="E4650" s="1" t="s">
        <v>130</v>
      </c>
      <c r="F4650" s="26">
        <v>3.87</v>
      </c>
      <c r="G4650" s="25" t="s">
        <v>293</v>
      </c>
      <c r="H4650" s="25"/>
      <c r="BA4650" s="73" t="s">
        <v>355</v>
      </c>
      <c r="BB4650" s="48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356</v>
      </c>
      <c r="E4651" s="1" t="s">
        <v>341</v>
      </c>
      <c r="F4651" s="26">
        <v>0.307</v>
      </c>
      <c r="G4651" s="25" t="s">
        <v>293</v>
      </c>
      <c r="H4651" s="25"/>
      <c r="BA4651" s="73" t="s">
        <v>355</v>
      </c>
      <c r="BB4651" s="48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356</v>
      </c>
      <c r="E4652" s="1" t="s">
        <v>127</v>
      </c>
      <c r="F4652" s="26">
        <v>1.2050000000000001</v>
      </c>
      <c r="G4652" s="25" t="s">
        <v>293</v>
      </c>
      <c r="H4652" s="25"/>
      <c r="BA4652" s="73" t="s">
        <v>355</v>
      </c>
      <c r="BB4652" s="48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356</v>
      </c>
      <c r="E4653" s="1" t="s">
        <v>131</v>
      </c>
      <c r="F4653" s="26">
        <v>8.8000000000000007</v>
      </c>
      <c r="G4653" s="25" t="s">
        <v>293</v>
      </c>
      <c r="H4653" s="25"/>
      <c r="BA4653" s="73" t="s">
        <v>355</v>
      </c>
      <c r="BB4653" s="48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356</v>
      </c>
      <c r="E4654" s="1" t="s">
        <v>342</v>
      </c>
      <c r="F4654" s="26">
        <v>317</v>
      </c>
      <c r="G4654" s="25" t="s">
        <v>293</v>
      </c>
      <c r="H4654" s="25"/>
      <c r="BA4654" s="73" t="s">
        <v>355</v>
      </c>
      <c r="BB4654" s="48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356</v>
      </c>
      <c r="E4655" s="1" t="s">
        <v>119</v>
      </c>
      <c r="F4655" s="26">
        <v>247</v>
      </c>
      <c r="G4655" s="25" t="s">
        <v>293</v>
      </c>
      <c r="H4655" s="25"/>
      <c r="BA4655" s="73" t="s">
        <v>355</v>
      </c>
      <c r="BB4655" s="48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356</v>
      </c>
      <c r="E4656" s="1" t="s">
        <v>120</v>
      </c>
      <c r="F4656" s="26">
        <v>75</v>
      </c>
      <c r="G4656" s="25" t="s">
        <v>293</v>
      </c>
      <c r="H4656" s="25"/>
      <c r="BA4656" s="73" t="s">
        <v>355</v>
      </c>
      <c r="BB4656" s="48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356</v>
      </c>
      <c r="E4657" s="1" t="s">
        <v>117</v>
      </c>
      <c r="F4657" s="26">
        <v>2.66</v>
      </c>
      <c r="G4657" s="25" t="s">
        <v>293</v>
      </c>
      <c r="H4657" s="25"/>
      <c r="BA4657" s="73" t="s">
        <v>355</v>
      </c>
      <c r="BB4657" s="48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356</v>
      </c>
      <c r="E4658" s="1" t="s">
        <v>344</v>
      </c>
      <c r="F4658" s="26">
        <v>230</v>
      </c>
      <c r="G4658" s="25" t="s">
        <v>293</v>
      </c>
      <c r="H4658" s="25"/>
      <c r="BA4658" s="73" t="s">
        <v>355</v>
      </c>
      <c r="BB4658" s="48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356</v>
      </c>
      <c r="E4659" s="1" t="s">
        <v>132</v>
      </c>
      <c r="F4659" s="26">
        <v>3.44</v>
      </c>
      <c r="G4659" s="25" t="s">
        <v>293</v>
      </c>
      <c r="H4659" s="25"/>
      <c r="BA4659" s="73" t="s">
        <v>355</v>
      </c>
      <c r="BB4659" s="48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356</v>
      </c>
      <c r="E4660" s="1" t="s">
        <v>111</v>
      </c>
      <c r="F4660" s="26">
        <v>86</v>
      </c>
      <c r="G4660" s="25" t="s">
        <v>293</v>
      </c>
      <c r="H4660" s="25"/>
      <c r="BA4660" s="73" t="s">
        <v>355</v>
      </c>
      <c r="BB4660" s="48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356</v>
      </c>
      <c r="E4661" s="1" t="s">
        <v>345</v>
      </c>
      <c r="F4661" s="26">
        <v>5.0999999999999996</v>
      </c>
      <c r="G4661" s="25" t="s">
        <v>293</v>
      </c>
      <c r="H4661" s="25"/>
      <c r="BA4661" s="73" t="s">
        <v>355</v>
      </c>
      <c r="BB4661" s="48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356</v>
      </c>
      <c r="E4662" s="1" t="s">
        <v>347</v>
      </c>
      <c r="F4662" s="26">
        <v>2.16</v>
      </c>
      <c r="G4662" s="25" t="s">
        <v>293</v>
      </c>
      <c r="H4662" s="25"/>
      <c r="BA4662" s="73" t="s">
        <v>355</v>
      </c>
      <c r="BB4662" s="48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356</v>
      </c>
      <c r="E4663" s="1" t="s">
        <v>128</v>
      </c>
      <c r="F4663" s="26">
        <v>7</v>
      </c>
      <c r="G4663" s="25" t="s">
        <v>293</v>
      </c>
      <c r="H4663" s="25"/>
      <c r="BA4663" s="73" t="s">
        <v>355</v>
      </c>
      <c r="BB4663" s="48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356</v>
      </c>
      <c r="E4664" s="1" t="s">
        <v>121</v>
      </c>
      <c r="F4664" s="26">
        <v>156</v>
      </c>
      <c r="G4664" s="25" t="s">
        <v>293</v>
      </c>
      <c r="H4664" s="25"/>
      <c r="BA4664" s="73" t="s">
        <v>355</v>
      </c>
      <c r="BB4664" s="48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356</v>
      </c>
      <c r="E4665" s="1" t="s">
        <v>115</v>
      </c>
      <c r="F4665" s="26">
        <v>32</v>
      </c>
      <c r="G4665" s="25" t="s">
        <v>293</v>
      </c>
      <c r="H4665" s="25"/>
      <c r="BA4665" s="73" t="s">
        <v>355</v>
      </c>
      <c r="BB4665" s="48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356</v>
      </c>
      <c r="E4666" s="1" t="s">
        <v>137</v>
      </c>
      <c r="F4666" s="26">
        <v>75</v>
      </c>
      <c r="G4666" s="25" t="s">
        <v>293</v>
      </c>
      <c r="H4666" s="25"/>
      <c r="BA4666" s="73" t="s">
        <v>355</v>
      </c>
      <c r="BB4666" s="48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356</v>
      </c>
      <c r="E4667" s="1" t="s">
        <v>348</v>
      </c>
      <c r="F4667" s="26">
        <v>140</v>
      </c>
      <c r="G4667" s="25" t="s">
        <v>293</v>
      </c>
      <c r="H4667" s="25"/>
      <c r="BA4667" s="73" t="s">
        <v>355</v>
      </c>
      <c r="BB4667" s="48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356</v>
      </c>
      <c r="E4668" s="1" t="s">
        <v>125</v>
      </c>
      <c r="F4668" s="26">
        <v>115</v>
      </c>
      <c r="G4668" s="25" t="s">
        <v>293</v>
      </c>
      <c r="H4668" s="25"/>
      <c r="BA4668" s="73" t="s">
        <v>355</v>
      </c>
      <c r="BB4668" s="48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356</v>
      </c>
      <c r="E4669" s="1" t="s">
        <v>126</v>
      </c>
      <c r="F4669" s="26">
        <v>79</v>
      </c>
      <c r="G4669" s="25" t="s">
        <v>293</v>
      </c>
      <c r="H4669" s="25"/>
      <c r="BA4669" s="73" t="s">
        <v>355</v>
      </c>
      <c r="BB4669" s="48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356</v>
      </c>
      <c r="E4670" s="1" t="s">
        <v>349</v>
      </c>
      <c r="F4670" s="26">
        <v>166</v>
      </c>
      <c r="G4670" s="25" t="s">
        <v>293</v>
      </c>
      <c r="H4670" s="25"/>
      <c r="BA4670" s="73" t="s">
        <v>355</v>
      </c>
      <c r="BB4670" s="48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356</v>
      </c>
      <c r="E4671" s="1" t="s">
        <v>350</v>
      </c>
      <c r="F4671" s="26">
        <v>59</v>
      </c>
      <c r="G4671" s="25" t="s">
        <v>293</v>
      </c>
      <c r="H4671" s="25"/>
      <c r="BA4671" s="73" t="s">
        <v>355</v>
      </c>
      <c r="BB4671" s="48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356</v>
      </c>
      <c r="E4672" s="1" t="s">
        <v>122</v>
      </c>
      <c r="F4672" s="26">
        <v>45</v>
      </c>
      <c r="G4672" s="25" t="s">
        <v>293</v>
      </c>
      <c r="H4672" s="25"/>
      <c r="BA4672" s="73" t="s">
        <v>355</v>
      </c>
      <c r="BB4672" s="48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356</v>
      </c>
      <c r="E4673" s="1" t="s">
        <v>124</v>
      </c>
      <c r="F4673" s="26">
        <v>29</v>
      </c>
      <c r="G4673" s="25" t="s">
        <v>293</v>
      </c>
      <c r="H4673" s="25"/>
      <c r="BA4673" s="73" t="s">
        <v>355</v>
      </c>
      <c r="BB4673" s="48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356</v>
      </c>
      <c r="E4674" s="1" t="s">
        <v>351</v>
      </c>
      <c r="F4674" s="26">
        <v>0.84</v>
      </c>
      <c r="G4674" s="25" t="s">
        <v>293</v>
      </c>
      <c r="H4674" s="25"/>
      <c r="BA4674" s="73" t="s">
        <v>355</v>
      </c>
      <c r="BB4674" s="48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356</v>
      </c>
      <c r="E4675" s="1" t="s">
        <v>353</v>
      </c>
      <c r="F4675" s="26">
        <v>33.700000000000003</v>
      </c>
      <c r="G4675" s="25" t="s">
        <v>293</v>
      </c>
      <c r="H4675" s="25"/>
      <c r="BA4675" s="73" t="s">
        <v>355</v>
      </c>
      <c r="BB4675" s="48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356</v>
      </c>
      <c r="E4676" s="1" t="s">
        <v>133</v>
      </c>
      <c r="F4676" s="26">
        <v>147</v>
      </c>
      <c r="G4676" s="25" t="s">
        <v>293</v>
      </c>
      <c r="H4676" s="25"/>
      <c r="BA4676" s="73" t="s">
        <v>355</v>
      </c>
      <c r="BB4676" s="48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356</v>
      </c>
      <c r="E4677" s="1" t="s">
        <v>135</v>
      </c>
      <c r="F4677" s="26">
        <v>3.8</v>
      </c>
      <c r="G4677" s="25" t="s">
        <v>293</v>
      </c>
      <c r="H4677" s="25"/>
      <c r="BA4677" s="73" t="s">
        <v>355</v>
      </c>
      <c r="BB4677" s="48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356</v>
      </c>
      <c r="E4678" s="1" t="s">
        <v>136</v>
      </c>
      <c r="F4678" s="26">
        <v>122</v>
      </c>
      <c r="G4678" s="25" t="s">
        <v>293</v>
      </c>
      <c r="H4678" s="25"/>
      <c r="BA4678" s="73" t="s">
        <v>355</v>
      </c>
      <c r="BB4678" s="48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356</v>
      </c>
      <c r="E4679" s="1" t="s">
        <v>339</v>
      </c>
      <c r="F4679" s="26">
        <v>4.75</v>
      </c>
      <c r="G4679" s="25" t="s">
        <v>293</v>
      </c>
      <c r="H4679" s="25"/>
      <c r="BA4679" s="73" t="s">
        <v>355</v>
      </c>
      <c r="BB4679" s="48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356</v>
      </c>
      <c r="E4680" s="1" t="s">
        <v>118</v>
      </c>
      <c r="F4680" s="26">
        <v>4.5999999999999996</v>
      </c>
      <c r="G4680" s="25" t="s">
        <v>293</v>
      </c>
      <c r="H4680" s="25"/>
      <c r="BA4680" s="73" t="s">
        <v>355</v>
      </c>
      <c r="BB4680" s="48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356</v>
      </c>
      <c r="E4681" s="1" t="s">
        <v>130</v>
      </c>
      <c r="F4681" s="26">
        <v>3.93</v>
      </c>
      <c r="G4681" s="25" t="s">
        <v>293</v>
      </c>
      <c r="H4681" s="25"/>
      <c r="BA4681" s="73" t="s">
        <v>355</v>
      </c>
      <c r="BB4681" s="48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356</v>
      </c>
      <c r="E4682" s="1" t="s">
        <v>341</v>
      </c>
      <c r="F4682" s="26">
        <v>0.317</v>
      </c>
      <c r="G4682" s="25" t="s">
        <v>293</v>
      </c>
      <c r="H4682" s="25"/>
      <c r="BA4682" s="73" t="s">
        <v>355</v>
      </c>
      <c r="BB4682" s="48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356</v>
      </c>
      <c r="E4683" s="1" t="s">
        <v>127</v>
      </c>
      <c r="F4683" s="26">
        <v>1.222</v>
      </c>
      <c r="G4683" s="25" t="s">
        <v>293</v>
      </c>
      <c r="H4683" s="25"/>
      <c r="BA4683" s="73" t="s">
        <v>355</v>
      </c>
      <c r="BB4683" s="48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356</v>
      </c>
      <c r="E4684" s="1" t="s">
        <v>131</v>
      </c>
      <c r="F4684" s="26">
        <v>8.5</v>
      </c>
      <c r="G4684" s="25" t="s">
        <v>293</v>
      </c>
      <c r="H4684" s="25"/>
      <c r="BA4684" s="73" t="s">
        <v>355</v>
      </c>
      <c r="BB4684" s="48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356</v>
      </c>
      <c r="E4685" s="1" t="s">
        <v>342</v>
      </c>
      <c r="F4685" s="26">
        <v>319</v>
      </c>
      <c r="G4685" s="25" t="s">
        <v>293</v>
      </c>
      <c r="H4685" s="25"/>
      <c r="BA4685" s="73" t="s">
        <v>355</v>
      </c>
      <c r="BB4685" s="48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356</v>
      </c>
      <c r="E4686" s="1" t="s">
        <v>119</v>
      </c>
      <c r="F4686" s="26">
        <v>249</v>
      </c>
      <c r="G4686" s="25" t="s">
        <v>293</v>
      </c>
      <c r="H4686" s="25"/>
      <c r="BA4686" s="73" t="s">
        <v>355</v>
      </c>
      <c r="BB4686" s="48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356</v>
      </c>
      <c r="E4687" s="1" t="s">
        <v>120</v>
      </c>
      <c r="F4687" s="26">
        <v>76</v>
      </c>
      <c r="G4687" s="25" t="s">
        <v>293</v>
      </c>
      <c r="H4687" s="25"/>
      <c r="BA4687" s="73" t="s">
        <v>355</v>
      </c>
      <c r="BB4687" s="48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356</v>
      </c>
      <c r="E4688" s="1" t="s">
        <v>117</v>
      </c>
      <c r="F4688" s="26">
        <v>2.66</v>
      </c>
      <c r="G4688" s="25" t="s">
        <v>293</v>
      </c>
      <c r="H4688" s="25"/>
      <c r="BA4688" s="73" t="s">
        <v>355</v>
      </c>
      <c r="BB4688" s="48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356</v>
      </c>
      <c r="E4689" s="1" t="s">
        <v>344</v>
      </c>
      <c r="F4689" s="26">
        <v>233</v>
      </c>
      <c r="G4689" s="25" t="s">
        <v>293</v>
      </c>
      <c r="H4689" s="25"/>
      <c r="BA4689" s="73" t="s">
        <v>355</v>
      </c>
      <c r="BB4689" s="48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356</v>
      </c>
      <c r="E4690" s="1" t="s">
        <v>132</v>
      </c>
      <c r="F4690" s="26">
        <v>3.56</v>
      </c>
      <c r="G4690" s="25" t="s">
        <v>293</v>
      </c>
      <c r="H4690" s="25"/>
      <c r="BA4690" s="73" t="s">
        <v>355</v>
      </c>
      <c r="BB4690" s="48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356</v>
      </c>
      <c r="E4691" s="1" t="s">
        <v>111</v>
      </c>
      <c r="F4691" s="26">
        <v>86</v>
      </c>
      <c r="G4691" s="25" t="s">
        <v>293</v>
      </c>
      <c r="H4691" s="25"/>
      <c r="BA4691" s="73" t="s">
        <v>355</v>
      </c>
      <c r="BB4691" s="48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356</v>
      </c>
      <c r="E4692" s="1" t="s">
        <v>345</v>
      </c>
      <c r="F4692" s="26">
        <v>5.05</v>
      </c>
      <c r="G4692" s="25" t="s">
        <v>293</v>
      </c>
      <c r="H4692" s="25"/>
      <c r="BA4692" s="73" t="s">
        <v>355</v>
      </c>
      <c r="BB4692" s="48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356</v>
      </c>
      <c r="E4693" s="1" t="s">
        <v>347</v>
      </c>
      <c r="F4693" s="26">
        <v>2.11</v>
      </c>
      <c r="G4693" s="25" t="s">
        <v>293</v>
      </c>
      <c r="H4693" s="25"/>
      <c r="BA4693" s="73" t="s">
        <v>355</v>
      </c>
      <c r="BB4693" s="48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356</v>
      </c>
      <c r="E4694" s="1" t="s">
        <v>128</v>
      </c>
      <c r="F4694" s="26">
        <v>7.2</v>
      </c>
      <c r="G4694" s="25" t="s">
        <v>293</v>
      </c>
      <c r="H4694" s="25"/>
      <c r="BA4694" s="73" t="s">
        <v>355</v>
      </c>
      <c r="BB4694" s="48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356</v>
      </c>
      <c r="E4695" s="1" t="s">
        <v>121</v>
      </c>
      <c r="F4695" s="26">
        <v>158</v>
      </c>
      <c r="G4695" s="25" t="s">
        <v>293</v>
      </c>
      <c r="H4695" s="25"/>
      <c r="BA4695" s="73" t="s">
        <v>355</v>
      </c>
      <c r="BB4695" s="48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356</v>
      </c>
      <c r="E4696" s="1" t="s">
        <v>115</v>
      </c>
      <c r="F4696" s="26">
        <v>33</v>
      </c>
      <c r="G4696" s="25" t="s">
        <v>293</v>
      </c>
      <c r="H4696" s="25"/>
      <c r="BA4696" s="73" t="s">
        <v>355</v>
      </c>
      <c r="BB4696" s="48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356</v>
      </c>
      <c r="E4697" s="1" t="s">
        <v>137</v>
      </c>
      <c r="F4697" s="26">
        <v>75</v>
      </c>
      <c r="G4697" s="25" t="s">
        <v>293</v>
      </c>
      <c r="H4697" s="25"/>
      <c r="BA4697" s="73" t="s">
        <v>355</v>
      </c>
      <c r="BB4697" s="48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356</v>
      </c>
      <c r="E4698" s="1" t="s">
        <v>348</v>
      </c>
      <c r="F4698" s="26">
        <v>140</v>
      </c>
      <c r="G4698" s="25" t="s">
        <v>293</v>
      </c>
      <c r="H4698" s="25"/>
      <c r="BA4698" s="73" t="s">
        <v>355</v>
      </c>
      <c r="BB4698" s="48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356</v>
      </c>
      <c r="E4699" s="1" t="s">
        <v>125</v>
      </c>
      <c r="F4699" s="26">
        <v>111</v>
      </c>
      <c r="G4699" s="25" t="s">
        <v>293</v>
      </c>
      <c r="H4699" s="25"/>
      <c r="BA4699" s="73" t="s">
        <v>355</v>
      </c>
      <c r="BB4699" s="48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356</v>
      </c>
      <c r="E4700" s="1" t="s">
        <v>126</v>
      </c>
      <c r="F4700" s="26">
        <v>82</v>
      </c>
      <c r="G4700" s="25" t="s">
        <v>293</v>
      </c>
      <c r="H4700" s="25"/>
      <c r="BA4700" s="73" t="s">
        <v>355</v>
      </c>
      <c r="BB4700" s="48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356</v>
      </c>
      <c r="E4701" s="1" t="s">
        <v>349</v>
      </c>
      <c r="F4701" s="26">
        <v>156</v>
      </c>
      <c r="G4701" s="25" t="s">
        <v>293</v>
      </c>
      <c r="H4701" s="25"/>
      <c r="BA4701" s="73" t="s">
        <v>355</v>
      </c>
      <c r="BB4701" s="48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356</v>
      </c>
      <c r="E4702" s="1" t="s">
        <v>350</v>
      </c>
      <c r="F4702" s="26">
        <v>60</v>
      </c>
      <c r="G4702" s="25" t="s">
        <v>293</v>
      </c>
      <c r="H4702" s="25"/>
      <c r="BA4702" s="73" t="s">
        <v>355</v>
      </c>
      <c r="BB4702" s="48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356</v>
      </c>
      <c r="E4703" s="1" t="s">
        <v>122</v>
      </c>
      <c r="F4703" s="26">
        <v>46</v>
      </c>
      <c r="G4703" s="25" t="s">
        <v>293</v>
      </c>
      <c r="H4703" s="25"/>
      <c r="BA4703" s="73" t="s">
        <v>355</v>
      </c>
      <c r="BB4703" s="48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356</v>
      </c>
      <c r="E4704" s="1" t="s">
        <v>124</v>
      </c>
      <c r="F4704" s="26">
        <v>29</v>
      </c>
      <c r="G4704" s="25" t="s">
        <v>293</v>
      </c>
      <c r="H4704" s="25"/>
      <c r="BA4704" s="73" t="s">
        <v>355</v>
      </c>
      <c r="BB4704" s="48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356</v>
      </c>
      <c r="E4705" s="1" t="s">
        <v>351</v>
      </c>
      <c r="F4705" s="26">
        <v>1.01</v>
      </c>
      <c r="G4705" s="25" t="s">
        <v>293</v>
      </c>
      <c r="H4705" s="25"/>
      <c r="BA4705" s="73" t="s">
        <v>355</v>
      </c>
      <c r="BB4705" s="48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356</v>
      </c>
      <c r="E4706" s="1" t="s">
        <v>353</v>
      </c>
      <c r="F4706" s="26">
        <v>34.5</v>
      </c>
      <c r="G4706" s="25" t="s">
        <v>293</v>
      </c>
      <c r="H4706" s="25"/>
      <c r="BA4706" s="73" t="s">
        <v>355</v>
      </c>
      <c r="BB4706" s="48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356</v>
      </c>
      <c r="E4707" s="1" t="s">
        <v>133</v>
      </c>
      <c r="F4707" s="26">
        <v>151</v>
      </c>
      <c r="G4707" s="25" t="s">
        <v>293</v>
      </c>
      <c r="H4707" s="25"/>
      <c r="BA4707" s="73" t="s">
        <v>355</v>
      </c>
      <c r="BB4707" s="48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356</v>
      </c>
      <c r="E4708" s="1" t="s">
        <v>135</v>
      </c>
      <c r="F4708" s="26">
        <v>3.9</v>
      </c>
      <c r="G4708" s="25" t="s">
        <v>293</v>
      </c>
      <c r="H4708" s="25"/>
      <c r="BA4708" s="73" t="s">
        <v>355</v>
      </c>
      <c r="BB4708" s="48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356</v>
      </c>
      <c r="E4709" s="1" t="s">
        <v>136</v>
      </c>
      <c r="F4709" s="26">
        <v>124</v>
      </c>
      <c r="G4709" s="25" t="s">
        <v>293</v>
      </c>
      <c r="H4709" s="25"/>
      <c r="BA4709" s="73" t="s">
        <v>355</v>
      </c>
      <c r="BB4709" s="48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356</v>
      </c>
      <c r="E4710" s="1" t="s">
        <v>339</v>
      </c>
      <c r="F4710" s="26">
        <v>4.53</v>
      </c>
      <c r="G4710" s="25" t="s">
        <v>293</v>
      </c>
      <c r="H4710" s="25"/>
      <c r="BA4710" s="73" t="s">
        <v>355</v>
      </c>
      <c r="BB4710" s="48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356</v>
      </c>
      <c r="E4711" s="1" t="s">
        <v>118</v>
      </c>
      <c r="F4711" s="26">
        <v>4.5</v>
      </c>
      <c r="G4711" s="25" t="s">
        <v>293</v>
      </c>
      <c r="H4711" s="25"/>
      <c r="BA4711" s="73" t="s">
        <v>355</v>
      </c>
      <c r="BB4711" s="48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356</v>
      </c>
      <c r="E4712" s="1" t="s">
        <v>130</v>
      </c>
      <c r="F4712" s="26">
        <v>3.81</v>
      </c>
      <c r="G4712" s="25" t="s">
        <v>293</v>
      </c>
      <c r="H4712" s="25"/>
      <c r="BA4712" s="73" t="s">
        <v>355</v>
      </c>
      <c r="BB4712" s="48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356</v>
      </c>
      <c r="E4713" s="1" t="s">
        <v>341</v>
      </c>
      <c r="F4713" s="26">
        <v>0.30499999999999999</v>
      </c>
      <c r="G4713" s="25" t="s">
        <v>293</v>
      </c>
      <c r="H4713" s="25"/>
      <c r="BA4713" s="73" t="s">
        <v>355</v>
      </c>
      <c r="BB4713" s="48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356</v>
      </c>
      <c r="E4714" s="1" t="s">
        <v>127</v>
      </c>
      <c r="F4714" s="26">
        <v>1.22</v>
      </c>
      <c r="G4714" s="25" t="s">
        <v>293</v>
      </c>
      <c r="H4714" s="25"/>
      <c r="BA4714" s="73" t="s">
        <v>355</v>
      </c>
      <c r="BB4714" s="48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356</v>
      </c>
      <c r="E4715" s="1" t="s">
        <v>131</v>
      </c>
      <c r="F4715" s="26">
        <v>8.6</v>
      </c>
      <c r="G4715" s="25" t="s">
        <v>293</v>
      </c>
      <c r="H4715" s="25"/>
      <c r="BA4715" s="73" t="s">
        <v>355</v>
      </c>
      <c r="BB4715" s="48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356</v>
      </c>
      <c r="E4716" s="1" t="s">
        <v>342</v>
      </c>
      <c r="F4716" s="26">
        <v>305</v>
      </c>
      <c r="G4716" s="25" t="s">
        <v>293</v>
      </c>
      <c r="H4716" s="25"/>
      <c r="BA4716" s="73" t="s">
        <v>355</v>
      </c>
      <c r="BB4716" s="48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356</v>
      </c>
      <c r="E4717" s="1" t="s">
        <v>119</v>
      </c>
      <c r="F4717" s="26">
        <v>246</v>
      </c>
      <c r="G4717" s="25" t="s">
        <v>293</v>
      </c>
      <c r="H4717" s="25"/>
      <c r="BA4717" s="73" t="s">
        <v>355</v>
      </c>
      <c r="BB4717" s="48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356</v>
      </c>
      <c r="E4718" s="1" t="s">
        <v>120</v>
      </c>
      <c r="F4718" s="26">
        <v>77</v>
      </c>
      <c r="G4718" s="25" t="s">
        <v>293</v>
      </c>
      <c r="H4718" s="25"/>
      <c r="BA4718" s="73" t="s">
        <v>355</v>
      </c>
      <c r="BB4718" s="48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356</v>
      </c>
      <c r="E4719" s="1" t="s">
        <v>117</v>
      </c>
      <c r="F4719" s="26">
        <v>2.7</v>
      </c>
      <c r="G4719" s="25" t="s">
        <v>293</v>
      </c>
      <c r="H4719" s="25"/>
      <c r="BA4719" s="73" t="s">
        <v>355</v>
      </c>
      <c r="BB4719" s="48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356</v>
      </c>
      <c r="E4720" s="1" t="s">
        <v>344</v>
      </c>
      <c r="F4720" s="26">
        <v>230</v>
      </c>
      <c r="G4720" s="25" t="s">
        <v>293</v>
      </c>
      <c r="H4720" s="25"/>
      <c r="BA4720" s="73" t="s">
        <v>355</v>
      </c>
      <c r="BB4720" s="48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356</v>
      </c>
      <c r="E4721" s="1" t="s">
        <v>132</v>
      </c>
      <c r="F4721" s="26">
        <v>3.49</v>
      </c>
      <c r="G4721" s="25" t="s">
        <v>293</v>
      </c>
      <c r="H4721" s="25"/>
      <c r="BA4721" s="73" t="s">
        <v>355</v>
      </c>
      <c r="BB4721" s="48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356</v>
      </c>
      <c r="E4722" s="1" t="s">
        <v>111</v>
      </c>
      <c r="F4722" s="26">
        <v>86</v>
      </c>
      <c r="G4722" s="25" t="s">
        <v>293</v>
      </c>
      <c r="H4722" s="25"/>
      <c r="BA4722" s="73" t="s">
        <v>355</v>
      </c>
      <c r="BB4722" s="48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356</v>
      </c>
      <c r="E4723" s="1" t="s">
        <v>345</v>
      </c>
      <c r="F4723" s="26">
        <v>5.27</v>
      </c>
      <c r="G4723" s="25" t="s">
        <v>293</v>
      </c>
      <c r="H4723" s="25"/>
      <c r="BA4723" s="73" t="s">
        <v>355</v>
      </c>
      <c r="BB4723" s="48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356</v>
      </c>
      <c r="E4724" s="1" t="s">
        <v>347</v>
      </c>
      <c r="F4724" s="26">
        <v>1.98</v>
      </c>
      <c r="G4724" s="25" t="s">
        <v>293</v>
      </c>
      <c r="H4724" s="25"/>
      <c r="BA4724" s="73" t="s">
        <v>355</v>
      </c>
      <c r="BB4724" s="48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356</v>
      </c>
      <c r="E4725" s="1" t="s">
        <v>128</v>
      </c>
      <c r="F4725" s="26">
        <v>7.1</v>
      </c>
      <c r="G4725" s="25" t="s">
        <v>293</v>
      </c>
      <c r="H4725" s="25"/>
      <c r="BA4725" s="73" t="s">
        <v>355</v>
      </c>
      <c r="BB4725" s="48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356</v>
      </c>
      <c r="E4726" s="1" t="s">
        <v>121</v>
      </c>
      <c r="F4726" s="26">
        <v>162</v>
      </c>
      <c r="G4726" s="25" t="s">
        <v>293</v>
      </c>
      <c r="H4726" s="25"/>
      <c r="BA4726" s="73" t="s">
        <v>355</v>
      </c>
      <c r="BB4726" s="48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356</v>
      </c>
      <c r="E4727" s="1" t="s">
        <v>115</v>
      </c>
      <c r="F4727" s="26">
        <v>35</v>
      </c>
      <c r="G4727" s="25" t="s">
        <v>293</v>
      </c>
      <c r="H4727" s="25"/>
      <c r="BA4727" s="73" t="s">
        <v>355</v>
      </c>
      <c r="BB4727" s="48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356</v>
      </c>
      <c r="E4728" s="1" t="s">
        <v>137</v>
      </c>
      <c r="F4728" s="26">
        <v>74</v>
      </c>
      <c r="G4728" s="25" t="s">
        <v>293</v>
      </c>
      <c r="H4728" s="25"/>
      <c r="BA4728" s="73" t="s">
        <v>355</v>
      </c>
      <c r="BB4728" s="48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356</v>
      </c>
      <c r="E4729" s="1" t="s">
        <v>348</v>
      </c>
      <c r="F4729" s="26">
        <v>138</v>
      </c>
      <c r="G4729" s="25" t="s">
        <v>293</v>
      </c>
      <c r="H4729" s="25"/>
      <c r="BA4729" s="73" t="s">
        <v>355</v>
      </c>
      <c r="BB4729" s="48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356</v>
      </c>
      <c r="E4730" s="1" t="s">
        <v>125</v>
      </c>
      <c r="F4730" s="26">
        <v>120</v>
      </c>
      <c r="G4730" s="25" t="s">
        <v>293</v>
      </c>
      <c r="H4730" s="25"/>
      <c r="BA4730" s="73" t="s">
        <v>355</v>
      </c>
      <c r="BB4730" s="48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356</v>
      </c>
      <c r="E4731" s="1" t="s">
        <v>126</v>
      </c>
      <c r="F4731" s="26">
        <v>81</v>
      </c>
      <c r="G4731" s="25" t="s">
        <v>293</v>
      </c>
      <c r="H4731" s="25"/>
      <c r="BA4731" s="73" t="s">
        <v>355</v>
      </c>
      <c r="BB4731" s="48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356</v>
      </c>
      <c r="E4732" s="1" t="s">
        <v>349</v>
      </c>
      <c r="F4732" s="26">
        <v>147</v>
      </c>
      <c r="G4732" s="25" t="s">
        <v>293</v>
      </c>
      <c r="H4732" s="25"/>
      <c r="BA4732" s="73" t="s">
        <v>355</v>
      </c>
      <c r="BB4732" s="48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356</v>
      </c>
      <c r="E4733" s="1" t="s">
        <v>350</v>
      </c>
      <c r="F4733" s="26">
        <v>60</v>
      </c>
      <c r="G4733" s="25" t="s">
        <v>293</v>
      </c>
      <c r="H4733" s="25"/>
      <c r="BA4733" s="73" t="s">
        <v>355</v>
      </c>
      <c r="BB4733" s="48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356</v>
      </c>
      <c r="E4734" s="1" t="s">
        <v>122</v>
      </c>
      <c r="F4734" s="26">
        <v>45</v>
      </c>
      <c r="G4734" s="25" t="s">
        <v>293</v>
      </c>
      <c r="H4734" s="25"/>
      <c r="BA4734" s="73" t="s">
        <v>355</v>
      </c>
      <c r="BB4734" s="48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356</v>
      </c>
      <c r="E4735" s="1" t="s">
        <v>124</v>
      </c>
      <c r="F4735" s="26">
        <v>29</v>
      </c>
      <c r="G4735" s="25" t="s">
        <v>293</v>
      </c>
      <c r="H4735" s="25"/>
      <c r="BA4735" s="73" t="s">
        <v>355</v>
      </c>
      <c r="BB4735" s="48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356</v>
      </c>
      <c r="E4736" s="1" t="s">
        <v>351</v>
      </c>
      <c r="F4736" s="26">
        <v>0.99</v>
      </c>
      <c r="G4736" s="25" t="s">
        <v>293</v>
      </c>
      <c r="H4736" s="25"/>
      <c r="BA4736" s="73" t="s">
        <v>355</v>
      </c>
      <c r="BB4736" s="48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356</v>
      </c>
      <c r="E4737" s="1" t="s">
        <v>353</v>
      </c>
      <c r="F4737" s="26">
        <v>31</v>
      </c>
      <c r="G4737" s="25" t="s">
        <v>293</v>
      </c>
      <c r="H4737" s="25"/>
      <c r="BA4737" s="73" t="s">
        <v>355</v>
      </c>
      <c r="BB4737" s="48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356</v>
      </c>
      <c r="E4738" s="1" t="s">
        <v>133</v>
      </c>
      <c r="F4738" s="26">
        <v>147</v>
      </c>
      <c r="G4738" s="25" t="s">
        <v>293</v>
      </c>
      <c r="H4738" s="25"/>
      <c r="BA4738" s="73" t="s">
        <v>355</v>
      </c>
      <c r="BB4738" s="48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356</v>
      </c>
      <c r="E4739" s="1" t="s">
        <v>135</v>
      </c>
      <c r="F4739" s="26">
        <v>3.8</v>
      </c>
      <c r="G4739" s="25" t="s">
        <v>293</v>
      </c>
      <c r="H4739" s="25"/>
      <c r="BA4739" s="73" t="s">
        <v>355</v>
      </c>
      <c r="BB4739" s="48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356</v>
      </c>
      <c r="E4740" s="1" t="s">
        <v>136</v>
      </c>
      <c r="F4740" s="26">
        <v>118</v>
      </c>
      <c r="G4740" s="25" t="s">
        <v>293</v>
      </c>
      <c r="H4740" s="25"/>
      <c r="BA4740" s="73" t="s">
        <v>355</v>
      </c>
      <c r="BB4740" s="48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356</v>
      </c>
      <c r="E4741" s="1" t="s">
        <v>339</v>
      </c>
      <c r="F4741" s="26">
        <v>4.91</v>
      </c>
      <c r="G4741" s="25" t="s">
        <v>293</v>
      </c>
      <c r="H4741" s="25"/>
      <c r="BA4741" s="73" t="s">
        <v>355</v>
      </c>
      <c r="BB4741" s="48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356</v>
      </c>
      <c r="E4742" s="1" t="s">
        <v>118</v>
      </c>
      <c r="F4742" s="26">
        <v>4.4000000000000004</v>
      </c>
      <c r="G4742" s="25" t="s">
        <v>293</v>
      </c>
      <c r="H4742" s="25"/>
      <c r="BA4742" s="73" t="s">
        <v>355</v>
      </c>
      <c r="BB4742" s="48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356</v>
      </c>
      <c r="E4743" s="1" t="s">
        <v>130</v>
      </c>
      <c r="F4743" s="26">
        <v>4.24</v>
      </c>
      <c r="G4743" s="25" t="s">
        <v>293</v>
      </c>
      <c r="H4743" s="25"/>
      <c r="BA4743" s="73" t="s">
        <v>355</v>
      </c>
      <c r="BB4743" s="48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356</v>
      </c>
      <c r="E4744" s="1" t="s">
        <v>341</v>
      </c>
      <c r="F4744" s="26">
        <v>0.28599999999999998</v>
      </c>
      <c r="G4744" s="25" t="s">
        <v>293</v>
      </c>
      <c r="H4744" s="25"/>
      <c r="BA4744" s="73" t="s">
        <v>355</v>
      </c>
      <c r="BB4744" s="48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356</v>
      </c>
      <c r="E4745" s="1" t="s">
        <v>127</v>
      </c>
      <c r="F4745" s="26">
        <v>1.22</v>
      </c>
      <c r="G4745" s="25" t="s">
        <v>293</v>
      </c>
      <c r="H4745" s="25"/>
      <c r="BA4745" s="73" t="s">
        <v>355</v>
      </c>
      <c r="BB4745" s="48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356</v>
      </c>
      <c r="E4746" s="1" t="s">
        <v>131</v>
      </c>
      <c r="F4746" s="26">
        <v>8.6</v>
      </c>
      <c r="G4746" s="25" t="s">
        <v>293</v>
      </c>
      <c r="H4746" s="25"/>
      <c r="BA4746" s="73" t="s">
        <v>355</v>
      </c>
      <c r="BB4746" s="48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356</v>
      </c>
      <c r="E4747" s="1" t="s">
        <v>342</v>
      </c>
      <c r="F4747" s="26">
        <v>304</v>
      </c>
      <c r="G4747" s="25" t="s">
        <v>293</v>
      </c>
      <c r="H4747" s="25"/>
      <c r="BA4747" s="73" t="s">
        <v>355</v>
      </c>
      <c r="BB4747" s="48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356</v>
      </c>
      <c r="E4748" s="1" t="s">
        <v>119</v>
      </c>
      <c r="F4748" s="26">
        <v>249</v>
      </c>
      <c r="G4748" s="25" t="s">
        <v>293</v>
      </c>
      <c r="H4748" s="25"/>
      <c r="BA4748" s="73" t="s">
        <v>355</v>
      </c>
      <c r="BB4748" s="48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356</v>
      </c>
      <c r="E4749" s="1" t="s">
        <v>120</v>
      </c>
      <c r="F4749" s="26">
        <v>75</v>
      </c>
      <c r="G4749" s="25" t="s">
        <v>293</v>
      </c>
      <c r="H4749" s="25"/>
      <c r="BA4749" s="73" t="s">
        <v>355</v>
      </c>
      <c r="BB4749" s="48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356</v>
      </c>
      <c r="E4750" s="1" t="s">
        <v>117</v>
      </c>
      <c r="F4750" s="26">
        <v>2.74</v>
      </c>
      <c r="G4750" s="25" t="s">
        <v>293</v>
      </c>
      <c r="H4750" s="25"/>
      <c r="BA4750" s="73" t="s">
        <v>355</v>
      </c>
      <c r="BB4750" s="48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356</v>
      </c>
      <c r="E4751" s="1" t="s">
        <v>344</v>
      </c>
      <c r="F4751" s="26">
        <v>233</v>
      </c>
      <c r="G4751" s="25" t="s">
        <v>293</v>
      </c>
      <c r="H4751" s="25"/>
      <c r="BA4751" s="73" t="s">
        <v>355</v>
      </c>
      <c r="BB4751" s="48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356</v>
      </c>
      <c r="E4752" s="1" t="s">
        <v>132</v>
      </c>
      <c r="F4752" s="26">
        <v>3.55</v>
      </c>
      <c r="G4752" s="25" t="s">
        <v>293</v>
      </c>
      <c r="H4752" s="25"/>
      <c r="BA4752" s="73" t="s">
        <v>355</v>
      </c>
      <c r="BB4752" s="48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356</v>
      </c>
      <c r="E4753" s="1" t="s">
        <v>111</v>
      </c>
      <c r="F4753" s="26">
        <v>86</v>
      </c>
      <c r="G4753" s="25" t="s">
        <v>293</v>
      </c>
      <c r="H4753" s="25"/>
      <c r="BA4753" s="73" t="s">
        <v>355</v>
      </c>
      <c r="BB4753" s="48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356</v>
      </c>
      <c r="E4754" s="1" t="s">
        <v>345</v>
      </c>
      <c r="F4754" s="26">
        <v>5.19</v>
      </c>
      <c r="G4754" s="25" t="s">
        <v>293</v>
      </c>
      <c r="H4754" s="25"/>
      <c r="BA4754" s="73" t="s">
        <v>355</v>
      </c>
      <c r="BB4754" s="48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356</v>
      </c>
      <c r="E4755" s="1" t="s">
        <v>347</v>
      </c>
      <c r="F4755" s="26">
        <v>2.09</v>
      </c>
      <c r="G4755" s="25" t="s">
        <v>293</v>
      </c>
      <c r="H4755" s="25"/>
      <c r="BA4755" s="73" t="s">
        <v>355</v>
      </c>
      <c r="BB4755" s="48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356</v>
      </c>
      <c r="E4756" s="1" t="s">
        <v>128</v>
      </c>
      <c r="F4756" s="26">
        <v>7.2</v>
      </c>
      <c r="G4756" s="25" t="s">
        <v>293</v>
      </c>
      <c r="H4756" s="25"/>
      <c r="BA4756" s="73" t="s">
        <v>355</v>
      </c>
      <c r="BB4756" s="48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356</v>
      </c>
      <c r="E4757" s="1" t="s">
        <v>121</v>
      </c>
      <c r="F4757" s="26">
        <v>163</v>
      </c>
      <c r="G4757" s="25" t="s">
        <v>293</v>
      </c>
      <c r="H4757" s="25"/>
      <c r="BA4757" s="73" t="s">
        <v>355</v>
      </c>
      <c r="BB4757" s="48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356</v>
      </c>
      <c r="E4758" s="1" t="s">
        <v>115</v>
      </c>
      <c r="F4758" s="26">
        <v>33</v>
      </c>
      <c r="G4758" s="25" t="s">
        <v>293</v>
      </c>
      <c r="H4758" s="25"/>
      <c r="BA4758" s="73" t="s">
        <v>355</v>
      </c>
      <c r="BB4758" s="48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356</v>
      </c>
      <c r="E4759" s="1" t="s">
        <v>137</v>
      </c>
      <c r="F4759" s="26">
        <v>75</v>
      </c>
      <c r="G4759" s="25" t="s">
        <v>293</v>
      </c>
      <c r="H4759" s="25"/>
      <c r="BA4759" s="73" t="s">
        <v>355</v>
      </c>
      <c r="BB4759" s="48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356</v>
      </c>
      <c r="E4760" s="1" t="s">
        <v>348</v>
      </c>
      <c r="F4760" s="26">
        <v>139</v>
      </c>
      <c r="G4760" s="25" t="s">
        <v>293</v>
      </c>
      <c r="H4760" s="25"/>
      <c r="BA4760" s="73" t="s">
        <v>355</v>
      </c>
      <c r="BB4760" s="48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356</v>
      </c>
      <c r="E4761" s="1" t="s">
        <v>125</v>
      </c>
      <c r="F4761" s="26">
        <v>123</v>
      </c>
      <c r="G4761" s="25" t="s">
        <v>293</v>
      </c>
      <c r="H4761" s="25"/>
      <c r="BA4761" s="73" t="s">
        <v>355</v>
      </c>
      <c r="BB4761" s="48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356</v>
      </c>
      <c r="E4762" s="1" t="s">
        <v>126</v>
      </c>
      <c r="F4762" s="26">
        <v>80</v>
      </c>
      <c r="G4762" s="25" t="s">
        <v>293</v>
      </c>
      <c r="H4762" s="25"/>
      <c r="BA4762" s="73" t="s">
        <v>355</v>
      </c>
      <c r="BB4762" s="48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356</v>
      </c>
      <c r="E4763" s="1" t="s">
        <v>349</v>
      </c>
      <c r="F4763" s="26">
        <v>164</v>
      </c>
      <c r="G4763" s="25" t="s">
        <v>293</v>
      </c>
      <c r="H4763" s="25"/>
      <c r="BA4763" s="73" t="s">
        <v>355</v>
      </c>
      <c r="BB4763" s="48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356</v>
      </c>
      <c r="E4764" s="1" t="s">
        <v>350</v>
      </c>
      <c r="F4764" s="26">
        <v>61</v>
      </c>
      <c r="G4764" s="25" t="s">
        <v>293</v>
      </c>
      <c r="H4764" s="25"/>
      <c r="BA4764" s="73" t="s">
        <v>355</v>
      </c>
      <c r="BB4764" s="48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356</v>
      </c>
      <c r="E4765" s="1" t="s">
        <v>122</v>
      </c>
      <c r="F4765" s="26">
        <v>45</v>
      </c>
      <c r="G4765" s="25" t="s">
        <v>293</v>
      </c>
      <c r="H4765" s="25"/>
      <c r="BA4765" s="73" t="s">
        <v>355</v>
      </c>
      <c r="BB4765" s="48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356</v>
      </c>
      <c r="E4766" s="1" t="s">
        <v>124</v>
      </c>
      <c r="F4766" s="26">
        <v>27</v>
      </c>
      <c r="G4766" s="25" t="s">
        <v>293</v>
      </c>
      <c r="H4766" s="25"/>
      <c r="BA4766" s="73" t="s">
        <v>355</v>
      </c>
      <c r="BB4766" s="48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356</v>
      </c>
      <c r="E4767" s="1" t="s">
        <v>351</v>
      </c>
      <c r="F4767" s="26">
        <v>0.99</v>
      </c>
      <c r="G4767" s="25" t="s">
        <v>293</v>
      </c>
      <c r="H4767" s="25"/>
      <c r="BA4767" s="73" t="s">
        <v>355</v>
      </c>
      <c r="BB4767" s="48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356</v>
      </c>
      <c r="E4768" s="1" t="s">
        <v>353</v>
      </c>
      <c r="F4768" s="26">
        <v>35.6</v>
      </c>
      <c r="G4768" s="25" t="s">
        <v>293</v>
      </c>
      <c r="H4768" s="25"/>
      <c r="BA4768" s="73" t="s">
        <v>355</v>
      </c>
      <c r="BB4768" s="48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356</v>
      </c>
      <c r="E4769" s="1" t="s">
        <v>133</v>
      </c>
      <c r="F4769" s="26">
        <v>148</v>
      </c>
      <c r="G4769" s="25" t="s">
        <v>293</v>
      </c>
      <c r="H4769" s="25"/>
      <c r="BA4769" s="73" t="s">
        <v>355</v>
      </c>
      <c r="BB4769" s="48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356</v>
      </c>
      <c r="E4770" s="1" t="s">
        <v>135</v>
      </c>
      <c r="F4770" s="26">
        <v>3.8</v>
      </c>
      <c r="G4770" s="25" t="s">
        <v>293</v>
      </c>
      <c r="H4770" s="25"/>
      <c r="BA4770" s="73" t="s">
        <v>355</v>
      </c>
      <c r="BB4770" s="48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356</v>
      </c>
      <c r="E4771" s="1" t="s">
        <v>136</v>
      </c>
      <c r="F4771" s="26">
        <v>119</v>
      </c>
      <c r="G4771" s="25" t="s">
        <v>293</v>
      </c>
      <c r="H4771" s="25"/>
      <c r="BA4771" s="73" t="s">
        <v>355</v>
      </c>
      <c r="BB4771" s="48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356</v>
      </c>
      <c r="E4772" s="1" t="s">
        <v>339</v>
      </c>
      <c r="F4772" s="26">
        <v>4.68</v>
      </c>
      <c r="G4772" s="25" t="s">
        <v>293</v>
      </c>
      <c r="H4772" s="25"/>
      <c r="BA4772" s="73" t="s">
        <v>355</v>
      </c>
      <c r="BB4772" s="48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356</v>
      </c>
      <c r="E4773" s="1" t="s">
        <v>118</v>
      </c>
      <c r="F4773" s="26">
        <v>4.3</v>
      </c>
      <c r="G4773" s="25" t="s">
        <v>293</v>
      </c>
      <c r="H4773" s="25"/>
      <c r="BA4773" s="73" t="s">
        <v>355</v>
      </c>
      <c r="BB4773" s="48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356</v>
      </c>
      <c r="E4774" s="1" t="s">
        <v>130</v>
      </c>
      <c r="F4774" s="26">
        <v>3.76</v>
      </c>
      <c r="G4774" s="25" t="s">
        <v>293</v>
      </c>
      <c r="H4774" s="25"/>
      <c r="BA4774" s="73" t="s">
        <v>355</v>
      </c>
      <c r="BB4774" s="48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356</v>
      </c>
      <c r="E4775" s="1" t="s">
        <v>341</v>
      </c>
      <c r="F4775" s="26">
        <v>0.32900000000000001</v>
      </c>
      <c r="G4775" s="25" t="s">
        <v>293</v>
      </c>
      <c r="H4775" s="25"/>
      <c r="BA4775" s="73" t="s">
        <v>355</v>
      </c>
      <c r="BB4775" s="48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356</v>
      </c>
      <c r="E4776" s="1" t="s">
        <v>127</v>
      </c>
      <c r="F4776" s="26">
        <v>1.2190000000000001</v>
      </c>
      <c r="G4776" s="25" t="s">
        <v>293</v>
      </c>
      <c r="H4776" s="25"/>
      <c r="BA4776" s="73" t="s">
        <v>355</v>
      </c>
      <c r="BB4776" s="48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356</v>
      </c>
      <c r="E4777" s="1" t="s">
        <v>131</v>
      </c>
      <c r="F4777" s="26">
        <v>8.6</v>
      </c>
      <c r="G4777" s="25" t="s">
        <v>293</v>
      </c>
      <c r="H4777" s="25"/>
      <c r="BA4777" s="73" t="s">
        <v>355</v>
      </c>
      <c r="BB4777" s="48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356</v>
      </c>
      <c r="E4778" s="1" t="s">
        <v>342</v>
      </c>
      <c r="F4778" s="26">
        <v>308</v>
      </c>
      <c r="G4778" s="25" t="s">
        <v>293</v>
      </c>
      <c r="H4778" s="25"/>
      <c r="BA4778" s="73" t="s">
        <v>355</v>
      </c>
      <c r="BB4778" s="48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356</v>
      </c>
      <c r="E4779" s="1" t="s">
        <v>119</v>
      </c>
      <c r="F4779" s="26">
        <v>247</v>
      </c>
      <c r="G4779" s="25" t="s">
        <v>293</v>
      </c>
      <c r="H4779" s="25"/>
      <c r="BA4779" s="73" t="s">
        <v>355</v>
      </c>
      <c r="BB4779" s="48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356</v>
      </c>
      <c r="E4780" s="1" t="s">
        <v>120</v>
      </c>
      <c r="F4780" s="26">
        <v>76</v>
      </c>
      <c r="G4780" s="25" t="s">
        <v>293</v>
      </c>
      <c r="H4780" s="25"/>
      <c r="BA4780" s="73" t="s">
        <v>355</v>
      </c>
      <c r="BB4780" s="48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356</v>
      </c>
      <c r="E4781" s="1" t="s">
        <v>117</v>
      </c>
      <c r="F4781" s="26">
        <v>2.71</v>
      </c>
      <c r="G4781" s="25" t="s">
        <v>293</v>
      </c>
      <c r="H4781" s="25"/>
      <c r="BA4781" s="73" t="s">
        <v>355</v>
      </c>
      <c r="BB4781" s="48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356</v>
      </c>
      <c r="E4782" s="1" t="s">
        <v>344</v>
      </c>
      <c r="F4782" s="26">
        <v>230</v>
      </c>
      <c r="G4782" s="25" t="s">
        <v>293</v>
      </c>
      <c r="H4782" s="25"/>
      <c r="BA4782" s="73" t="s">
        <v>355</v>
      </c>
      <c r="BB4782" s="48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356</v>
      </c>
      <c r="E4783" s="1" t="s">
        <v>132</v>
      </c>
      <c r="F4783" s="26">
        <v>3.49</v>
      </c>
      <c r="G4783" s="25" t="s">
        <v>293</v>
      </c>
      <c r="H4783" s="25"/>
      <c r="BA4783" s="73" t="s">
        <v>355</v>
      </c>
      <c r="BB4783" s="48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356</v>
      </c>
      <c r="E4784" s="1" t="s">
        <v>111</v>
      </c>
      <c r="F4784" s="26">
        <v>88</v>
      </c>
      <c r="G4784" s="25" t="s">
        <v>293</v>
      </c>
      <c r="H4784" s="25"/>
      <c r="BA4784" s="73" t="s">
        <v>355</v>
      </c>
      <c r="BB4784" s="48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356</v>
      </c>
      <c r="E4785" s="1" t="s">
        <v>345</v>
      </c>
      <c r="F4785" s="26">
        <v>5.26</v>
      </c>
      <c r="G4785" s="25" t="s">
        <v>293</v>
      </c>
      <c r="H4785" s="25"/>
      <c r="BA4785" s="73" t="s">
        <v>355</v>
      </c>
      <c r="BB4785" s="48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356</v>
      </c>
      <c r="E4786" s="1" t="s">
        <v>347</v>
      </c>
      <c r="F4786" s="26">
        <v>2.25</v>
      </c>
      <c r="G4786" s="25" t="s">
        <v>293</v>
      </c>
      <c r="H4786" s="25"/>
      <c r="BA4786" s="73" t="s">
        <v>355</v>
      </c>
      <c r="BB4786" s="48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356</v>
      </c>
      <c r="E4787" s="1" t="s">
        <v>128</v>
      </c>
      <c r="F4787" s="26">
        <v>7.2</v>
      </c>
      <c r="G4787" s="25" t="s">
        <v>293</v>
      </c>
      <c r="H4787" s="25"/>
      <c r="BA4787" s="73" t="s">
        <v>355</v>
      </c>
      <c r="BB4787" s="48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356</v>
      </c>
      <c r="E4788" s="1" t="s">
        <v>121</v>
      </c>
      <c r="F4788" s="26">
        <v>160</v>
      </c>
      <c r="G4788" s="25" t="s">
        <v>293</v>
      </c>
      <c r="H4788" s="25"/>
      <c r="BA4788" s="73" t="s">
        <v>355</v>
      </c>
      <c r="BB4788" s="48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356</v>
      </c>
      <c r="E4789" s="1" t="s">
        <v>115</v>
      </c>
      <c r="F4789" s="26">
        <v>32</v>
      </c>
      <c r="G4789" s="25" t="s">
        <v>293</v>
      </c>
      <c r="H4789" s="25"/>
      <c r="BA4789" s="73" t="s">
        <v>355</v>
      </c>
      <c r="BB4789" s="48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356</v>
      </c>
      <c r="E4790" s="1" t="s">
        <v>137</v>
      </c>
      <c r="F4790" s="26">
        <v>75</v>
      </c>
      <c r="G4790" s="25" t="s">
        <v>293</v>
      </c>
      <c r="H4790" s="25"/>
      <c r="BA4790" s="73" t="s">
        <v>355</v>
      </c>
      <c r="BB4790" s="48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356</v>
      </c>
      <c r="E4791" s="1" t="s">
        <v>348</v>
      </c>
      <c r="F4791" s="26">
        <v>139</v>
      </c>
      <c r="G4791" s="25" t="s">
        <v>293</v>
      </c>
      <c r="H4791" s="25"/>
      <c r="BA4791" s="73" t="s">
        <v>355</v>
      </c>
      <c r="BB4791" s="48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356</v>
      </c>
      <c r="E4792" s="1" t="s">
        <v>125</v>
      </c>
      <c r="F4792" s="26">
        <v>108</v>
      </c>
      <c r="G4792" s="25" t="s">
        <v>293</v>
      </c>
      <c r="H4792" s="25"/>
      <c r="BA4792" s="73" t="s">
        <v>355</v>
      </c>
      <c r="BB4792" s="48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356</v>
      </c>
      <c r="E4793" s="1" t="s">
        <v>126</v>
      </c>
      <c r="F4793" s="26">
        <v>82</v>
      </c>
      <c r="G4793" s="25" t="s">
        <v>293</v>
      </c>
      <c r="H4793" s="25"/>
      <c r="BA4793" s="73" t="s">
        <v>355</v>
      </c>
      <c r="BB4793" s="48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356</v>
      </c>
      <c r="E4794" s="1" t="s">
        <v>349</v>
      </c>
      <c r="F4794" s="26">
        <v>169</v>
      </c>
      <c r="G4794" s="25" t="s">
        <v>293</v>
      </c>
      <c r="H4794" s="25"/>
      <c r="BA4794" s="73" t="s">
        <v>355</v>
      </c>
      <c r="BB4794" s="48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356</v>
      </c>
      <c r="E4795" s="1" t="s">
        <v>350</v>
      </c>
      <c r="F4795" s="26">
        <v>60</v>
      </c>
      <c r="G4795" s="25" t="s">
        <v>293</v>
      </c>
      <c r="H4795" s="25"/>
      <c r="BA4795" s="73" t="s">
        <v>355</v>
      </c>
      <c r="BB4795" s="48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356</v>
      </c>
      <c r="E4796" s="1" t="s">
        <v>122</v>
      </c>
      <c r="F4796" s="26">
        <v>46</v>
      </c>
      <c r="G4796" s="25" t="s">
        <v>293</v>
      </c>
      <c r="H4796" s="25"/>
      <c r="BA4796" s="73" t="s">
        <v>355</v>
      </c>
      <c r="BB4796" s="48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356</v>
      </c>
      <c r="E4797" s="1" t="s">
        <v>124</v>
      </c>
      <c r="F4797" s="26">
        <v>26</v>
      </c>
      <c r="G4797" s="25" t="s">
        <v>293</v>
      </c>
      <c r="H4797" s="25"/>
      <c r="BA4797" s="73" t="s">
        <v>355</v>
      </c>
      <c r="BB4797" s="48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356</v>
      </c>
      <c r="E4798" s="1" t="s">
        <v>351</v>
      </c>
      <c r="F4798" s="26">
        <v>0.94</v>
      </c>
      <c r="G4798" s="25" t="s">
        <v>293</v>
      </c>
      <c r="H4798" s="25"/>
      <c r="BA4798" s="73" t="s">
        <v>355</v>
      </c>
      <c r="BB4798" s="48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356</v>
      </c>
      <c r="E4799" s="1" t="s">
        <v>353</v>
      </c>
      <c r="F4799" s="26">
        <v>35.5</v>
      </c>
      <c r="G4799" s="25" t="s">
        <v>293</v>
      </c>
      <c r="H4799" s="25"/>
      <c r="BA4799" s="73" t="s">
        <v>355</v>
      </c>
      <c r="BB4799" s="48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356</v>
      </c>
      <c r="E4800" s="1" t="s">
        <v>133</v>
      </c>
      <c r="F4800" s="26">
        <v>148</v>
      </c>
      <c r="G4800" s="25" t="s">
        <v>293</v>
      </c>
      <c r="H4800" s="25"/>
      <c r="BA4800" s="73" t="s">
        <v>355</v>
      </c>
      <c r="BB4800" s="48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356</v>
      </c>
      <c r="E4801" s="1" t="s">
        <v>135</v>
      </c>
      <c r="F4801" s="26">
        <v>3.8</v>
      </c>
      <c r="G4801" s="25" t="s">
        <v>293</v>
      </c>
      <c r="H4801" s="25"/>
      <c r="BA4801" s="73" t="s">
        <v>355</v>
      </c>
      <c r="BB4801" s="48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356</v>
      </c>
      <c r="E4802" s="1" t="s">
        <v>136</v>
      </c>
      <c r="F4802" s="26">
        <v>118</v>
      </c>
      <c r="G4802" s="25" t="s">
        <v>293</v>
      </c>
      <c r="H4802" s="25"/>
      <c r="BA4802" s="73" t="s">
        <v>355</v>
      </c>
      <c r="BB4802" s="48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356</v>
      </c>
      <c r="E4803" s="1" t="s">
        <v>339</v>
      </c>
      <c r="F4803" s="26">
        <v>4.62</v>
      </c>
      <c r="G4803" s="25" t="s">
        <v>293</v>
      </c>
      <c r="H4803" s="25"/>
      <c r="BA4803" s="73" t="s">
        <v>355</v>
      </c>
      <c r="BB4803" s="48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356</v>
      </c>
      <c r="E4804" s="1" t="s">
        <v>118</v>
      </c>
      <c r="F4804" s="26">
        <v>4.5</v>
      </c>
      <c r="G4804" s="25" t="s">
        <v>293</v>
      </c>
      <c r="H4804" s="25"/>
      <c r="BA4804" s="73" t="s">
        <v>355</v>
      </c>
      <c r="BB4804" s="48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356</v>
      </c>
      <c r="E4805" s="1" t="s">
        <v>130</v>
      </c>
      <c r="F4805" s="26">
        <v>3.77</v>
      </c>
      <c r="G4805" s="25" t="s">
        <v>293</v>
      </c>
      <c r="H4805" s="25"/>
      <c r="BA4805" s="73" t="s">
        <v>355</v>
      </c>
      <c r="BB4805" s="48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356</v>
      </c>
      <c r="E4806" s="1" t="s">
        <v>341</v>
      </c>
      <c r="F4806" s="26">
        <v>0.311</v>
      </c>
      <c r="G4806" s="25" t="s">
        <v>293</v>
      </c>
      <c r="H4806" s="25"/>
      <c r="BA4806" s="73" t="s">
        <v>355</v>
      </c>
      <c r="BB4806" s="48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356</v>
      </c>
      <c r="E4807" s="1" t="s">
        <v>127</v>
      </c>
      <c r="F4807" s="26">
        <v>1.28</v>
      </c>
      <c r="G4807" s="25" t="s">
        <v>293</v>
      </c>
      <c r="H4807" s="25"/>
      <c r="BA4807" s="73" t="s">
        <v>355</v>
      </c>
      <c r="BB4807" s="48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356</v>
      </c>
      <c r="E4808" s="1" t="s">
        <v>131</v>
      </c>
      <c r="F4808" s="26">
        <v>8.8000000000000007</v>
      </c>
      <c r="G4808" s="25" t="s">
        <v>293</v>
      </c>
      <c r="H4808" s="25"/>
      <c r="BA4808" s="73" t="s">
        <v>355</v>
      </c>
      <c r="BB4808" s="48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356</v>
      </c>
      <c r="E4809" s="1" t="s">
        <v>342</v>
      </c>
      <c r="F4809" s="26">
        <v>312</v>
      </c>
      <c r="G4809" s="25" t="s">
        <v>293</v>
      </c>
      <c r="H4809" s="25"/>
      <c r="BA4809" s="73" t="s">
        <v>355</v>
      </c>
      <c r="BB4809" s="48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356</v>
      </c>
      <c r="E4810" s="1" t="s">
        <v>119</v>
      </c>
      <c r="F4810" s="26">
        <v>249</v>
      </c>
      <c r="G4810" s="25" t="s">
        <v>293</v>
      </c>
      <c r="H4810" s="25"/>
      <c r="BA4810" s="73" t="s">
        <v>355</v>
      </c>
      <c r="BB4810" s="48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356</v>
      </c>
      <c r="E4811" s="1" t="s">
        <v>120</v>
      </c>
      <c r="F4811" s="26">
        <v>77</v>
      </c>
      <c r="G4811" s="25" t="s">
        <v>293</v>
      </c>
      <c r="H4811" s="25"/>
      <c r="BA4811" s="73" t="s">
        <v>355</v>
      </c>
      <c r="BB4811" s="48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356</v>
      </c>
      <c r="E4812" s="1" t="s">
        <v>117</v>
      </c>
      <c r="F4812" s="26">
        <v>2.72</v>
      </c>
      <c r="G4812" s="25" t="s">
        <v>293</v>
      </c>
      <c r="H4812" s="25"/>
      <c r="BA4812" s="73" t="s">
        <v>355</v>
      </c>
      <c r="BB4812" s="48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356</v>
      </c>
      <c r="E4813" s="1" t="s">
        <v>344</v>
      </c>
      <c r="F4813" s="26">
        <v>231</v>
      </c>
      <c r="G4813" s="25" t="s">
        <v>293</v>
      </c>
      <c r="H4813" s="25"/>
      <c r="BA4813" s="73" t="s">
        <v>355</v>
      </c>
      <c r="BB4813" s="48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356</v>
      </c>
      <c r="E4814" s="1" t="s">
        <v>132</v>
      </c>
      <c r="F4814" s="26">
        <v>3.43</v>
      </c>
      <c r="G4814" s="25" t="s">
        <v>293</v>
      </c>
      <c r="H4814" s="25"/>
      <c r="BA4814" s="73" t="s">
        <v>355</v>
      </c>
      <c r="BB4814" s="48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356</v>
      </c>
      <c r="E4815" s="1" t="s">
        <v>111</v>
      </c>
      <c r="F4815" s="26">
        <v>86</v>
      </c>
      <c r="G4815" s="25" t="s">
        <v>293</v>
      </c>
      <c r="H4815" s="25"/>
      <c r="BA4815" s="73" t="s">
        <v>355</v>
      </c>
      <c r="BB4815" s="48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356</v>
      </c>
      <c r="E4816" s="1" t="s">
        <v>345</v>
      </c>
      <c r="F4816" s="26">
        <v>5.24</v>
      </c>
      <c r="G4816" s="25" t="s">
        <v>293</v>
      </c>
      <c r="H4816" s="25"/>
      <c r="BA4816" s="73" t="s">
        <v>355</v>
      </c>
      <c r="BB4816" s="48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356</v>
      </c>
      <c r="E4817" s="1" t="s">
        <v>347</v>
      </c>
      <c r="F4817" s="26">
        <v>2.27</v>
      </c>
      <c r="G4817" s="25" t="s">
        <v>293</v>
      </c>
      <c r="H4817" s="25"/>
      <c r="BA4817" s="73" t="s">
        <v>355</v>
      </c>
      <c r="BB4817" s="48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356</v>
      </c>
      <c r="E4818" s="1" t="s">
        <v>128</v>
      </c>
      <c r="F4818" s="26">
        <v>7.1</v>
      </c>
      <c r="G4818" s="25" t="s">
        <v>293</v>
      </c>
      <c r="H4818" s="25"/>
      <c r="BA4818" s="73" t="s">
        <v>355</v>
      </c>
      <c r="BB4818" s="48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356</v>
      </c>
      <c r="E4819" s="1" t="s">
        <v>121</v>
      </c>
      <c r="F4819" s="26">
        <v>161</v>
      </c>
      <c r="G4819" s="25" t="s">
        <v>293</v>
      </c>
      <c r="H4819" s="25"/>
      <c r="BA4819" s="73" t="s">
        <v>355</v>
      </c>
      <c r="BB4819" s="48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356</v>
      </c>
      <c r="E4820" s="1" t="s">
        <v>115</v>
      </c>
      <c r="F4820" s="26">
        <v>33</v>
      </c>
      <c r="G4820" s="25" t="s">
        <v>293</v>
      </c>
      <c r="H4820" s="25"/>
      <c r="BA4820" s="73" t="s">
        <v>355</v>
      </c>
      <c r="BB4820" s="48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356</v>
      </c>
      <c r="E4821" s="1" t="s">
        <v>137</v>
      </c>
      <c r="F4821" s="26">
        <v>76</v>
      </c>
      <c r="G4821" s="25" t="s">
        <v>293</v>
      </c>
      <c r="H4821" s="25"/>
      <c r="BA4821" s="73" t="s">
        <v>355</v>
      </c>
      <c r="BB4821" s="48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356</v>
      </c>
      <c r="E4822" s="1" t="s">
        <v>348</v>
      </c>
      <c r="F4822" s="26">
        <v>137</v>
      </c>
      <c r="G4822" s="25" t="s">
        <v>293</v>
      </c>
      <c r="H4822" s="25"/>
      <c r="BA4822" s="73" t="s">
        <v>355</v>
      </c>
      <c r="BB4822" s="48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356</v>
      </c>
      <c r="E4823" s="1" t="s">
        <v>125</v>
      </c>
      <c r="F4823" s="26">
        <v>120</v>
      </c>
      <c r="G4823" s="25" t="s">
        <v>293</v>
      </c>
      <c r="H4823" s="25"/>
      <c r="BA4823" s="73" t="s">
        <v>355</v>
      </c>
      <c r="BB4823" s="48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356</v>
      </c>
      <c r="E4824" s="1" t="s">
        <v>126</v>
      </c>
      <c r="F4824" s="26">
        <v>82</v>
      </c>
      <c r="G4824" s="25" t="s">
        <v>293</v>
      </c>
      <c r="H4824" s="25"/>
      <c r="BA4824" s="73" t="s">
        <v>355</v>
      </c>
      <c r="BB4824" s="48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356</v>
      </c>
      <c r="E4825" s="1" t="s">
        <v>349</v>
      </c>
      <c r="F4825" s="26">
        <v>168</v>
      </c>
      <c r="G4825" s="25" t="s">
        <v>293</v>
      </c>
      <c r="H4825" s="25"/>
      <c r="BA4825" s="73" t="s">
        <v>355</v>
      </c>
      <c r="BB4825" s="48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356</v>
      </c>
      <c r="E4826" s="1" t="s">
        <v>350</v>
      </c>
      <c r="F4826" s="26">
        <v>60</v>
      </c>
      <c r="G4826" s="25" t="s">
        <v>293</v>
      </c>
      <c r="H4826" s="25"/>
      <c r="BA4826" s="73" t="s">
        <v>355</v>
      </c>
      <c r="BB4826" s="48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356</v>
      </c>
      <c r="E4827" s="1" t="s">
        <v>122</v>
      </c>
      <c r="F4827" s="26">
        <v>47</v>
      </c>
      <c r="G4827" s="25" t="s">
        <v>293</v>
      </c>
      <c r="H4827" s="25"/>
      <c r="BA4827" s="73" t="s">
        <v>355</v>
      </c>
      <c r="BB4827" s="48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356</v>
      </c>
      <c r="E4828" s="1" t="s">
        <v>124</v>
      </c>
      <c r="F4828" s="26">
        <v>28</v>
      </c>
      <c r="G4828" s="25" t="s">
        <v>293</v>
      </c>
      <c r="H4828" s="25"/>
      <c r="BA4828" s="73" t="s">
        <v>355</v>
      </c>
      <c r="BB4828" s="48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356</v>
      </c>
      <c r="E4829" s="1" t="s">
        <v>351</v>
      </c>
      <c r="F4829" s="26">
        <v>0.97</v>
      </c>
      <c r="G4829" s="25" t="s">
        <v>293</v>
      </c>
      <c r="H4829" s="25"/>
      <c r="BA4829" s="73" t="s">
        <v>355</v>
      </c>
      <c r="BB4829" s="48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356</v>
      </c>
      <c r="E4830" s="1" t="s">
        <v>353</v>
      </c>
      <c r="F4830" s="26">
        <v>33.5</v>
      </c>
      <c r="G4830" s="25" t="s">
        <v>293</v>
      </c>
      <c r="H4830" s="25"/>
      <c r="BA4830" s="73" t="s">
        <v>355</v>
      </c>
      <c r="BB4830" s="48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356</v>
      </c>
      <c r="E4831" s="1" t="s">
        <v>133</v>
      </c>
      <c r="F4831" s="26">
        <v>148</v>
      </c>
      <c r="G4831" s="25" t="s">
        <v>293</v>
      </c>
      <c r="H4831" s="25"/>
      <c r="BA4831" s="73" t="s">
        <v>355</v>
      </c>
      <c r="BB4831" s="48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356</v>
      </c>
      <c r="E4832" s="1" t="s">
        <v>135</v>
      </c>
      <c r="F4832" s="26">
        <v>3.8</v>
      </c>
      <c r="G4832" s="25" t="s">
        <v>293</v>
      </c>
      <c r="H4832" s="25"/>
      <c r="BA4832" s="73" t="s">
        <v>355</v>
      </c>
      <c r="BB4832" s="48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356</v>
      </c>
      <c r="E4833" s="1" t="s">
        <v>136</v>
      </c>
      <c r="F4833" s="26">
        <v>120</v>
      </c>
      <c r="G4833" s="25" t="s">
        <v>293</v>
      </c>
      <c r="H4833" s="25"/>
      <c r="BA4833" s="73" t="s">
        <v>355</v>
      </c>
      <c r="BB4833" s="48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356</v>
      </c>
      <c r="E4834" s="1" t="s">
        <v>339</v>
      </c>
      <c r="F4834" s="26">
        <v>4.6399999999999997</v>
      </c>
      <c r="G4834" s="25" t="s">
        <v>293</v>
      </c>
      <c r="H4834" s="25"/>
      <c r="BA4834" s="73" t="s">
        <v>355</v>
      </c>
      <c r="BB4834" s="48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356</v>
      </c>
      <c r="E4835" s="1" t="s">
        <v>118</v>
      </c>
      <c r="F4835" s="26">
        <v>4.5</v>
      </c>
      <c r="G4835" s="25" t="s">
        <v>293</v>
      </c>
      <c r="H4835" s="25"/>
      <c r="BA4835" s="73" t="s">
        <v>355</v>
      </c>
      <c r="BB4835" s="48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356</v>
      </c>
      <c r="E4836" s="1" t="s">
        <v>130</v>
      </c>
      <c r="F4836" s="26">
        <v>3.65</v>
      </c>
      <c r="G4836" s="25" t="s">
        <v>293</v>
      </c>
      <c r="H4836" s="25"/>
      <c r="BA4836" s="73" t="s">
        <v>355</v>
      </c>
      <c r="BB4836" s="48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356</v>
      </c>
      <c r="E4837" s="1" t="s">
        <v>341</v>
      </c>
      <c r="F4837" s="26">
        <v>0.29499999999999998</v>
      </c>
      <c r="G4837" s="25" t="s">
        <v>293</v>
      </c>
      <c r="H4837" s="25"/>
      <c r="BA4837" s="73" t="s">
        <v>355</v>
      </c>
      <c r="BB4837" s="48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356</v>
      </c>
      <c r="E4838" s="1" t="s">
        <v>127</v>
      </c>
      <c r="F4838" s="26">
        <v>1.194</v>
      </c>
      <c r="G4838" s="25" t="s">
        <v>293</v>
      </c>
      <c r="H4838" s="25"/>
      <c r="BA4838" s="73" t="s">
        <v>355</v>
      </c>
      <c r="BB4838" s="48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356</v>
      </c>
      <c r="E4839" s="1" t="s">
        <v>131</v>
      </c>
      <c r="F4839" s="26">
        <v>8.5</v>
      </c>
      <c r="G4839" s="25" t="s">
        <v>293</v>
      </c>
      <c r="H4839" s="25"/>
      <c r="BA4839" s="73" t="s">
        <v>355</v>
      </c>
      <c r="BB4839" s="48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356</v>
      </c>
      <c r="E4840" s="1" t="s">
        <v>342</v>
      </c>
      <c r="F4840" s="26">
        <v>293</v>
      </c>
      <c r="G4840" s="25" t="s">
        <v>293</v>
      </c>
      <c r="H4840" s="25"/>
      <c r="BA4840" s="73" t="s">
        <v>355</v>
      </c>
      <c r="BB4840" s="48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356</v>
      </c>
      <c r="E4841" s="1" t="s">
        <v>119</v>
      </c>
      <c r="F4841" s="26">
        <v>245</v>
      </c>
      <c r="G4841" s="25" t="s">
        <v>293</v>
      </c>
      <c r="H4841" s="25"/>
      <c r="BA4841" s="73" t="s">
        <v>355</v>
      </c>
      <c r="BB4841" s="48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356</v>
      </c>
      <c r="E4842" s="1" t="s">
        <v>120</v>
      </c>
      <c r="F4842" s="26">
        <v>77</v>
      </c>
      <c r="G4842" s="25" t="s">
        <v>293</v>
      </c>
      <c r="H4842" s="25"/>
      <c r="BA4842" s="73" t="s">
        <v>355</v>
      </c>
      <c r="BB4842" s="48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356</v>
      </c>
      <c r="E4843" s="1" t="s">
        <v>117</v>
      </c>
      <c r="F4843" s="26">
        <v>2.52</v>
      </c>
      <c r="G4843" s="25" t="s">
        <v>293</v>
      </c>
      <c r="H4843" s="25"/>
      <c r="BA4843" s="73" t="s">
        <v>355</v>
      </c>
      <c r="BB4843" s="48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356</v>
      </c>
      <c r="E4844" s="1" t="s">
        <v>344</v>
      </c>
      <c r="F4844" s="26">
        <v>230</v>
      </c>
      <c r="G4844" s="25" t="s">
        <v>293</v>
      </c>
      <c r="H4844" s="25"/>
      <c r="BA4844" s="73" t="s">
        <v>355</v>
      </c>
      <c r="BB4844" s="48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356</v>
      </c>
      <c r="E4845" s="1" t="s">
        <v>132</v>
      </c>
      <c r="F4845" s="26">
        <v>3.43</v>
      </c>
      <c r="G4845" s="25" t="s">
        <v>293</v>
      </c>
      <c r="H4845" s="25"/>
      <c r="BA4845" s="73" t="s">
        <v>355</v>
      </c>
      <c r="BB4845" s="48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356</v>
      </c>
      <c r="E4846" s="1" t="s">
        <v>111</v>
      </c>
      <c r="F4846" s="26">
        <v>86</v>
      </c>
      <c r="G4846" s="25" t="s">
        <v>293</v>
      </c>
      <c r="H4846" s="25"/>
      <c r="BA4846" s="73" t="s">
        <v>355</v>
      </c>
      <c r="BB4846" s="48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356</v>
      </c>
      <c r="E4847" s="1" t="s">
        <v>345</v>
      </c>
      <c r="F4847" s="26">
        <v>5.07</v>
      </c>
      <c r="G4847" s="25" t="s">
        <v>293</v>
      </c>
      <c r="H4847" s="25"/>
      <c r="BA4847" s="73" t="s">
        <v>355</v>
      </c>
      <c r="BB4847" s="48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356</v>
      </c>
      <c r="E4848" s="1" t="s">
        <v>347</v>
      </c>
      <c r="F4848" s="26">
        <v>2.0499999999999998</v>
      </c>
      <c r="G4848" s="25" t="s">
        <v>293</v>
      </c>
      <c r="H4848" s="25"/>
      <c r="BA4848" s="73" t="s">
        <v>355</v>
      </c>
      <c r="BB4848" s="48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356</v>
      </c>
      <c r="E4849" s="1" t="s">
        <v>128</v>
      </c>
      <c r="F4849" s="26">
        <v>7</v>
      </c>
      <c r="G4849" s="25" t="s">
        <v>293</v>
      </c>
      <c r="H4849" s="25"/>
      <c r="BA4849" s="73" t="s">
        <v>355</v>
      </c>
      <c r="BB4849" s="48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356</v>
      </c>
      <c r="E4850" s="1" t="s">
        <v>121</v>
      </c>
      <c r="F4850" s="26">
        <v>156</v>
      </c>
      <c r="G4850" s="25" t="s">
        <v>293</v>
      </c>
      <c r="H4850" s="25"/>
      <c r="BA4850" s="73" t="s">
        <v>355</v>
      </c>
      <c r="BB4850" s="48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356</v>
      </c>
      <c r="E4851" s="1" t="s">
        <v>115</v>
      </c>
      <c r="F4851" s="26">
        <v>33</v>
      </c>
      <c r="G4851" s="25" t="s">
        <v>293</v>
      </c>
      <c r="H4851" s="25"/>
      <c r="BA4851" s="73" t="s">
        <v>355</v>
      </c>
      <c r="BB4851" s="48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356</v>
      </c>
      <c r="E4852" s="1" t="s">
        <v>137</v>
      </c>
      <c r="F4852" s="26">
        <v>74</v>
      </c>
      <c r="G4852" s="25" t="s">
        <v>293</v>
      </c>
      <c r="H4852" s="25"/>
      <c r="BA4852" s="73" t="s">
        <v>355</v>
      </c>
      <c r="BB4852" s="48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356</v>
      </c>
      <c r="E4853" s="1" t="s">
        <v>348</v>
      </c>
      <c r="F4853" s="26">
        <v>137</v>
      </c>
      <c r="G4853" s="25" t="s">
        <v>293</v>
      </c>
      <c r="H4853" s="25"/>
      <c r="BA4853" s="73" t="s">
        <v>355</v>
      </c>
      <c r="BB4853" s="48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356</v>
      </c>
      <c r="E4854" s="1" t="s">
        <v>125</v>
      </c>
      <c r="F4854" s="26">
        <v>110</v>
      </c>
      <c r="G4854" s="25" t="s">
        <v>293</v>
      </c>
      <c r="H4854" s="25"/>
      <c r="BA4854" s="73" t="s">
        <v>355</v>
      </c>
      <c r="BB4854" s="48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356</v>
      </c>
      <c r="E4855" s="1" t="s">
        <v>126</v>
      </c>
      <c r="F4855" s="26">
        <v>79</v>
      </c>
      <c r="G4855" s="25" t="s">
        <v>293</v>
      </c>
      <c r="H4855" s="25"/>
      <c r="BA4855" s="73" t="s">
        <v>355</v>
      </c>
      <c r="BB4855" s="48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356</v>
      </c>
      <c r="E4856" s="1" t="s">
        <v>349</v>
      </c>
      <c r="F4856" s="26">
        <v>159</v>
      </c>
      <c r="G4856" s="25" t="s">
        <v>293</v>
      </c>
      <c r="H4856" s="25"/>
      <c r="BA4856" s="73" t="s">
        <v>355</v>
      </c>
      <c r="BB4856" s="48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356</v>
      </c>
      <c r="E4857" s="1" t="s">
        <v>350</v>
      </c>
      <c r="F4857" s="26">
        <v>59</v>
      </c>
      <c r="G4857" s="25" t="s">
        <v>293</v>
      </c>
      <c r="H4857" s="25"/>
      <c r="BA4857" s="73" t="s">
        <v>355</v>
      </c>
      <c r="BB4857" s="48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356</v>
      </c>
      <c r="E4858" s="1" t="s">
        <v>122</v>
      </c>
      <c r="F4858" s="26">
        <v>43</v>
      </c>
      <c r="G4858" s="25" t="s">
        <v>293</v>
      </c>
      <c r="H4858" s="25"/>
      <c r="BA4858" s="73" t="s">
        <v>355</v>
      </c>
      <c r="BB4858" s="48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356</v>
      </c>
      <c r="E4859" s="1" t="s">
        <v>124</v>
      </c>
      <c r="F4859" s="26">
        <v>27</v>
      </c>
      <c r="G4859" s="25" t="s">
        <v>293</v>
      </c>
      <c r="H4859" s="25"/>
      <c r="BA4859" s="73" t="s">
        <v>355</v>
      </c>
      <c r="BB4859" s="48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356</v>
      </c>
      <c r="E4860" s="1" t="s">
        <v>351</v>
      </c>
      <c r="F4860" s="26">
        <v>0.93</v>
      </c>
      <c r="G4860" s="25" t="s">
        <v>293</v>
      </c>
      <c r="H4860" s="25"/>
      <c r="BA4860" s="73" t="s">
        <v>355</v>
      </c>
      <c r="BB4860" s="48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356</v>
      </c>
      <c r="E4861" s="1" t="s">
        <v>353</v>
      </c>
      <c r="F4861" s="26">
        <v>39.5</v>
      </c>
      <c r="G4861" s="25" t="s">
        <v>293</v>
      </c>
      <c r="H4861" s="25"/>
      <c r="BA4861" s="73" t="s">
        <v>355</v>
      </c>
      <c r="BB4861" s="48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356</v>
      </c>
      <c r="E4862" s="1" t="s">
        <v>133</v>
      </c>
      <c r="F4862" s="26">
        <v>147</v>
      </c>
      <c r="G4862" s="25" t="s">
        <v>293</v>
      </c>
      <c r="H4862" s="25"/>
      <c r="BA4862" s="73" t="s">
        <v>355</v>
      </c>
      <c r="BB4862" s="48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356</v>
      </c>
      <c r="E4863" s="1" t="s">
        <v>135</v>
      </c>
      <c r="F4863" s="26">
        <v>3.8</v>
      </c>
      <c r="G4863" s="25" t="s">
        <v>293</v>
      </c>
      <c r="H4863" s="25"/>
      <c r="BA4863" s="73" t="s">
        <v>355</v>
      </c>
      <c r="BB4863" s="48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356</v>
      </c>
      <c r="E4864" s="1" t="s">
        <v>136</v>
      </c>
      <c r="F4864" s="26">
        <v>117</v>
      </c>
      <c r="G4864" s="25" t="s">
        <v>293</v>
      </c>
      <c r="H4864" s="25"/>
      <c r="BA4864" s="73" t="s">
        <v>355</v>
      </c>
      <c r="BB4864" s="48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356</v>
      </c>
      <c r="E4865" s="1" t="s">
        <v>339</v>
      </c>
      <c r="F4865" s="26">
        <v>4.5999999999999996</v>
      </c>
      <c r="G4865" s="25" t="s">
        <v>293</v>
      </c>
      <c r="H4865" s="25"/>
      <c r="BA4865" s="73" t="s">
        <v>355</v>
      </c>
      <c r="BB4865" s="48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356</v>
      </c>
      <c r="E4866" s="1" t="s">
        <v>118</v>
      </c>
      <c r="F4866" s="26">
        <v>4.5</v>
      </c>
      <c r="G4866" s="25" t="s">
        <v>293</v>
      </c>
      <c r="H4866" s="25"/>
      <c r="BA4866" s="73" t="s">
        <v>355</v>
      </c>
      <c r="BB4866" s="48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356</v>
      </c>
      <c r="E4867" s="1" t="s">
        <v>130</v>
      </c>
      <c r="F4867" s="26">
        <v>3.72</v>
      </c>
      <c r="G4867" s="25" t="s">
        <v>293</v>
      </c>
      <c r="H4867" s="25"/>
      <c r="BA4867" s="73" t="s">
        <v>355</v>
      </c>
      <c r="BB4867" s="48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356</v>
      </c>
      <c r="E4868" s="1" t="s">
        <v>341</v>
      </c>
      <c r="F4868" s="26">
        <v>0.313</v>
      </c>
      <c r="G4868" s="25" t="s">
        <v>293</v>
      </c>
      <c r="H4868" s="25"/>
      <c r="BA4868" s="73" t="s">
        <v>355</v>
      </c>
      <c r="BB4868" s="48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356</v>
      </c>
      <c r="E4869" s="1" t="s">
        <v>127</v>
      </c>
      <c r="F4869" s="26">
        <v>1.2010000000000001</v>
      </c>
      <c r="G4869" s="25" t="s">
        <v>293</v>
      </c>
      <c r="H4869" s="25"/>
      <c r="BA4869" s="73" t="s">
        <v>355</v>
      </c>
      <c r="BB4869" s="48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356</v>
      </c>
      <c r="E4870" s="1" t="s">
        <v>131</v>
      </c>
      <c r="F4870" s="26">
        <v>8.4</v>
      </c>
      <c r="G4870" s="25" t="s">
        <v>293</v>
      </c>
      <c r="H4870" s="25"/>
      <c r="BA4870" s="73" t="s">
        <v>355</v>
      </c>
      <c r="BB4870" s="48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356</v>
      </c>
      <c r="E4871" s="1" t="s">
        <v>342</v>
      </c>
      <c r="F4871" s="26">
        <v>303</v>
      </c>
      <c r="G4871" s="25" t="s">
        <v>293</v>
      </c>
      <c r="H4871" s="25"/>
      <c r="BA4871" s="73" t="s">
        <v>355</v>
      </c>
      <c r="BB4871" s="48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356</v>
      </c>
      <c r="E4872" s="1" t="s">
        <v>119</v>
      </c>
      <c r="F4872" s="26">
        <v>244</v>
      </c>
      <c r="G4872" s="25" t="s">
        <v>293</v>
      </c>
      <c r="H4872" s="25"/>
      <c r="BA4872" s="73" t="s">
        <v>355</v>
      </c>
      <c r="BB4872" s="48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356</v>
      </c>
      <c r="E4873" s="1" t="s">
        <v>120</v>
      </c>
      <c r="F4873" s="26">
        <v>75</v>
      </c>
      <c r="G4873" s="25" t="s">
        <v>293</v>
      </c>
      <c r="H4873" s="25"/>
      <c r="BA4873" s="73" t="s">
        <v>355</v>
      </c>
      <c r="BB4873" s="48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356</v>
      </c>
      <c r="E4874" s="1" t="s">
        <v>117</v>
      </c>
      <c r="F4874" s="26">
        <v>2.69</v>
      </c>
      <c r="G4874" s="25" t="s">
        <v>293</v>
      </c>
      <c r="H4874" s="25"/>
      <c r="BA4874" s="73" t="s">
        <v>355</v>
      </c>
      <c r="BB4874" s="48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356</v>
      </c>
      <c r="E4875" s="1" t="s">
        <v>344</v>
      </c>
      <c r="F4875" s="26">
        <v>231</v>
      </c>
      <c r="G4875" s="25" t="s">
        <v>293</v>
      </c>
      <c r="H4875" s="25"/>
      <c r="BA4875" s="73" t="s">
        <v>355</v>
      </c>
      <c r="BB4875" s="48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356</v>
      </c>
      <c r="E4876" s="1" t="s">
        <v>132</v>
      </c>
      <c r="F4876" s="26">
        <v>3.4</v>
      </c>
      <c r="G4876" s="25" t="s">
        <v>293</v>
      </c>
      <c r="H4876" s="25"/>
      <c r="BA4876" s="73" t="s">
        <v>355</v>
      </c>
      <c r="BB4876" s="48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356</v>
      </c>
      <c r="E4877" s="1" t="s">
        <v>111</v>
      </c>
      <c r="F4877" s="26">
        <v>86</v>
      </c>
      <c r="G4877" s="25" t="s">
        <v>293</v>
      </c>
      <c r="H4877" s="25"/>
      <c r="BA4877" s="73" t="s">
        <v>355</v>
      </c>
      <c r="BB4877" s="48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356</v>
      </c>
      <c r="E4878" s="1" t="s">
        <v>345</v>
      </c>
      <c r="F4878" s="26">
        <v>5.03</v>
      </c>
      <c r="G4878" s="25" t="s">
        <v>293</v>
      </c>
      <c r="H4878" s="25"/>
      <c r="BA4878" s="73" t="s">
        <v>355</v>
      </c>
      <c r="BB4878" s="48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356</v>
      </c>
      <c r="E4879" s="1" t="s">
        <v>347</v>
      </c>
      <c r="F4879" s="26">
        <v>2.17</v>
      </c>
      <c r="G4879" s="25" t="s">
        <v>293</v>
      </c>
      <c r="H4879" s="25"/>
      <c r="BA4879" s="73" t="s">
        <v>355</v>
      </c>
      <c r="BB4879" s="48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356</v>
      </c>
      <c r="E4880" s="1" t="s">
        <v>128</v>
      </c>
      <c r="F4880" s="26">
        <v>7</v>
      </c>
      <c r="G4880" s="25" t="s">
        <v>293</v>
      </c>
      <c r="H4880" s="25"/>
      <c r="BA4880" s="73" t="s">
        <v>355</v>
      </c>
      <c r="BB4880" s="48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356</v>
      </c>
      <c r="E4881" s="1" t="s">
        <v>121</v>
      </c>
      <c r="F4881" s="26">
        <v>160</v>
      </c>
      <c r="G4881" s="25" t="s">
        <v>293</v>
      </c>
      <c r="H4881" s="25"/>
      <c r="BA4881" s="73" t="s">
        <v>355</v>
      </c>
      <c r="BB4881" s="48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356</v>
      </c>
      <c r="E4882" s="1" t="s">
        <v>115</v>
      </c>
      <c r="F4882" s="26">
        <v>33</v>
      </c>
      <c r="G4882" s="25" t="s">
        <v>293</v>
      </c>
      <c r="H4882" s="25"/>
      <c r="BA4882" s="73" t="s">
        <v>355</v>
      </c>
      <c r="BB4882" s="48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356</v>
      </c>
      <c r="E4883" s="1" t="s">
        <v>137</v>
      </c>
      <c r="F4883" s="26">
        <v>75</v>
      </c>
      <c r="G4883" s="25" t="s">
        <v>293</v>
      </c>
      <c r="H4883" s="25"/>
      <c r="BA4883" s="73" t="s">
        <v>355</v>
      </c>
      <c r="BB4883" s="48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356</v>
      </c>
      <c r="E4884" s="1" t="s">
        <v>348</v>
      </c>
      <c r="F4884" s="26">
        <v>138</v>
      </c>
      <c r="G4884" s="25" t="s">
        <v>293</v>
      </c>
      <c r="H4884" s="25"/>
      <c r="BA4884" s="73" t="s">
        <v>355</v>
      </c>
      <c r="BB4884" s="48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356</v>
      </c>
      <c r="E4885" s="1" t="s">
        <v>125</v>
      </c>
      <c r="F4885" s="26">
        <v>118</v>
      </c>
      <c r="G4885" s="25" t="s">
        <v>293</v>
      </c>
      <c r="H4885" s="25"/>
      <c r="BA4885" s="73" t="s">
        <v>355</v>
      </c>
      <c r="BB4885" s="48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356</v>
      </c>
      <c r="E4886" s="1" t="s">
        <v>126</v>
      </c>
      <c r="F4886" s="26">
        <v>81</v>
      </c>
      <c r="G4886" s="25" t="s">
        <v>293</v>
      </c>
      <c r="H4886" s="25"/>
      <c r="BA4886" s="73" t="s">
        <v>355</v>
      </c>
      <c r="BB4886" s="48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356</v>
      </c>
      <c r="E4887" s="1" t="s">
        <v>349</v>
      </c>
      <c r="F4887" s="26">
        <v>150</v>
      </c>
      <c r="G4887" s="25" t="s">
        <v>293</v>
      </c>
      <c r="H4887" s="25"/>
      <c r="BA4887" s="73" t="s">
        <v>355</v>
      </c>
      <c r="BB4887" s="48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356</v>
      </c>
      <c r="E4888" s="1" t="s">
        <v>350</v>
      </c>
      <c r="F4888" s="26">
        <v>59</v>
      </c>
      <c r="G4888" s="25" t="s">
        <v>293</v>
      </c>
      <c r="H4888" s="25"/>
      <c r="BA4888" s="73" t="s">
        <v>355</v>
      </c>
      <c r="BB4888" s="48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356</v>
      </c>
      <c r="E4889" s="1" t="s">
        <v>122</v>
      </c>
      <c r="F4889" s="26">
        <v>44</v>
      </c>
      <c r="G4889" s="25" t="s">
        <v>293</v>
      </c>
      <c r="H4889" s="25"/>
      <c r="BA4889" s="73" t="s">
        <v>355</v>
      </c>
      <c r="BB4889" s="48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356</v>
      </c>
      <c r="E4890" s="1" t="s">
        <v>124</v>
      </c>
      <c r="F4890" s="26">
        <v>27</v>
      </c>
      <c r="G4890" s="25" t="s">
        <v>293</v>
      </c>
      <c r="H4890" s="25"/>
      <c r="BA4890" s="73" t="s">
        <v>355</v>
      </c>
      <c r="BB4890" s="48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356</v>
      </c>
      <c r="E4891" s="1" t="s">
        <v>351</v>
      </c>
      <c r="F4891" s="26">
        <v>0.93</v>
      </c>
      <c r="G4891" s="25" t="s">
        <v>293</v>
      </c>
      <c r="H4891" s="25"/>
      <c r="BA4891" s="73" t="s">
        <v>355</v>
      </c>
      <c r="BB4891" s="48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356</v>
      </c>
      <c r="E4892" s="1" t="s">
        <v>353</v>
      </c>
      <c r="F4892" s="26">
        <v>35.1</v>
      </c>
      <c r="G4892" s="25" t="s">
        <v>293</v>
      </c>
      <c r="H4892" s="25"/>
      <c r="BA4892" s="73" t="s">
        <v>355</v>
      </c>
      <c r="BB4892" s="48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356</v>
      </c>
      <c r="E4893" s="1" t="s">
        <v>133</v>
      </c>
      <c r="F4893" s="26">
        <v>146</v>
      </c>
      <c r="G4893" s="25" t="s">
        <v>293</v>
      </c>
      <c r="H4893" s="25"/>
      <c r="BA4893" s="73" t="s">
        <v>355</v>
      </c>
      <c r="BB4893" s="48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356</v>
      </c>
      <c r="E4894" s="1" t="s">
        <v>135</v>
      </c>
      <c r="F4894" s="26">
        <v>3.8</v>
      </c>
      <c r="G4894" s="25" t="s">
        <v>293</v>
      </c>
      <c r="H4894" s="25"/>
      <c r="BA4894" s="73" t="s">
        <v>355</v>
      </c>
      <c r="BB4894" s="48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356</v>
      </c>
      <c r="E4895" s="1" t="s">
        <v>136</v>
      </c>
      <c r="F4895" s="26">
        <v>116</v>
      </c>
      <c r="G4895" s="25" t="s">
        <v>293</v>
      </c>
      <c r="H4895" s="25"/>
      <c r="BA4895" s="73" t="s">
        <v>355</v>
      </c>
      <c r="BB4895" s="48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356</v>
      </c>
      <c r="E4896" s="1" t="s">
        <v>339</v>
      </c>
      <c r="F4896" s="26">
        <v>4.55</v>
      </c>
      <c r="G4896" s="25" t="s">
        <v>293</v>
      </c>
      <c r="H4896" s="25"/>
      <c r="BA4896" s="73" t="s">
        <v>355</v>
      </c>
      <c r="BB4896" s="48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356</v>
      </c>
      <c r="E4897" s="1" t="s">
        <v>118</v>
      </c>
      <c r="F4897" s="26">
        <v>4.4000000000000004</v>
      </c>
      <c r="G4897" s="25" t="s">
        <v>293</v>
      </c>
      <c r="H4897" s="25"/>
      <c r="BA4897" s="73" t="s">
        <v>355</v>
      </c>
      <c r="BB4897" s="48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356</v>
      </c>
      <c r="E4898" s="1" t="s">
        <v>130</v>
      </c>
      <c r="F4898" s="26">
        <v>3.63</v>
      </c>
      <c r="G4898" s="25" t="s">
        <v>293</v>
      </c>
      <c r="H4898" s="25"/>
      <c r="BA4898" s="73" t="s">
        <v>355</v>
      </c>
      <c r="BB4898" s="48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356</v>
      </c>
      <c r="E4899" s="1" t="s">
        <v>341</v>
      </c>
      <c r="F4899" s="26">
        <v>0.318</v>
      </c>
      <c r="G4899" s="25" t="s">
        <v>293</v>
      </c>
      <c r="H4899" s="25"/>
      <c r="BA4899" s="73" t="s">
        <v>355</v>
      </c>
      <c r="BB4899" s="48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356</v>
      </c>
      <c r="E4900" s="1" t="s">
        <v>127</v>
      </c>
      <c r="F4900" s="26">
        <v>1.212</v>
      </c>
      <c r="G4900" s="25" t="s">
        <v>293</v>
      </c>
      <c r="H4900" s="25"/>
      <c r="BA4900" s="73" t="s">
        <v>355</v>
      </c>
      <c r="BB4900" s="48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356</v>
      </c>
      <c r="E4901" s="1" t="s">
        <v>131</v>
      </c>
      <c r="F4901" s="26">
        <v>8.6</v>
      </c>
      <c r="G4901" s="25" t="s">
        <v>293</v>
      </c>
      <c r="H4901" s="25"/>
      <c r="BA4901" s="73" t="s">
        <v>355</v>
      </c>
      <c r="BB4901" s="48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356</v>
      </c>
      <c r="E4902" s="1" t="s">
        <v>342</v>
      </c>
      <c r="F4902" s="26">
        <v>302</v>
      </c>
      <c r="G4902" s="25" t="s">
        <v>293</v>
      </c>
      <c r="H4902" s="25"/>
      <c r="BA4902" s="73" t="s">
        <v>355</v>
      </c>
      <c r="BB4902" s="48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356</v>
      </c>
      <c r="E4903" s="1" t="s">
        <v>119</v>
      </c>
      <c r="F4903" s="26">
        <v>247</v>
      </c>
      <c r="G4903" s="25" t="s">
        <v>293</v>
      </c>
      <c r="H4903" s="25"/>
      <c r="BA4903" s="73" t="s">
        <v>355</v>
      </c>
      <c r="BB4903" s="48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356</v>
      </c>
      <c r="E4904" s="1" t="s">
        <v>120</v>
      </c>
      <c r="F4904" s="26">
        <v>75</v>
      </c>
      <c r="G4904" s="25" t="s">
        <v>293</v>
      </c>
      <c r="H4904" s="25"/>
      <c r="BA4904" s="73" t="s">
        <v>355</v>
      </c>
      <c r="BB4904" s="48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356</v>
      </c>
      <c r="E4905" s="1" t="s">
        <v>117</v>
      </c>
      <c r="F4905" s="26">
        <v>2.74</v>
      </c>
      <c r="G4905" s="25" t="s">
        <v>293</v>
      </c>
      <c r="H4905" s="25"/>
      <c r="BA4905" s="73" t="s">
        <v>355</v>
      </c>
      <c r="BB4905" s="48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356</v>
      </c>
      <c r="E4906" s="1" t="s">
        <v>344</v>
      </c>
      <c r="F4906" s="26">
        <v>230</v>
      </c>
      <c r="G4906" s="25" t="s">
        <v>293</v>
      </c>
      <c r="H4906" s="25"/>
      <c r="BA4906" s="73" t="s">
        <v>355</v>
      </c>
      <c r="BB4906" s="48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356</v>
      </c>
      <c r="E4907" s="1" t="s">
        <v>132</v>
      </c>
      <c r="F4907" s="26">
        <v>3.39</v>
      </c>
      <c r="G4907" s="25" t="s">
        <v>293</v>
      </c>
      <c r="H4907" s="25"/>
      <c r="BA4907" s="73" t="s">
        <v>355</v>
      </c>
      <c r="BB4907" s="48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356</v>
      </c>
      <c r="E4908" s="1" t="s">
        <v>111</v>
      </c>
      <c r="F4908" s="26">
        <v>86</v>
      </c>
      <c r="G4908" s="25" t="s">
        <v>293</v>
      </c>
      <c r="H4908" s="25"/>
      <c r="BA4908" s="73" t="s">
        <v>355</v>
      </c>
      <c r="BB4908" s="48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356</v>
      </c>
      <c r="E4909" s="1" t="s">
        <v>345</v>
      </c>
      <c r="F4909" s="26">
        <v>4.96</v>
      </c>
      <c r="G4909" s="25" t="s">
        <v>293</v>
      </c>
      <c r="H4909" s="25"/>
      <c r="BA4909" s="73" t="s">
        <v>355</v>
      </c>
      <c r="BB4909" s="48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356</v>
      </c>
      <c r="E4910" s="1" t="s">
        <v>347</v>
      </c>
      <c r="F4910" s="26">
        <v>2</v>
      </c>
      <c r="G4910" s="25" t="s">
        <v>293</v>
      </c>
      <c r="H4910" s="25"/>
      <c r="BA4910" s="73" t="s">
        <v>355</v>
      </c>
      <c r="BB4910" s="48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356</v>
      </c>
      <c r="E4911" s="1" t="s">
        <v>128</v>
      </c>
      <c r="F4911" s="26">
        <v>7.1</v>
      </c>
      <c r="G4911" s="25" t="s">
        <v>293</v>
      </c>
      <c r="H4911" s="25"/>
      <c r="BA4911" s="73" t="s">
        <v>355</v>
      </c>
      <c r="BB4911" s="48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356</v>
      </c>
      <c r="E4912" s="1" t="s">
        <v>121</v>
      </c>
      <c r="F4912" s="26">
        <v>156</v>
      </c>
      <c r="G4912" s="25" t="s">
        <v>293</v>
      </c>
      <c r="H4912" s="25"/>
      <c r="BA4912" s="73" t="s">
        <v>355</v>
      </c>
      <c r="BB4912" s="48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356</v>
      </c>
      <c r="E4913" s="1" t="s">
        <v>115</v>
      </c>
      <c r="F4913" s="26">
        <v>32</v>
      </c>
      <c r="G4913" s="25" t="s">
        <v>293</v>
      </c>
      <c r="H4913" s="25"/>
      <c r="BA4913" s="73" t="s">
        <v>355</v>
      </c>
      <c r="BB4913" s="48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356</v>
      </c>
      <c r="E4914" s="1" t="s">
        <v>137</v>
      </c>
      <c r="F4914" s="26">
        <v>75</v>
      </c>
      <c r="G4914" s="25" t="s">
        <v>293</v>
      </c>
      <c r="H4914" s="25"/>
      <c r="BA4914" s="73" t="s">
        <v>355</v>
      </c>
      <c r="BB4914" s="48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356</v>
      </c>
      <c r="E4915" s="1" t="s">
        <v>348</v>
      </c>
      <c r="F4915" s="26">
        <v>138</v>
      </c>
      <c r="G4915" s="25" t="s">
        <v>293</v>
      </c>
      <c r="H4915" s="25"/>
      <c r="BA4915" s="73" t="s">
        <v>355</v>
      </c>
      <c r="BB4915" s="48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356</v>
      </c>
      <c r="E4916" s="1" t="s">
        <v>125</v>
      </c>
      <c r="F4916" s="26">
        <v>120</v>
      </c>
      <c r="G4916" s="25" t="s">
        <v>293</v>
      </c>
      <c r="H4916" s="25"/>
      <c r="BA4916" s="73" t="s">
        <v>355</v>
      </c>
      <c r="BB4916" s="48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356</v>
      </c>
      <c r="E4917" s="1" t="s">
        <v>126</v>
      </c>
      <c r="F4917" s="26">
        <v>77</v>
      </c>
      <c r="G4917" s="25" t="s">
        <v>293</v>
      </c>
      <c r="H4917" s="25"/>
      <c r="BA4917" s="73" t="s">
        <v>355</v>
      </c>
      <c r="BB4917" s="48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356</v>
      </c>
      <c r="E4918" s="1" t="s">
        <v>349</v>
      </c>
      <c r="F4918" s="26">
        <v>132</v>
      </c>
      <c r="G4918" s="25" t="s">
        <v>293</v>
      </c>
      <c r="H4918" s="25"/>
      <c r="BA4918" s="73" t="s">
        <v>355</v>
      </c>
      <c r="BB4918" s="48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356</v>
      </c>
      <c r="E4919" s="1" t="s">
        <v>350</v>
      </c>
      <c r="F4919" s="26">
        <v>55</v>
      </c>
      <c r="G4919" s="25" t="s">
        <v>293</v>
      </c>
      <c r="H4919" s="25"/>
      <c r="BA4919" s="73" t="s">
        <v>355</v>
      </c>
      <c r="BB4919" s="48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356</v>
      </c>
      <c r="E4920" s="1" t="s">
        <v>122</v>
      </c>
      <c r="F4920" s="26">
        <v>45</v>
      </c>
      <c r="G4920" s="25" t="s">
        <v>293</v>
      </c>
      <c r="H4920" s="25"/>
      <c r="BA4920" s="73" t="s">
        <v>355</v>
      </c>
      <c r="BB4920" s="48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356</v>
      </c>
      <c r="E4921" s="1" t="s">
        <v>124</v>
      </c>
      <c r="F4921" s="26">
        <v>26</v>
      </c>
      <c r="G4921" s="25" t="s">
        <v>293</v>
      </c>
      <c r="H4921" s="25"/>
      <c r="BA4921" s="73" t="s">
        <v>355</v>
      </c>
      <c r="BB4921" s="48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356</v>
      </c>
      <c r="E4922" s="1" t="s">
        <v>351</v>
      </c>
      <c r="F4922" s="26">
        <v>0.92</v>
      </c>
      <c r="G4922" s="25" t="s">
        <v>293</v>
      </c>
      <c r="H4922" s="25"/>
      <c r="BA4922" s="73" t="s">
        <v>355</v>
      </c>
      <c r="BB4922" s="48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356</v>
      </c>
      <c r="E4923" s="1" t="s">
        <v>353</v>
      </c>
      <c r="F4923" s="26">
        <v>34.4</v>
      </c>
      <c r="G4923" s="25" t="s">
        <v>293</v>
      </c>
      <c r="H4923" s="25"/>
      <c r="BA4923" s="73" t="s">
        <v>355</v>
      </c>
      <c r="BB4923" s="48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356</v>
      </c>
      <c r="E4924" s="1" t="s">
        <v>133</v>
      </c>
      <c r="F4924" s="26">
        <v>146</v>
      </c>
      <c r="G4924" s="25" t="s">
        <v>293</v>
      </c>
      <c r="H4924" s="25"/>
      <c r="BA4924" s="73" t="s">
        <v>355</v>
      </c>
      <c r="BB4924" s="48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356</v>
      </c>
      <c r="E4925" s="1" t="s">
        <v>135</v>
      </c>
      <c r="F4925" s="26">
        <v>3.8</v>
      </c>
      <c r="G4925" s="25" t="s">
        <v>293</v>
      </c>
      <c r="H4925" s="25"/>
      <c r="BA4925" s="73" t="s">
        <v>355</v>
      </c>
      <c r="BB4925" s="48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356</v>
      </c>
      <c r="E4926" s="1" t="s">
        <v>136</v>
      </c>
      <c r="F4926" s="26">
        <v>116</v>
      </c>
      <c r="G4926" s="25" t="s">
        <v>293</v>
      </c>
      <c r="H4926" s="25"/>
      <c r="BA4926" s="73" t="s">
        <v>355</v>
      </c>
      <c r="BB4926" s="48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356</v>
      </c>
      <c r="E4927" s="1" t="s">
        <v>339</v>
      </c>
      <c r="F4927" s="26">
        <v>4.55</v>
      </c>
      <c r="G4927" s="25" t="s">
        <v>293</v>
      </c>
      <c r="H4927" s="25"/>
      <c r="BA4927" s="73" t="s">
        <v>355</v>
      </c>
      <c r="BB4927" s="48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356</v>
      </c>
      <c r="E4928" s="1" t="s">
        <v>118</v>
      </c>
      <c r="F4928" s="26">
        <v>4.4000000000000004</v>
      </c>
      <c r="G4928" s="25" t="s">
        <v>293</v>
      </c>
      <c r="H4928" s="25"/>
      <c r="BA4928" s="73" t="s">
        <v>355</v>
      </c>
      <c r="BB4928" s="48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356</v>
      </c>
      <c r="E4929" s="1" t="s">
        <v>130</v>
      </c>
      <c r="F4929" s="26">
        <v>3.88</v>
      </c>
      <c r="G4929" s="25" t="s">
        <v>293</v>
      </c>
      <c r="H4929" s="25"/>
      <c r="BA4929" s="73" t="s">
        <v>355</v>
      </c>
      <c r="BB4929" s="48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356</v>
      </c>
      <c r="E4930" s="1" t="s">
        <v>341</v>
      </c>
      <c r="F4930" s="26">
        <v>0.34599999999999997</v>
      </c>
      <c r="G4930" s="25" t="s">
        <v>293</v>
      </c>
      <c r="H4930" s="25"/>
      <c r="BA4930" s="73" t="s">
        <v>355</v>
      </c>
      <c r="BB4930" s="48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356</v>
      </c>
      <c r="E4931" s="1" t="s">
        <v>127</v>
      </c>
      <c r="F4931" s="26">
        <v>1.2390000000000001</v>
      </c>
      <c r="G4931" s="25" t="s">
        <v>293</v>
      </c>
      <c r="H4931" s="25"/>
      <c r="BA4931" s="73" t="s">
        <v>355</v>
      </c>
      <c r="BB4931" s="48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356</v>
      </c>
      <c r="E4932" s="1" t="s">
        <v>131</v>
      </c>
      <c r="F4932" s="26">
        <v>8.4</v>
      </c>
      <c r="G4932" s="25" t="s">
        <v>293</v>
      </c>
      <c r="H4932" s="25"/>
      <c r="BA4932" s="73" t="s">
        <v>355</v>
      </c>
      <c r="BB4932" s="48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356</v>
      </c>
      <c r="E4933" s="1" t="s">
        <v>342</v>
      </c>
      <c r="F4933" s="26">
        <v>311</v>
      </c>
      <c r="G4933" s="25" t="s">
        <v>293</v>
      </c>
      <c r="H4933" s="25"/>
      <c r="BA4933" s="73" t="s">
        <v>355</v>
      </c>
      <c r="BB4933" s="48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356</v>
      </c>
      <c r="E4934" s="1" t="s">
        <v>119</v>
      </c>
      <c r="F4934" s="26">
        <v>242</v>
      </c>
      <c r="G4934" s="25" t="s">
        <v>293</v>
      </c>
      <c r="H4934" s="25"/>
      <c r="BA4934" s="73" t="s">
        <v>355</v>
      </c>
      <c r="BB4934" s="48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356</v>
      </c>
      <c r="E4935" s="1" t="s">
        <v>120</v>
      </c>
      <c r="F4935" s="26">
        <v>79</v>
      </c>
      <c r="G4935" s="25" t="s">
        <v>293</v>
      </c>
      <c r="H4935" s="25"/>
      <c r="BA4935" s="73" t="s">
        <v>355</v>
      </c>
      <c r="BB4935" s="48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356</v>
      </c>
      <c r="E4936" s="1" t="s">
        <v>117</v>
      </c>
      <c r="F4936" s="26">
        <v>2.75</v>
      </c>
      <c r="G4936" s="25" t="s">
        <v>293</v>
      </c>
      <c r="H4936" s="25"/>
      <c r="BA4936" s="73" t="s">
        <v>355</v>
      </c>
      <c r="BB4936" s="48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356</v>
      </c>
      <c r="E4937" s="1" t="s">
        <v>344</v>
      </c>
      <c r="F4937" s="26">
        <v>227</v>
      </c>
      <c r="G4937" s="25" t="s">
        <v>293</v>
      </c>
      <c r="H4937" s="25"/>
      <c r="BA4937" s="73" t="s">
        <v>355</v>
      </c>
      <c r="BB4937" s="48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356</v>
      </c>
      <c r="E4938" s="1" t="s">
        <v>132</v>
      </c>
      <c r="F4938" s="26">
        <v>3.41</v>
      </c>
      <c r="G4938" s="25" t="s">
        <v>293</v>
      </c>
      <c r="H4938" s="25"/>
      <c r="BA4938" s="73" t="s">
        <v>355</v>
      </c>
      <c r="BB4938" s="48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356</v>
      </c>
      <c r="E4939" s="1" t="s">
        <v>111</v>
      </c>
      <c r="F4939" s="26">
        <v>85</v>
      </c>
      <c r="G4939" s="25" t="s">
        <v>293</v>
      </c>
      <c r="H4939" s="25"/>
      <c r="BA4939" s="73" t="s">
        <v>355</v>
      </c>
      <c r="BB4939" s="48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356</v>
      </c>
      <c r="E4940" s="1" t="s">
        <v>345</v>
      </c>
      <c r="F4940" s="26">
        <v>4.9800000000000004</v>
      </c>
      <c r="G4940" s="25" t="s">
        <v>293</v>
      </c>
      <c r="H4940" s="25"/>
      <c r="BA4940" s="73" t="s">
        <v>355</v>
      </c>
      <c r="BB4940" s="48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356</v>
      </c>
      <c r="E4941" s="1" t="s">
        <v>347</v>
      </c>
      <c r="F4941" s="26">
        <v>2.1800000000000002</v>
      </c>
      <c r="G4941" s="25" t="s">
        <v>293</v>
      </c>
      <c r="H4941" s="25"/>
      <c r="BA4941" s="73" t="s">
        <v>355</v>
      </c>
      <c r="BB4941" s="48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356</v>
      </c>
      <c r="E4942" s="1" t="s">
        <v>128</v>
      </c>
      <c r="F4942" s="26">
        <v>7.1</v>
      </c>
      <c r="G4942" s="25" t="s">
        <v>293</v>
      </c>
      <c r="H4942" s="25"/>
      <c r="BA4942" s="73" t="s">
        <v>355</v>
      </c>
      <c r="BB4942" s="48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356</v>
      </c>
      <c r="E4943" s="1" t="s">
        <v>121</v>
      </c>
      <c r="F4943" s="26">
        <v>155</v>
      </c>
      <c r="G4943" s="25" t="s">
        <v>293</v>
      </c>
      <c r="H4943" s="25"/>
      <c r="BA4943" s="73" t="s">
        <v>355</v>
      </c>
      <c r="BB4943" s="48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356</v>
      </c>
      <c r="E4944" s="1" t="s">
        <v>115</v>
      </c>
      <c r="F4944" s="26">
        <v>34</v>
      </c>
      <c r="G4944" s="25" t="s">
        <v>293</v>
      </c>
      <c r="H4944" s="25"/>
      <c r="BA4944" s="73" t="s">
        <v>355</v>
      </c>
      <c r="BB4944" s="48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356</v>
      </c>
      <c r="E4945" s="1" t="s">
        <v>137</v>
      </c>
      <c r="F4945" s="26">
        <v>75</v>
      </c>
      <c r="G4945" s="25" t="s">
        <v>293</v>
      </c>
      <c r="H4945" s="25"/>
      <c r="BA4945" s="73" t="s">
        <v>355</v>
      </c>
      <c r="BB4945" s="48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356</v>
      </c>
      <c r="E4946" s="1" t="s">
        <v>348</v>
      </c>
      <c r="F4946" s="26">
        <v>131</v>
      </c>
      <c r="G4946" s="25" t="s">
        <v>293</v>
      </c>
      <c r="H4946" s="25"/>
      <c r="BA4946" s="73" t="s">
        <v>355</v>
      </c>
      <c r="BB4946" s="48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356</v>
      </c>
      <c r="E4947" s="1" t="s">
        <v>125</v>
      </c>
      <c r="F4947" s="26">
        <v>108</v>
      </c>
      <c r="G4947" s="25" t="s">
        <v>293</v>
      </c>
      <c r="H4947" s="25"/>
      <c r="BA4947" s="73" t="s">
        <v>355</v>
      </c>
      <c r="BB4947" s="48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356</v>
      </c>
      <c r="E4948" s="1" t="s">
        <v>126</v>
      </c>
      <c r="F4948" s="26">
        <v>80</v>
      </c>
      <c r="G4948" s="25" t="s">
        <v>293</v>
      </c>
      <c r="H4948" s="25"/>
      <c r="BA4948" s="73" t="s">
        <v>355</v>
      </c>
      <c r="BB4948" s="48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356</v>
      </c>
      <c r="E4949" s="1" t="s">
        <v>349</v>
      </c>
      <c r="F4949" s="26">
        <v>166</v>
      </c>
      <c r="G4949" s="25" t="s">
        <v>293</v>
      </c>
      <c r="H4949" s="25"/>
      <c r="BA4949" s="73" t="s">
        <v>355</v>
      </c>
      <c r="BB4949" s="48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356</v>
      </c>
      <c r="E4950" s="1" t="s">
        <v>350</v>
      </c>
      <c r="F4950" s="26">
        <v>59</v>
      </c>
      <c r="G4950" s="25" t="s">
        <v>293</v>
      </c>
      <c r="H4950" s="25"/>
      <c r="BA4950" s="73" t="s">
        <v>355</v>
      </c>
      <c r="BB4950" s="48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356</v>
      </c>
      <c r="E4951" s="1" t="s">
        <v>122</v>
      </c>
      <c r="F4951" s="26">
        <v>43</v>
      </c>
      <c r="G4951" s="25" t="s">
        <v>293</v>
      </c>
      <c r="H4951" s="25"/>
      <c r="BA4951" s="73" t="s">
        <v>355</v>
      </c>
      <c r="BB4951" s="48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356</v>
      </c>
      <c r="E4952" s="1" t="s">
        <v>124</v>
      </c>
      <c r="F4952" s="26">
        <v>29</v>
      </c>
      <c r="G4952" s="25" t="s">
        <v>293</v>
      </c>
      <c r="H4952" s="25"/>
      <c r="BA4952" s="73" t="s">
        <v>355</v>
      </c>
      <c r="BB4952" s="48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356</v>
      </c>
      <c r="E4953" s="1" t="s">
        <v>351</v>
      </c>
      <c r="F4953" s="26">
        <v>0.9</v>
      </c>
      <c r="G4953" s="25" t="s">
        <v>293</v>
      </c>
      <c r="H4953" s="25"/>
      <c r="BA4953" s="73" t="s">
        <v>355</v>
      </c>
      <c r="BB4953" s="48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356</v>
      </c>
      <c r="E4954" s="1" t="s">
        <v>353</v>
      </c>
      <c r="F4954" s="26">
        <v>32.9</v>
      </c>
      <c r="G4954" s="25" t="s">
        <v>293</v>
      </c>
      <c r="H4954" s="25"/>
      <c r="BA4954" s="73" t="s">
        <v>355</v>
      </c>
      <c r="BB4954" s="48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356</v>
      </c>
      <c r="E4955" s="1" t="s">
        <v>133</v>
      </c>
      <c r="F4955" s="26">
        <v>147</v>
      </c>
      <c r="G4955" s="25" t="s">
        <v>293</v>
      </c>
      <c r="H4955" s="25"/>
      <c r="BA4955" s="73" t="s">
        <v>355</v>
      </c>
      <c r="BB4955" s="48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356</v>
      </c>
      <c r="E4956" s="1" t="s">
        <v>135</v>
      </c>
      <c r="F4956" s="26">
        <v>3.8</v>
      </c>
      <c r="G4956" s="25" t="s">
        <v>293</v>
      </c>
      <c r="H4956" s="25"/>
      <c r="BA4956" s="73" t="s">
        <v>355</v>
      </c>
      <c r="BB4956" s="48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356</v>
      </c>
      <c r="E4957" s="1" t="s">
        <v>136</v>
      </c>
      <c r="F4957" s="26">
        <v>117</v>
      </c>
      <c r="G4957" s="25" t="s">
        <v>293</v>
      </c>
      <c r="H4957" s="25"/>
      <c r="BA4957" s="73" t="s">
        <v>355</v>
      </c>
      <c r="BB4957" s="48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357</v>
      </c>
      <c r="E4958" s="1" t="s">
        <v>339</v>
      </c>
      <c r="F4958" s="26">
        <v>1.27</v>
      </c>
      <c r="G4958" s="25" t="s">
        <v>293</v>
      </c>
      <c r="H4958" s="25"/>
      <c r="BA4958" s="73" t="s">
        <v>355</v>
      </c>
      <c r="BB4958" s="48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357</v>
      </c>
      <c r="E4959" s="1" t="s">
        <v>118</v>
      </c>
      <c r="F4959" s="26">
        <v>9.5</v>
      </c>
      <c r="G4959" s="25" t="s">
        <v>293</v>
      </c>
      <c r="H4959" s="25"/>
      <c r="BA4959" s="73" t="s">
        <v>355</v>
      </c>
      <c r="BB4959" s="48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357</v>
      </c>
      <c r="E4960" s="1" t="s">
        <v>130</v>
      </c>
      <c r="F4960" s="26">
        <v>2.4700000000000002</v>
      </c>
      <c r="G4960" s="25" t="s">
        <v>293</v>
      </c>
      <c r="H4960" s="25"/>
      <c r="BA4960" s="73" t="s">
        <v>355</v>
      </c>
      <c r="BB4960" s="48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357</v>
      </c>
      <c r="E4961" s="1" t="s">
        <v>341</v>
      </c>
      <c r="F4961" s="26">
        <v>1.1779999999999999</v>
      </c>
      <c r="G4961" s="25" t="s">
        <v>293</v>
      </c>
      <c r="H4961" s="25"/>
      <c r="BA4961" s="73" t="s">
        <v>355</v>
      </c>
      <c r="BB4961" s="48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357</v>
      </c>
      <c r="E4962" s="1" t="s">
        <v>127</v>
      </c>
      <c r="F4962" s="26">
        <v>4.6120000000000001</v>
      </c>
      <c r="G4962" s="25" t="s">
        <v>293</v>
      </c>
      <c r="H4962" s="25"/>
      <c r="BA4962" s="73" t="s">
        <v>355</v>
      </c>
      <c r="BB4962" s="48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357</v>
      </c>
      <c r="E4963" s="1" t="s">
        <v>131</v>
      </c>
      <c r="F4963" s="26">
        <v>12.5</v>
      </c>
      <c r="G4963" s="25" t="s">
        <v>293</v>
      </c>
      <c r="H4963" s="25"/>
      <c r="BA4963" s="73" t="s">
        <v>355</v>
      </c>
      <c r="BB4963" s="48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357</v>
      </c>
      <c r="E4964" s="1" t="s">
        <v>342</v>
      </c>
      <c r="F4964" s="26">
        <v>228</v>
      </c>
      <c r="G4964" s="25" t="s">
        <v>293</v>
      </c>
      <c r="H4964" s="25"/>
      <c r="BA4964" s="73" t="s">
        <v>355</v>
      </c>
      <c r="BB4964" s="48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357</v>
      </c>
      <c r="E4965" s="1" t="s">
        <v>119</v>
      </c>
      <c r="F4965" s="26">
        <v>89</v>
      </c>
      <c r="G4965" s="25" t="s">
        <v>293</v>
      </c>
      <c r="H4965" s="25"/>
      <c r="BA4965" s="73" t="s">
        <v>355</v>
      </c>
      <c r="BB4965" s="48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357</v>
      </c>
      <c r="E4966" s="1" t="s">
        <v>120</v>
      </c>
      <c r="F4966" s="26">
        <v>27</v>
      </c>
      <c r="G4966" s="25" t="s">
        <v>293</v>
      </c>
      <c r="H4966" s="25"/>
      <c r="BA4966" s="73" t="s">
        <v>355</v>
      </c>
      <c r="BB4966" s="48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357</v>
      </c>
      <c r="E4967" s="1" t="s">
        <v>117</v>
      </c>
      <c r="F4967" s="26">
        <v>6.55</v>
      </c>
      <c r="G4967" s="25" t="s">
        <v>293</v>
      </c>
      <c r="H4967" s="25"/>
      <c r="BA4967" s="73" t="s">
        <v>355</v>
      </c>
      <c r="BB4967" s="48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357</v>
      </c>
      <c r="E4968" s="1" t="s">
        <v>344</v>
      </c>
      <c r="F4968" s="26">
        <v>71</v>
      </c>
      <c r="G4968" s="25" t="s">
        <v>293</v>
      </c>
      <c r="H4968" s="25"/>
      <c r="BA4968" s="73" t="s">
        <v>355</v>
      </c>
      <c r="BB4968" s="48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357</v>
      </c>
      <c r="E4969" s="1" t="s">
        <v>132</v>
      </c>
      <c r="F4969" s="26">
        <v>7.35</v>
      </c>
      <c r="G4969" s="25" t="s">
        <v>293</v>
      </c>
      <c r="H4969" s="25"/>
      <c r="BA4969" s="73" t="s">
        <v>355</v>
      </c>
      <c r="BB4969" s="48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357</v>
      </c>
      <c r="E4970" s="1" t="s">
        <v>111</v>
      </c>
      <c r="F4970" s="26">
        <v>285</v>
      </c>
      <c r="G4970" s="25" t="s">
        <v>293</v>
      </c>
      <c r="H4970" s="25"/>
      <c r="BA4970" s="73" t="s">
        <v>355</v>
      </c>
      <c r="BB4970" s="48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357</v>
      </c>
      <c r="E4971" s="1" t="s">
        <v>345</v>
      </c>
      <c r="F4971" s="26">
        <v>9.84</v>
      </c>
      <c r="G4971" s="25" t="s">
        <v>293</v>
      </c>
      <c r="H4971" s="25"/>
      <c r="BA4971" s="73" t="s">
        <v>355</v>
      </c>
      <c r="BB4971" s="48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357</v>
      </c>
      <c r="E4972" s="1" t="s">
        <v>347</v>
      </c>
      <c r="F4972" s="26">
        <v>4.4000000000000004</v>
      </c>
      <c r="G4972" s="25" t="s">
        <v>293</v>
      </c>
      <c r="H4972" s="25"/>
      <c r="BA4972" s="73" t="s">
        <v>355</v>
      </c>
      <c r="BB4972" s="48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357</v>
      </c>
      <c r="E4973" s="1" t="s">
        <v>128</v>
      </c>
      <c r="F4973" s="26">
        <v>4.5</v>
      </c>
      <c r="G4973" s="25" t="s">
        <v>293</v>
      </c>
      <c r="H4973" s="25"/>
      <c r="BA4973" s="73" t="s">
        <v>355</v>
      </c>
      <c r="BB4973" s="48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357</v>
      </c>
      <c r="E4974" s="1" t="s">
        <v>121</v>
      </c>
      <c r="F4974" s="26">
        <v>85</v>
      </c>
      <c r="G4974" s="25" t="s">
        <v>293</v>
      </c>
      <c r="H4974" s="25"/>
      <c r="BA4974" s="73" t="s">
        <v>355</v>
      </c>
      <c r="BB4974" s="48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357</v>
      </c>
      <c r="E4975" s="1" t="s">
        <v>115</v>
      </c>
      <c r="F4975" s="26">
        <v>94</v>
      </c>
      <c r="G4975" s="25" t="s">
        <v>293</v>
      </c>
      <c r="H4975" s="25"/>
      <c r="BA4975" s="73" t="s">
        <v>355</v>
      </c>
      <c r="BB4975" s="48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357</v>
      </c>
      <c r="E4976" s="1" t="s">
        <v>137</v>
      </c>
      <c r="F4976" s="26">
        <v>487</v>
      </c>
      <c r="G4976" s="25" t="s">
        <v>293</v>
      </c>
      <c r="H4976" s="25"/>
      <c r="BA4976" s="73" t="s">
        <v>355</v>
      </c>
      <c r="BB4976" s="48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357</v>
      </c>
      <c r="E4977" s="1" t="s">
        <v>348</v>
      </c>
      <c r="F4977" s="26">
        <v>445</v>
      </c>
      <c r="G4977" s="25" t="s">
        <v>293</v>
      </c>
      <c r="H4977" s="25"/>
      <c r="BA4977" s="73" t="s">
        <v>355</v>
      </c>
      <c r="BB4977" s="48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357</v>
      </c>
      <c r="E4978" s="1" t="s">
        <v>125</v>
      </c>
      <c r="F4978" s="26">
        <v>435</v>
      </c>
      <c r="G4978" s="25" t="s">
        <v>293</v>
      </c>
      <c r="H4978" s="25"/>
      <c r="BA4978" s="73" t="s">
        <v>355</v>
      </c>
      <c r="BB4978" s="48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357</v>
      </c>
      <c r="E4979" s="1" t="s">
        <v>126</v>
      </c>
      <c r="F4979" s="26">
        <v>156</v>
      </c>
      <c r="G4979" s="25" t="s">
        <v>293</v>
      </c>
      <c r="H4979" s="25"/>
      <c r="BA4979" s="73" t="s">
        <v>355</v>
      </c>
      <c r="BB4979" s="48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357</v>
      </c>
      <c r="E4980" s="1" t="s">
        <v>349</v>
      </c>
      <c r="F4980" s="26">
        <v>390.9</v>
      </c>
      <c r="G4980" s="25" t="s">
        <v>293</v>
      </c>
      <c r="H4980" s="25"/>
      <c r="BA4980" s="73" t="s">
        <v>355</v>
      </c>
      <c r="BB4980" s="48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357</v>
      </c>
      <c r="E4981" s="1" t="s">
        <v>350</v>
      </c>
      <c r="F4981" s="26">
        <v>87</v>
      </c>
      <c r="G4981" s="25" t="s">
        <v>293</v>
      </c>
      <c r="H4981" s="25"/>
      <c r="BA4981" s="73" t="s">
        <v>355</v>
      </c>
      <c r="BB4981" s="48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357</v>
      </c>
      <c r="E4982" s="1" t="s">
        <v>122</v>
      </c>
      <c r="F4982" s="26">
        <v>224</v>
      </c>
      <c r="G4982" s="25" t="s">
        <v>293</v>
      </c>
      <c r="H4982" s="25"/>
      <c r="BA4982" s="73" t="s">
        <v>355</v>
      </c>
      <c r="BB4982" s="48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357</v>
      </c>
      <c r="E4983" s="1" t="s">
        <v>124</v>
      </c>
      <c r="F4983" s="26">
        <v>103</v>
      </c>
      <c r="G4983" s="25" t="s">
        <v>293</v>
      </c>
      <c r="H4983" s="25"/>
      <c r="BA4983" s="73" t="s">
        <v>355</v>
      </c>
      <c r="BB4983" s="48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357</v>
      </c>
      <c r="E4984" s="1" t="s">
        <v>351</v>
      </c>
      <c r="F4984" s="26">
        <v>3.31</v>
      </c>
      <c r="G4984" s="25" t="s">
        <v>293</v>
      </c>
      <c r="H4984" s="25"/>
      <c r="BA4984" s="73" t="s">
        <v>355</v>
      </c>
      <c r="BB4984" s="48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357</v>
      </c>
      <c r="E4985" s="1" t="s">
        <v>353</v>
      </c>
      <c r="F4985" s="26">
        <v>17.399999999999999</v>
      </c>
      <c r="G4985" s="25" t="s">
        <v>293</v>
      </c>
      <c r="H4985" s="25"/>
      <c r="BA4985" s="73" t="s">
        <v>355</v>
      </c>
      <c r="BB4985" s="48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357</v>
      </c>
      <c r="E4986" s="1" t="s">
        <v>133</v>
      </c>
      <c r="F4986" s="26">
        <v>130</v>
      </c>
      <c r="G4986" s="25" t="s">
        <v>293</v>
      </c>
      <c r="H4986" s="25"/>
      <c r="BA4986" s="73" t="s">
        <v>355</v>
      </c>
      <c r="BB4986" s="48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357</v>
      </c>
      <c r="E4987" s="1" t="s">
        <v>135</v>
      </c>
      <c r="F4987" s="26">
        <v>6.6</v>
      </c>
      <c r="G4987" s="25" t="s">
        <v>293</v>
      </c>
      <c r="H4987" s="25"/>
      <c r="BA4987" s="73" t="s">
        <v>355</v>
      </c>
      <c r="BB4987" s="48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357</v>
      </c>
      <c r="E4988" s="1" t="s">
        <v>136</v>
      </c>
      <c r="F4988" s="26">
        <v>99</v>
      </c>
      <c r="G4988" s="25" t="s">
        <v>293</v>
      </c>
      <c r="H4988" s="25"/>
      <c r="BA4988" s="73" t="s">
        <v>355</v>
      </c>
      <c r="BB4988" s="48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357</v>
      </c>
      <c r="E4989" s="1" t="s">
        <v>339</v>
      </c>
      <c r="F4989" s="26">
        <v>1.26</v>
      </c>
      <c r="G4989" s="25" t="s">
        <v>293</v>
      </c>
      <c r="H4989" s="25"/>
      <c r="BA4989" s="73" t="s">
        <v>355</v>
      </c>
      <c r="BB4989" s="48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357</v>
      </c>
      <c r="E4990" s="1" t="s">
        <v>118</v>
      </c>
      <c r="F4990" s="26">
        <v>9.4</v>
      </c>
      <c r="G4990" s="25" t="s">
        <v>293</v>
      </c>
      <c r="H4990" s="25"/>
      <c r="BA4990" s="73" t="s">
        <v>355</v>
      </c>
      <c r="BB4990" s="48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357</v>
      </c>
      <c r="E4991" s="1" t="s">
        <v>130</v>
      </c>
      <c r="F4991" s="26">
        <v>2.42</v>
      </c>
      <c r="G4991" s="25" t="s">
        <v>293</v>
      </c>
      <c r="H4991" s="25"/>
      <c r="BA4991" s="73" t="s">
        <v>355</v>
      </c>
      <c r="BB4991" s="48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357</v>
      </c>
      <c r="E4992" s="1" t="s">
        <v>341</v>
      </c>
      <c r="F4992" s="26">
        <v>1.202</v>
      </c>
      <c r="G4992" s="25" t="s">
        <v>293</v>
      </c>
      <c r="H4992" s="25"/>
      <c r="BA4992" s="73" t="s">
        <v>355</v>
      </c>
      <c r="BB4992" s="48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357</v>
      </c>
      <c r="E4993" s="1" t="s">
        <v>127</v>
      </c>
      <c r="F4993" s="26">
        <v>4.5720000000000001</v>
      </c>
      <c r="G4993" s="25" t="s">
        <v>293</v>
      </c>
      <c r="H4993" s="25"/>
      <c r="BA4993" s="73" t="s">
        <v>355</v>
      </c>
      <c r="BB4993" s="48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357</v>
      </c>
      <c r="E4994" s="1" t="s">
        <v>131</v>
      </c>
      <c r="F4994" s="26">
        <v>11.85</v>
      </c>
      <c r="G4994" s="25" t="s">
        <v>293</v>
      </c>
      <c r="H4994" s="25"/>
      <c r="BA4994" s="73" t="s">
        <v>355</v>
      </c>
      <c r="BB4994" s="48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357</v>
      </c>
      <c r="E4995" s="1" t="s">
        <v>342</v>
      </c>
      <c r="F4995" s="26">
        <v>221</v>
      </c>
      <c r="G4995" s="25" t="s">
        <v>293</v>
      </c>
      <c r="H4995" s="25"/>
      <c r="BA4995" s="73" t="s">
        <v>355</v>
      </c>
      <c r="BB4995" s="48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357</v>
      </c>
      <c r="E4996" s="1" t="s">
        <v>119</v>
      </c>
      <c r="F4996" s="26">
        <v>87</v>
      </c>
      <c r="G4996" s="25" t="s">
        <v>293</v>
      </c>
      <c r="H4996" s="25"/>
      <c r="BA4996" s="73" t="s">
        <v>355</v>
      </c>
      <c r="BB4996" s="48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357</v>
      </c>
      <c r="E4997" s="1" t="s">
        <v>120</v>
      </c>
      <c r="F4997" s="26">
        <v>27</v>
      </c>
      <c r="G4997" s="25" t="s">
        <v>293</v>
      </c>
      <c r="H4997" s="25"/>
      <c r="BA4997" s="73" t="s">
        <v>355</v>
      </c>
      <c r="BB4997" s="48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357</v>
      </c>
      <c r="E4998" s="1" t="s">
        <v>117</v>
      </c>
      <c r="F4998" s="26">
        <v>6.19</v>
      </c>
      <c r="G4998" s="25" t="s">
        <v>293</v>
      </c>
      <c r="H4998" s="25"/>
      <c r="BA4998" s="73" t="s">
        <v>355</v>
      </c>
      <c r="BB4998" s="48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357</v>
      </c>
      <c r="E4999" s="1" t="s">
        <v>344</v>
      </c>
      <c r="F4999" s="26">
        <v>70</v>
      </c>
      <c r="G4999" s="25" t="s">
        <v>293</v>
      </c>
      <c r="H4999" s="25"/>
      <c r="BA4999" s="73" t="s">
        <v>355</v>
      </c>
      <c r="BB4999" s="48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357</v>
      </c>
      <c r="E5000" s="1" t="s">
        <v>132</v>
      </c>
      <c r="F5000" s="26">
        <v>7.14</v>
      </c>
      <c r="G5000" s="25" t="s">
        <v>293</v>
      </c>
      <c r="H5000" s="25"/>
      <c r="BA5000" s="73" t="s">
        <v>355</v>
      </c>
      <c r="BB5000" s="48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357</v>
      </c>
      <c r="E5001" s="1" t="s">
        <v>111</v>
      </c>
      <c r="F5001" s="26">
        <v>282</v>
      </c>
      <c r="G5001" s="25" t="s">
        <v>293</v>
      </c>
      <c r="H5001" s="25"/>
      <c r="BA5001" s="73" t="s">
        <v>355</v>
      </c>
      <c r="BB5001" s="48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357</v>
      </c>
      <c r="E5002" s="1" t="s">
        <v>345</v>
      </c>
      <c r="F5002" s="26">
        <v>9.82</v>
      </c>
      <c r="G5002" s="25" t="s">
        <v>293</v>
      </c>
      <c r="H5002" s="25"/>
      <c r="BA5002" s="73" t="s">
        <v>355</v>
      </c>
      <c r="BB5002" s="48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357</v>
      </c>
      <c r="E5003" s="1" t="s">
        <v>347</v>
      </c>
      <c r="F5003" s="26">
        <v>4.8099999999999996</v>
      </c>
      <c r="G5003" s="25" t="s">
        <v>293</v>
      </c>
      <c r="H5003" s="25"/>
      <c r="BA5003" s="73" t="s">
        <v>355</v>
      </c>
      <c r="BB5003" s="48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357</v>
      </c>
      <c r="E5004" s="1" t="s">
        <v>128</v>
      </c>
      <c r="F5004" s="26">
        <v>4.4000000000000004</v>
      </c>
      <c r="G5004" s="25" t="s">
        <v>293</v>
      </c>
      <c r="H5004" s="25"/>
      <c r="BA5004" s="73" t="s">
        <v>355</v>
      </c>
      <c r="BB5004" s="48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357</v>
      </c>
      <c r="E5005" s="1" t="s">
        <v>121</v>
      </c>
      <c r="F5005" s="26">
        <v>79</v>
      </c>
      <c r="G5005" s="25" t="s">
        <v>293</v>
      </c>
      <c r="H5005" s="25"/>
      <c r="BA5005" s="73" t="s">
        <v>355</v>
      </c>
      <c r="BB5005" s="48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357</v>
      </c>
      <c r="E5006" s="1" t="s">
        <v>115</v>
      </c>
      <c r="F5006" s="26">
        <v>93</v>
      </c>
      <c r="G5006" s="25" t="s">
        <v>293</v>
      </c>
      <c r="H5006" s="25"/>
      <c r="BA5006" s="73" t="s">
        <v>355</v>
      </c>
      <c r="BB5006" s="48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357</v>
      </c>
      <c r="E5007" s="1" t="s">
        <v>137</v>
      </c>
      <c r="F5007" s="26">
        <v>485</v>
      </c>
      <c r="G5007" s="25" t="s">
        <v>293</v>
      </c>
      <c r="H5007" s="25"/>
      <c r="BA5007" s="73" t="s">
        <v>355</v>
      </c>
      <c r="BB5007" s="48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357</v>
      </c>
      <c r="E5008" s="1" t="s">
        <v>348</v>
      </c>
      <c r="F5008" s="26">
        <v>423</v>
      </c>
      <c r="G5008" s="25" t="s">
        <v>293</v>
      </c>
      <c r="H5008" s="25"/>
      <c r="BA5008" s="73" t="s">
        <v>355</v>
      </c>
      <c r="BB5008" s="48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357</v>
      </c>
      <c r="E5009" s="1" t="s">
        <v>125</v>
      </c>
      <c r="F5009" s="26">
        <v>422</v>
      </c>
      <c r="G5009" s="25" t="s">
        <v>293</v>
      </c>
      <c r="H5009" s="25"/>
      <c r="BA5009" s="73" t="s">
        <v>355</v>
      </c>
      <c r="BB5009" s="48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357</v>
      </c>
      <c r="E5010" s="1" t="s">
        <v>126</v>
      </c>
      <c r="F5010" s="26">
        <v>155</v>
      </c>
      <c r="G5010" s="25" t="s">
        <v>293</v>
      </c>
      <c r="H5010" s="25"/>
      <c r="BA5010" s="73" t="s">
        <v>355</v>
      </c>
      <c r="BB5010" s="48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357</v>
      </c>
      <c r="E5011" s="1" t="s">
        <v>349</v>
      </c>
      <c r="F5011" s="26">
        <v>373</v>
      </c>
      <c r="G5011" s="25" t="s">
        <v>293</v>
      </c>
      <c r="H5011" s="25"/>
      <c r="BA5011" s="73" t="s">
        <v>355</v>
      </c>
      <c r="BB5011" s="48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357</v>
      </c>
      <c r="E5012" s="1" t="s">
        <v>350</v>
      </c>
      <c r="F5012" s="26">
        <v>84</v>
      </c>
      <c r="G5012" s="25" t="s">
        <v>293</v>
      </c>
      <c r="H5012" s="25"/>
      <c r="BA5012" s="73" t="s">
        <v>355</v>
      </c>
      <c r="BB5012" s="48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357</v>
      </c>
      <c r="E5013" s="1" t="s">
        <v>122</v>
      </c>
      <c r="F5013" s="26">
        <v>222</v>
      </c>
      <c r="G5013" s="25" t="s">
        <v>293</v>
      </c>
      <c r="H5013" s="25"/>
      <c r="BA5013" s="73" t="s">
        <v>355</v>
      </c>
      <c r="BB5013" s="48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357</v>
      </c>
      <c r="E5014" s="1" t="s">
        <v>124</v>
      </c>
      <c r="F5014" s="26">
        <v>103</v>
      </c>
      <c r="G5014" s="25" t="s">
        <v>293</v>
      </c>
      <c r="H5014" s="25"/>
      <c r="BA5014" s="73" t="s">
        <v>355</v>
      </c>
      <c r="BB5014" s="48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357</v>
      </c>
      <c r="E5015" s="1" t="s">
        <v>351</v>
      </c>
      <c r="F5015" s="26">
        <v>3.44</v>
      </c>
      <c r="G5015" s="25" t="s">
        <v>293</v>
      </c>
      <c r="H5015" s="25"/>
      <c r="BA5015" s="73" t="s">
        <v>355</v>
      </c>
      <c r="BB5015" s="48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357</v>
      </c>
      <c r="E5016" s="1" t="s">
        <v>353</v>
      </c>
      <c r="F5016" s="26">
        <v>22.2</v>
      </c>
      <c r="G5016" s="25" t="s">
        <v>293</v>
      </c>
      <c r="H5016" s="25"/>
      <c r="BA5016" s="73" t="s">
        <v>355</v>
      </c>
      <c r="BB5016" s="48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357</v>
      </c>
      <c r="E5017" s="1" t="s">
        <v>133</v>
      </c>
      <c r="F5017" s="26">
        <v>128</v>
      </c>
      <c r="G5017" s="25" t="s">
        <v>293</v>
      </c>
      <c r="H5017" s="25"/>
      <c r="BA5017" s="73" t="s">
        <v>355</v>
      </c>
      <c r="BB5017" s="48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357</v>
      </c>
      <c r="E5018" s="1" t="s">
        <v>135</v>
      </c>
      <c r="F5018" s="26">
        <v>6.5</v>
      </c>
      <c r="G5018" s="25" t="s">
        <v>293</v>
      </c>
      <c r="H5018" s="25"/>
      <c r="BA5018" s="73" t="s">
        <v>355</v>
      </c>
      <c r="BB5018" s="48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357</v>
      </c>
      <c r="E5019" s="1" t="s">
        <v>136</v>
      </c>
      <c r="F5019" s="26">
        <v>93</v>
      </c>
      <c r="G5019" s="25" t="s">
        <v>293</v>
      </c>
      <c r="H5019" s="25"/>
      <c r="BA5019" s="73" t="s">
        <v>355</v>
      </c>
      <c r="BB5019" s="48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357</v>
      </c>
      <c r="E5020" s="1" t="s">
        <v>339</v>
      </c>
      <c r="F5020" s="26">
        <v>1.21</v>
      </c>
      <c r="G5020" s="25" t="s">
        <v>293</v>
      </c>
      <c r="H5020" s="25"/>
      <c r="BA5020" s="73" t="s">
        <v>355</v>
      </c>
      <c r="BB5020" s="48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357</v>
      </c>
      <c r="E5021" s="1" t="s">
        <v>118</v>
      </c>
      <c r="F5021" s="26">
        <v>9.5</v>
      </c>
      <c r="G5021" s="25" t="s">
        <v>293</v>
      </c>
      <c r="H5021" s="25"/>
      <c r="BA5021" s="73" t="s">
        <v>355</v>
      </c>
      <c r="BB5021" s="48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357</v>
      </c>
      <c r="E5022" s="1" t="s">
        <v>130</v>
      </c>
      <c r="F5022" s="26">
        <v>2.44</v>
      </c>
      <c r="G5022" s="25" t="s">
        <v>293</v>
      </c>
      <c r="H5022" s="25"/>
      <c r="BA5022" s="73" t="s">
        <v>355</v>
      </c>
      <c r="BB5022" s="48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357</v>
      </c>
      <c r="E5023" s="1" t="s">
        <v>341</v>
      </c>
      <c r="F5023" s="26">
        <v>1.2470000000000001</v>
      </c>
      <c r="G5023" s="25" t="s">
        <v>293</v>
      </c>
      <c r="H5023" s="25"/>
      <c r="BA5023" s="73" t="s">
        <v>355</v>
      </c>
      <c r="BB5023" s="48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357</v>
      </c>
      <c r="E5024" s="1" t="s">
        <v>127</v>
      </c>
      <c r="F5024" s="26">
        <v>4.5830000000000002</v>
      </c>
      <c r="G5024" s="25" t="s">
        <v>293</v>
      </c>
      <c r="H5024" s="25"/>
      <c r="BA5024" s="73" t="s">
        <v>355</v>
      </c>
      <c r="BB5024" s="48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357</v>
      </c>
      <c r="E5025" s="1" t="s">
        <v>131</v>
      </c>
      <c r="F5025" s="26">
        <v>11.9</v>
      </c>
      <c r="G5025" s="25" t="s">
        <v>293</v>
      </c>
      <c r="H5025" s="25"/>
      <c r="BA5025" s="73" t="s">
        <v>355</v>
      </c>
      <c r="BB5025" s="48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357</v>
      </c>
      <c r="E5026" s="1" t="s">
        <v>342</v>
      </c>
      <c r="F5026" s="26">
        <v>187</v>
      </c>
      <c r="G5026" s="25" t="s">
        <v>293</v>
      </c>
      <c r="H5026" s="25"/>
      <c r="BA5026" s="73" t="s">
        <v>355</v>
      </c>
      <c r="BB5026" s="48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357</v>
      </c>
      <c r="E5027" s="1" t="s">
        <v>119</v>
      </c>
      <c r="F5027" s="26">
        <v>90</v>
      </c>
      <c r="G5027" s="25" t="s">
        <v>293</v>
      </c>
      <c r="H5027" s="25"/>
      <c r="BA5027" s="73" t="s">
        <v>355</v>
      </c>
      <c r="BB5027" s="48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357</v>
      </c>
      <c r="E5028" s="1" t="s">
        <v>120</v>
      </c>
      <c r="F5028" s="26">
        <v>27</v>
      </c>
      <c r="G5028" s="25" t="s">
        <v>293</v>
      </c>
      <c r="H5028" s="25"/>
      <c r="BA5028" s="73" t="s">
        <v>355</v>
      </c>
      <c r="BB5028" s="48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357</v>
      </c>
      <c r="E5029" s="1" t="s">
        <v>117</v>
      </c>
      <c r="F5029" s="26">
        <v>6.18</v>
      </c>
      <c r="G5029" s="25" t="s">
        <v>293</v>
      </c>
      <c r="H5029" s="25"/>
      <c r="BA5029" s="73" t="s">
        <v>355</v>
      </c>
      <c r="BB5029" s="48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357</v>
      </c>
      <c r="E5030" s="1" t="s">
        <v>344</v>
      </c>
      <c r="F5030" s="26">
        <v>70</v>
      </c>
      <c r="G5030" s="25" t="s">
        <v>293</v>
      </c>
      <c r="H5030" s="25"/>
      <c r="BA5030" s="73" t="s">
        <v>355</v>
      </c>
      <c r="BB5030" s="48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357</v>
      </c>
      <c r="E5031" s="1" t="s">
        <v>132</v>
      </c>
      <c r="F5031" s="26">
        <v>7.1</v>
      </c>
      <c r="G5031" s="25" t="s">
        <v>293</v>
      </c>
      <c r="H5031" s="25"/>
      <c r="BA5031" s="73" t="s">
        <v>355</v>
      </c>
      <c r="BB5031" s="48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357</v>
      </c>
      <c r="E5032" s="1" t="s">
        <v>111</v>
      </c>
      <c r="F5032" s="26">
        <v>278</v>
      </c>
      <c r="G5032" s="25" t="s">
        <v>293</v>
      </c>
      <c r="H5032" s="25"/>
      <c r="BA5032" s="73" t="s">
        <v>355</v>
      </c>
      <c r="BB5032" s="48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357</v>
      </c>
      <c r="E5033" s="1" t="s">
        <v>345</v>
      </c>
      <c r="F5033" s="26">
        <v>9.77</v>
      </c>
      <c r="G5033" s="25" t="s">
        <v>293</v>
      </c>
      <c r="H5033" s="25"/>
      <c r="BA5033" s="73" t="s">
        <v>355</v>
      </c>
      <c r="BB5033" s="48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357</v>
      </c>
      <c r="E5034" s="1" t="s">
        <v>347</v>
      </c>
      <c r="F5034" s="26">
        <v>4.58</v>
      </c>
      <c r="G5034" s="25" t="s">
        <v>293</v>
      </c>
      <c r="H5034" s="25"/>
      <c r="BA5034" s="73" t="s">
        <v>355</v>
      </c>
      <c r="BB5034" s="48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357</v>
      </c>
      <c r="E5035" s="1" t="s">
        <v>128</v>
      </c>
      <c r="F5035" s="26">
        <v>4.5</v>
      </c>
      <c r="G5035" s="25" t="s">
        <v>293</v>
      </c>
      <c r="H5035" s="25"/>
      <c r="BA5035" s="73" t="s">
        <v>355</v>
      </c>
      <c r="BB5035" s="48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357</v>
      </c>
      <c r="E5036" s="1" t="s">
        <v>121</v>
      </c>
      <c r="F5036" s="26">
        <v>80</v>
      </c>
      <c r="G5036" s="25" t="s">
        <v>293</v>
      </c>
      <c r="H5036" s="25"/>
      <c r="BA5036" s="73" t="s">
        <v>355</v>
      </c>
      <c r="BB5036" s="48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357</v>
      </c>
      <c r="E5037" s="1" t="s">
        <v>115</v>
      </c>
      <c r="F5037" s="26">
        <v>97</v>
      </c>
      <c r="G5037" s="25" t="s">
        <v>293</v>
      </c>
      <c r="H5037" s="25"/>
      <c r="BA5037" s="73" t="s">
        <v>355</v>
      </c>
      <c r="BB5037" s="48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357</v>
      </c>
      <c r="E5038" s="1" t="s">
        <v>137</v>
      </c>
      <c r="F5038" s="26">
        <v>484</v>
      </c>
      <c r="G5038" s="25" t="s">
        <v>293</v>
      </c>
      <c r="H5038" s="25"/>
      <c r="BA5038" s="73" t="s">
        <v>355</v>
      </c>
      <c r="BB5038" s="48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357</v>
      </c>
      <c r="E5039" s="1" t="s">
        <v>348</v>
      </c>
      <c r="F5039" s="26">
        <v>430</v>
      </c>
      <c r="G5039" s="25" t="s">
        <v>293</v>
      </c>
      <c r="H5039" s="25"/>
      <c r="BA5039" s="73" t="s">
        <v>355</v>
      </c>
      <c r="BB5039" s="48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357</v>
      </c>
      <c r="E5040" s="1" t="s">
        <v>125</v>
      </c>
      <c r="F5040" s="26">
        <v>410</v>
      </c>
      <c r="G5040" s="25" t="s">
        <v>293</v>
      </c>
      <c r="H5040" s="25"/>
      <c r="BA5040" s="73" t="s">
        <v>355</v>
      </c>
      <c r="BB5040" s="48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357</v>
      </c>
      <c r="E5041" s="1" t="s">
        <v>126</v>
      </c>
      <c r="F5041" s="26">
        <v>152</v>
      </c>
      <c r="G5041" s="25" t="s">
        <v>293</v>
      </c>
      <c r="H5041" s="25"/>
      <c r="BA5041" s="73" t="s">
        <v>355</v>
      </c>
      <c r="BB5041" s="48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357</v>
      </c>
      <c r="E5042" s="1" t="s">
        <v>349</v>
      </c>
      <c r="F5042" s="26">
        <v>361</v>
      </c>
      <c r="G5042" s="25" t="s">
        <v>293</v>
      </c>
      <c r="H5042" s="25"/>
      <c r="BA5042" s="73" t="s">
        <v>355</v>
      </c>
      <c r="BB5042" s="48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357</v>
      </c>
      <c r="E5043" s="1" t="s">
        <v>350</v>
      </c>
      <c r="F5043" s="26">
        <v>83</v>
      </c>
      <c r="G5043" s="25" t="s">
        <v>293</v>
      </c>
      <c r="H5043" s="25"/>
      <c r="BA5043" s="73" t="s">
        <v>355</v>
      </c>
      <c r="BB5043" s="48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357</v>
      </c>
      <c r="E5044" s="1" t="s">
        <v>122</v>
      </c>
      <c r="F5044" s="26">
        <v>219</v>
      </c>
      <c r="G5044" s="25" t="s">
        <v>293</v>
      </c>
      <c r="H5044" s="25"/>
      <c r="BA5044" s="73" t="s">
        <v>355</v>
      </c>
      <c r="BB5044" s="48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357</v>
      </c>
      <c r="E5045" s="1" t="s">
        <v>124</v>
      </c>
      <c r="F5045" s="26">
        <v>106</v>
      </c>
      <c r="G5045" s="25" t="s">
        <v>293</v>
      </c>
      <c r="H5045" s="25"/>
      <c r="BA5045" s="73" t="s">
        <v>355</v>
      </c>
      <c r="BB5045" s="48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357</v>
      </c>
      <c r="E5046" s="1" t="s">
        <v>351</v>
      </c>
      <c r="F5046" s="26">
        <v>3.54</v>
      </c>
      <c r="G5046" s="25" t="s">
        <v>293</v>
      </c>
      <c r="H5046" s="25"/>
      <c r="BA5046" s="73" t="s">
        <v>355</v>
      </c>
      <c r="BB5046" s="48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357</v>
      </c>
      <c r="E5047" s="1" t="s">
        <v>353</v>
      </c>
      <c r="F5047" s="26">
        <v>17.5</v>
      </c>
      <c r="G5047" s="25" t="s">
        <v>293</v>
      </c>
      <c r="H5047" s="25"/>
      <c r="BA5047" s="73" t="s">
        <v>355</v>
      </c>
      <c r="BB5047" s="48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357</v>
      </c>
      <c r="E5048" s="1" t="s">
        <v>133</v>
      </c>
      <c r="F5048" s="26">
        <v>127</v>
      </c>
      <c r="G5048" s="25" t="s">
        <v>293</v>
      </c>
      <c r="H5048" s="25"/>
      <c r="BA5048" s="73" t="s">
        <v>355</v>
      </c>
      <c r="BB5048" s="48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357</v>
      </c>
      <c r="E5049" s="1" t="s">
        <v>135</v>
      </c>
      <c r="F5049" s="26">
        <v>6.5</v>
      </c>
      <c r="G5049" s="25" t="s">
        <v>293</v>
      </c>
      <c r="H5049" s="25"/>
      <c r="BA5049" s="73" t="s">
        <v>355</v>
      </c>
      <c r="BB5049" s="48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357</v>
      </c>
      <c r="E5050" s="1" t="s">
        <v>136</v>
      </c>
      <c r="F5050" s="26">
        <v>96</v>
      </c>
      <c r="G5050" s="25" t="s">
        <v>293</v>
      </c>
      <c r="H5050" s="25"/>
      <c r="BA5050" s="73" t="s">
        <v>355</v>
      </c>
      <c r="BB5050" s="48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357</v>
      </c>
      <c r="E5051" s="1" t="s">
        <v>339</v>
      </c>
      <c r="F5051" s="26">
        <v>1.19</v>
      </c>
      <c r="G5051" s="25" t="s">
        <v>293</v>
      </c>
      <c r="H5051" s="25"/>
      <c r="BA5051" s="73" t="s">
        <v>355</v>
      </c>
      <c r="BB5051" s="48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357</v>
      </c>
      <c r="E5052" s="1" t="s">
        <v>118</v>
      </c>
      <c r="F5052" s="26">
        <v>9.4</v>
      </c>
      <c r="G5052" s="25" t="s">
        <v>293</v>
      </c>
      <c r="H5052" s="25"/>
      <c r="BA5052" s="73" t="s">
        <v>355</v>
      </c>
      <c r="BB5052" s="48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357</v>
      </c>
      <c r="E5053" s="1" t="s">
        <v>130</v>
      </c>
      <c r="F5053" s="26">
        <v>2.52</v>
      </c>
      <c r="G5053" s="25" t="s">
        <v>293</v>
      </c>
      <c r="H5053" s="25"/>
      <c r="BA5053" s="73" t="s">
        <v>355</v>
      </c>
      <c r="BB5053" s="48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357</v>
      </c>
      <c r="E5054" s="1" t="s">
        <v>341</v>
      </c>
      <c r="F5054" s="26">
        <v>1.2310000000000001</v>
      </c>
      <c r="G5054" s="25" t="s">
        <v>293</v>
      </c>
      <c r="H5054" s="25"/>
      <c r="BA5054" s="73" t="s">
        <v>355</v>
      </c>
      <c r="BB5054" s="48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357</v>
      </c>
      <c r="E5055" s="1" t="s">
        <v>127</v>
      </c>
      <c r="F5055" s="26">
        <v>4.673</v>
      </c>
      <c r="G5055" s="25" t="s">
        <v>293</v>
      </c>
      <c r="H5055" s="25"/>
      <c r="BA5055" s="73" t="s">
        <v>355</v>
      </c>
      <c r="BB5055" s="48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357</v>
      </c>
      <c r="E5056" s="1" t="s">
        <v>131</v>
      </c>
      <c r="F5056" s="26">
        <v>12</v>
      </c>
      <c r="G5056" s="25" t="s">
        <v>293</v>
      </c>
      <c r="H5056" s="25"/>
      <c r="BA5056" s="73" t="s">
        <v>355</v>
      </c>
      <c r="BB5056" s="48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357</v>
      </c>
      <c r="E5057" s="1" t="s">
        <v>342</v>
      </c>
      <c r="F5057" s="26">
        <v>202</v>
      </c>
      <c r="G5057" s="25" t="s">
        <v>293</v>
      </c>
      <c r="H5057" s="25"/>
      <c r="BA5057" s="73" t="s">
        <v>355</v>
      </c>
      <c r="BB5057" s="48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357</v>
      </c>
      <c r="E5058" s="1" t="s">
        <v>119</v>
      </c>
      <c r="F5058" s="26">
        <v>89</v>
      </c>
      <c r="G5058" s="25" t="s">
        <v>293</v>
      </c>
      <c r="H5058" s="25"/>
      <c r="BA5058" s="73" t="s">
        <v>355</v>
      </c>
      <c r="BB5058" s="48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357</v>
      </c>
      <c r="E5059" s="1" t="s">
        <v>120</v>
      </c>
      <c r="F5059" s="26">
        <v>27</v>
      </c>
      <c r="G5059" s="25" t="s">
        <v>293</v>
      </c>
      <c r="H5059" s="25"/>
      <c r="BA5059" s="73" t="s">
        <v>355</v>
      </c>
      <c r="BB5059" s="48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357</v>
      </c>
      <c r="E5060" s="1" t="s">
        <v>117</v>
      </c>
      <c r="F5060" s="26">
        <v>6.23</v>
      </c>
      <c r="G5060" s="25" t="s">
        <v>293</v>
      </c>
      <c r="H5060" s="25"/>
      <c r="BA5060" s="73" t="s">
        <v>355</v>
      </c>
      <c r="BB5060" s="48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357</v>
      </c>
      <c r="E5061" s="1" t="s">
        <v>344</v>
      </c>
      <c r="F5061" s="26">
        <v>69</v>
      </c>
      <c r="G5061" s="25" t="s">
        <v>293</v>
      </c>
      <c r="H5061" s="25"/>
      <c r="BA5061" s="73" t="s">
        <v>355</v>
      </c>
      <c r="BB5061" s="48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357</v>
      </c>
      <c r="E5062" s="1" t="s">
        <v>132</v>
      </c>
      <c r="F5062" s="26">
        <v>7.17</v>
      </c>
      <c r="G5062" s="25" t="s">
        <v>293</v>
      </c>
      <c r="H5062" s="25"/>
      <c r="BA5062" s="73" t="s">
        <v>355</v>
      </c>
      <c r="BB5062" s="48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357</v>
      </c>
      <c r="E5063" s="1" t="s">
        <v>111</v>
      </c>
      <c r="F5063" s="26">
        <v>281</v>
      </c>
      <c r="G5063" s="25" t="s">
        <v>293</v>
      </c>
      <c r="H5063" s="25"/>
      <c r="BA5063" s="73" t="s">
        <v>355</v>
      </c>
      <c r="BB5063" s="48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357</v>
      </c>
      <c r="E5064" s="1" t="s">
        <v>345</v>
      </c>
      <c r="F5064" s="26">
        <v>10.06</v>
      </c>
      <c r="G5064" s="25" t="s">
        <v>293</v>
      </c>
      <c r="H5064" s="25"/>
      <c r="BA5064" s="73" t="s">
        <v>355</v>
      </c>
      <c r="BB5064" s="48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357</v>
      </c>
      <c r="E5065" s="1" t="s">
        <v>347</v>
      </c>
      <c r="F5065" s="26">
        <v>4.71</v>
      </c>
      <c r="G5065" s="25" t="s">
        <v>293</v>
      </c>
      <c r="H5065" s="25"/>
      <c r="BA5065" s="73" t="s">
        <v>355</v>
      </c>
      <c r="BB5065" s="48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357</v>
      </c>
      <c r="E5066" s="1" t="s">
        <v>128</v>
      </c>
      <c r="F5066" s="26">
        <v>4.5</v>
      </c>
      <c r="G5066" s="25" t="s">
        <v>293</v>
      </c>
      <c r="H5066" s="25"/>
      <c r="BA5066" s="73" t="s">
        <v>355</v>
      </c>
      <c r="BB5066" s="48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357</v>
      </c>
      <c r="E5067" s="1" t="s">
        <v>121</v>
      </c>
      <c r="F5067" s="26">
        <v>80</v>
      </c>
      <c r="G5067" s="25" t="s">
        <v>293</v>
      </c>
      <c r="H5067" s="25"/>
      <c r="BA5067" s="73" t="s">
        <v>355</v>
      </c>
      <c r="BB5067" s="48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357</v>
      </c>
      <c r="E5068" s="1" t="s">
        <v>115</v>
      </c>
      <c r="F5068" s="26">
        <v>95</v>
      </c>
      <c r="G5068" s="25" t="s">
        <v>293</v>
      </c>
      <c r="H5068" s="25"/>
      <c r="BA5068" s="73" t="s">
        <v>355</v>
      </c>
      <c r="BB5068" s="48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357</v>
      </c>
      <c r="E5069" s="1" t="s">
        <v>137</v>
      </c>
      <c r="F5069" s="26">
        <v>484</v>
      </c>
      <c r="G5069" s="25" t="s">
        <v>293</v>
      </c>
      <c r="H5069" s="25"/>
      <c r="BA5069" s="73" t="s">
        <v>355</v>
      </c>
      <c r="BB5069" s="48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357</v>
      </c>
      <c r="E5070" s="1" t="s">
        <v>348</v>
      </c>
      <c r="F5070" s="26">
        <v>432</v>
      </c>
      <c r="G5070" s="25" t="s">
        <v>293</v>
      </c>
      <c r="H5070" s="25"/>
      <c r="BA5070" s="73" t="s">
        <v>355</v>
      </c>
      <c r="BB5070" s="48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357</v>
      </c>
      <c r="E5071" s="1" t="s">
        <v>125</v>
      </c>
      <c r="F5071" s="26">
        <v>424</v>
      </c>
      <c r="G5071" s="25" t="s">
        <v>293</v>
      </c>
      <c r="H5071" s="25"/>
      <c r="BA5071" s="73" t="s">
        <v>355</v>
      </c>
      <c r="BB5071" s="48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357</v>
      </c>
      <c r="E5072" s="1" t="s">
        <v>126</v>
      </c>
      <c r="F5072" s="26">
        <v>153</v>
      </c>
      <c r="G5072" s="25" t="s">
        <v>293</v>
      </c>
      <c r="H5072" s="25"/>
      <c r="BA5072" s="73" t="s">
        <v>355</v>
      </c>
      <c r="BB5072" s="48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357</v>
      </c>
      <c r="E5073" s="1" t="s">
        <v>349</v>
      </c>
      <c r="F5073" s="26">
        <v>380</v>
      </c>
      <c r="G5073" s="25" t="s">
        <v>293</v>
      </c>
      <c r="H5073" s="25"/>
      <c r="BA5073" s="73" t="s">
        <v>355</v>
      </c>
      <c r="BB5073" s="48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357</v>
      </c>
      <c r="E5074" s="1" t="s">
        <v>350</v>
      </c>
      <c r="F5074" s="26">
        <v>83</v>
      </c>
      <c r="G5074" s="25" t="s">
        <v>293</v>
      </c>
      <c r="H5074" s="25"/>
      <c r="BA5074" s="73" t="s">
        <v>355</v>
      </c>
      <c r="BB5074" s="48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357</v>
      </c>
      <c r="E5075" s="1" t="s">
        <v>122</v>
      </c>
      <c r="F5075" s="26">
        <v>212</v>
      </c>
      <c r="G5075" s="25" t="s">
        <v>293</v>
      </c>
      <c r="H5075" s="25"/>
      <c r="BA5075" s="73" t="s">
        <v>355</v>
      </c>
      <c r="BB5075" s="48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357</v>
      </c>
      <c r="E5076" s="1" t="s">
        <v>124</v>
      </c>
      <c r="F5076" s="26">
        <v>103</v>
      </c>
      <c r="G5076" s="25" t="s">
        <v>293</v>
      </c>
      <c r="H5076" s="25"/>
      <c r="BA5076" s="73" t="s">
        <v>355</v>
      </c>
      <c r="BB5076" s="48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357</v>
      </c>
      <c r="E5077" s="1" t="s">
        <v>351</v>
      </c>
      <c r="F5077" s="26">
        <v>3.46</v>
      </c>
      <c r="G5077" s="25" t="s">
        <v>293</v>
      </c>
      <c r="H5077" s="25"/>
      <c r="BA5077" s="73" t="s">
        <v>355</v>
      </c>
      <c r="BB5077" s="48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357</v>
      </c>
      <c r="E5078" s="1" t="s">
        <v>353</v>
      </c>
      <c r="F5078" s="26">
        <v>20.5</v>
      </c>
      <c r="G5078" s="25" t="s">
        <v>293</v>
      </c>
      <c r="H5078" s="25"/>
      <c r="BA5078" s="73" t="s">
        <v>355</v>
      </c>
      <c r="BB5078" s="48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357</v>
      </c>
      <c r="E5079" s="1" t="s">
        <v>133</v>
      </c>
      <c r="F5079" s="26">
        <v>128</v>
      </c>
      <c r="G5079" s="25" t="s">
        <v>293</v>
      </c>
      <c r="H5079" s="25"/>
      <c r="BA5079" s="73" t="s">
        <v>355</v>
      </c>
      <c r="BB5079" s="48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357</v>
      </c>
      <c r="E5080" s="1" t="s">
        <v>135</v>
      </c>
      <c r="F5080" s="26">
        <v>6.6</v>
      </c>
      <c r="G5080" s="25" t="s">
        <v>293</v>
      </c>
      <c r="H5080" s="25"/>
      <c r="BA5080" s="73" t="s">
        <v>355</v>
      </c>
      <c r="BB5080" s="48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357</v>
      </c>
      <c r="E5081" s="1" t="s">
        <v>136</v>
      </c>
      <c r="F5081" s="26">
        <v>94</v>
      </c>
      <c r="G5081" s="25" t="s">
        <v>293</v>
      </c>
      <c r="H5081" s="25"/>
      <c r="BA5081" s="73" t="s">
        <v>355</v>
      </c>
      <c r="BB5081" s="48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357</v>
      </c>
      <c r="E5082" s="1" t="s">
        <v>339</v>
      </c>
      <c r="F5082" s="26">
        <v>1.1100000000000001</v>
      </c>
      <c r="G5082" s="25" t="s">
        <v>293</v>
      </c>
      <c r="H5082" s="25"/>
      <c r="BA5082" s="73" t="s">
        <v>355</v>
      </c>
      <c r="BB5082" s="48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357</v>
      </c>
      <c r="E5083" s="1" t="s">
        <v>118</v>
      </c>
      <c r="F5083" s="26">
        <v>9.6</v>
      </c>
      <c r="G5083" s="25" t="s">
        <v>293</v>
      </c>
      <c r="H5083" s="25"/>
      <c r="BA5083" s="73" t="s">
        <v>355</v>
      </c>
      <c r="BB5083" s="48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357</v>
      </c>
      <c r="E5084" s="1" t="s">
        <v>130</v>
      </c>
      <c r="F5084" s="26">
        <v>2.5299999999999998</v>
      </c>
      <c r="G5084" s="25" t="s">
        <v>293</v>
      </c>
      <c r="H5084" s="25"/>
      <c r="BA5084" s="73" t="s">
        <v>355</v>
      </c>
      <c r="BB5084" s="48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357</v>
      </c>
      <c r="E5085" s="1" t="s">
        <v>341</v>
      </c>
      <c r="F5085" s="26">
        <v>1.2050000000000001</v>
      </c>
      <c r="G5085" s="25" t="s">
        <v>293</v>
      </c>
      <c r="H5085" s="25"/>
      <c r="BA5085" s="73" t="s">
        <v>355</v>
      </c>
      <c r="BB5085" s="48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357</v>
      </c>
      <c r="E5086" s="1" t="s">
        <v>127</v>
      </c>
      <c r="F5086" s="26">
        <v>4.6150000000000002</v>
      </c>
      <c r="G5086" s="25" t="s">
        <v>293</v>
      </c>
      <c r="H5086" s="25"/>
      <c r="BA5086" s="73" t="s">
        <v>355</v>
      </c>
      <c r="BB5086" s="48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357</v>
      </c>
      <c r="E5087" s="1" t="s">
        <v>131</v>
      </c>
      <c r="F5087" s="26">
        <v>12</v>
      </c>
      <c r="G5087" s="25" t="s">
        <v>293</v>
      </c>
      <c r="H5087" s="25"/>
      <c r="BA5087" s="73" t="s">
        <v>355</v>
      </c>
      <c r="BB5087" s="48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357</v>
      </c>
      <c r="E5088" s="1" t="s">
        <v>342</v>
      </c>
      <c r="F5088" s="26">
        <v>196</v>
      </c>
      <c r="G5088" s="25" t="s">
        <v>293</v>
      </c>
      <c r="H5088" s="25"/>
      <c r="BA5088" s="73" t="s">
        <v>355</v>
      </c>
      <c r="BB5088" s="48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357</v>
      </c>
      <c r="E5089" s="1" t="s">
        <v>119</v>
      </c>
      <c r="F5089" s="26">
        <v>95</v>
      </c>
      <c r="G5089" s="25" t="s">
        <v>293</v>
      </c>
      <c r="H5089" s="25"/>
      <c r="BA5089" s="73" t="s">
        <v>355</v>
      </c>
      <c r="BB5089" s="48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357</v>
      </c>
      <c r="E5090" s="1" t="s">
        <v>120</v>
      </c>
      <c r="F5090" s="26">
        <v>28</v>
      </c>
      <c r="G5090" s="25" t="s">
        <v>293</v>
      </c>
      <c r="H5090" s="25"/>
      <c r="BA5090" s="73" t="s">
        <v>355</v>
      </c>
      <c r="BB5090" s="48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357</v>
      </c>
      <c r="E5091" s="1" t="s">
        <v>117</v>
      </c>
      <c r="F5091" s="26">
        <v>6.27</v>
      </c>
      <c r="G5091" s="25" t="s">
        <v>293</v>
      </c>
      <c r="H5091" s="25"/>
      <c r="BA5091" s="73" t="s">
        <v>355</v>
      </c>
      <c r="BB5091" s="48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357</v>
      </c>
      <c r="E5092" s="1" t="s">
        <v>344</v>
      </c>
      <c r="F5092" s="26">
        <v>71</v>
      </c>
      <c r="G5092" s="25" t="s">
        <v>293</v>
      </c>
      <c r="H5092" s="25"/>
      <c r="BA5092" s="73" t="s">
        <v>355</v>
      </c>
      <c r="BB5092" s="48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357</v>
      </c>
      <c r="E5093" s="1" t="s">
        <v>132</v>
      </c>
      <c r="F5093" s="26">
        <v>7.25</v>
      </c>
      <c r="G5093" s="25" t="s">
        <v>293</v>
      </c>
      <c r="H5093" s="25"/>
      <c r="BA5093" s="73" t="s">
        <v>355</v>
      </c>
      <c r="BB5093" s="48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357</v>
      </c>
      <c r="E5094" s="1" t="s">
        <v>111</v>
      </c>
      <c r="F5094" s="26">
        <v>283</v>
      </c>
      <c r="G5094" s="25" t="s">
        <v>293</v>
      </c>
      <c r="H5094" s="25"/>
      <c r="BA5094" s="73" t="s">
        <v>355</v>
      </c>
      <c r="BB5094" s="48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357</v>
      </c>
      <c r="E5095" s="1" t="s">
        <v>345</v>
      </c>
      <c r="F5095" s="26">
        <v>9.8699999999999992</v>
      </c>
      <c r="G5095" s="25" t="s">
        <v>293</v>
      </c>
      <c r="H5095" s="25"/>
      <c r="BA5095" s="73" t="s">
        <v>355</v>
      </c>
      <c r="BB5095" s="48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357</v>
      </c>
      <c r="E5096" s="1" t="s">
        <v>347</v>
      </c>
      <c r="F5096" s="26">
        <v>4.5999999999999996</v>
      </c>
      <c r="G5096" s="25" t="s">
        <v>293</v>
      </c>
      <c r="H5096" s="25"/>
      <c r="BA5096" s="73" t="s">
        <v>355</v>
      </c>
      <c r="BB5096" s="48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357</v>
      </c>
      <c r="E5097" s="1" t="s">
        <v>128</v>
      </c>
      <c r="F5097" s="26">
        <v>4.5999999999999996</v>
      </c>
      <c r="G5097" s="25" t="s">
        <v>293</v>
      </c>
      <c r="H5097" s="25"/>
      <c r="BA5097" s="73" t="s">
        <v>355</v>
      </c>
      <c r="BB5097" s="48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357</v>
      </c>
      <c r="E5098" s="1" t="s">
        <v>121</v>
      </c>
      <c r="F5098" s="26">
        <v>83</v>
      </c>
      <c r="G5098" s="25" t="s">
        <v>293</v>
      </c>
      <c r="H5098" s="25"/>
      <c r="BA5098" s="73" t="s">
        <v>355</v>
      </c>
      <c r="BB5098" s="48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357</v>
      </c>
      <c r="E5099" s="1" t="s">
        <v>115</v>
      </c>
      <c r="F5099" s="26">
        <v>95</v>
      </c>
      <c r="G5099" s="25" t="s">
        <v>293</v>
      </c>
      <c r="H5099" s="25"/>
      <c r="BA5099" s="73" t="s">
        <v>355</v>
      </c>
      <c r="BB5099" s="48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357</v>
      </c>
      <c r="E5100" s="1" t="s">
        <v>137</v>
      </c>
      <c r="F5100" s="26">
        <v>478</v>
      </c>
      <c r="G5100" s="25" t="s">
        <v>293</v>
      </c>
      <c r="H5100" s="25"/>
      <c r="BA5100" s="73" t="s">
        <v>355</v>
      </c>
      <c r="BB5100" s="48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357</v>
      </c>
      <c r="E5101" s="1" t="s">
        <v>348</v>
      </c>
      <c r="F5101" s="26">
        <v>435</v>
      </c>
      <c r="G5101" s="25" t="s">
        <v>293</v>
      </c>
      <c r="H5101" s="25"/>
      <c r="BA5101" s="73" t="s">
        <v>355</v>
      </c>
      <c r="BB5101" s="48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357</v>
      </c>
      <c r="E5102" s="1" t="s">
        <v>125</v>
      </c>
      <c r="F5102" s="26">
        <v>426</v>
      </c>
      <c r="G5102" s="25" t="s">
        <v>293</v>
      </c>
      <c r="H5102" s="25"/>
      <c r="BA5102" s="73" t="s">
        <v>355</v>
      </c>
      <c r="BB5102" s="48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357</v>
      </c>
      <c r="E5103" s="1" t="s">
        <v>126</v>
      </c>
      <c r="F5103" s="26">
        <v>154</v>
      </c>
      <c r="G5103" s="25" t="s">
        <v>293</v>
      </c>
      <c r="H5103" s="25"/>
      <c r="BA5103" s="73" t="s">
        <v>355</v>
      </c>
      <c r="BB5103" s="48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357</v>
      </c>
      <c r="E5104" s="1" t="s">
        <v>349</v>
      </c>
      <c r="F5104" s="26">
        <v>352</v>
      </c>
      <c r="G5104" s="25" t="s">
        <v>293</v>
      </c>
      <c r="H5104" s="25"/>
      <c r="BA5104" s="73" t="s">
        <v>355</v>
      </c>
      <c r="BB5104" s="48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357</v>
      </c>
      <c r="E5105" s="1" t="s">
        <v>350</v>
      </c>
      <c r="F5105" s="26">
        <v>83</v>
      </c>
      <c r="G5105" s="25" t="s">
        <v>293</v>
      </c>
      <c r="H5105" s="25"/>
      <c r="BA5105" s="73" t="s">
        <v>355</v>
      </c>
      <c r="BB5105" s="48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357</v>
      </c>
      <c r="E5106" s="1" t="s">
        <v>122</v>
      </c>
      <c r="F5106" s="26">
        <v>213</v>
      </c>
      <c r="G5106" s="25" t="s">
        <v>293</v>
      </c>
      <c r="H5106" s="25"/>
      <c r="BA5106" s="73" t="s">
        <v>355</v>
      </c>
      <c r="BB5106" s="48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357</v>
      </c>
      <c r="E5107" s="1" t="s">
        <v>124</v>
      </c>
      <c r="F5107" s="26">
        <v>102</v>
      </c>
      <c r="G5107" s="25" t="s">
        <v>293</v>
      </c>
      <c r="H5107" s="25"/>
      <c r="BA5107" s="73" t="s">
        <v>355</v>
      </c>
      <c r="BB5107" s="48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357</v>
      </c>
      <c r="E5108" s="1" t="s">
        <v>351</v>
      </c>
      <c r="F5108" s="26">
        <v>3.51</v>
      </c>
      <c r="G5108" s="25" t="s">
        <v>293</v>
      </c>
      <c r="H5108" s="25"/>
      <c r="BA5108" s="73" t="s">
        <v>355</v>
      </c>
      <c r="BB5108" s="48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357</v>
      </c>
      <c r="E5109" s="1" t="s">
        <v>353</v>
      </c>
      <c r="F5109" s="26">
        <v>18.7</v>
      </c>
      <c r="G5109" s="25" t="s">
        <v>293</v>
      </c>
      <c r="H5109" s="25"/>
      <c r="BA5109" s="73" t="s">
        <v>355</v>
      </c>
      <c r="BB5109" s="48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357</v>
      </c>
      <c r="E5110" s="1" t="s">
        <v>133</v>
      </c>
      <c r="F5110" s="26">
        <v>127</v>
      </c>
      <c r="G5110" s="25" t="s">
        <v>293</v>
      </c>
      <c r="H5110" s="25"/>
      <c r="BA5110" s="73" t="s">
        <v>355</v>
      </c>
      <c r="BB5110" s="48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357</v>
      </c>
      <c r="E5111" s="1" t="s">
        <v>135</v>
      </c>
      <c r="F5111" s="26">
        <v>6.5</v>
      </c>
      <c r="G5111" s="25" t="s">
        <v>293</v>
      </c>
      <c r="H5111" s="25"/>
      <c r="BA5111" s="73" t="s">
        <v>355</v>
      </c>
      <c r="BB5111" s="48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357</v>
      </c>
      <c r="E5112" s="1" t="s">
        <v>136</v>
      </c>
      <c r="F5112" s="26">
        <v>94</v>
      </c>
      <c r="G5112" s="25" t="s">
        <v>293</v>
      </c>
      <c r="H5112" s="25"/>
      <c r="BA5112" s="73" t="s">
        <v>355</v>
      </c>
      <c r="BB5112" s="48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357</v>
      </c>
      <c r="E5113" s="1" t="s">
        <v>339</v>
      </c>
      <c r="F5113" s="26">
        <v>1.31</v>
      </c>
      <c r="G5113" s="25" t="s">
        <v>293</v>
      </c>
      <c r="H5113" s="25"/>
      <c r="BA5113" s="73" t="s">
        <v>355</v>
      </c>
      <c r="BB5113" s="48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357</v>
      </c>
      <c r="E5114" s="1" t="s">
        <v>118</v>
      </c>
      <c r="F5114" s="26">
        <v>9.1999999999999993</v>
      </c>
      <c r="G5114" s="25" t="s">
        <v>293</v>
      </c>
      <c r="H5114" s="25"/>
      <c r="BA5114" s="73" t="s">
        <v>355</v>
      </c>
      <c r="BB5114" s="48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357</v>
      </c>
      <c r="E5115" s="1" t="s">
        <v>130</v>
      </c>
      <c r="F5115" s="26">
        <v>2.56</v>
      </c>
      <c r="G5115" s="25" t="s">
        <v>293</v>
      </c>
      <c r="H5115" s="25"/>
      <c r="BA5115" s="73" t="s">
        <v>355</v>
      </c>
      <c r="BB5115" s="48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357</v>
      </c>
      <c r="E5116" s="1" t="s">
        <v>341</v>
      </c>
      <c r="F5116" s="26">
        <v>1.2070000000000001</v>
      </c>
      <c r="G5116" s="25" t="s">
        <v>293</v>
      </c>
      <c r="H5116" s="25"/>
      <c r="BA5116" s="73" t="s">
        <v>355</v>
      </c>
      <c r="BB5116" s="48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357</v>
      </c>
      <c r="E5117" s="1" t="s">
        <v>127</v>
      </c>
      <c r="F5117" s="26">
        <v>4.6630000000000003</v>
      </c>
      <c r="G5117" s="25" t="s">
        <v>293</v>
      </c>
      <c r="H5117" s="25"/>
      <c r="BA5117" s="73" t="s">
        <v>355</v>
      </c>
      <c r="BB5117" s="48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357</v>
      </c>
      <c r="E5118" s="1" t="s">
        <v>131</v>
      </c>
      <c r="F5118" s="26">
        <v>11.9</v>
      </c>
      <c r="G5118" s="25" t="s">
        <v>293</v>
      </c>
      <c r="H5118" s="25"/>
      <c r="BA5118" s="73" t="s">
        <v>355</v>
      </c>
      <c r="BB5118" s="48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357</v>
      </c>
      <c r="E5119" s="1" t="s">
        <v>342</v>
      </c>
      <c r="F5119" s="26">
        <v>191</v>
      </c>
      <c r="G5119" s="25" t="s">
        <v>293</v>
      </c>
      <c r="H5119" s="25"/>
      <c r="BA5119" s="73" t="s">
        <v>355</v>
      </c>
      <c r="BB5119" s="48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357</v>
      </c>
      <c r="E5120" s="1" t="s">
        <v>119</v>
      </c>
      <c r="F5120" s="26">
        <v>94</v>
      </c>
      <c r="G5120" s="25" t="s">
        <v>293</v>
      </c>
      <c r="H5120" s="25"/>
      <c r="BA5120" s="73" t="s">
        <v>355</v>
      </c>
      <c r="BB5120" s="48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357</v>
      </c>
      <c r="E5121" s="1" t="s">
        <v>120</v>
      </c>
      <c r="F5121" s="26">
        <v>27</v>
      </c>
      <c r="G5121" s="25" t="s">
        <v>293</v>
      </c>
      <c r="H5121" s="25"/>
      <c r="BA5121" s="73" t="s">
        <v>355</v>
      </c>
      <c r="BB5121" s="48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357</v>
      </c>
      <c r="E5122" s="1" t="s">
        <v>117</v>
      </c>
      <c r="F5122" s="26">
        <v>6.48</v>
      </c>
      <c r="G5122" s="25" t="s">
        <v>293</v>
      </c>
      <c r="H5122" s="25"/>
      <c r="BA5122" s="73" t="s">
        <v>355</v>
      </c>
      <c r="BB5122" s="48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357</v>
      </c>
      <c r="E5123" s="1" t="s">
        <v>344</v>
      </c>
      <c r="F5123" s="26">
        <v>69</v>
      </c>
      <c r="G5123" s="25" t="s">
        <v>293</v>
      </c>
      <c r="H5123" s="25"/>
      <c r="BA5123" s="73" t="s">
        <v>355</v>
      </c>
      <c r="BB5123" s="48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357</v>
      </c>
      <c r="E5124" s="1" t="s">
        <v>132</v>
      </c>
      <c r="F5124" s="26">
        <v>7.22</v>
      </c>
      <c r="G5124" s="25" t="s">
        <v>293</v>
      </c>
      <c r="H5124" s="25"/>
      <c r="BA5124" s="73" t="s">
        <v>355</v>
      </c>
      <c r="BB5124" s="48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357</v>
      </c>
      <c r="E5125" s="1" t="s">
        <v>111</v>
      </c>
      <c r="F5125" s="26">
        <v>282</v>
      </c>
      <c r="G5125" s="25" t="s">
        <v>293</v>
      </c>
      <c r="H5125" s="25"/>
      <c r="BA5125" s="73" t="s">
        <v>355</v>
      </c>
      <c r="BB5125" s="48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357</v>
      </c>
      <c r="E5126" s="1" t="s">
        <v>345</v>
      </c>
      <c r="F5126" s="26">
        <v>9.49</v>
      </c>
      <c r="G5126" s="25" t="s">
        <v>293</v>
      </c>
      <c r="H5126" s="25"/>
      <c r="BA5126" s="73" t="s">
        <v>355</v>
      </c>
      <c r="BB5126" s="48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357</v>
      </c>
      <c r="E5127" s="1" t="s">
        <v>347</v>
      </c>
      <c r="F5127" s="26">
        <v>4.76</v>
      </c>
      <c r="G5127" s="25" t="s">
        <v>293</v>
      </c>
      <c r="H5127" s="25"/>
      <c r="BA5127" s="73" t="s">
        <v>355</v>
      </c>
      <c r="BB5127" s="48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357</v>
      </c>
      <c r="E5128" s="1" t="s">
        <v>128</v>
      </c>
      <c r="F5128" s="26">
        <v>4.4000000000000004</v>
      </c>
      <c r="G5128" s="25" t="s">
        <v>293</v>
      </c>
      <c r="H5128" s="25"/>
      <c r="BA5128" s="73" t="s">
        <v>355</v>
      </c>
      <c r="BB5128" s="48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357</v>
      </c>
      <c r="E5129" s="1" t="s">
        <v>121</v>
      </c>
      <c r="F5129" s="26">
        <v>77</v>
      </c>
      <c r="G5129" s="25" t="s">
        <v>293</v>
      </c>
      <c r="H5129" s="25"/>
      <c r="BA5129" s="73" t="s">
        <v>355</v>
      </c>
      <c r="BB5129" s="48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357</v>
      </c>
      <c r="E5130" s="1" t="s">
        <v>115</v>
      </c>
      <c r="F5130" s="26">
        <v>92</v>
      </c>
      <c r="G5130" s="25" t="s">
        <v>293</v>
      </c>
      <c r="H5130" s="25"/>
      <c r="BA5130" s="73" t="s">
        <v>355</v>
      </c>
      <c r="BB5130" s="48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357</v>
      </c>
      <c r="E5131" s="1" t="s">
        <v>137</v>
      </c>
      <c r="F5131" s="26">
        <v>485</v>
      </c>
      <c r="G5131" s="25" t="s">
        <v>293</v>
      </c>
      <c r="H5131" s="25"/>
      <c r="BA5131" s="73" t="s">
        <v>355</v>
      </c>
      <c r="BB5131" s="48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357</v>
      </c>
      <c r="E5132" s="1" t="s">
        <v>348</v>
      </c>
      <c r="F5132" s="26">
        <v>425</v>
      </c>
      <c r="G5132" s="25" t="s">
        <v>293</v>
      </c>
      <c r="H5132" s="25"/>
      <c r="BA5132" s="73" t="s">
        <v>355</v>
      </c>
      <c r="BB5132" s="48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357</v>
      </c>
      <c r="E5133" s="1" t="s">
        <v>125</v>
      </c>
      <c r="F5133" s="26">
        <v>429</v>
      </c>
      <c r="G5133" s="25" t="s">
        <v>293</v>
      </c>
      <c r="H5133" s="25"/>
      <c r="BA5133" s="73" t="s">
        <v>355</v>
      </c>
      <c r="BB5133" s="48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357</v>
      </c>
      <c r="E5134" s="1" t="s">
        <v>126</v>
      </c>
      <c r="F5134" s="26">
        <v>151</v>
      </c>
      <c r="G5134" s="25" t="s">
        <v>293</v>
      </c>
      <c r="H5134" s="25"/>
      <c r="BA5134" s="73" t="s">
        <v>355</v>
      </c>
      <c r="BB5134" s="48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357</v>
      </c>
      <c r="E5135" s="1" t="s">
        <v>349</v>
      </c>
      <c r="F5135" s="26">
        <v>357</v>
      </c>
      <c r="G5135" s="25" t="s">
        <v>293</v>
      </c>
      <c r="H5135" s="25"/>
      <c r="BA5135" s="73" t="s">
        <v>355</v>
      </c>
      <c r="BB5135" s="48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357</v>
      </c>
      <c r="E5136" s="1" t="s">
        <v>350</v>
      </c>
      <c r="F5136" s="26">
        <v>82</v>
      </c>
      <c r="G5136" s="25" t="s">
        <v>293</v>
      </c>
      <c r="H5136" s="25"/>
      <c r="BA5136" s="73" t="s">
        <v>355</v>
      </c>
      <c r="BB5136" s="48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357</v>
      </c>
      <c r="E5137" s="1" t="s">
        <v>122</v>
      </c>
      <c r="F5137" s="26">
        <v>215</v>
      </c>
      <c r="G5137" s="25" t="s">
        <v>293</v>
      </c>
      <c r="H5137" s="25"/>
      <c r="BA5137" s="73" t="s">
        <v>355</v>
      </c>
      <c r="BB5137" s="48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357</v>
      </c>
      <c r="E5138" s="1" t="s">
        <v>124</v>
      </c>
      <c r="F5138" s="26">
        <v>101</v>
      </c>
      <c r="G5138" s="25" t="s">
        <v>293</v>
      </c>
      <c r="H5138" s="25"/>
      <c r="BA5138" s="73" t="s">
        <v>355</v>
      </c>
      <c r="BB5138" s="48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357</v>
      </c>
      <c r="E5139" s="1" t="s">
        <v>351</v>
      </c>
      <c r="F5139" s="26">
        <v>3.4</v>
      </c>
      <c r="G5139" s="25" t="s">
        <v>293</v>
      </c>
      <c r="H5139" s="25"/>
      <c r="BA5139" s="73" t="s">
        <v>355</v>
      </c>
      <c r="BB5139" s="48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357</v>
      </c>
      <c r="E5140" s="1" t="s">
        <v>353</v>
      </c>
      <c r="F5140" s="26">
        <v>17</v>
      </c>
      <c r="G5140" s="25" t="s">
        <v>293</v>
      </c>
      <c r="H5140" s="25"/>
      <c r="BA5140" s="73" t="s">
        <v>355</v>
      </c>
      <c r="BB5140" s="48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357</v>
      </c>
      <c r="E5141" s="1" t="s">
        <v>133</v>
      </c>
      <c r="F5141" s="26">
        <v>127</v>
      </c>
      <c r="G5141" s="25" t="s">
        <v>293</v>
      </c>
      <c r="H5141" s="25"/>
      <c r="BA5141" s="73" t="s">
        <v>355</v>
      </c>
      <c r="BB5141" s="48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357</v>
      </c>
      <c r="E5142" s="1" t="s">
        <v>135</v>
      </c>
      <c r="F5142" s="26">
        <v>6.5</v>
      </c>
      <c r="G5142" s="25" t="s">
        <v>293</v>
      </c>
      <c r="H5142" s="25"/>
      <c r="BA5142" s="73" t="s">
        <v>355</v>
      </c>
      <c r="BB5142" s="48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357</v>
      </c>
      <c r="E5143" s="1" t="s">
        <v>136</v>
      </c>
      <c r="F5143" s="26">
        <v>94</v>
      </c>
      <c r="G5143" s="25" t="s">
        <v>293</v>
      </c>
      <c r="H5143" s="25"/>
      <c r="BA5143" s="73" t="s">
        <v>355</v>
      </c>
      <c r="BB5143" s="48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357</v>
      </c>
      <c r="E5144" s="1" t="s">
        <v>339</v>
      </c>
      <c r="F5144" s="26">
        <v>1.18</v>
      </c>
      <c r="G5144" s="25" t="s">
        <v>293</v>
      </c>
      <c r="H5144" s="25"/>
      <c r="BA5144" s="73" t="s">
        <v>355</v>
      </c>
      <c r="BB5144" s="48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357</v>
      </c>
      <c r="E5145" s="1" t="s">
        <v>118</v>
      </c>
      <c r="F5145" s="26">
        <v>9.5</v>
      </c>
      <c r="G5145" s="25" t="s">
        <v>293</v>
      </c>
      <c r="H5145" s="25"/>
      <c r="BA5145" s="73" t="s">
        <v>355</v>
      </c>
      <c r="BB5145" s="48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357</v>
      </c>
      <c r="E5146" s="1" t="s">
        <v>130</v>
      </c>
      <c r="F5146" s="26">
        <v>2.62</v>
      </c>
      <c r="G5146" s="25" t="s">
        <v>293</v>
      </c>
      <c r="H5146" s="25"/>
      <c r="BA5146" s="73" t="s">
        <v>355</v>
      </c>
      <c r="BB5146" s="48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357</v>
      </c>
      <c r="E5147" s="1" t="s">
        <v>341</v>
      </c>
      <c r="F5147" s="26">
        <v>1.2170000000000001</v>
      </c>
      <c r="G5147" s="25" t="s">
        <v>293</v>
      </c>
      <c r="H5147" s="25"/>
      <c r="BA5147" s="73" t="s">
        <v>355</v>
      </c>
      <c r="BB5147" s="48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357</v>
      </c>
      <c r="E5148" s="1" t="s">
        <v>127</v>
      </c>
      <c r="F5148" s="26">
        <v>4.6109999999999998</v>
      </c>
      <c r="G5148" s="25" t="s">
        <v>293</v>
      </c>
      <c r="H5148" s="25"/>
      <c r="BA5148" s="73" t="s">
        <v>355</v>
      </c>
      <c r="BB5148" s="48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357</v>
      </c>
      <c r="E5149" s="1" t="s">
        <v>131</v>
      </c>
      <c r="F5149" s="26">
        <v>11.9</v>
      </c>
      <c r="G5149" s="25" t="s">
        <v>293</v>
      </c>
      <c r="H5149" s="25"/>
      <c r="BA5149" s="73" t="s">
        <v>355</v>
      </c>
      <c r="BB5149" s="48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357</v>
      </c>
      <c r="E5150" s="1" t="s">
        <v>342</v>
      </c>
      <c r="F5150" s="26">
        <v>195</v>
      </c>
      <c r="G5150" s="25" t="s">
        <v>293</v>
      </c>
      <c r="H5150" s="25"/>
      <c r="BA5150" s="73" t="s">
        <v>355</v>
      </c>
      <c r="BB5150" s="48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357</v>
      </c>
      <c r="E5151" s="1" t="s">
        <v>119</v>
      </c>
      <c r="F5151" s="26">
        <v>93</v>
      </c>
      <c r="G5151" s="25" t="s">
        <v>293</v>
      </c>
      <c r="H5151" s="25"/>
      <c r="BA5151" s="73" t="s">
        <v>355</v>
      </c>
      <c r="BB5151" s="48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357</v>
      </c>
      <c r="E5152" s="1" t="s">
        <v>120</v>
      </c>
      <c r="F5152" s="26">
        <v>27</v>
      </c>
      <c r="G5152" s="25" t="s">
        <v>293</v>
      </c>
      <c r="H5152" s="25"/>
      <c r="BA5152" s="73" t="s">
        <v>355</v>
      </c>
      <c r="BB5152" s="48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357</v>
      </c>
      <c r="E5153" s="1" t="s">
        <v>117</v>
      </c>
      <c r="F5153" s="26">
        <v>6.21</v>
      </c>
      <c r="G5153" s="25" t="s">
        <v>293</v>
      </c>
      <c r="H5153" s="25"/>
      <c r="BA5153" s="73" t="s">
        <v>355</v>
      </c>
      <c r="BB5153" s="48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357</v>
      </c>
      <c r="E5154" s="1" t="s">
        <v>344</v>
      </c>
      <c r="F5154" s="26">
        <v>70</v>
      </c>
      <c r="G5154" s="25" t="s">
        <v>293</v>
      </c>
      <c r="H5154" s="25"/>
      <c r="BA5154" s="73" t="s">
        <v>355</v>
      </c>
      <c r="BB5154" s="48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357</v>
      </c>
      <c r="E5155" s="1" t="s">
        <v>132</v>
      </c>
      <c r="F5155" s="26">
        <v>7.26</v>
      </c>
      <c r="G5155" s="25" t="s">
        <v>293</v>
      </c>
      <c r="H5155" s="25"/>
      <c r="BA5155" s="73" t="s">
        <v>355</v>
      </c>
      <c r="BB5155" s="48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357</v>
      </c>
      <c r="E5156" s="1" t="s">
        <v>111</v>
      </c>
      <c r="F5156" s="26">
        <v>280</v>
      </c>
      <c r="G5156" s="25" t="s">
        <v>293</v>
      </c>
      <c r="H5156" s="25"/>
      <c r="BA5156" s="73" t="s">
        <v>355</v>
      </c>
      <c r="BB5156" s="48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357</v>
      </c>
      <c r="E5157" s="1" t="s">
        <v>345</v>
      </c>
      <c r="F5157" s="26">
        <v>9.49</v>
      </c>
      <c r="G5157" s="25" t="s">
        <v>293</v>
      </c>
      <c r="H5157" s="25"/>
      <c r="BA5157" s="73" t="s">
        <v>355</v>
      </c>
      <c r="BB5157" s="48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357</v>
      </c>
      <c r="E5158" s="1" t="s">
        <v>347</v>
      </c>
      <c r="F5158" s="26">
        <v>4.6100000000000003</v>
      </c>
      <c r="G5158" s="25" t="s">
        <v>293</v>
      </c>
      <c r="H5158" s="25"/>
      <c r="BA5158" s="73" t="s">
        <v>355</v>
      </c>
      <c r="BB5158" s="48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357</v>
      </c>
      <c r="E5159" s="1" t="s">
        <v>128</v>
      </c>
      <c r="F5159" s="26">
        <v>4.5</v>
      </c>
      <c r="G5159" s="25" t="s">
        <v>293</v>
      </c>
      <c r="H5159" s="25"/>
      <c r="BA5159" s="73" t="s">
        <v>355</v>
      </c>
      <c r="BB5159" s="48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357</v>
      </c>
      <c r="E5160" s="1" t="s">
        <v>121</v>
      </c>
      <c r="F5160" s="26">
        <v>77</v>
      </c>
      <c r="G5160" s="25" t="s">
        <v>293</v>
      </c>
      <c r="H5160" s="25"/>
      <c r="BA5160" s="73" t="s">
        <v>355</v>
      </c>
      <c r="BB5160" s="48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357</v>
      </c>
      <c r="E5161" s="1" t="s">
        <v>115</v>
      </c>
      <c r="F5161" s="26">
        <v>91</v>
      </c>
      <c r="G5161" s="25" t="s">
        <v>293</v>
      </c>
      <c r="H5161" s="25"/>
      <c r="BA5161" s="73" t="s">
        <v>355</v>
      </c>
      <c r="BB5161" s="48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357</v>
      </c>
      <c r="E5162" s="1" t="s">
        <v>137</v>
      </c>
      <c r="F5162" s="26">
        <v>489</v>
      </c>
      <c r="G5162" s="25" t="s">
        <v>293</v>
      </c>
      <c r="H5162" s="25"/>
      <c r="BA5162" s="73" t="s">
        <v>355</v>
      </c>
      <c r="BB5162" s="48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357</v>
      </c>
      <c r="E5163" s="1" t="s">
        <v>348</v>
      </c>
      <c r="F5163" s="26">
        <v>427</v>
      </c>
      <c r="G5163" s="25" t="s">
        <v>293</v>
      </c>
      <c r="H5163" s="25"/>
      <c r="BA5163" s="73" t="s">
        <v>355</v>
      </c>
      <c r="BB5163" s="48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357</v>
      </c>
      <c r="E5164" s="1" t="s">
        <v>125</v>
      </c>
      <c r="F5164" s="26">
        <v>424</v>
      </c>
      <c r="G5164" s="25" t="s">
        <v>293</v>
      </c>
      <c r="H5164" s="25"/>
      <c r="BA5164" s="73" t="s">
        <v>355</v>
      </c>
      <c r="BB5164" s="48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357</v>
      </c>
      <c r="E5165" s="1" t="s">
        <v>126</v>
      </c>
      <c r="F5165" s="26">
        <v>149</v>
      </c>
      <c r="G5165" s="25" t="s">
        <v>293</v>
      </c>
      <c r="H5165" s="25"/>
      <c r="BA5165" s="73" t="s">
        <v>355</v>
      </c>
      <c r="BB5165" s="48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357</v>
      </c>
      <c r="E5166" s="1" t="s">
        <v>349</v>
      </c>
      <c r="F5166" s="26">
        <v>353</v>
      </c>
      <c r="G5166" s="25" t="s">
        <v>293</v>
      </c>
      <c r="H5166" s="25"/>
      <c r="BA5166" s="73" t="s">
        <v>355</v>
      </c>
      <c r="BB5166" s="48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357</v>
      </c>
      <c r="E5167" s="1" t="s">
        <v>350</v>
      </c>
      <c r="F5167" s="26">
        <v>83</v>
      </c>
      <c r="G5167" s="25" t="s">
        <v>293</v>
      </c>
      <c r="H5167" s="25"/>
      <c r="BA5167" s="73" t="s">
        <v>355</v>
      </c>
      <c r="BB5167" s="48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357</v>
      </c>
      <c r="E5168" s="1" t="s">
        <v>122</v>
      </c>
      <c r="F5168" s="26">
        <v>220</v>
      </c>
      <c r="G5168" s="25" t="s">
        <v>293</v>
      </c>
      <c r="H5168" s="25"/>
      <c r="BA5168" s="73" t="s">
        <v>355</v>
      </c>
      <c r="BB5168" s="48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357</v>
      </c>
      <c r="E5169" s="1" t="s">
        <v>124</v>
      </c>
      <c r="F5169" s="26">
        <v>103</v>
      </c>
      <c r="G5169" s="25" t="s">
        <v>293</v>
      </c>
      <c r="H5169" s="25"/>
      <c r="BA5169" s="73" t="s">
        <v>355</v>
      </c>
      <c r="BB5169" s="48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357</v>
      </c>
      <c r="E5170" s="1" t="s">
        <v>351</v>
      </c>
      <c r="F5170" s="26">
        <v>3.48</v>
      </c>
      <c r="G5170" s="25" t="s">
        <v>293</v>
      </c>
      <c r="H5170" s="25"/>
      <c r="BA5170" s="73" t="s">
        <v>355</v>
      </c>
      <c r="BB5170" s="48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357</v>
      </c>
      <c r="E5171" s="1" t="s">
        <v>353</v>
      </c>
      <c r="F5171" s="26">
        <v>20.9</v>
      </c>
      <c r="G5171" s="25" t="s">
        <v>293</v>
      </c>
      <c r="H5171" s="25"/>
      <c r="BA5171" s="73" t="s">
        <v>355</v>
      </c>
      <c r="BB5171" s="48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357</v>
      </c>
      <c r="E5172" s="1" t="s">
        <v>133</v>
      </c>
      <c r="F5172" s="26">
        <v>127</v>
      </c>
      <c r="G5172" s="25" t="s">
        <v>293</v>
      </c>
      <c r="H5172" s="25"/>
      <c r="BA5172" s="73" t="s">
        <v>355</v>
      </c>
      <c r="BB5172" s="48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357</v>
      </c>
      <c r="E5173" s="1" t="s">
        <v>135</v>
      </c>
      <c r="F5173" s="26">
        <v>6.4</v>
      </c>
      <c r="G5173" s="25" t="s">
        <v>293</v>
      </c>
      <c r="H5173" s="25"/>
      <c r="BA5173" s="73" t="s">
        <v>355</v>
      </c>
      <c r="BB5173" s="48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357</v>
      </c>
      <c r="E5174" s="1" t="s">
        <v>136</v>
      </c>
      <c r="F5174" s="26">
        <v>96</v>
      </c>
      <c r="G5174" s="25" t="s">
        <v>293</v>
      </c>
      <c r="H5174" s="25"/>
      <c r="BA5174" s="73" t="s">
        <v>355</v>
      </c>
      <c r="BB5174" s="48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357</v>
      </c>
      <c r="E5175" s="1" t="s">
        <v>339</v>
      </c>
      <c r="F5175" s="26">
        <v>1.32</v>
      </c>
      <c r="G5175" s="25" t="s">
        <v>293</v>
      </c>
      <c r="H5175" s="25"/>
      <c r="BA5175" s="73" t="s">
        <v>355</v>
      </c>
      <c r="BB5175" s="48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357</v>
      </c>
      <c r="E5176" s="1" t="s">
        <v>118</v>
      </c>
      <c r="F5176" s="26">
        <v>9.5</v>
      </c>
      <c r="G5176" s="25" t="s">
        <v>293</v>
      </c>
      <c r="H5176" s="25"/>
      <c r="BA5176" s="73" t="s">
        <v>355</v>
      </c>
      <c r="BB5176" s="48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357</v>
      </c>
      <c r="E5177" s="1" t="s">
        <v>130</v>
      </c>
      <c r="F5177" s="26">
        <v>2.46</v>
      </c>
      <c r="G5177" s="25" t="s">
        <v>293</v>
      </c>
      <c r="H5177" s="25"/>
      <c r="BA5177" s="73" t="s">
        <v>355</v>
      </c>
      <c r="BB5177" s="48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357</v>
      </c>
      <c r="E5178" s="1" t="s">
        <v>341</v>
      </c>
      <c r="F5178" s="26">
        <v>1.252</v>
      </c>
      <c r="G5178" s="25" t="s">
        <v>293</v>
      </c>
      <c r="H5178" s="25"/>
      <c r="BA5178" s="73" t="s">
        <v>355</v>
      </c>
      <c r="BB5178" s="48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357</v>
      </c>
      <c r="E5179" s="1" t="s">
        <v>127</v>
      </c>
      <c r="F5179" s="26">
        <v>4.5609999999999999</v>
      </c>
      <c r="G5179" s="25" t="s">
        <v>293</v>
      </c>
      <c r="H5179" s="25"/>
      <c r="BA5179" s="73" t="s">
        <v>355</v>
      </c>
      <c r="BB5179" s="48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357</v>
      </c>
      <c r="E5180" s="1" t="s">
        <v>131</v>
      </c>
      <c r="F5180" s="26">
        <v>11.8</v>
      </c>
      <c r="G5180" s="25" t="s">
        <v>293</v>
      </c>
      <c r="H5180" s="25"/>
      <c r="BA5180" s="73" t="s">
        <v>355</v>
      </c>
      <c r="BB5180" s="48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357</v>
      </c>
      <c r="E5181" s="1" t="s">
        <v>342</v>
      </c>
      <c r="F5181" s="26">
        <v>183</v>
      </c>
      <c r="G5181" s="25" t="s">
        <v>293</v>
      </c>
      <c r="H5181" s="25"/>
      <c r="BA5181" s="73" t="s">
        <v>355</v>
      </c>
      <c r="BB5181" s="48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357</v>
      </c>
      <c r="E5182" s="1" t="s">
        <v>119</v>
      </c>
      <c r="F5182" s="26">
        <v>92</v>
      </c>
      <c r="G5182" s="25" t="s">
        <v>293</v>
      </c>
      <c r="H5182" s="25"/>
      <c r="BA5182" s="73" t="s">
        <v>355</v>
      </c>
      <c r="BB5182" s="48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357</v>
      </c>
      <c r="E5183" s="1" t="s">
        <v>120</v>
      </c>
      <c r="F5183" s="26">
        <v>26</v>
      </c>
      <c r="G5183" s="25" t="s">
        <v>293</v>
      </c>
      <c r="H5183" s="25"/>
      <c r="BA5183" s="73" t="s">
        <v>355</v>
      </c>
      <c r="BB5183" s="48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357</v>
      </c>
      <c r="E5184" s="1" t="s">
        <v>117</v>
      </c>
      <c r="F5184" s="26">
        <v>6.25</v>
      </c>
      <c r="G5184" s="25" t="s">
        <v>293</v>
      </c>
      <c r="H5184" s="25"/>
      <c r="BA5184" s="73" t="s">
        <v>355</v>
      </c>
      <c r="BB5184" s="48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357</v>
      </c>
      <c r="E5185" s="1" t="s">
        <v>344</v>
      </c>
      <c r="F5185" s="26">
        <v>68</v>
      </c>
      <c r="G5185" s="25" t="s">
        <v>293</v>
      </c>
      <c r="H5185" s="25"/>
      <c r="BA5185" s="73" t="s">
        <v>355</v>
      </c>
      <c r="BB5185" s="48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357</v>
      </c>
      <c r="E5186" s="1" t="s">
        <v>132</v>
      </c>
      <c r="F5186" s="26">
        <v>7.04</v>
      </c>
      <c r="G5186" s="25" t="s">
        <v>293</v>
      </c>
      <c r="H5186" s="25"/>
      <c r="BA5186" s="73" t="s">
        <v>355</v>
      </c>
      <c r="BB5186" s="48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357</v>
      </c>
      <c r="E5187" s="1" t="s">
        <v>111</v>
      </c>
      <c r="F5187" s="26">
        <v>283</v>
      </c>
      <c r="G5187" s="25" t="s">
        <v>293</v>
      </c>
      <c r="H5187" s="25"/>
      <c r="BA5187" s="73" t="s">
        <v>355</v>
      </c>
      <c r="BB5187" s="48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357</v>
      </c>
      <c r="E5188" s="1" t="s">
        <v>345</v>
      </c>
      <c r="F5188" s="26">
        <v>9.68</v>
      </c>
      <c r="G5188" s="25" t="s">
        <v>293</v>
      </c>
      <c r="H5188" s="25"/>
      <c r="BA5188" s="73" t="s">
        <v>355</v>
      </c>
      <c r="BB5188" s="48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357</v>
      </c>
      <c r="E5189" s="1" t="s">
        <v>347</v>
      </c>
      <c r="F5189" s="26">
        <v>4.78</v>
      </c>
      <c r="G5189" s="25" t="s">
        <v>293</v>
      </c>
      <c r="H5189" s="25"/>
      <c r="BA5189" s="73" t="s">
        <v>355</v>
      </c>
      <c r="BB5189" s="48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357</v>
      </c>
      <c r="E5190" s="1" t="s">
        <v>128</v>
      </c>
      <c r="F5190" s="26">
        <v>4.5</v>
      </c>
      <c r="G5190" s="25" t="s">
        <v>293</v>
      </c>
      <c r="H5190" s="25"/>
      <c r="BA5190" s="73" t="s">
        <v>355</v>
      </c>
      <c r="BB5190" s="48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357</v>
      </c>
      <c r="E5191" s="1" t="s">
        <v>121</v>
      </c>
      <c r="F5191" s="26">
        <v>80</v>
      </c>
      <c r="G5191" s="25" t="s">
        <v>293</v>
      </c>
      <c r="H5191" s="25"/>
      <c r="BA5191" s="73" t="s">
        <v>355</v>
      </c>
      <c r="BB5191" s="48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357</v>
      </c>
      <c r="E5192" s="1" t="s">
        <v>115</v>
      </c>
      <c r="F5192" s="26">
        <v>94</v>
      </c>
      <c r="G5192" s="25" t="s">
        <v>293</v>
      </c>
      <c r="H5192" s="25"/>
      <c r="BA5192" s="73" t="s">
        <v>355</v>
      </c>
      <c r="BB5192" s="48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357</v>
      </c>
      <c r="E5193" s="1" t="s">
        <v>137</v>
      </c>
      <c r="F5193" s="26">
        <v>485</v>
      </c>
      <c r="G5193" s="25" t="s">
        <v>293</v>
      </c>
      <c r="H5193" s="25"/>
      <c r="BA5193" s="73" t="s">
        <v>355</v>
      </c>
      <c r="BB5193" s="48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357</v>
      </c>
      <c r="E5194" s="1" t="s">
        <v>348</v>
      </c>
      <c r="F5194" s="26">
        <v>430</v>
      </c>
      <c r="G5194" s="25" t="s">
        <v>293</v>
      </c>
      <c r="H5194" s="25"/>
      <c r="BA5194" s="73" t="s">
        <v>355</v>
      </c>
      <c r="BB5194" s="48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357</v>
      </c>
      <c r="E5195" s="1" t="s">
        <v>125</v>
      </c>
      <c r="F5195" s="26">
        <v>404</v>
      </c>
      <c r="G5195" s="25" t="s">
        <v>293</v>
      </c>
      <c r="H5195" s="25"/>
      <c r="BA5195" s="73" t="s">
        <v>355</v>
      </c>
      <c r="BB5195" s="48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357</v>
      </c>
      <c r="E5196" s="1" t="s">
        <v>126</v>
      </c>
      <c r="F5196" s="26">
        <v>155</v>
      </c>
      <c r="G5196" s="25" t="s">
        <v>293</v>
      </c>
      <c r="H5196" s="25"/>
      <c r="BA5196" s="73" t="s">
        <v>355</v>
      </c>
      <c r="BB5196" s="48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357</v>
      </c>
      <c r="E5197" s="1" t="s">
        <v>349</v>
      </c>
      <c r="F5197" s="26">
        <v>370</v>
      </c>
      <c r="G5197" s="25" t="s">
        <v>293</v>
      </c>
      <c r="H5197" s="25"/>
      <c r="BA5197" s="73" t="s">
        <v>355</v>
      </c>
      <c r="BB5197" s="48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357</v>
      </c>
      <c r="E5198" s="1" t="s">
        <v>350</v>
      </c>
      <c r="F5198" s="26">
        <v>81</v>
      </c>
      <c r="G5198" s="25" t="s">
        <v>293</v>
      </c>
      <c r="H5198" s="25"/>
      <c r="BA5198" s="73" t="s">
        <v>355</v>
      </c>
      <c r="BB5198" s="48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357</v>
      </c>
      <c r="E5199" s="1" t="s">
        <v>122</v>
      </c>
      <c r="F5199" s="26">
        <v>215</v>
      </c>
      <c r="G5199" s="25" t="s">
        <v>293</v>
      </c>
      <c r="H5199" s="25"/>
      <c r="BA5199" s="73" t="s">
        <v>355</v>
      </c>
      <c r="BB5199" s="48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357</v>
      </c>
      <c r="E5200" s="1" t="s">
        <v>124</v>
      </c>
      <c r="F5200" s="26">
        <v>107</v>
      </c>
      <c r="G5200" s="25" t="s">
        <v>293</v>
      </c>
      <c r="H5200" s="25"/>
      <c r="BA5200" s="73" t="s">
        <v>355</v>
      </c>
      <c r="BB5200" s="48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357</v>
      </c>
      <c r="E5201" s="1" t="s">
        <v>351</v>
      </c>
      <c r="F5201" s="26">
        <v>3.41</v>
      </c>
      <c r="G5201" s="25" t="s">
        <v>293</v>
      </c>
      <c r="H5201" s="25"/>
      <c r="BA5201" s="73" t="s">
        <v>355</v>
      </c>
      <c r="BB5201" s="48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357</v>
      </c>
      <c r="E5202" s="1" t="s">
        <v>353</v>
      </c>
      <c r="F5202" s="26">
        <v>19.8</v>
      </c>
      <c r="G5202" s="25" t="s">
        <v>293</v>
      </c>
      <c r="H5202" s="25"/>
      <c r="BA5202" s="73" t="s">
        <v>355</v>
      </c>
      <c r="BB5202" s="48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357</v>
      </c>
      <c r="E5203" s="1" t="s">
        <v>133</v>
      </c>
      <c r="F5203" s="26">
        <v>126</v>
      </c>
      <c r="G5203" s="25" t="s">
        <v>293</v>
      </c>
      <c r="H5203" s="25"/>
      <c r="BA5203" s="73" t="s">
        <v>355</v>
      </c>
      <c r="BB5203" s="48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357</v>
      </c>
      <c r="E5204" s="1" t="s">
        <v>135</v>
      </c>
      <c r="F5204" s="26">
        <v>6.4</v>
      </c>
      <c r="G5204" s="25" t="s">
        <v>293</v>
      </c>
      <c r="H5204" s="25"/>
      <c r="BA5204" s="73" t="s">
        <v>355</v>
      </c>
      <c r="BB5204" s="48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357</v>
      </c>
      <c r="E5205" s="1" t="s">
        <v>136</v>
      </c>
      <c r="F5205" s="26">
        <v>94</v>
      </c>
      <c r="G5205" s="25" t="s">
        <v>293</v>
      </c>
      <c r="H5205" s="25"/>
      <c r="BA5205" s="73" t="s">
        <v>355</v>
      </c>
      <c r="BB5205" s="48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357</v>
      </c>
      <c r="E5206" s="1" t="s">
        <v>339</v>
      </c>
      <c r="F5206" s="26">
        <v>1.22</v>
      </c>
      <c r="G5206" s="25" t="s">
        <v>293</v>
      </c>
      <c r="H5206" s="25"/>
      <c r="BA5206" s="73" t="s">
        <v>355</v>
      </c>
      <c r="BB5206" s="48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357</v>
      </c>
      <c r="E5207" s="1" t="s">
        <v>118</v>
      </c>
      <c r="F5207" s="26">
        <v>9.4</v>
      </c>
      <c r="G5207" s="25" t="s">
        <v>293</v>
      </c>
      <c r="H5207" s="25"/>
      <c r="BA5207" s="73" t="s">
        <v>355</v>
      </c>
      <c r="BB5207" s="48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357</v>
      </c>
      <c r="E5208" s="1" t="s">
        <v>130</v>
      </c>
      <c r="F5208" s="26">
        <v>2.4500000000000002</v>
      </c>
      <c r="G5208" s="25" t="s">
        <v>293</v>
      </c>
      <c r="H5208" s="25"/>
      <c r="BA5208" s="73" t="s">
        <v>355</v>
      </c>
      <c r="BB5208" s="48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357</v>
      </c>
      <c r="E5209" s="1" t="s">
        <v>341</v>
      </c>
      <c r="F5209" s="26">
        <v>1.2190000000000001</v>
      </c>
      <c r="G5209" s="25" t="s">
        <v>293</v>
      </c>
      <c r="H5209" s="25"/>
      <c r="BA5209" s="73" t="s">
        <v>355</v>
      </c>
      <c r="BB5209" s="48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357</v>
      </c>
      <c r="E5210" s="1" t="s">
        <v>127</v>
      </c>
      <c r="F5210" s="26">
        <v>4.5599999999999996</v>
      </c>
      <c r="G5210" s="25" t="s">
        <v>293</v>
      </c>
      <c r="H5210" s="25"/>
      <c r="BA5210" s="73" t="s">
        <v>355</v>
      </c>
      <c r="BB5210" s="48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357</v>
      </c>
      <c r="E5211" s="1" t="s">
        <v>131</v>
      </c>
      <c r="F5211" s="26">
        <v>11.8</v>
      </c>
      <c r="G5211" s="25" t="s">
        <v>293</v>
      </c>
      <c r="H5211" s="25"/>
      <c r="BA5211" s="73" t="s">
        <v>355</v>
      </c>
      <c r="BB5211" s="48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357</v>
      </c>
      <c r="E5212" s="1" t="s">
        <v>342</v>
      </c>
      <c r="F5212" s="26">
        <v>181</v>
      </c>
      <c r="G5212" s="25" t="s">
        <v>293</v>
      </c>
      <c r="H5212" s="25"/>
      <c r="BA5212" s="73" t="s">
        <v>355</v>
      </c>
      <c r="BB5212" s="48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357</v>
      </c>
      <c r="E5213" s="1" t="s">
        <v>119</v>
      </c>
      <c r="F5213" s="26">
        <v>90</v>
      </c>
      <c r="G5213" s="25" t="s">
        <v>293</v>
      </c>
      <c r="H5213" s="25"/>
      <c r="BA5213" s="73" t="s">
        <v>355</v>
      </c>
      <c r="BB5213" s="48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357</v>
      </c>
      <c r="E5214" s="1" t="s">
        <v>120</v>
      </c>
      <c r="F5214" s="26">
        <v>26</v>
      </c>
      <c r="G5214" s="25" t="s">
        <v>293</v>
      </c>
      <c r="H5214" s="25"/>
      <c r="BA5214" s="73" t="s">
        <v>355</v>
      </c>
      <c r="BB5214" s="48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357</v>
      </c>
      <c r="E5215" s="1" t="s">
        <v>117</v>
      </c>
      <c r="F5215" s="26">
        <v>6.23</v>
      </c>
      <c r="G5215" s="25" t="s">
        <v>293</v>
      </c>
      <c r="H5215" s="25"/>
      <c r="BA5215" s="73" t="s">
        <v>355</v>
      </c>
      <c r="BB5215" s="48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357</v>
      </c>
      <c r="E5216" s="1" t="s">
        <v>344</v>
      </c>
      <c r="F5216" s="26">
        <v>68</v>
      </c>
      <c r="G5216" s="25" t="s">
        <v>293</v>
      </c>
      <c r="H5216" s="25"/>
      <c r="BA5216" s="73" t="s">
        <v>355</v>
      </c>
      <c r="BB5216" s="48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357</v>
      </c>
      <c r="E5217" s="1" t="s">
        <v>132</v>
      </c>
      <c r="F5217" s="26">
        <v>7.12</v>
      </c>
      <c r="G5217" s="25" t="s">
        <v>293</v>
      </c>
      <c r="H5217" s="25"/>
      <c r="BA5217" s="73" t="s">
        <v>355</v>
      </c>
      <c r="BB5217" s="48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357</v>
      </c>
      <c r="E5218" s="1" t="s">
        <v>111</v>
      </c>
      <c r="F5218" s="26">
        <v>273</v>
      </c>
      <c r="G5218" s="25" t="s">
        <v>293</v>
      </c>
      <c r="H5218" s="25"/>
      <c r="BA5218" s="73" t="s">
        <v>355</v>
      </c>
      <c r="BB5218" s="48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357</v>
      </c>
      <c r="E5219" s="1" t="s">
        <v>345</v>
      </c>
      <c r="F5219" s="26">
        <v>9.52</v>
      </c>
      <c r="G5219" s="25" t="s">
        <v>293</v>
      </c>
      <c r="H5219" s="25"/>
      <c r="BA5219" s="73" t="s">
        <v>355</v>
      </c>
      <c r="BB5219" s="48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357</v>
      </c>
      <c r="E5220" s="1" t="s">
        <v>347</v>
      </c>
      <c r="F5220" s="26">
        <v>4.71</v>
      </c>
      <c r="G5220" s="25" t="s">
        <v>293</v>
      </c>
      <c r="H5220" s="25"/>
      <c r="BA5220" s="73" t="s">
        <v>355</v>
      </c>
      <c r="BB5220" s="48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357</v>
      </c>
      <c r="E5221" s="1" t="s">
        <v>128</v>
      </c>
      <c r="F5221" s="26">
        <v>4.5</v>
      </c>
      <c r="G5221" s="25" t="s">
        <v>293</v>
      </c>
      <c r="H5221" s="25"/>
      <c r="BA5221" s="73" t="s">
        <v>355</v>
      </c>
      <c r="BB5221" s="48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357</v>
      </c>
      <c r="E5222" s="1" t="s">
        <v>121</v>
      </c>
      <c r="F5222" s="26">
        <v>80</v>
      </c>
      <c r="G5222" s="25" t="s">
        <v>293</v>
      </c>
      <c r="H5222" s="25"/>
      <c r="BA5222" s="73" t="s">
        <v>355</v>
      </c>
      <c r="BB5222" s="48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357</v>
      </c>
      <c r="E5223" s="1" t="s">
        <v>115</v>
      </c>
      <c r="F5223" s="26">
        <v>90</v>
      </c>
      <c r="G5223" s="25" t="s">
        <v>293</v>
      </c>
      <c r="H5223" s="25"/>
      <c r="BA5223" s="73" t="s">
        <v>355</v>
      </c>
      <c r="BB5223" s="48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357</v>
      </c>
      <c r="E5224" s="1" t="s">
        <v>137</v>
      </c>
      <c r="F5224" s="26">
        <v>486</v>
      </c>
      <c r="G5224" s="25" t="s">
        <v>293</v>
      </c>
      <c r="H5224" s="25"/>
      <c r="BA5224" s="73" t="s">
        <v>355</v>
      </c>
      <c r="BB5224" s="48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357</v>
      </c>
      <c r="E5225" s="1" t="s">
        <v>348</v>
      </c>
      <c r="F5225" s="26">
        <v>429</v>
      </c>
      <c r="G5225" s="25" t="s">
        <v>293</v>
      </c>
      <c r="H5225" s="25"/>
      <c r="BA5225" s="73" t="s">
        <v>355</v>
      </c>
      <c r="BB5225" s="48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357</v>
      </c>
      <c r="E5226" s="1" t="s">
        <v>125</v>
      </c>
      <c r="F5226" s="26">
        <v>411</v>
      </c>
      <c r="G5226" s="25" t="s">
        <v>293</v>
      </c>
      <c r="H5226" s="25"/>
      <c r="BA5226" s="73" t="s">
        <v>355</v>
      </c>
      <c r="BB5226" s="48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357</v>
      </c>
      <c r="E5227" s="1" t="s">
        <v>126</v>
      </c>
      <c r="F5227" s="26">
        <v>150</v>
      </c>
      <c r="G5227" s="25" t="s">
        <v>293</v>
      </c>
      <c r="H5227" s="25"/>
      <c r="BA5227" s="73" t="s">
        <v>355</v>
      </c>
      <c r="BB5227" s="48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357</v>
      </c>
      <c r="E5228" s="1" t="s">
        <v>349</v>
      </c>
      <c r="F5228" s="26">
        <v>343</v>
      </c>
      <c r="G5228" s="25" t="s">
        <v>293</v>
      </c>
      <c r="H5228" s="25"/>
      <c r="BA5228" s="73" t="s">
        <v>355</v>
      </c>
      <c r="BB5228" s="48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357</v>
      </c>
      <c r="E5229" s="1" t="s">
        <v>350</v>
      </c>
      <c r="F5229" s="26">
        <v>83</v>
      </c>
      <c r="G5229" s="25" t="s">
        <v>293</v>
      </c>
      <c r="H5229" s="25"/>
      <c r="BA5229" s="73" t="s">
        <v>355</v>
      </c>
      <c r="BB5229" s="48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357</v>
      </c>
      <c r="E5230" s="1" t="s">
        <v>122</v>
      </c>
      <c r="F5230" s="26">
        <v>220</v>
      </c>
      <c r="G5230" s="25" t="s">
        <v>293</v>
      </c>
      <c r="H5230" s="25"/>
      <c r="BA5230" s="73" t="s">
        <v>355</v>
      </c>
      <c r="BB5230" s="48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357</v>
      </c>
      <c r="E5231" s="1" t="s">
        <v>124</v>
      </c>
      <c r="F5231" s="26">
        <v>106</v>
      </c>
      <c r="G5231" s="25" t="s">
        <v>293</v>
      </c>
      <c r="H5231" s="25"/>
      <c r="BA5231" s="73" t="s">
        <v>355</v>
      </c>
      <c r="BB5231" s="48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357</v>
      </c>
      <c r="E5232" s="1" t="s">
        <v>351</v>
      </c>
      <c r="F5232" s="26">
        <v>3.44</v>
      </c>
      <c r="G5232" s="25" t="s">
        <v>293</v>
      </c>
      <c r="H5232" s="25"/>
      <c r="BA5232" s="73" t="s">
        <v>355</v>
      </c>
      <c r="BB5232" s="48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357</v>
      </c>
      <c r="E5233" s="1" t="s">
        <v>353</v>
      </c>
      <c r="F5233" s="26">
        <v>21.4</v>
      </c>
      <c r="G5233" s="25" t="s">
        <v>293</v>
      </c>
      <c r="H5233" s="25"/>
      <c r="BA5233" s="73" t="s">
        <v>355</v>
      </c>
      <c r="BB5233" s="48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357</v>
      </c>
      <c r="E5234" s="1" t="s">
        <v>133</v>
      </c>
      <c r="F5234" s="26">
        <v>125</v>
      </c>
      <c r="G5234" s="25" t="s">
        <v>293</v>
      </c>
      <c r="H5234" s="25"/>
      <c r="BA5234" s="73" t="s">
        <v>355</v>
      </c>
      <c r="BB5234" s="48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357</v>
      </c>
      <c r="E5235" s="1" t="s">
        <v>135</v>
      </c>
      <c r="F5235" s="26">
        <v>6.4</v>
      </c>
      <c r="G5235" s="25" t="s">
        <v>293</v>
      </c>
      <c r="H5235" s="25"/>
      <c r="BA5235" s="73" t="s">
        <v>355</v>
      </c>
      <c r="BB5235" s="48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357</v>
      </c>
      <c r="E5236" s="1" t="s">
        <v>136</v>
      </c>
      <c r="F5236" s="26">
        <v>92</v>
      </c>
      <c r="G5236" s="25" t="s">
        <v>293</v>
      </c>
      <c r="H5236" s="25"/>
      <c r="BA5236" s="73" t="s">
        <v>355</v>
      </c>
      <c r="BB5236" s="48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357</v>
      </c>
      <c r="E5237" s="1" t="s">
        <v>339</v>
      </c>
      <c r="F5237" s="26">
        <v>1.33</v>
      </c>
      <c r="G5237" s="25" t="s">
        <v>293</v>
      </c>
      <c r="H5237" s="25"/>
      <c r="BA5237" s="73" t="s">
        <v>355</v>
      </c>
      <c r="BB5237" s="48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357</v>
      </c>
      <c r="E5238" s="1" t="s">
        <v>118</v>
      </c>
      <c r="F5238" s="26">
        <v>9.4</v>
      </c>
      <c r="G5238" s="25" t="s">
        <v>293</v>
      </c>
      <c r="H5238" s="25"/>
      <c r="BA5238" s="73" t="s">
        <v>355</v>
      </c>
      <c r="BB5238" s="48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357</v>
      </c>
      <c r="E5239" s="1" t="s">
        <v>130</v>
      </c>
      <c r="F5239" s="26">
        <v>2.4500000000000002</v>
      </c>
      <c r="G5239" s="25" t="s">
        <v>293</v>
      </c>
      <c r="H5239" s="25"/>
      <c r="BA5239" s="73" t="s">
        <v>355</v>
      </c>
      <c r="BB5239" s="48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357</v>
      </c>
      <c r="E5240" s="1" t="s">
        <v>341</v>
      </c>
      <c r="F5240" s="26">
        <v>1.306</v>
      </c>
      <c r="G5240" s="25" t="s">
        <v>293</v>
      </c>
      <c r="H5240" s="25"/>
      <c r="BA5240" s="73" t="s">
        <v>355</v>
      </c>
      <c r="BB5240" s="48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357</v>
      </c>
      <c r="E5241" s="1" t="s">
        <v>127</v>
      </c>
      <c r="F5241" s="26">
        <v>4.91</v>
      </c>
      <c r="G5241" s="25" t="s">
        <v>293</v>
      </c>
      <c r="H5241" s="25"/>
      <c r="BA5241" s="73" t="s">
        <v>355</v>
      </c>
      <c r="BB5241" s="48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357</v>
      </c>
      <c r="E5242" s="1" t="s">
        <v>131</v>
      </c>
      <c r="F5242" s="26">
        <v>11.9</v>
      </c>
      <c r="G5242" s="25" t="s">
        <v>293</v>
      </c>
      <c r="H5242" s="25"/>
      <c r="BA5242" s="73" t="s">
        <v>355</v>
      </c>
      <c r="BB5242" s="48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357</v>
      </c>
      <c r="E5243" s="1" t="s">
        <v>342</v>
      </c>
      <c r="F5243" s="26">
        <v>183</v>
      </c>
      <c r="G5243" s="25" t="s">
        <v>293</v>
      </c>
      <c r="H5243" s="25"/>
      <c r="BA5243" s="73" t="s">
        <v>355</v>
      </c>
      <c r="BB5243" s="48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357</v>
      </c>
      <c r="E5244" s="1" t="s">
        <v>119</v>
      </c>
      <c r="F5244" s="26">
        <v>92</v>
      </c>
      <c r="G5244" s="25" t="s">
        <v>293</v>
      </c>
      <c r="H5244" s="25"/>
      <c r="BA5244" s="73" t="s">
        <v>355</v>
      </c>
      <c r="BB5244" s="48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357</v>
      </c>
      <c r="E5245" s="1" t="s">
        <v>120</v>
      </c>
      <c r="F5245" s="26">
        <v>27</v>
      </c>
      <c r="G5245" s="25" t="s">
        <v>293</v>
      </c>
      <c r="H5245" s="25"/>
      <c r="BA5245" s="73" t="s">
        <v>355</v>
      </c>
      <c r="BB5245" s="48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357</v>
      </c>
      <c r="E5246" s="1" t="s">
        <v>117</v>
      </c>
      <c r="F5246" s="26">
        <v>6.26</v>
      </c>
      <c r="G5246" s="25" t="s">
        <v>293</v>
      </c>
      <c r="H5246" s="25"/>
      <c r="BA5246" s="73" t="s">
        <v>355</v>
      </c>
      <c r="BB5246" s="48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357</v>
      </c>
      <c r="E5247" s="1" t="s">
        <v>344</v>
      </c>
      <c r="F5247" s="26">
        <v>68</v>
      </c>
      <c r="G5247" s="25" t="s">
        <v>293</v>
      </c>
      <c r="H5247" s="25"/>
      <c r="BA5247" s="73" t="s">
        <v>355</v>
      </c>
      <c r="BB5247" s="48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357</v>
      </c>
      <c r="E5248" s="1" t="s">
        <v>132</v>
      </c>
      <c r="F5248" s="26">
        <v>7.06</v>
      </c>
      <c r="G5248" s="25" t="s">
        <v>293</v>
      </c>
      <c r="H5248" s="25"/>
      <c r="BA5248" s="73" t="s">
        <v>355</v>
      </c>
      <c r="BB5248" s="48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357</v>
      </c>
      <c r="E5249" s="1" t="s">
        <v>111</v>
      </c>
      <c r="F5249" s="26">
        <v>279</v>
      </c>
      <c r="G5249" s="25" t="s">
        <v>293</v>
      </c>
      <c r="H5249" s="25"/>
      <c r="BA5249" s="73" t="s">
        <v>355</v>
      </c>
      <c r="BB5249" s="48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357</v>
      </c>
      <c r="E5250" s="1" t="s">
        <v>345</v>
      </c>
      <c r="F5250" s="26">
        <v>9.5500000000000007</v>
      </c>
      <c r="G5250" s="25" t="s">
        <v>293</v>
      </c>
      <c r="H5250" s="25"/>
      <c r="BA5250" s="73" t="s">
        <v>355</v>
      </c>
      <c r="BB5250" s="48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357</v>
      </c>
      <c r="E5251" s="1" t="s">
        <v>347</v>
      </c>
      <c r="F5251" s="26">
        <v>4.59</v>
      </c>
      <c r="G5251" s="25" t="s">
        <v>293</v>
      </c>
      <c r="H5251" s="25"/>
      <c r="BA5251" s="73" t="s">
        <v>355</v>
      </c>
      <c r="BB5251" s="48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357</v>
      </c>
      <c r="E5252" s="1" t="s">
        <v>128</v>
      </c>
      <c r="F5252" s="26">
        <v>4.5</v>
      </c>
      <c r="G5252" s="25" t="s">
        <v>293</v>
      </c>
      <c r="H5252" s="25"/>
      <c r="BA5252" s="73" t="s">
        <v>355</v>
      </c>
      <c r="BB5252" s="48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357</v>
      </c>
      <c r="E5253" s="1" t="s">
        <v>121</v>
      </c>
      <c r="F5253" s="26">
        <v>79</v>
      </c>
      <c r="G5253" s="25" t="s">
        <v>293</v>
      </c>
      <c r="H5253" s="25"/>
      <c r="BA5253" s="73" t="s">
        <v>355</v>
      </c>
      <c r="BB5253" s="48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357</v>
      </c>
      <c r="E5254" s="1" t="s">
        <v>115</v>
      </c>
      <c r="F5254" s="26">
        <v>92</v>
      </c>
      <c r="G5254" s="25" t="s">
        <v>293</v>
      </c>
      <c r="H5254" s="25"/>
      <c r="BA5254" s="73" t="s">
        <v>355</v>
      </c>
      <c r="BB5254" s="48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357</v>
      </c>
      <c r="E5255" s="1" t="s">
        <v>137</v>
      </c>
      <c r="F5255" s="26">
        <v>484</v>
      </c>
      <c r="G5255" s="25" t="s">
        <v>293</v>
      </c>
      <c r="H5255" s="25"/>
      <c r="BA5255" s="73" t="s">
        <v>355</v>
      </c>
      <c r="BB5255" s="48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357</v>
      </c>
      <c r="E5256" s="1" t="s">
        <v>348</v>
      </c>
      <c r="F5256" s="26">
        <v>432</v>
      </c>
      <c r="G5256" s="25" t="s">
        <v>293</v>
      </c>
      <c r="H5256" s="25"/>
      <c r="BA5256" s="73" t="s">
        <v>355</v>
      </c>
      <c r="BB5256" s="48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357</v>
      </c>
      <c r="E5257" s="1" t="s">
        <v>125</v>
      </c>
      <c r="F5257" s="26">
        <v>413</v>
      </c>
      <c r="G5257" s="25" t="s">
        <v>293</v>
      </c>
      <c r="H5257" s="25"/>
      <c r="BA5257" s="73" t="s">
        <v>355</v>
      </c>
      <c r="BB5257" s="48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357</v>
      </c>
      <c r="E5258" s="1" t="s">
        <v>126</v>
      </c>
      <c r="F5258" s="26">
        <v>155</v>
      </c>
      <c r="G5258" s="25" t="s">
        <v>293</v>
      </c>
      <c r="H5258" s="25"/>
      <c r="BA5258" s="73" t="s">
        <v>355</v>
      </c>
      <c r="BB5258" s="48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357</v>
      </c>
      <c r="E5259" s="1" t="s">
        <v>349</v>
      </c>
      <c r="F5259" s="26">
        <v>363</v>
      </c>
      <c r="G5259" s="25" t="s">
        <v>293</v>
      </c>
      <c r="H5259" s="25"/>
      <c r="BA5259" s="73" t="s">
        <v>355</v>
      </c>
      <c r="BB5259" s="48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357</v>
      </c>
      <c r="E5260" s="1" t="s">
        <v>350</v>
      </c>
      <c r="F5260" s="26">
        <v>81</v>
      </c>
      <c r="G5260" s="25" t="s">
        <v>293</v>
      </c>
      <c r="H5260" s="25"/>
      <c r="BA5260" s="73" t="s">
        <v>355</v>
      </c>
      <c r="BB5260" s="48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357</v>
      </c>
      <c r="E5261" s="1" t="s">
        <v>122</v>
      </c>
      <c r="F5261" s="26">
        <v>218</v>
      </c>
      <c r="G5261" s="25" t="s">
        <v>293</v>
      </c>
      <c r="H5261" s="25"/>
      <c r="BA5261" s="73" t="s">
        <v>355</v>
      </c>
      <c r="BB5261" s="48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357</v>
      </c>
      <c r="E5262" s="1" t="s">
        <v>124</v>
      </c>
      <c r="F5262" s="26">
        <v>107</v>
      </c>
      <c r="G5262" s="25" t="s">
        <v>293</v>
      </c>
      <c r="H5262" s="25"/>
      <c r="BA5262" s="73" t="s">
        <v>355</v>
      </c>
      <c r="BB5262" s="48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357</v>
      </c>
      <c r="E5263" s="1" t="s">
        <v>351</v>
      </c>
      <c r="F5263" s="26">
        <v>3.37</v>
      </c>
      <c r="G5263" s="25" t="s">
        <v>293</v>
      </c>
      <c r="H5263" s="25"/>
      <c r="BA5263" s="73" t="s">
        <v>355</v>
      </c>
      <c r="BB5263" s="48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357</v>
      </c>
      <c r="E5264" s="1" t="s">
        <v>353</v>
      </c>
      <c r="F5264" s="26">
        <v>17.8</v>
      </c>
      <c r="G5264" s="25" t="s">
        <v>293</v>
      </c>
      <c r="H5264" s="25"/>
      <c r="BA5264" s="73" t="s">
        <v>355</v>
      </c>
      <c r="BB5264" s="48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357</v>
      </c>
      <c r="E5265" s="1" t="s">
        <v>133</v>
      </c>
      <c r="F5265" s="26">
        <v>125</v>
      </c>
      <c r="G5265" s="25" t="s">
        <v>293</v>
      </c>
      <c r="H5265" s="25"/>
      <c r="BA5265" s="73" t="s">
        <v>355</v>
      </c>
      <c r="BB5265" s="48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357</v>
      </c>
      <c r="E5266" s="1" t="s">
        <v>135</v>
      </c>
      <c r="F5266" s="26">
        <v>6.4</v>
      </c>
      <c r="G5266" s="25" t="s">
        <v>293</v>
      </c>
      <c r="H5266" s="25"/>
      <c r="BA5266" s="73" t="s">
        <v>355</v>
      </c>
      <c r="BB5266" s="48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357</v>
      </c>
      <c r="E5267" s="1" t="s">
        <v>136</v>
      </c>
      <c r="F5267" s="26">
        <v>92</v>
      </c>
      <c r="G5267" s="25" t="s">
        <v>293</v>
      </c>
      <c r="H5267" s="25"/>
      <c r="BA5267" s="73" t="s">
        <v>355</v>
      </c>
      <c r="BB5267" s="48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357</v>
      </c>
      <c r="E5268" s="1" t="s">
        <v>339</v>
      </c>
      <c r="F5268" s="26">
        <v>1.31</v>
      </c>
      <c r="G5268" s="25" t="s">
        <v>293</v>
      </c>
      <c r="H5268" s="25"/>
      <c r="BA5268" s="73" t="s">
        <v>355</v>
      </c>
      <c r="BB5268" s="48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357</v>
      </c>
      <c r="E5269" s="1" t="s">
        <v>118</v>
      </c>
      <c r="F5269" s="26">
        <v>9.6</v>
      </c>
      <c r="G5269" s="25" t="s">
        <v>293</v>
      </c>
      <c r="H5269" s="25"/>
      <c r="BA5269" s="73" t="s">
        <v>355</v>
      </c>
      <c r="BB5269" s="48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357</v>
      </c>
      <c r="E5270" s="1" t="s">
        <v>130</v>
      </c>
      <c r="F5270" s="26">
        <v>2.46</v>
      </c>
      <c r="G5270" s="25" t="s">
        <v>293</v>
      </c>
      <c r="H5270" s="25"/>
      <c r="BA5270" s="73" t="s">
        <v>355</v>
      </c>
      <c r="BB5270" s="48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357</v>
      </c>
      <c r="E5271" s="1" t="s">
        <v>341</v>
      </c>
      <c r="F5271" s="26">
        <v>1.2030000000000001</v>
      </c>
      <c r="G5271" s="25" t="s">
        <v>293</v>
      </c>
      <c r="H5271" s="25"/>
      <c r="BA5271" s="73" t="s">
        <v>355</v>
      </c>
      <c r="BB5271" s="48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357</v>
      </c>
      <c r="E5272" s="1" t="s">
        <v>127</v>
      </c>
      <c r="F5272" s="26">
        <v>4.7699999999999996</v>
      </c>
      <c r="G5272" s="25" t="s">
        <v>293</v>
      </c>
      <c r="H5272" s="25"/>
      <c r="BA5272" s="73" t="s">
        <v>355</v>
      </c>
      <c r="BB5272" s="48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357</v>
      </c>
      <c r="E5273" s="1" t="s">
        <v>131</v>
      </c>
      <c r="F5273" s="26">
        <v>12</v>
      </c>
      <c r="G5273" s="25" t="s">
        <v>293</v>
      </c>
      <c r="H5273" s="25"/>
      <c r="BA5273" s="73" t="s">
        <v>355</v>
      </c>
      <c r="BB5273" s="48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357</v>
      </c>
      <c r="E5274" s="1" t="s">
        <v>342</v>
      </c>
      <c r="F5274" s="26">
        <v>188</v>
      </c>
      <c r="G5274" s="25" t="s">
        <v>293</v>
      </c>
      <c r="H5274" s="25"/>
      <c r="BA5274" s="73" t="s">
        <v>355</v>
      </c>
      <c r="BB5274" s="48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357</v>
      </c>
      <c r="E5275" s="1" t="s">
        <v>119</v>
      </c>
      <c r="F5275" s="26">
        <v>91</v>
      </c>
      <c r="G5275" s="25" t="s">
        <v>293</v>
      </c>
      <c r="H5275" s="25"/>
      <c r="BA5275" s="73" t="s">
        <v>355</v>
      </c>
      <c r="BB5275" s="48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357</v>
      </c>
      <c r="E5276" s="1" t="s">
        <v>120</v>
      </c>
      <c r="F5276" s="26">
        <v>27</v>
      </c>
      <c r="G5276" s="25" t="s">
        <v>293</v>
      </c>
      <c r="H5276" s="25"/>
      <c r="BA5276" s="73" t="s">
        <v>355</v>
      </c>
      <c r="BB5276" s="48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357</v>
      </c>
      <c r="E5277" s="1" t="s">
        <v>117</v>
      </c>
      <c r="F5277" s="26">
        <v>6.29</v>
      </c>
      <c r="G5277" s="25" t="s">
        <v>293</v>
      </c>
      <c r="H5277" s="25"/>
      <c r="BA5277" s="73" t="s">
        <v>355</v>
      </c>
      <c r="BB5277" s="48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357</v>
      </c>
      <c r="E5278" s="1" t="s">
        <v>344</v>
      </c>
      <c r="F5278" s="26">
        <v>70</v>
      </c>
      <c r="G5278" s="25" t="s">
        <v>293</v>
      </c>
      <c r="H5278" s="25"/>
      <c r="BA5278" s="73" t="s">
        <v>355</v>
      </c>
      <c r="BB5278" s="48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357</v>
      </c>
      <c r="E5279" s="1" t="s">
        <v>132</v>
      </c>
      <c r="F5279" s="26">
        <v>7.09</v>
      </c>
      <c r="G5279" s="25" t="s">
        <v>293</v>
      </c>
      <c r="H5279" s="25"/>
      <c r="BA5279" s="73" t="s">
        <v>355</v>
      </c>
      <c r="BB5279" s="48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357</v>
      </c>
      <c r="E5280" s="1" t="s">
        <v>111</v>
      </c>
      <c r="F5280" s="26">
        <v>273</v>
      </c>
      <c r="G5280" s="25" t="s">
        <v>293</v>
      </c>
      <c r="H5280" s="25"/>
      <c r="BA5280" s="73" t="s">
        <v>355</v>
      </c>
      <c r="BB5280" s="48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357</v>
      </c>
      <c r="E5281" s="1" t="s">
        <v>345</v>
      </c>
      <c r="F5281" s="26">
        <v>9.74</v>
      </c>
      <c r="G5281" s="25" t="s">
        <v>293</v>
      </c>
      <c r="H5281" s="25"/>
      <c r="BA5281" s="73" t="s">
        <v>355</v>
      </c>
      <c r="BB5281" s="48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357</v>
      </c>
      <c r="E5282" s="1" t="s">
        <v>347</v>
      </c>
      <c r="F5282" s="26">
        <v>4.83</v>
      </c>
      <c r="G5282" s="25" t="s">
        <v>293</v>
      </c>
      <c r="H5282" s="25"/>
      <c r="BA5282" s="73" t="s">
        <v>355</v>
      </c>
      <c r="BB5282" s="48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357</v>
      </c>
      <c r="E5283" s="1" t="s">
        <v>128</v>
      </c>
      <c r="F5283" s="26">
        <v>4.5</v>
      </c>
      <c r="G5283" s="25" t="s">
        <v>293</v>
      </c>
      <c r="H5283" s="25"/>
      <c r="BA5283" s="73" t="s">
        <v>355</v>
      </c>
      <c r="BB5283" s="48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357</v>
      </c>
      <c r="E5284" s="1" t="s">
        <v>121</v>
      </c>
      <c r="F5284" s="26">
        <v>79</v>
      </c>
      <c r="G5284" s="25" t="s">
        <v>293</v>
      </c>
      <c r="H5284" s="25"/>
      <c r="BA5284" s="73" t="s">
        <v>355</v>
      </c>
      <c r="BB5284" s="48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357</v>
      </c>
      <c r="E5285" s="1" t="s">
        <v>115</v>
      </c>
      <c r="F5285" s="26">
        <v>96</v>
      </c>
      <c r="G5285" s="25" t="s">
        <v>293</v>
      </c>
      <c r="H5285" s="25"/>
      <c r="BA5285" s="73" t="s">
        <v>355</v>
      </c>
      <c r="BB5285" s="48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357</v>
      </c>
      <c r="E5286" s="1" t="s">
        <v>137</v>
      </c>
      <c r="F5286" s="26">
        <v>486</v>
      </c>
      <c r="G5286" s="25" t="s">
        <v>293</v>
      </c>
      <c r="H5286" s="25"/>
      <c r="BA5286" s="73" t="s">
        <v>355</v>
      </c>
      <c r="BB5286" s="48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357</v>
      </c>
      <c r="E5287" s="1" t="s">
        <v>348</v>
      </c>
      <c r="F5287" s="26">
        <v>425</v>
      </c>
      <c r="G5287" s="25" t="s">
        <v>293</v>
      </c>
      <c r="H5287" s="25"/>
      <c r="BA5287" s="73" t="s">
        <v>355</v>
      </c>
      <c r="BB5287" s="48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357</v>
      </c>
      <c r="E5288" s="1" t="s">
        <v>125</v>
      </c>
      <c r="F5288" s="26">
        <v>428</v>
      </c>
      <c r="G5288" s="25" t="s">
        <v>293</v>
      </c>
      <c r="H5288" s="25"/>
      <c r="BA5288" s="73" t="s">
        <v>355</v>
      </c>
      <c r="BB5288" s="48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357</v>
      </c>
      <c r="E5289" s="1" t="s">
        <v>126</v>
      </c>
      <c r="F5289" s="26">
        <v>150</v>
      </c>
      <c r="G5289" s="25" t="s">
        <v>293</v>
      </c>
      <c r="H5289" s="25"/>
      <c r="BA5289" s="73" t="s">
        <v>355</v>
      </c>
      <c r="BB5289" s="48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357</v>
      </c>
      <c r="E5290" s="1" t="s">
        <v>349</v>
      </c>
      <c r="F5290" s="26">
        <v>384</v>
      </c>
      <c r="G5290" s="25" t="s">
        <v>293</v>
      </c>
      <c r="H5290" s="25"/>
      <c r="BA5290" s="73" t="s">
        <v>355</v>
      </c>
      <c r="BB5290" s="48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357</v>
      </c>
      <c r="E5291" s="1" t="s">
        <v>350</v>
      </c>
      <c r="F5291" s="26">
        <v>87</v>
      </c>
      <c r="G5291" s="25" t="s">
        <v>293</v>
      </c>
      <c r="H5291" s="25"/>
      <c r="BA5291" s="73" t="s">
        <v>355</v>
      </c>
      <c r="BB5291" s="48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357</v>
      </c>
      <c r="E5292" s="1" t="s">
        <v>122</v>
      </c>
      <c r="F5292" s="26">
        <v>212</v>
      </c>
      <c r="G5292" s="25" t="s">
        <v>293</v>
      </c>
      <c r="H5292" s="25"/>
      <c r="BA5292" s="73" t="s">
        <v>355</v>
      </c>
      <c r="BB5292" s="48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357</v>
      </c>
      <c r="E5293" s="1" t="s">
        <v>124</v>
      </c>
      <c r="F5293" s="26">
        <v>104</v>
      </c>
      <c r="G5293" s="25" t="s">
        <v>293</v>
      </c>
      <c r="H5293" s="25"/>
      <c r="BA5293" s="73" t="s">
        <v>355</v>
      </c>
      <c r="BB5293" s="48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357</v>
      </c>
      <c r="E5294" s="1" t="s">
        <v>351</v>
      </c>
      <c r="F5294" s="26">
        <v>3.38</v>
      </c>
      <c r="G5294" s="25" t="s">
        <v>293</v>
      </c>
      <c r="H5294" s="25"/>
      <c r="BA5294" s="73" t="s">
        <v>355</v>
      </c>
      <c r="BB5294" s="48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357</v>
      </c>
      <c r="E5295" s="1" t="s">
        <v>353</v>
      </c>
      <c r="F5295" s="26">
        <v>16.8</v>
      </c>
      <c r="G5295" s="25" t="s">
        <v>293</v>
      </c>
      <c r="H5295" s="25"/>
      <c r="BA5295" s="73" t="s">
        <v>355</v>
      </c>
      <c r="BB5295" s="48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357</v>
      </c>
      <c r="E5296" s="1" t="s">
        <v>133</v>
      </c>
      <c r="F5296" s="26">
        <v>128</v>
      </c>
      <c r="G5296" s="25" t="s">
        <v>293</v>
      </c>
      <c r="H5296" s="25"/>
      <c r="BA5296" s="73" t="s">
        <v>355</v>
      </c>
      <c r="BB5296" s="48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357</v>
      </c>
      <c r="E5297" s="1" t="s">
        <v>135</v>
      </c>
      <c r="F5297" s="26">
        <v>6.5</v>
      </c>
      <c r="G5297" s="25" t="s">
        <v>293</v>
      </c>
      <c r="H5297" s="25"/>
      <c r="BA5297" s="73" t="s">
        <v>355</v>
      </c>
      <c r="BB5297" s="48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357</v>
      </c>
      <c r="E5298" s="1" t="s">
        <v>136</v>
      </c>
      <c r="F5298" s="26">
        <v>97</v>
      </c>
      <c r="G5298" s="25" t="s">
        <v>293</v>
      </c>
      <c r="H5298" s="25"/>
      <c r="BA5298" s="73" t="s">
        <v>355</v>
      </c>
      <c r="BB5298" s="48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357</v>
      </c>
      <c r="E5299" s="1" t="s">
        <v>339</v>
      </c>
      <c r="F5299" s="26">
        <v>1.24</v>
      </c>
      <c r="G5299" s="25" t="s">
        <v>293</v>
      </c>
      <c r="H5299" s="25"/>
      <c r="BA5299" s="73" t="s">
        <v>355</v>
      </c>
      <c r="BB5299" s="48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357</v>
      </c>
      <c r="E5300" s="1" t="s">
        <v>118</v>
      </c>
      <c r="F5300" s="26">
        <v>9.5</v>
      </c>
      <c r="G5300" s="25" t="s">
        <v>293</v>
      </c>
      <c r="H5300" s="25"/>
      <c r="BA5300" s="73" t="s">
        <v>355</v>
      </c>
      <c r="BB5300" s="48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357</v>
      </c>
      <c r="E5301" s="1" t="s">
        <v>130</v>
      </c>
      <c r="F5301" s="26">
        <v>2.42</v>
      </c>
      <c r="G5301" s="25" t="s">
        <v>293</v>
      </c>
      <c r="H5301" s="25"/>
      <c r="BA5301" s="73" t="s">
        <v>355</v>
      </c>
      <c r="BB5301" s="48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357</v>
      </c>
      <c r="E5302" s="1" t="s">
        <v>341</v>
      </c>
      <c r="F5302" s="26">
        <v>1.19</v>
      </c>
      <c r="G5302" s="25" t="s">
        <v>293</v>
      </c>
      <c r="H5302" s="25"/>
      <c r="BA5302" s="73" t="s">
        <v>355</v>
      </c>
      <c r="BB5302" s="48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357</v>
      </c>
      <c r="E5303" s="1" t="s">
        <v>127</v>
      </c>
      <c r="F5303" s="26">
        <v>4.7149999999999999</v>
      </c>
      <c r="G5303" s="25" t="s">
        <v>293</v>
      </c>
      <c r="H5303" s="25"/>
      <c r="BA5303" s="73" t="s">
        <v>355</v>
      </c>
      <c r="BB5303" s="48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357</v>
      </c>
      <c r="E5304" s="1" t="s">
        <v>131</v>
      </c>
      <c r="F5304" s="26">
        <v>11.5</v>
      </c>
      <c r="G5304" s="25" t="s">
        <v>293</v>
      </c>
      <c r="H5304" s="25"/>
      <c r="BA5304" s="73" t="s">
        <v>355</v>
      </c>
      <c r="BB5304" s="48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357</v>
      </c>
      <c r="E5305" s="1" t="s">
        <v>342</v>
      </c>
      <c r="F5305" s="26">
        <v>183</v>
      </c>
      <c r="G5305" s="25" t="s">
        <v>293</v>
      </c>
      <c r="H5305" s="25"/>
      <c r="BA5305" s="73" t="s">
        <v>355</v>
      </c>
      <c r="BB5305" s="48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357</v>
      </c>
      <c r="E5306" s="1" t="s">
        <v>119</v>
      </c>
      <c r="F5306" s="26">
        <v>92</v>
      </c>
      <c r="G5306" s="25" t="s">
        <v>293</v>
      </c>
      <c r="H5306" s="25"/>
      <c r="BA5306" s="73" t="s">
        <v>355</v>
      </c>
      <c r="BB5306" s="48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357</v>
      </c>
      <c r="E5307" s="1" t="s">
        <v>120</v>
      </c>
      <c r="F5307" s="26">
        <v>27</v>
      </c>
      <c r="G5307" s="25" t="s">
        <v>293</v>
      </c>
      <c r="H5307" s="25"/>
      <c r="BA5307" s="73" t="s">
        <v>355</v>
      </c>
      <c r="BB5307" s="48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357</v>
      </c>
      <c r="E5308" s="1" t="s">
        <v>117</v>
      </c>
      <c r="F5308" s="26">
        <v>6.11</v>
      </c>
      <c r="G5308" s="25" t="s">
        <v>293</v>
      </c>
      <c r="H5308" s="25"/>
      <c r="BA5308" s="73" t="s">
        <v>355</v>
      </c>
      <c r="BB5308" s="48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357</v>
      </c>
      <c r="E5309" s="1" t="s">
        <v>344</v>
      </c>
      <c r="F5309" s="26">
        <v>69</v>
      </c>
      <c r="G5309" s="25" t="s">
        <v>293</v>
      </c>
      <c r="H5309" s="25"/>
      <c r="BA5309" s="73" t="s">
        <v>355</v>
      </c>
      <c r="BB5309" s="48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357</v>
      </c>
      <c r="E5310" s="1" t="s">
        <v>132</v>
      </c>
      <c r="F5310" s="26">
        <v>7.18</v>
      </c>
      <c r="G5310" s="25" t="s">
        <v>293</v>
      </c>
      <c r="H5310" s="25"/>
      <c r="BA5310" s="73" t="s">
        <v>355</v>
      </c>
      <c r="BB5310" s="48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357</v>
      </c>
      <c r="E5311" s="1" t="s">
        <v>111</v>
      </c>
      <c r="F5311" s="26">
        <v>283</v>
      </c>
      <c r="G5311" s="25" t="s">
        <v>293</v>
      </c>
      <c r="H5311" s="25"/>
      <c r="BA5311" s="73" t="s">
        <v>355</v>
      </c>
      <c r="BB5311" s="48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357</v>
      </c>
      <c r="E5312" s="1" t="s">
        <v>345</v>
      </c>
      <c r="F5312" s="26">
        <v>9.69</v>
      </c>
      <c r="G5312" s="25" t="s">
        <v>293</v>
      </c>
      <c r="H5312" s="25"/>
      <c r="BA5312" s="73" t="s">
        <v>355</v>
      </c>
      <c r="BB5312" s="48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357</v>
      </c>
      <c r="E5313" s="1" t="s">
        <v>347</v>
      </c>
      <c r="F5313" s="26">
        <v>4.6900000000000004</v>
      </c>
      <c r="G5313" s="25" t="s">
        <v>293</v>
      </c>
      <c r="H5313" s="25"/>
      <c r="BA5313" s="73" t="s">
        <v>355</v>
      </c>
      <c r="BB5313" s="48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357</v>
      </c>
      <c r="E5314" s="1" t="s">
        <v>128</v>
      </c>
      <c r="F5314" s="26">
        <v>4.4000000000000004</v>
      </c>
      <c r="G5314" s="25" t="s">
        <v>293</v>
      </c>
      <c r="H5314" s="25"/>
      <c r="BA5314" s="73" t="s">
        <v>355</v>
      </c>
      <c r="BB5314" s="48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357</v>
      </c>
      <c r="E5315" s="1" t="s">
        <v>121</v>
      </c>
      <c r="F5315" s="26">
        <v>82</v>
      </c>
      <c r="G5315" s="25" t="s">
        <v>293</v>
      </c>
      <c r="H5315" s="25"/>
      <c r="BA5315" s="73" t="s">
        <v>355</v>
      </c>
      <c r="BB5315" s="48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357</v>
      </c>
      <c r="E5316" s="1" t="s">
        <v>115</v>
      </c>
      <c r="F5316" s="26">
        <v>92</v>
      </c>
      <c r="G5316" s="25" t="s">
        <v>293</v>
      </c>
      <c r="H5316" s="25"/>
      <c r="BA5316" s="73" t="s">
        <v>355</v>
      </c>
      <c r="BB5316" s="48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357</v>
      </c>
      <c r="E5317" s="1" t="s">
        <v>137</v>
      </c>
      <c r="F5317" s="26">
        <v>483</v>
      </c>
      <c r="G5317" s="25" t="s">
        <v>293</v>
      </c>
      <c r="H5317" s="25"/>
      <c r="BA5317" s="73" t="s">
        <v>355</v>
      </c>
      <c r="BB5317" s="48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357</v>
      </c>
      <c r="E5318" s="1" t="s">
        <v>348</v>
      </c>
      <c r="F5318" s="26">
        <v>424</v>
      </c>
      <c r="G5318" s="25" t="s">
        <v>293</v>
      </c>
      <c r="H5318" s="25"/>
      <c r="BA5318" s="73" t="s">
        <v>355</v>
      </c>
      <c r="BB5318" s="48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357</v>
      </c>
      <c r="E5319" s="1" t="s">
        <v>125</v>
      </c>
      <c r="F5319" s="26">
        <v>422</v>
      </c>
      <c r="G5319" s="25" t="s">
        <v>293</v>
      </c>
      <c r="H5319" s="25"/>
      <c r="BA5319" s="73" t="s">
        <v>355</v>
      </c>
      <c r="BB5319" s="48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357</v>
      </c>
      <c r="E5320" s="1" t="s">
        <v>126</v>
      </c>
      <c r="F5320" s="26">
        <v>153</v>
      </c>
      <c r="G5320" s="25" t="s">
        <v>293</v>
      </c>
      <c r="H5320" s="25"/>
      <c r="BA5320" s="73" t="s">
        <v>355</v>
      </c>
      <c r="BB5320" s="48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357</v>
      </c>
      <c r="E5321" s="1" t="s">
        <v>349</v>
      </c>
      <c r="F5321" s="26">
        <v>370</v>
      </c>
      <c r="G5321" s="25" t="s">
        <v>293</v>
      </c>
      <c r="H5321" s="25"/>
      <c r="BA5321" s="73" t="s">
        <v>355</v>
      </c>
      <c r="BB5321" s="48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357</v>
      </c>
      <c r="E5322" s="1" t="s">
        <v>350</v>
      </c>
      <c r="F5322" s="26">
        <v>88</v>
      </c>
      <c r="G5322" s="25" t="s">
        <v>293</v>
      </c>
      <c r="H5322" s="25"/>
      <c r="BA5322" s="73" t="s">
        <v>355</v>
      </c>
      <c r="BB5322" s="48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357</v>
      </c>
      <c r="E5323" s="1" t="s">
        <v>122</v>
      </c>
      <c r="F5323" s="26">
        <v>216</v>
      </c>
      <c r="G5323" s="25" t="s">
        <v>293</v>
      </c>
      <c r="H5323" s="25"/>
      <c r="BA5323" s="73" t="s">
        <v>355</v>
      </c>
      <c r="BB5323" s="48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357</v>
      </c>
      <c r="E5324" s="1" t="s">
        <v>124</v>
      </c>
      <c r="F5324" s="26">
        <v>103</v>
      </c>
      <c r="G5324" s="25" t="s">
        <v>293</v>
      </c>
      <c r="H5324" s="25"/>
      <c r="BA5324" s="73" t="s">
        <v>355</v>
      </c>
      <c r="BB5324" s="48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357</v>
      </c>
      <c r="E5325" s="1" t="s">
        <v>351</v>
      </c>
      <c r="F5325" s="26">
        <v>3.71</v>
      </c>
      <c r="G5325" s="25" t="s">
        <v>293</v>
      </c>
      <c r="H5325" s="25"/>
      <c r="BA5325" s="73" t="s">
        <v>355</v>
      </c>
      <c r="BB5325" s="48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357</v>
      </c>
      <c r="E5326" s="1" t="s">
        <v>353</v>
      </c>
      <c r="F5326" s="26">
        <v>22.5</v>
      </c>
      <c r="G5326" s="25" t="s">
        <v>293</v>
      </c>
      <c r="H5326" s="25"/>
      <c r="BA5326" s="73" t="s">
        <v>355</v>
      </c>
      <c r="BB5326" s="48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357</v>
      </c>
      <c r="E5327" s="1" t="s">
        <v>133</v>
      </c>
      <c r="F5327" s="26">
        <v>127</v>
      </c>
      <c r="G5327" s="25" t="s">
        <v>293</v>
      </c>
      <c r="H5327" s="25"/>
      <c r="BA5327" s="73" t="s">
        <v>355</v>
      </c>
      <c r="BB5327" s="48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357</v>
      </c>
      <c r="E5328" s="1" t="s">
        <v>135</v>
      </c>
      <c r="F5328" s="26">
        <v>6.5</v>
      </c>
      <c r="G5328" s="25" t="s">
        <v>293</v>
      </c>
      <c r="H5328" s="25"/>
      <c r="BA5328" s="73" t="s">
        <v>355</v>
      </c>
      <c r="BB5328" s="48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357</v>
      </c>
      <c r="E5329" s="1" t="s">
        <v>136</v>
      </c>
      <c r="F5329" s="26">
        <v>96</v>
      </c>
      <c r="G5329" s="25" t="s">
        <v>293</v>
      </c>
      <c r="H5329" s="25"/>
      <c r="BA5329" s="73" t="s">
        <v>355</v>
      </c>
      <c r="BB5329" s="48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357</v>
      </c>
      <c r="E5330" s="1" t="s">
        <v>339</v>
      </c>
      <c r="F5330" s="26">
        <v>1.1000000000000001</v>
      </c>
      <c r="G5330" s="25" t="s">
        <v>293</v>
      </c>
      <c r="H5330" s="25"/>
      <c r="BA5330" s="73" t="s">
        <v>355</v>
      </c>
      <c r="BB5330" s="48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357</v>
      </c>
      <c r="E5331" s="1" t="s">
        <v>118</v>
      </c>
      <c r="F5331" s="26">
        <v>9.5</v>
      </c>
      <c r="G5331" s="25" t="s">
        <v>293</v>
      </c>
      <c r="H5331" s="25"/>
      <c r="BA5331" s="73" t="s">
        <v>355</v>
      </c>
      <c r="BB5331" s="48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357</v>
      </c>
      <c r="E5332" s="1" t="s">
        <v>130</v>
      </c>
      <c r="F5332" s="26">
        <v>2.39</v>
      </c>
      <c r="G5332" s="25" t="s">
        <v>293</v>
      </c>
      <c r="H5332" s="25"/>
      <c r="BA5332" s="73" t="s">
        <v>355</v>
      </c>
      <c r="BB5332" s="48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357</v>
      </c>
      <c r="E5333" s="1" t="s">
        <v>341</v>
      </c>
      <c r="F5333" s="26">
        <v>1.206</v>
      </c>
      <c r="G5333" s="25" t="s">
        <v>293</v>
      </c>
      <c r="H5333" s="25"/>
      <c r="BA5333" s="73" t="s">
        <v>355</v>
      </c>
      <c r="BB5333" s="48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357</v>
      </c>
      <c r="E5334" s="1" t="s">
        <v>127</v>
      </c>
      <c r="F5334" s="26">
        <v>4.6989999999999998</v>
      </c>
      <c r="G5334" s="25" t="s">
        <v>293</v>
      </c>
      <c r="H5334" s="25"/>
      <c r="BA5334" s="73" t="s">
        <v>355</v>
      </c>
      <c r="BB5334" s="48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357</v>
      </c>
      <c r="E5335" s="1" t="s">
        <v>131</v>
      </c>
      <c r="F5335" s="26">
        <v>11.7</v>
      </c>
      <c r="G5335" s="25" t="s">
        <v>293</v>
      </c>
      <c r="H5335" s="25"/>
      <c r="BA5335" s="73" t="s">
        <v>355</v>
      </c>
      <c r="BB5335" s="48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357</v>
      </c>
      <c r="E5336" s="1" t="s">
        <v>342</v>
      </c>
      <c r="F5336" s="26">
        <v>182</v>
      </c>
      <c r="G5336" s="25" t="s">
        <v>293</v>
      </c>
      <c r="H5336" s="25"/>
      <c r="BA5336" s="73" t="s">
        <v>355</v>
      </c>
      <c r="BB5336" s="48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357</v>
      </c>
      <c r="E5337" s="1" t="s">
        <v>119</v>
      </c>
      <c r="F5337" s="26">
        <v>91</v>
      </c>
      <c r="G5337" s="25" t="s">
        <v>293</v>
      </c>
      <c r="H5337" s="25"/>
      <c r="BA5337" s="73" t="s">
        <v>355</v>
      </c>
      <c r="BB5337" s="48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357</v>
      </c>
      <c r="E5338" s="1" t="s">
        <v>120</v>
      </c>
      <c r="F5338" s="26">
        <v>27</v>
      </c>
      <c r="G5338" s="25" t="s">
        <v>293</v>
      </c>
      <c r="H5338" s="25"/>
      <c r="BA5338" s="73" t="s">
        <v>355</v>
      </c>
      <c r="BB5338" s="48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357</v>
      </c>
      <c r="E5339" s="1" t="s">
        <v>117</v>
      </c>
      <c r="F5339" s="26">
        <v>6.37</v>
      </c>
      <c r="G5339" s="25" t="s">
        <v>293</v>
      </c>
      <c r="H5339" s="25"/>
      <c r="BA5339" s="73" t="s">
        <v>355</v>
      </c>
      <c r="BB5339" s="48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357</v>
      </c>
      <c r="E5340" s="1" t="s">
        <v>344</v>
      </c>
      <c r="F5340" s="26">
        <v>71</v>
      </c>
      <c r="G5340" s="25" t="s">
        <v>293</v>
      </c>
      <c r="H5340" s="25"/>
      <c r="BA5340" s="73" t="s">
        <v>355</v>
      </c>
      <c r="BB5340" s="48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357</v>
      </c>
      <c r="E5341" s="1" t="s">
        <v>132</v>
      </c>
      <c r="F5341" s="26">
        <v>7.1</v>
      </c>
      <c r="G5341" s="25" t="s">
        <v>293</v>
      </c>
      <c r="H5341" s="25"/>
      <c r="BA5341" s="73" t="s">
        <v>355</v>
      </c>
      <c r="BB5341" s="48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357</v>
      </c>
      <c r="E5342" s="1" t="s">
        <v>111</v>
      </c>
      <c r="F5342" s="26">
        <v>281</v>
      </c>
      <c r="G5342" s="25" t="s">
        <v>293</v>
      </c>
      <c r="H5342" s="25"/>
      <c r="BA5342" s="73" t="s">
        <v>355</v>
      </c>
      <c r="BB5342" s="48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357</v>
      </c>
      <c r="E5343" s="1" t="s">
        <v>345</v>
      </c>
      <c r="F5343" s="26">
        <v>5.27</v>
      </c>
      <c r="G5343" s="25" t="s">
        <v>293</v>
      </c>
      <c r="H5343" s="25"/>
      <c r="BA5343" s="73" t="s">
        <v>355</v>
      </c>
      <c r="BB5343" s="48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357</v>
      </c>
      <c r="E5344" s="1" t="s">
        <v>347</v>
      </c>
      <c r="F5344" s="26">
        <v>4.49</v>
      </c>
      <c r="G5344" s="25" t="s">
        <v>293</v>
      </c>
      <c r="H5344" s="25"/>
      <c r="BA5344" s="73" t="s">
        <v>355</v>
      </c>
      <c r="BB5344" s="48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357</v>
      </c>
      <c r="E5345" s="1" t="s">
        <v>128</v>
      </c>
      <c r="F5345" s="26">
        <v>4.5999999999999996</v>
      </c>
      <c r="G5345" s="25" t="s">
        <v>293</v>
      </c>
      <c r="H5345" s="25"/>
      <c r="BA5345" s="73" t="s">
        <v>355</v>
      </c>
      <c r="BB5345" s="48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357</v>
      </c>
      <c r="E5346" s="1" t="s">
        <v>121</v>
      </c>
      <c r="F5346" s="26">
        <v>78</v>
      </c>
      <c r="G5346" s="25" t="s">
        <v>293</v>
      </c>
      <c r="H5346" s="25"/>
      <c r="BA5346" s="73" t="s">
        <v>355</v>
      </c>
      <c r="BB5346" s="48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357</v>
      </c>
      <c r="E5347" s="1" t="s">
        <v>115</v>
      </c>
      <c r="F5347" s="26">
        <v>94</v>
      </c>
      <c r="G5347" s="25" t="s">
        <v>293</v>
      </c>
      <c r="H5347" s="25"/>
      <c r="BA5347" s="73" t="s">
        <v>355</v>
      </c>
      <c r="BB5347" s="48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357</v>
      </c>
      <c r="E5348" s="1" t="s">
        <v>137</v>
      </c>
      <c r="F5348" s="26">
        <v>483</v>
      </c>
      <c r="G5348" s="25" t="s">
        <v>293</v>
      </c>
      <c r="H5348" s="25"/>
      <c r="BA5348" s="73" t="s">
        <v>355</v>
      </c>
      <c r="BB5348" s="48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357</v>
      </c>
      <c r="E5349" s="1" t="s">
        <v>348</v>
      </c>
      <c r="F5349" s="26">
        <v>422</v>
      </c>
      <c r="G5349" s="25" t="s">
        <v>293</v>
      </c>
      <c r="H5349" s="25"/>
      <c r="BA5349" s="73" t="s">
        <v>355</v>
      </c>
      <c r="BB5349" s="48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357</v>
      </c>
      <c r="E5350" s="1" t="s">
        <v>125</v>
      </c>
      <c r="F5350" s="26">
        <v>430</v>
      </c>
      <c r="G5350" s="25" t="s">
        <v>293</v>
      </c>
      <c r="H5350" s="25"/>
      <c r="BA5350" s="73" t="s">
        <v>355</v>
      </c>
      <c r="BB5350" s="48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357</v>
      </c>
      <c r="E5351" s="1" t="s">
        <v>126</v>
      </c>
      <c r="F5351" s="26">
        <v>154</v>
      </c>
      <c r="G5351" s="25" t="s">
        <v>293</v>
      </c>
      <c r="H5351" s="25"/>
      <c r="BA5351" s="73" t="s">
        <v>355</v>
      </c>
      <c r="BB5351" s="48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357</v>
      </c>
      <c r="E5352" s="1" t="s">
        <v>349</v>
      </c>
      <c r="F5352" s="26">
        <v>361</v>
      </c>
      <c r="G5352" s="25" t="s">
        <v>293</v>
      </c>
      <c r="H5352" s="25"/>
      <c r="BA5352" s="73" t="s">
        <v>355</v>
      </c>
      <c r="BB5352" s="48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357</v>
      </c>
      <c r="E5353" s="1" t="s">
        <v>350</v>
      </c>
      <c r="F5353" s="26">
        <v>86</v>
      </c>
      <c r="G5353" s="25" t="s">
        <v>293</v>
      </c>
      <c r="H5353" s="25"/>
      <c r="BA5353" s="73" t="s">
        <v>355</v>
      </c>
      <c r="BB5353" s="48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357</v>
      </c>
      <c r="E5354" s="1" t="s">
        <v>122</v>
      </c>
      <c r="F5354" s="26">
        <v>219</v>
      </c>
      <c r="G5354" s="25" t="s">
        <v>293</v>
      </c>
      <c r="H5354" s="25"/>
      <c r="BA5354" s="73" t="s">
        <v>355</v>
      </c>
      <c r="BB5354" s="48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357</v>
      </c>
      <c r="E5355" s="1" t="s">
        <v>124</v>
      </c>
      <c r="F5355" s="26">
        <v>100</v>
      </c>
      <c r="G5355" s="25" t="s">
        <v>293</v>
      </c>
      <c r="H5355" s="25"/>
      <c r="BA5355" s="73" t="s">
        <v>355</v>
      </c>
      <c r="BB5355" s="48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357</v>
      </c>
      <c r="E5356" s="1" t="s">
        <v>351</v>
      </c>
      <c r="F5356" s="26">
        <v>3.77</v>
      </c>
      <c r="G5356" s="25" t="s">
        <v>293</v>
      </c>
      <c r="H5356" s="25"/>
      <c r="BA5356" s="73" t="s">
        <v>355</v>
      </c>
      <c r="BB5356" s="48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357</v>
      </c>
      <c r="E5357" s="1" t="s">
        <v>353</v>
      </c>
      <c r="F5357" s="26">
        <v>16</v>
      </c>
      <c r="G5357" s="25" t="s">
        <v>293</v>
      </c>
      <c r="H5357" s="25"/>
      <c r="BA5357" s="73" t="s">
        <v>355</v>
      </c>
      <c r="BB5357" s="48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357</v>
      </c>
      <c r="E5358" s="1" t="s">
        <v>133</v>
      </c>
      <c r="F5358" s="26">
        <v>128</v>
      </c>
      <c r="G5358" s="25" t="s">
        <v>293</v>
      </c>
      <c r="H5358" s="25"/>
      <c r="BA5358" s="73" t="s">
        <v>355</v>
      </c>
      <c r="BB5358" s="48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357</v>
      </c>
      <c r="E5359" s="1" t="s">
        <v>135</v>
      </c>
      <c r="F5359" s="26">
        <v>6.6</v>
      </c>
      <c r="G5359" s="25" t="s">
        <v>293</v>
      </c>
      <c r="H5359" s="25"/>
      <c r="BA5359" s="73" t="s">
        <v>355</v>
      </c>
      <c r="BB5359" s="48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357</v>
      </c>
      <c r="E5360" s="1" t="s">
        <v>136</v>
      </c>
      <c r="F5360" s="26">
        <v>93</v>
      </c>
      <c r="G5360" s="25" t="s">
        <v>293</v>
      </c>
      <c r="H5360" s="25"/>
      <c r="BA5360" s="73" t="s">
        <v>355</v>
      </c>
      <c r="BB5360" s="48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357</v>
      </c>
      <c r="E5361" s="1" t="s">
        <v>339</v>
      </c>
      <c r="F5361" s="26">
        <v>1.37</v>
      </c>
      <c r="G5361" s="25" t="s">
        <v>293</v>
      </c>
      <c r="H5361" s="25"/>
      <c r="BA5361" s="73" t="s">
        <v>355</v>
      </c>
      <c r="BB5361" s="48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357</v>
      </c>
      <c r="E5362" s="1" t="s">
        <v>118</v>
      </c>
      <c r="F5362" s="26">
        <v>9.6</v>
      </c>
      <c r="G5362" s="25" t="s">
        <v>293</v>
      </c>
      <c r="H5362" s="25"/>
      <c r="BA5362" s="73" t="s">
        <v>355</v>
      </c>
      <c r="BB5362" s="48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357</v>
      </c>
      <c r="E5363" s="1" t="s">
        <v>130</v>
      </c>
      <c r="F5363" s="26">
        <v>2.46</v>
      </c>
      <c r="G5363" s="25" t="s">
        <v>293</v>
      </c>
      <c r="H5363" s="25"/>
      <c r="BA5363" s="73" t="s">
        <v>355</v>
      </c>
      <c r="BB5363" s="48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357</v>
      </c>
      <c r="E5364" s="1" t="s">
        <v>341</v>
      </c>
      <c r="F5364" s="26">
        <v>1.1679999999999999</v>
      </c>
      <c r="G5364" s="25" t="s">
        <v>293</v>
      </c>
      <c r="H5364" s="25"/>
      <c r="BA5364" s="73" t="s">
        <v>355</v>
      </c>
      <c r="BB5364" s="48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357</v>
      </c>
      <c r="E5365" s="1" t="s">
        <v>127</v>
      </c>
      <c r="F5365" s="26">
        <v>4.673</v>
      </c>
      <c r="G5365" s="25" t="s">
        <v>293</v>
      </c>
      <c r="H5365" s="25"/>
      <c r="BA5365" s="73" t="s">
        <v>355</v>
      </c>
      <c r="BB5365" s="48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357</v>
      </c>
      <c r="E5366" s="1" t="s">
        <v>131</v>
      </c>
      <c r="F5366" s="26">
        <v>11.7</v>
      </c>
      <c r="G5366" s="25" t="s">
        <v>293</v>
      </c>
      <c r="H5366" s="25"/>
      <c r="BA5366" s="73" t="s">
        <v>355</v>
      </c>
      <c r="BB5366" s="48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357</v>
      </c>
      <c r="E5367" s="1" t="s">
        <v>342</v>
      </c>
      <c r="F5367" s="26">
        <v>171</v>
      </c>
      <c r="G5367" s="25" t="s">
        <v>293</v>
      </c>
      <c r="H5367" s="25"/>
      <c r="BA5367" s="73" t="s">
        <v>355</v>
      </c>
      <c r="BB5367" s="48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357</v>
      </c>
      <c r="E5368" s="1" t="s">
        <v>119</v>
      </c>
      <c r="F5368" s="26">
        <v>92</v>
      </c>
      <c r="G5368" s="25" t="s">
        <v>293</v>
      </c>
      <c r="H5368" s="25"/>
      <c r="BA5368" s="73" t="s">
        <v>355</v>
      </c>
      <c r="BB5368" s="48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357</v>
      </c>
      <c r="E5369" s="1" t="s">
        <v>120</v>
      </c>
      <c r="F5369" s="26">
        <v>26</v>
      </c>
      <c r="G5369" s="25" t="s">
        <v>293</v>
      </c>
      <c r="H5369" s="25"/>
      <c r="BA5369" s="73" t="s">
        <v>355</v>
      </c>
      <c r="BB5369" s="48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357</v>
      </c>
      <c r="E5370" s="1" t="s">
        <v>117</v>
      </c>
      <c r="F5370" s="26">
        <v>6.21</v>
      </c>
      <c r="G5370" s="25" t="s">
        <v>293</v>
      </c>
      <c r="H5370" s="25"/>
      <c r="BA5370" s="73" t="s">
        <v>355</v>
      </c>
      <c r="BB5370" s="48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357</v>
      </c>
      <c r="E5371" s="1" t="s">
        <v>344</v>
      </c>
      <c r="F5371" s="26">
        <v>70</v>
      </c>
      <c r="G5371" s="25" t="s">
        <v>293</v>
      </c>
      <c r="H5371" s="25"/>
      <c r="BA5371" s="73" t="s">
        <v>355</v>
      </c>
      <c r="BB5371" s="48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357</v>
      </c>
      <c r="E5372" s="1" t="s">
        <v>132</v>
      </c>
      <c r="F5372" s="26">
        <v>7.07</v>
      </c>
      <c r="G5372" s="25" t="s">
        <v>293</v>
      </c>
      <c r="H5372" s="25"/>
      <c r="BA5372" s="73" t="s">
        <v>355</v>
      </c>
      <c r="BB5372" s="48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357</v>
      </c>
      <c r="E5373" s="1" t="s">
        <v>111</v>
      </c>
      <c r="F5373" s="26">
        <v>279</v>
      </c>
      <c r="G5373" s="25" t="s">
        <v>293</v>
      </c>
      <c r="H5373" s="25"/>
      <c r="BA5373" s="73" t="s">
        <v>355</v>
      </c>
      <c r="BB5373" s="48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357</v>
      </c>
      <c r="E5374" s="1" t="s">
        <v>345</v>
      </c>
      <c r="F5374" s="26">
        <v>9.84</v>
      </c>
      <c r="G5374" s="25" t="s">
        <v>293</v>
      </c>
      <c r="H5374" s="25"/>
      <c r="BA5374" s="73" t="s">
        <v>355</v>
      </c>
      <c r="BB5374" s="48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357</v>
      </c>
      <c r="E5375" s="1" t="s">
        <v>347</v>
      </c>
      <c r="F5375" s="26">
        <v>4.5599999999999996</v>
      </c>
      <c r="G5375" s="25" t="s">
        <v>293</v>
      </c>
      <c r="H5375" s="25"/>
      <c r="BA5375" s="73" t="s">
        <v>355</v>
      </c>
      <c r="BB5375" s="48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357</v>
      </c>
      <c r="E5376" s="1" t="s">
        <v>128</v>
      </c>
      <c r="F5376" s="26">
        <v>4.5999999999999996</v>
      </c>
      <c r="G5376" s="25" t="s">
        <v>293</v>
      </c>
      <c r="H5376" s="25"/>
      <c r="BA5376" s="73" t="s">
        <v>355</v>
      </c>
      <c r="BB5376" s="48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357</v>
      </c>
      <c r="E5377" s="1" t="s">
        <v>121</v>
      </c>
      <c r="F5377" s="26">
        <v>79</v>
      </c>
      <c r="G5377" s="25" t="s">
        <v>293</v>
      </c>
      <c r="H5377" s="25"/>
      <c r="BA5377" s="73" t="s">
        <v>355</v>
      </c>
      <c r="BB5377" s="48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357</v>
      </c>
      <c r="E5378" s="1" t="s">
        <v>115</v>
      </c>
      <c r="F5378" s="26">
        <v>91</v>
      </c>
      <c r="G5378" s="25" t="s">
        <v>293</v>
      </c>
      <c r="H5378" s="25"/>
      <c r="BA5378" s="73" t="s">
        <v>355</v>
      </c>
      <c r="BB5378" s="48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357</v>
      </c>
      <c r="E5379" s="1" t="s">
        <v>137</v>
      </c>
      <c r="F5379" s="26">
        <v>482</v>
      </c>
      <c r="G5379" s="25" t="s">
        <v>293</v>
      </c>
      <c r="H5379" s="25"/>
      <c r="BA5379" s="73" t="s">
        <v>355</v>
      </c>
      <c r="BB5379" s="48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357</v>
      </c>
      <c r="E5380" s="1" t="s">
        <v>348</v>
      </c>
      <c r="F5380" s="26">
        <v>418</v>
      </c>
      <c r="G5380" s="25" t="s">
        <v>293</v>
      </c>
      <c r="H5380" s="25"/>
      <c r="BA5380" s="73" t="s">
        <v>355</v>
      </c>
      <c r="BB5380" s="48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357</v>
      </c>
      <c r="E5381" s="1" t="s">
        <v>125</v>
      </c>
      <c r="F5381" s="26">
        <v>427</v>
      </c>
      <c r="G5381" s="25" t="s">
        <v>293</v>
      </c>
      <c r="H5381" s="25"/>
      <c r="BA5381" s="73" t="s">
        <v>355</v>
      </c>
      <c r="BB5381" s="48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357</v>
      </c>
      <c r="E5382" s="1" t="s">
        <v>126</v>
      </c>
      <c r="F5382" s="26">
        <v>155</v>
      </c>
      <c r="G5382" s="25" t="s">
        <v>293</v>
      </c>
      <c r="H5382" s="25"/>
      <c r="BA5382" s="73" t="s">
        <v>355</v>
      </c>
      <c r="BB5382" s="48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357</v>
      </c>
      <c r="E5383" s="1" t="s">
        <v>349</v>
      </c>
      <c r="F5383" s="26">
        <v>380</v>
      </c>
      <c r="G5383" s="25" t="s">
        <v>293</v>
      </c>
      <c r="H5383" s="25"/>
      <c r="BA5383" s="73" t="s">
        <v>355</v>
      </c>
      <c r="BB5383" s="48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357</v>
      </c>
      <c r="E5384" s="1" t="s">
        <v>350</v>
      </c>
      <c r="F5384" s="26">
        <v>87</v>
      </c>
      <c r="G5384" s="25" t="s">
        <v>293</v>
      </c>
      <c r="H5384" s="25"/>
      <c r="BA5384" s="73" t="s">
        <v>355</v>
      </c>
      <c r="BB5384" s="48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357</v>
      </c>
      <c r="E5385" s="1" t="s">
        <v>122</v>
      </c>
      <c r="F5385" s="26">
        <v>218</v>
      </c>
      <c r="G5385" s="25" t="s">
        <v>293</v>
      </c>
      <c r="H5385" s="25"/>
      <c r="BA5385" s="73" t="s">
        <v>355</v>
      </c>
      <c r="BB5385" s="48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357</v>
      </c>
      <c r="E5386" s="1" t="s">
        <v>124</v>
      </c>
      <c r="F5386" s="26">
        <v>100</v>
      </c>
      <c r="G5386" s="25" t="s">
        <v>293</v>
      </c>
      <c r="H5386" s="25"/>
      <c r="BA5386" s="73" t="s">
        <v>355</v>
      </c>
      <c r="BB5386" s="48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357</v>
      </c>
      <c r="E5387" s="1" t="s">
        <v>351</v>
      </c>
      <c r="F5387" s="26">
        <v>3.63</v>
      </c>
      <c r="G5387" s="25" t="s">
        <v>293</v>
      </c>
      <c r="H5387" s="25"/>
      <c r="BA5387" s="73" t="s">
        <v>355</v>
      </c>
      <c r="BB5387" s="48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357</v>
      </c>
      <c r="E5388" s="1" t="s">
        <v>353</v>
      </c>
      <c r="F5388" s="26">
        <v>18.399999999999999</v>
      </c>
      <c r="G5388" s="25" t="s">
        <v>293</v>
      </c>
      <c r="H5388" s="25"/>
      <c r="BA5388" s="73" t="s">
        <v>355</v>
      </c>
      <c r="BB5388" s="48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357</v>
      </c>
      <c r="E5389" s="1" t="s">
        <v>133</v>
      </c>
      <c r="F5389" s="26">
        <v>127</v>
      </c>
      <c r="G5389" s="25" t="s">
        <v>293</v>
      </c>
      <c r="H5389" s="25"/>
      <c r="BA5389" s="73" t="s">
        <v>355</v>
      </c>
      <c r="BB5389" s="48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357</v>
      </c>
      <c r="E5390" s="1" t="s">
        <v>135</v>
      </c>
      <c r="F5390" s="26">
        <v>6.5</v>
      </c>
      <c r="G5390" s="25" t="s">
        <v>293</v>
      </c>
      <c r="H5390" s="25"/>
      <c r="BA5390" s="73" t="s">
        <v>355</v>
      </c>
      <c r="BB5390" s="48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357</v>
      </c>
      <c r="E5391" s="1" t="s">
        <v>136</v>
      </c>
      <c r="F5391" s="26">
        <v>93</v>
      </c>
      <c r="G5391" s="25" t="s">
        <v>293</v>
      </c>
      <c r="H5391" s="25"/>
      <c r="BA5391" s="73" t="s">
        <v>355</v>
      </c>
      <c r="BB5391" s="48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357</v>
      </c>
      <c r="E5392" s="1" t="s">
        <v>339</v>
      </c>
      <c r="F5392" s="26">
        <v>1.27</v>
      </c>
      <c r="G5392" s="25" t="s">
        <v>293</v>
      </c>
      <c r="H5392" s="25"/>
      <c r="BA5392" s="73" t="s">
        <v>355</v>
      </c>
      <c r="BB5392" s="48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357</v>
      </c>
      <c r="E5393" s="1" t="s">
        <v>118</v>
      </c>
      <c r="F5393" s="26">
        <v>9.5</v>
      </c>
      <c r="G5393" s="25" t="s">
        <v>293</v>
      </c>
      <c r="H5393" s="25"/>
      <c r="BA5393" s="73" t="s">
        <v>355</v>
      </c>
      <c r="BB5393" s="48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357</v>
      </c>
      <c r="E5394" s="1" t="s">
        <v>130</v>
      </c>
      <c r="F5394" s="26">
        <v>2.41</v>
      </c>
      <c r="G5394" s="25" t="s">
        <v>293</v>
      </c>
      <c r="H5394" s="25"/>
      <c r="BA5394" s="73" t="s">
        <v>355</v>
      </c>
      <c r="BB5394" s="48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357</v>
      </c>
      <c r="E5395" s="1" t="s">
        <v>341</v>
      </c>
      <c r="F5395" s="26">
        <v>1.238</v>
      </c>
      <c r="G5395" s="25" t="s">
        <v>293</v>
      </c>
      <c r="H5395" s="25"/>
      <c r="BA5395" s="73" t="s">
        <v>355</v>
      </c>
      <c r="BB5395" s="48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357</v>
      </c>
      <c r="E5396" s="1" t="s">
        <v>127</v>
      </c>
      <c r="F5396" s="26">
        <v>4.7439999999999998</v>
      </c>
      <c r="G5396" s="25" t="s">
        <v>293</v>
      </c>
      <c r="H5396" s="25"/>
      <c r="BA5396" s="73" t="s">
        <v>355</v>
      </c>
      <c r="BB5396" s="48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357</v>
      </c>
      <c r="E5397" s="1" t="s">
        <v>131</v>
      </c>
      <c r="F5397" s="26">
        <v>11.6</v>
      </c>
      <c r="G5397" s="25" t="s">
        <v>293</v>
      </c>
      <c r="H5397" s="25"/>
      <c r="BA5397" s="73" t="s">
        <v>355</v>
      </c>
      <c r="BB5397" s="48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357</v>
      </c>
      <c r="E5398" s="1" t="s">
        <v>342</v>
      </c>
      <c r="F5398" s="26">
        <v>183</v>
      </c>
      <c r="G5398" s="25" t="s">
        <v>293</v>
      </c>
      <c r="H5398" s="25"/>
      <c r="BA5398" s="73" t="s">
        <v>355</v>
      </c>
      <c r="BB5398" s="48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357</v>
      </c>
      <c r="E5399" s="1" t="s">
        <v>119</v>
      </c>
      <c r="F5399" s="26">
        <v>94</v>
      </c>
      <c r="G5399" s="25" t="s">
        <v>293</v>
      </c>
      <c r="H5399" s="25"/>
      <c r="BA5399" s="73" t="s">
        <v>355</v>
      </c>
      <c r="BB5399" s="48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357</v>
      </c>
      <c r="E5400" s="1" t="s">
        <v>120</v>
      </c>
      <c r="F5400" s="26">
        <v>26</v>
      </c>
      <c r="G5400" s="25" t="s">
        <v>293</v>
      </c>
      <c r="H5400" s="25"/>
      <c r="BA5400" s="73" t="s">
        <v>355</v>
      </c>
      <c r="BB5400" s="48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357</v>
      </c>
      <c r="E5401" s="1" t="s">
        <v>117</v>
      </c>
      <c r="F5401" s="26">
        <v>6.37</v>
      </c>
      <c r="G5401" s="25" t="s">
        <v>293</v>
      </c>
      <c r="H5401" s="25"/>
      <c r="BA5401" s="73" t="s">
        <v>355</v>
      </c>
      <c r="BB5401" s="48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357</v>
      </c>
      <c r="E5402" s="1" t="s">
        <v>344</v>
      </c>
      <c r="F5402" s="26">
        <v>69</v>
      </c>
      <c r="G5402" s="25" t="s">
        <v>293</v>
      </c>
      <c r="H5402" s="25"/>
      <c r="BA5402" s="73" t="s">
        <v>355</v>
      </c>
      <c r="BB5402" s="48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357</v>
      </c>
      <c r="E5403" s="1" t="s">
        <v>132</v>
      </c>
      <c r="F5403" s="26">
        <v>7.09</v>
      </c>
      <c r="G5403" s="25" t="s">
        <v>293</v>
      </c>
      <c r="H5403" s="25"/>
      <c r="BA5403" s="73" t="s">
        <v>355</v>
      </c>
      <c r="BB5403" s="48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357</v>
      </c>
      <c r="E5404" s="1" t="s">
        <v>111</v>
      </c>
      <c r="F5404" s="26">
        <v>279</v>
      </c>
      <c r="G5404" s="25" t="s">
        <v>293</v>
      </c>
      <c r="H5404" s="25"/>
      <c r="BA5404" s="73" t="s">
        <v>355</v>
      </c>
      <c r="BB5404" s="48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357</v>
      </c>
      <c r="E5405" s="1" t="s">
        <v>345</v>
      </c>
      <c r="F5405" s="26">
        <v>9.9600000000000009</v>
      </c>
      <c r="G5405" s="25" t="s">
        <v>293</v>
      </c>
      <c r="H5405" s="25"/>
      <c r="BA5405" s="73" t="s">
        <v>355</v>
      </c>
      <c r="BB5405" s="48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357</v>
      </c>
      <c r="E5406" s="1" t="s">
        <v>347</v>
      </c>
      <c r="F5406" s="26">
        <v>4.71</v>
      </c>
      <c r="G5406" s="25" t="s">
        <v>293</v>
      </c>
      <c r="H5406" s="25"/>
      <c r="BA5406" s="73" t="s">
        <v>355</v>
      </c>
      <c r="BB5406" s="48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357</v>
      </c>
      <c r="E5407" s="1" t="s">
        <v>128</v>
      </c>
      <c r="F5407" s="26">
        <v>4.5999999999999996</v>
      </c>
      <c r="G5407" s="25" t="s">
        <v>293</v>
      </c>
      <c r="H5407" s="25"/>
      <c r="BA5407" s="73" t="s">
        <v>355</v>
      </c>
      <c r="BB5407" s="48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357</v>
      </c>
      <c r="E5408" s="1" t="s">
        <v>121</v>
      </c>
      <c r="F5408" s="26">
        <v>78</v>
      </c>
      <c r="G5408" s="25" t="s">
        <v>293</v>
      </c>
      <c r="H5408" s="25"/>
      <c r="BA5408" s="73" t="s">
        <v>355</v>
      </c>
      <c r="BB5408" s="48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357</v>
      </c>
      <c r="E5409" s="1" t="s">
        <v>115</v>
      </c>
      <c r="F5409" s="26">
        <v>91</v>
      </c>
      <c r="G5409" s="25" t="s">
        <v>293</v>
      </c>
      <c r="H5409" s="25"/>
      <c r="BA5409" s="73" t="s">
        <v>355</v>
      </c>
      <c r="BB5409" s="48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357</v>
      </c>
      <c r="E5410" s="1" t="s">
        <v>137</v>
      </c>
      <c r="F5410" s="26">
        <v>486</v>
      </c>
      <c r="G5410" s="25" t="s">
        <v>293</v>
      </c>
      <c r="H5410" s="25"/>
      <c r="BA5410" s="73" t="s">
        <v>355</v>
      </c>
      <c r="BB5410" s="48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357</v>
      </c>
      <c r="E5411" s="1" t="s">
        <v>348</v>
      </c>
      <c r="F5411" s="26">
        <v>427</v>
      </c>
      <c r="G5411" s="25" t="s">
        <v>293</v>
      </c>
      <c r="H5411" s="25"/>
      <c r="BA5411" s="73" t="s">
        <v>355</v>
      </c>
      <c r="BB5411" s="48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357</v>
      </c>
      <c r="E5412" s="1" t="s">
        <v>125</v>
      </c>
      <c r="F5412" s="26">
        <v>425</v>
      </c>
      <c r="G5412" s="25" t="s">
        <v>293</v>
      </c>
      <c r="H5412" s="25"/>
      <c r="BA5412" s="73" t="s">
        <v>355</v>
      </c>
      <c r="BB5412" s="48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357</v>
      </c>
      <c r="E5413" s="1" t="s">
        <v>126</v>
      </c>
      <c r="F5413" s="26">
        <v>152</v>
      </c>
      <c r="G5413" s="25" t="s">
        <v>293</v>
      </c>
      <c r="H5413" s="25"/>
      <c r="BA5413" s="73" t="s">
        <v>355</v>
      </c>
      <c r="BB5413" s="48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357</v>
      </c>
      <c r="E5414" s="1" t="s">
        <v>349</v>
      </c>
      <c r="F5414" s="26">
        <v>374</v>
      </c>
      <c r="G5414" s="25" t="s">
        <v>293</v>
      </c>
      <c r="H5414" s="25"/>
      <c r="BA5414" s="73" t="s">
        <v>355</v>
      </c>
      <c r="BB5414" s="48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357</v>
      </c>
      <c r="E5415" s="1" t="s">
        <v>350</v>
      </c>
      <c r="F5415" s="26">
        <v>87</v>
      </c>
      <c r="G5415" s="25" t="s">
        <v>293</v>
      </c>
      <c r="H5415" s="25"/>
      <c r="BA5415" s="73" t="s">
        <v>355</v>
      </c>
      <c r="BB5415" s="48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357</v>
      </c>
      <c r="E5416" s="1" t="s">
        <v>122</v>
      </c>
      <c r="F5416" s="26">
        <v>226</v>
      </c>
      <c r="G5416" s="25" t="s">
        <v>293</v>
      </c>
      <c r="H5416" s="25"/>
      <c r="BA5416" s="73" t="s">
        <v>355</v>
      </c>
      <c r="BB5416" s="48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357</v>
      </c>
      <c r="E5417" s="1" t="s">
        <v>124</v>
      </c>
      <c r="F5417" s="26">
        <v>102</v>
      </c>
      <c r="G5417" s="25" t="s">
        <v>293</v>
      </c>
      <c r="H5417" s="25"/>
      <c r="BA5417" s="73" t="s">
        <v>355</v>
      </c>
      <c r="BB5417" s="48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357</v>
      </c>
      <c r="E5418" s="1" t="s">
        <v>351</v>
      </c>
      <c r="F5418" s="26">
        <v>3.58</v>
      </c>
      <c r="G5418" s="25" t="s">
        <v>293</v>
      </c>
      <c r="H5418" s="25"/>
      <c r="BA5418" s="73" t="s">
        <v>355</v>
      </c>
      <c r="BB5418" s="48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357</v>
      </c>
      <c r="E5419" s="1" t="s">
        <v>353</v>
      </c>
      <c r="F5419" s="26">
        <v>19.7</v>
      </c>
      <c r="G5419" s="25" t="s">
        <v>293</v>
      </c>
      <c r="H5419" s="25"/>
      <c r="BA5419" s="73" t="s">
        <v>355</v>
      </c>
      <c r="BB5419" s="48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357</v>
      </c>
      <c r="E5420" s="1" t="s">
        <v>133</v>
      </c>
      <c r="F5420" s="26">
        <v>127</v>
      </c>
      <c r="G5420" s="25" t="s">
        <v>293</v>
      </c>
      <c r="H5420" s="25"/>
      <c r="BA5420" s="73" t="s">
        <v>355</v>
      </c>
      <c r="BB5420" s="48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357</v>
      </c>
      <c r="E5421" s="1" t="s">
        <v>135</v>
      </c>
      <c r="F5421" s="26">
        <v>6.5</v>
      </c>
      <c r="G5421" s="25" t="s">
        <v>293</v>
      </c>
      <c r="H5421" s="25"/>
      <c r="BA5421" s="73" t="s">
        <v>355</v>
      </c>
      <c r="BB5421" s="48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357</v>
      </c>
      <c r="E5422" s="1" t="s">
        <v>136</v>
      </c>
      <c r="F5422" s="26">
        <v>92</v>
      </c>
      <c r="G5422" s="25" t="s">
        <v>293</v>
      </c>
      <c r="H5422" s="25"/>
      <c r="BA5422" s="73" t="s">
        <v>355</v>
      </c>
      <c r="BB5422" s="48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357</v>
      </c>
      <c r="E5423" s="1" t="s">
        <v>339</v>
      </c>
      <c r="F5423" s="26">
        <v>1.1399999999999999</v>
      </c>
      <c r="G5423" s="25" t="s">
        <v>293</v>
      </c>
      <c r="H5423" s="25"/>
      <c r="BA5423" s="73" t="s">
        <v>355</v>
      </c>
      <c r="BB5423" s="48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357</v>
      </c>
      <c r="E5424" s="1" t="s">
        <v>118</v>
      </c>
      <c r="F5424" s="26">
        <v>9.5</v>
      </c>
      <c r="G5424" s="25" t="s">
        <v>293</v>
      </c>
      <c r="H5424" s="25"/>
      <c r="BA5424" s="73" t="s">
        <v>355</v>
      </c>
      <c r="BB5424" s="48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357</v>
      </c>
      <c r="E5425" s="1" t="s">
        <v>130</v>
      </c>
      <c r="F5425" s="26">
        <v>2.4300000000000002</v>
      </c>
      <c r="G5425" s="25" t="s">
        <v>293</v>
      </c>
      <c r="H5425" s="25"/>
      <c r="BA5425" s="73" t="s">
        <v>355</v>
      </c>
      <c r="BB5425" s="48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357</v>
      </c>
      <c r="E5426" s="1" t="s">
        <v>341</v>
      </c>
      <c r="F5426" s="26">
        <v>1.2110000000000001</v>
      </c>
      <c r="G5426" s="25" t="s">
        <v>293</v>
      </c>
      <c r="H5426" s="25"/>
      <c r="BA5426" s="73" t="s">
        <v>355</v>
      </c>
      <c r="BB5426" s="48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357</v>
      </c>
      <c r="E5427" s="1" t="s">
        <v>127</v>
      </c>
      <c r="F5427" s="26">
        <v>4.7149999999999999</v>
      </c>
      <c r="G5427" s="25" t="s">
        <v>293</v>
      </c>
      <c r="H5427" s="25"/>
      <c r="BA5427" s="73" t="s">
        <v>355</v>
      </c>
      <c r="BB5427" s="48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357</v>
      </c>
      <c r="E5428" s="1" t="s">
        <v>131</v>
      </c>
      <c r="F5428" s="26">
        <v>12.1</v>
      </c>
      <c r="G5428" s="25" t="s">
        <v>293</v>
      </c>
      <c r="H5428" s="25"/>
      <c r="BA5428" s="73" t="s">
        <v>355</v>
      </c>
      <c r="BB5428" s="48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357</v>
      </c>
      <c r="E5429" s="1" t="s">
        <v>342</v>
      </c>
      <c r="F5429" s="26">
        <v>183</v>
      </c>
      <c r="G5429" s="25" t="s">
        <v>293</v>
      </c>
      <c r="H5429" s="25"/>
      <c r="BA5429" s="73" t="s">
        <v>355</v>
      </c>
      <c r="BB5429" s="48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357</v>
      </c>
      <c r="E5430" s="1" t="s">
        <v>119</v>
      </c>
      <c r="F5430" s="26">
        <v>92</v>
      </c>
      <c r="G5430" s="25" t="s">
        <v>293</v>
      </c>
      <c r="H5430" s="25"/>
      <c r="BA5430" s="73" t="s">
        <v>355</v>
      </c>
      <c r="BB5430" s="48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357</v>
      </c>
      <c r="E5431" s="1" t="s">
        <v>120</v>
      </c>
      <c r="F5431" s="26">
        <v>26</v>
      </c>
      <c r="G5431" s="25" t="s">
        <v>293</v>
      </c>
      <c r="H5431" s="25"/>
      <c r="BA5431" s="73" t="s">
        <v>355</v>
      </c>
      <c r="BB5431" s="48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357</v>
      </c>
      <c r="E5432" s="1" t="s">
        <v>117</v>
      </c>
      <c r="F5432" s="26">
        <v>6.39</v>
      </c>
      <c r="G5432" s="25" t="s">
        <v>293</v>
      </c>
      <c r="H5432" s="25"/>
      <c r="BA5432" s="73" t="s">
        <v>355</v>
      </c>
      <c r="BB5432" s="48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357</v>
      </c>
      <c r="E5433" s="1" t="s">
        <v>344</v>
      </c>
      <c r="F5433" s="26">
        <v>69</v>
      </c>
      <c r="G5433" s="25" t="s">
        <v>293</v>
      </c>
      <c r="H5433" s="25"/>
      <c r="BA5433" s="73" t="s">
        <v>355</v>
      </c>
      <c r="BB5433" s="48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357</v>
      </c>
      <c r="E5434" s="1" t="s">
        <v>132</v>
      </c>
      <c r="F5434" s="26">
        <v>7.06</v>
      </c>
      <c r="G5434" s="25" t="s">
        <v>293</v>
      </c>
      <c r="H5434" s="25"/>
      <c r="BA5434" s="73" t="s">
        <v>355</v>
      </c>
      <c r="BB5434" s="48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357</v>
      </c>
      <c r="E5435" s="1" t="s">
        <v>111</v>
      </c>
      <c r="F5435" s="26">
        <v>280</v>
      </c>
      <c r="G5435" s="25" t="s">
        <v>293</v>
      </c>
      <c r="H5435" s="25"/>
      <c r="BA5435" s="73" t="s">
        <v>355</v>
      </c>
      <c r="BB5435" s="48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357</v>
      </c>
      <c r="E5436" s="1" t="s">
        <v>345</v>
      </c>
      <c r="F5436" s="26">
        <v>9.4600000000000009</v>
      </c>
      <c r="G5436" s="25" t="s">
        <v>293</v>
      </c>
      <c r="H5436" s="25"/>
      <c r="BA5436" s="73" t="s">
        <v>355</v>
      </c>
      <c r="BB5436" s="48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357</v>
      </c>
      <c r="E5437" s="1" t="s">
        <v>347</v>
      </c>
      <c r="F5437" s="26">
        <v>4.8099999999999996</v>
      </c>
      <c r="G5437" s="25" t="s">
        <v>293</v>
      </c>
      <c r="H5437" s="25"/>
      <c r="BA5437" s="73" t="s">
        <v>355</v>
      </c>
      <c r="BB5437" s="48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357</v>
      </c>
      <c r="E5438" s="1" t="s">
        <v>128</v>
      </c>
      <c r="F5438" s="26">
        <v>4.5999999999999996</v>
      </c>
      <c r="G5438" s="25" t="s">
        <v>293</v>
      </c>
      <c r="H5438" s="25"/>
      <c r="BA5438" s="73" t="s">
        <v>355</v>
      </c>
      <c r="BB5438" s="48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357</v>
      </c>
      <c r="E5439" s="1" t="s">
        <v>121</v>
      </c>
      <c r="F5439" s="26">
        <v>76</v>
      </c>
      <c r="G5439" s="25" t="s">
        <v>293</v>
      </c>
      <c r="H5439" s="25"/>
      <c r="BA5439" s="73" t="s">
        <v>355</v>
      </c>
      <c r="BB5439" s="48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357</v>
      </c>
      <c r="E5440" s="1" t="s">
        <v>115</v>
      </c>
      <c r="F5440" s="26">
        <v>89</v>
      </c>
      <c r="G5440" s="25" t="s">
        <v>293</v>
      </c>
      <c r="H5440" s="25"/>
      <c r="BA5440" s="73" t="s">
        <v>355</v>
      </c>
      <c r="BB5440" s="48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357</v>
      </c>
      <c r="E5441" s="1" t="s">
        <v>137</v>
      </c>
      <c r="F5441" s="26">
        <v>482</v>
      </c>
      <c r="G5441" s="25" t="s">
        <v>293</v>
      </c>
      <c r="H5441" s="25"/>
      <c r="BA5441" s="73" t="s">
        <v>355</v>
      </c>
      <c r="BB5441" s="48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357</v>
      </c>
      <c r="E5442" s="1" t="s">
        <v>348</v>
      </c>
      <c r="F5442" s="26">
        <v>429</v>
      </c>
      <c r="G5442" s="25" t="s">
        <v>293</v>
      </c>
      <c r="H5442" s="25"/>
      <c r="BA5442" s="73" t="s">
        <v>355</v>
      </c>
      <c r="BB5442" s="48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357</v>
      </c>
      <c r="E5443" s="1" t="s">
        <v>125</v>
      </c>
      <c r="F5443" s="26">
        <v>420</v>
      </c>
      <c r="G5443" s="25" t="s">
        <v>293</v>
      </c>
      <c r="H5443" s="25"/>
      <c r="BA5443" s="73" t="s">
        <v>355</v>
      </c>
      <c r="BB5443" s="48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357</v>
      </c>
      <c r="E5444" s="1" t="s">
        <v>126</v>
      </c>
      <c r="F5444" s="26">
        <v>152</v>
      </c>
      <c r="G5444" s="25" t="s">
        <v>293</v>
      </c>
      <c r="H5444" s="25"/>
      <c r="BA5444" s="73" t="s">
        <v>355</v>
      </c>
      <c r="BB5444" s="48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357</v>
      </c>
      <c r="E5445" s="1" t="s">
        <v>349</v>
      </c>
      <c r="F5445" s="26">
        <v>376</v>
      </c>
      <c r="G5445" s="25" t="s">
        <v>293</v>
      </c>
      <c r="H5445" s="25"/>
      <c r="BA5445" s="73" t="s">
        <v>355</v>
      </c>
      <c r="BB5445" s="48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357</v>
      </c>
      <c r="E5446" s="1" t="s">
        <v>350</v>
      </c>
      <c r="F5446" s="26">
        <v>88</v>
      </c>
      <c r="G5446" s="25" t="s">
        <v>293</v>
      </c>
      <c r="H5446" s="25"/>
      <c r="BA5446" s="73" t="s">
        <v>355</v>
      </c>
      <c r="BB5446" s="48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357</v>
      </c>
      <c r="E5447" s="1" t="s">
        <v>122</v>
      </c>
      <c r="F5447" s="26">
        <v>217</v>
      </c>
      <c r="G5447" s="25" t="s">
        <v>293</v>
      </c>
      <c r="H5447" s="25"/>
      <c r="BA5447" s="73" t="s">
        <v>355</v>
      </c>
      <c r="BB5447" s="48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357</v>
      </c>
      <c r="E5448" s="1" t="s">
        <v>124</v>
      </c>
      <c r="F5448" s="26">
        <v>98</v>
      </c>
      <c r="G5448" s="25" t="s">
        <v>293</v>
      </c>
      <c r="H5448" s="25"/>
      <c r="BA5448" s="73" t="s">
        <v>355</v>
      </c>
      <c r="BB5448" s="48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357</v>
      </c>
      <c r="E5449" s="1" t="s">
        <v>351</v>
      </c>
      <c r="F5449" s="26">
        <v>3.66</v>
      </c>
      <c r="G5449" s="25" t="s">
        <v>293</v>
      </c>
      <c r="H5449" s="25"/>
      <c r="BA5449" s="73" t="s">
        <v>355</v>
      </c>
      <c r="BB5449" s="48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357</v>
      </c>
      <c r="E5450" s="1" t="s">
        <v>353</v>
      </c>
      <c r="F5450" s="26">
        <v>17</v>
      </c>
      <c r="G5450" s="25" t="s">
        <v>293</v>
      </c>
      <c r="H5450" s="25"/>
      <c r="BA5450" s="73" t="s">
        <v>355</v>
      </c>
      <c r="BB5450" s="48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357</v>
      </c>
      <c r="E5451" s="1" t="s">
        <v>133</v>
      </c>
      <c r="F5451" s="26">
        <v>127</v>
      </c>
      <c r="G5451" s="25" t="s">
        <v>293</v>
      </c>
      <c r="H5451" s="25"/>
      <c r="BA5451" s="73" t="s">
        <v>355</v>
      </c>
      <c r="BB5451" s="48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357</v>
      </c>
      <c r="E5452" s="1" t="s">
        <v>135</v>
      </c>
      <c r="F5452" s="26">
        <v>6.4</v>
      </c>
      <c r="G5452" s="25" t="s">
        <v>293</v>
      </c>
      <c r="H5452" s="25"/>
      <c r="BA5452" s="73" t="s">
        <v>355</v>
      </c>
      <c r="BB5452" s="48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357</v>
      </c>
      <c r="E5453" s="1" t="s">
        <v>136</v>
      </c>
      <c r="F5453" s="26">
        <v>95</v>
      </c>
      <c r="G5453" s="25" t="s">
        <v>293</v>
      </c>
      <c r="H5453" s="25"/>
      <c r="BA5453" s="73" t="s">
        <v>355</v>
      </c>
      <c r="BB5453" s="48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357</v>
      </c>
      <c r="E5454" s="1" t="s">
        <v>339</v>
      </c>
      <c r="F5454" s="26">
        <v>1.31</v>
      </c>
      <c r="G5454" s="25" t="s">
        <v>293</v>
      </c>
      <c r="H5454" s="25"/>
      <c r="BA5454" s="73" t="s">
        <v>355</v>
      </c>
      <c r="BB5454" s="48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357</v>
      </c>
      <c r="E5455" s="1" t="s">
        <v>118</v>
      </c>
      <c r="F5455" s="26">
        <v>9.6</v>
      </c>
      <c r="G5455" s="25" t="s">
        <v>293</v>
      </c>
      <c r="H5455" s="25"/>
      <c r="BA5455" s="73" t="s">
        <v>355</v>
      </c>
      <c r="BB5455" s="48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357</v>
      </c>
      <c r="E5456" s="1" t="s">
        <v>130</v>
      </c>
      <c r="F5456" s="26">
        <v>2.41</v>
      </c>
      <c r="G5456" s="25" t="s">
        <v>293</v>
      </c>
      <c r="H5456" s="25"/>
      <c r="BA5456" s="73" t="s">
        <v>355</v>
      </c>
      <c r="BB5456" s="48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357</v>
      </c>
      <c r="E5457" s="1" t="s">
        <v>341</v>
      </c>
      <c r="F5457" s="26">
        <v>1.206</v>
      </c>
      <c r="G5457" s="25" t="s">
        <v>293</v>
      </c>
      <c r="H5457" s="25"/>
      <c r="BA5457" s="73" t="s">
        <v>355</v>
      </c>
      <c r="BB5457" s="48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357</v>
      </c>
      <c r="E5458" s="1" t="s">
        <v>127</v>
      </c>
      <c r="F5458" s="26">
        <v>4.6619999999999999</v>
      </c>
      <c r="G5458" s="25" t="s">
        <v>293</v>
      </c>
      <c r="H5458" s="25"/>
      <c r="BA5458" s="73" t="s">
        <v>355</v>
      </c>
      <c r="BB5458" s="48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357</v>
      </c>
      <c r="E5459" s="1" t="s">
        <v>131</v>
      </c>
      <c r="F5459" s="26">
        <v>11.5</v>
      </c>
      <c r="G5459" s="25" t="s">
        <v>293</v>
      </c>
      <c r="H5459" s="25"/>
      <c r="BA5459" s="73" t="s">
        <v>355</v>
      </c>
      <c r="BB5459" s="48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357</v>
      </c>
      <c r="E5460" s="1" t="s">
        <v>342</v>
      </c>
      <c r="F5460" s="26">
        <v>177</v>
      </c>
      <c r="G5460" s="25" t="s">
        <v>293</v>
      </c>
      <c r="H5460" s="25"/>
      <c r="BA5460" s="73" t="s">
        <v>355</v>
      </c>
      <c r="BB5460" s="48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357</v>
      </c>
      <c r="E5461" s="1" t="s">
        <v>119</v>
      </c>
      <c r="F5461" s="26">
        <v>91</v>
      </c>
      <c r="G5461" s="25" t="s">
        <v>293</v>
      </c>
      <c r="H5461" s="25"/>
      <c r="BA5461" s="73" t="s">
        <v>355</v>
      </c>
      <c r="BB5461" s="48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357</v>
      </c>
      <c r="E5462" s="1" t="s">
        <v>120</v>
      </c>
      <c r="F5462" s="26">
        <v>27</v>
      </c>
      <c r="G5462" s="25" t="s">
        <v>293</v>
      </c>
      <c r="H5462" s="25"/>
      <c r="BA5462" s="73" t="s">
        <v>355</v>
      </c>
      <c r="BB5462" s="48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357</v>
      </c>
      <c r="E5463" s="1" t="s">
        <v>117</v>
      </c>
      <c r="F5463" s="26">
        <v>6.48</v>
      </c>
      <c r="G5463" s="25" t="s">
        <v>293</v>
      </c>
      <c r="H5463" s="25"/>
      <c r="BA5463" s="73" t="s">
        <v>355</v>
      </c>
      <c r="BB5463" s="48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357</v>
      </c>
      <c r="E5464" s="1" t="s">
        <v>344</v>
      </c>
      <c r="F5464" s="26">
        <v>69</v>
      </c>
      <c r="G5464" s="25" t="s">
        <v>293</v>
      </c>
      <c r="H5464" s="25"/>
      <c r="BA5464" s="73" t="s">
        <v>355</v>
      </c>
      <c r="BB5464" s="48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357</v>
      </c>
      <c r="E5465" s="1" t="s">
        <v>132</v>
      </c>
      <c r="F5465" s="26">
        <v>7.11</v>
      </c>
      <c r="G5465" s="25" t="s">
        <v>293</v>
      </c>
      <c r="H5465" s="25"/>
      <c r="BA5465" s="73" t="s">
        <v>355</v>
      </c>
      <c r="BB5465" s="48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357</v>
      </c>
      <c r="E5466" s="1" t="s">
        <v>111</v>
      </c>
      <c r="F5466" s="26">
        <v>276</v>
      </c>
      <c r="G5466" s="25" t="s">
        <v>293</v>
      </c>
      <c r="H5466" s="25"/>
      <c r="BA5466" s="73" t="s">
        <v>355</v>
      </c>
      <c r="BB5466" s="48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357</v>
      </c>
      <c r="E5467" s="1" t="s">
        <v>345</v>
      </c>
      <c r="F5467" s="26">
        <v>9.6</v>
      </c>
      <c r="G5467" s="25" t="s">
        <v>293</v>
      </c>
      <c r="H5467" s="25"/>
      <c r="BA5467" s="73" t="s">
        <v>355</v>
      </c>
      <c r="BB5467" s="48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357</v>
      </c>
      <c r="E5468" s="1" t="s">
        <v>347</v>
      </c>
      <c r="F5468" s="26">
        <v>4.53</v>
      </c>
      <c r="G5468" s="25" t="s">
        <v>293</v>
      </c>
      <c r="H5468" s="25"/>
      <c r="BA5468" s="73" t="s">
        <v>355</v>
      </c>
      <c r="BB5468" s="48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357</v>
      </c>
      <c r="E5469" s="1" t="s">
        <v>128</v>
      </c>
      <c r="F5469" s="26">
        <v>4.5</v>
      </c>
      <c r="G5469" s="25" t="s">
        <v>293</v>
      </c>
      <c r="H5469" s="25"/>
      <c r="BA5469" s="73" t="s">
        <v>355</v>
      </c>
      <c r="BB5469" s="48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357</v>
      </c>
      <c r="E5470" s="1" t="s">
        <v>121</v>
      </c>
      <c r="F5470" s="26">
        <v>82</v>
      </c>
      <c r="G5470" s="25" t="s">
        <v>293</v>
      </c>
      <c r="H5470" s="25"/>
      <c r="BA5470" s="73" t="s">
        <v>355</v>
      </c>
      <c r="BB5470" s="48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357</v>
      </c>
      <c r="E5471" s="1" t="s">
        <v>115</v>
      </c>
      <c r="F5471" s="26">
        <v>87</v>
      </c>
      <c r="G5471" s="25" t="s">
        <v>293</v>
      </c>
      <c r="H5471" s="25"/>
      <c r="BA5471" s="73" t="s">
        <v>355</v>
      </c>
      <c r="BB5471" s="48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357</v>
      </c>
      <c r="E5472" s="1" t="s">
        <v>137</v>
      </c>
      <c r="F5472" s="26">
        <v>482</v>
      </c>
      <c r="G5472" s="25" t="s">
        <v>293</v>
      </c>
      <c r="H5472" s="25"/>
      <c r="BA5472" s="73" t="s">
        <v>355</v>
      </c>
      <c r="BB5472" s="48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357</v>
      </c>
      <c r="E5473" s="1" t="s">
        <v>348</v>
      </c>
      <c r="F5473" s="26">
        <v>421</v>
      </c>
      <c r="G5473" s="25" t="s">
        <v>293</v>
      </c>
      <c r="H5473" s="25"/>
      <c r="BA5473" s="73" t="s">
        <v>355</v>
      </c>
      <c r="BB5473" s="48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357</v>
      </c>
      <c r="E5474" s="1" t="s">
        <v>125</v>
      </c>
      <c r="F5474" s="26">
        <v>425</v>
      </c>
      <c r="G5474" s="25" t="s">
        <v>293</v>
      </c>
      <c r="H5474" s="25"/>
      <c r="BA5474" s="73" t="s">
        <v>355</v>
      </c>
      <c r="BB5474" s="48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357</v>
      </c>
      <c r="E5475" s="1" t="s">
        <v>126</v>
      </c>
      <c r="F5475" s="26">
        <v>152</v>
      </c>
      <c r="G5475" s="25" t="s">
        <v>293</v>
      </c>
      <c r="H5475" s="25"/>
      <c r="BA5475" s="73" t="s">
        <v>355</v>
      </c>
      <c r="BB5475" s="48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357</v>
      </c>
      <c r="E5476" s="1" t="s">
        <v>349</v>
      </c>
      <c r="F5476" s="26">
        <v>374</v>
      </c>
      <c r="G5476" s="25" t="s">
        <v>293</v>
      </c>
      <c r="H5476" s="25"/>
      <c r="BA5476" s="73" t="s">
        <v>355</v>
      </c>
      <c r="BB5476" s="48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357</v>
      </c>
      <c r="E5477" s="1" t="s">
        <v>350</v>
      </c>
      <c r="F5477" s="26">
        <v>84</v>
      </c>
      <c r="G5477" s="25" t="s">
        <v>293</v>
      </c>
      <c r="H5477" s="25"/>
      <c r="BA5477" s="73" t="s">
        <v>355</v>
      </c>
      <c r="BB5477" s="48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357</v>
      </c>
      <c r="E5478" s="1" t="s">
        <v>122</v>
      </c>
      <c r="F5478" s="26">
        <v>210</v>
      </c>
      <c r="G5478" s="25" t="s">
        <v>293</v>
      </c>
      <c r="H5478" s="25"/>
      <c r="BA5478" s="73" t="s">
        <v>355</v>
      </c>
      <c r="BB5478" s="48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357</v>
      </c>
      <c r="E5479" s="1" t="s">
        <v>124</v>
      </c>
      <c r="F5479" s="26">
        <v>99</v>
      </c>
      <c r="G5479" s="25" t="s">
        <v>293</v>
      </c>
      <c r="H5479" s="25"/>
      <c r="BA5479" s="73" t="s">
        <v>355</v>
      </c>
      <c r="BB5479" s="48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357</v>
      </c>
      <c r="E5480" s="1" t="s">
        <v>351</v>
      </c>
      <c r="F5480" s="26">
        <v>3.35</v>
      </c>
      <c r="G5480" s="25" t="s">
        <v>293</v>
      </c>
      <c r="H5480" s="25"/>
      <c r="BA5480" s="73" t="s">
        <v>355</v>
      </c>
      <c r="BB5480" s="48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357</v>
      </c>
      <c r="E5481" s="1" t="s">
        <v>353</v>
      </c>
      <c r="F5481" s="26">
        <v>22.5</v>
      </c>
      <c r="G5481" s="25" t="s">
        <v>293</v>
      </c>
      <c r="H5481" s="25"/>
      <c r="BA5481" s="73" t="s">
        <v>355</v>
      </c>
      <c r="BB5481" s="48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357</v>
      </c>
      <c r="E5482" s="1" t="s">
        <v>133</v>
      </c>
      <c r="F5482" s="26">
        <v>127</v>
      </c>
      <c r="G5482" s="25" t="s">
        <v>293</v>
      </c>
      <c r="H5482" s="25"/>
      <c r="BA5482" s="73" t="s">
        <v>355</v>
      </c>
      <c r="BB5482" s="48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357</v>
      </c>
      <c r="E5483" s="1" t="s">
        <v>135</v>
      </c>
      <c r="F5483" s="26">
        <v>6.5</v>
      </c>
      <c r="G5483" s="25" t="s">
        <v>293</v>
      </c>
      <c r="H5483" s="25"/>
      <c r="BA5483" s="73" t="s">
        <v>355</v>
      </c>
      <c r="BB5483" s="48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357</v>
      </c>
      <c r="E5484" s="1" t="s">
        <v>136</v>
      </c>
      <c r="F5484" s="26">
        <v>92</v>
      </c>
      <c r="G5484" s="25" t="s">
        <v>293</v>
      </c>
      <c r="H5484" s="25"/>
      <c r="BA5484" s="73" t="s">
        <v>355</v>
      </c>
      <c r="BB5484" s="48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357</v>
      </c>
      <c r="E5485" s="1" t="s">
        <v>339</v>
      </c>
      <c r="F5485" s="26">
        <v>1.28</v>
      </c>
      <c r="G5485" s="25" t="s">
        <v>293</v>
      </c>
      <c r="H5485" s="25"/>
      <c r="BA5485" s="73" t="s">
        <v>355</v>
      </c>
      <c r="BB5485" s="48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357</v>
      </c>
      <c r="E5486" s="1" t="s">
        <v>118</v>
      </c>
      <c r="F5486" s="26">
        <v>9.5</v>
      </c>
      <c r="G5486" s="25" t="s">
        <v>293</v>
      </c>
      <c r="H5486" s="25"/>
      <c r="BA5486" s="73" t="s">
        <v>355</v>
      </c>
      <c r="BB5486" s="48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357</v>
      </c>
      <c r="E5487" s="1" t="s">
        <v>130</v>
      </c>
      <c r="F5487" s="26">
        <v>2.46</v>
      </c>
      <c r="G5487" s="25" t="s">
        <v>293</v>
      </c>
      <c r="H5487" s="25"/>
      <c r="BA5487" s="73" t="s">
        <v>355</v>
      </c>
      <c r="BB5487" s="48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357</v>
      </c>
      <c r="E5488" s="1" t="s">
        <v>341</v>
      </c>
      <c r="F5488" s="26">
        <v>1.212</v>
      </c>
      <c r="G5488" s="25" t="s">
        <v>293</v>
      </c>
      <c r="H5488" s="25"/>
      <c r="BA5488" s="73" t="s">
        <v>355</v>
      </c>
      <c r="BB5488" s="48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357</v>
      </c>
      <c r="E5489" s="1" t="s">
        <v>127</v>
      </c>
      <c r="F5489" s="26">
        <v>4.6980000000000004</v>
      </c>
      <c r="G5489" s="25" t="s">
        <v>293</v>
      </c>
      <c r="H5489" s="25"/>
      <c r="BA5489" s="73" t="s">
        <v>355</v>
      </c>
      <c r="BB5489" s="48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357</v>
      </c>
      <c r="E5490" s="1" t="s">
        <v>131</v>
      </c>
      <c r="F5490" s="26">
        <v>11.5</v>
      </c>
      <c r="G5490" s="25" t="s">
        <v>293</v>
      </c>
      <c r="H5490" s="25"/>
      <c r="BA5490" s="73" t="s">
        <v>355</v>
      </c>
      <c r="BB5490" s="48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357</v>
      </c>
      <c r="E5491" s="1" t="s">
        <v>342</v>
      </c>
      <c r="F5491" s="26">
        <v>180</v>
      </c>
      <c r="G5491" s="25" t="s">
        <v>293</v>
      </c>
      <c r="H5491" s="25"/>
      <c r="BA5491" s="73" t="s">
        <v>355</v>
      </c>
      <c r="BB5491" s="48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357</v>
      </c>
      <c r="E5492" s="1" t="s">
        <v>119</v>
      </c>
      <c r="F5492" s="26">
        <v>91</v>
      </c>
      <c r="G5492" s="25" t="s">
        <v>293</v>
      </c>
      <c r="H5492" s="25"/>
      <c r="BA5492" s="73" t="s">
        <v>355</v>
      </c>
      <c r="BB5492" s="48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357</v>
      </c>
      <c r="E5493" s="1" t="s">
        <v>120</v>
      </c>
      <c r="F5493" s="26">
        <v>27</v>
      </c>
      <c r="G5493" s="25" t="s">
        <v>293</v>
      </c>
      <c r="H5493" s="25"/>
      <c r="BA5493" s="73" t="s">
        <v>355</v>
      </c>
      <c r="BB5493" s="48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357</v>
      </c>
      <c r="E5494" s="1" t="s">
        <v>117</v>
      </c>
      <c r="F5494" s="26">
        <v>6.27</v>
      </c>
      <c r="G5494" s="25" t="s">
        <v>293</v>
      </c>
      <c r="H5494" s="25"/>
      <c r="BA5494" s="73" t="s">
        <v>355</v>
      </c>
      <c r="BB5494" s="48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357</v>
      </c>
      <c r="E5495" s="1" t="s">
        <v>344</v>
      </c>
      <c r="F5495" s="26">
        <v>70</v>
      </c>
      <c r="G5495" s="25" t="s">
        <v>293</v>
      </c>
      <c r="H5495" s="25"/>
      <c r="BA5495" s="73" t="s">
        <v>355</v>
      </c>
      <c r="BB5495" s="48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357</v>
      </c>
      <c r="E5496" s="1" t="s">
        <v>132</v>
      </c>
      <c r="F5496" s="26">
        <v>7.07</v>
      </c>
      <c r="G5496" s="25" t="s">
        <v>293</v>
      </c>
      <c r="H5496" s="25"/>
      <c r="BA5496" s="73" t="s">
        <v>355</v>
      </c>
      <c r="BB5496" s="48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357</v>
      </c>
      <c r="E5497" s="1" t="s">
        <v>111</v>
      </c>
      <c r="F5497" s="26">
        <v>282</v>
      </c>
      <c r="G5497" s="25" t="s">
        <v>293</v>
      </c>
      <c r="H5497" s="25"/>
      <c r="BA5497" s="73" t="s">
        <v>355</v>
      </c>
      <c r="BB5497" s="48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357</v>
      </c>
      <c r="E5498" s="1" t="s">
        <v>345</v>
      </c>
      <c r="F5498" s="26">
        <v>9.66</v>
      </c>
      <c r="G5498" s="25" t="s">
        <v>293</v>
      </c>
      <c r="H5498" s="25"/>
      <c r="BA5498" s="73" t="s">
        <v>355</v>
      </c>
      <c r="BB5498" s="48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357</v>
      </c>
      <c r="E5499" s="1" t="s">
        <v>347</v>
      </c>
      <c r="F5499" s="26">
        <v>4.82</v>
      </c>
      <c r="G5499" s="25" t="s">
        <v>293</v>
      </c>
      <c r="H5499" s="25"/>
      <c r="BA5499" s="73" t="s">
        <v>355</v>
      </c>
      <c r="BB5499" s="48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357</v>
      </c>
      <c r="E5500" s="1" t="s">
        <v>128</v>
      </c>
      <c r="F5500" s="26">
        <v>4.5999999999999996</v>
      </c>
      <c r="G5500" s="25" t="s">
        <v>293</v>
      </c>
      <c r="H5500" s="25"/>
      <c r="BA5500" s="73" t="s">
        <v>355</v>
      </c>
      <c r="BB5500" s="48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357</v>
      </c>
      <c r="E5501" s="1" t="s">
        <v>121</v>
      </c>
      <c r="F5501" s="26">
        <v>86</v>
      </c>
      <c r="G5501" s="25" t="s">
        <v>293</v>
      </c>
      <c r="H5501" s="25"/>
      <c r="BA5501" s="73" t="s">
        <v>355</v>
      </c>
      <c r="BB5501" s="48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357</v>
      </c>
      <c r="E5502" s="1" t="s">
        <v>115</v>
      </c>
      <c r="F5502" s="26">
        <v>90</v>
      </c>
      <c r="G5502" s="25" t="s">
        <v>293</v>
      </c>
      <c r="H5502" s="25"/>
      <c r="BA5502" s="73" t="s">
        <v>355</v>
      </c>
      <c r="BB5502" s="48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357</v>
      </c>
      <c r="E5503" s="1" t="s">
        <v>137</v>
      </c>
      <c r="F5503" s="26">
        <v>487</v>
      </c>
      <c r="G5503" s="25" t="s">
        <v>293</v>
      </c>
      <c r="H5503" s="25"/>
      <c r="BA5503" s="73" t="s">
        <v>355</v>
      </c>
      <c r="BB5503" s="48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357</v>
      </c>
      <c r="E5504" s="1" t="s">
        <v>348</v>
      </c>
      <c r="F5504" s="26">
        <v>425</v>
      </c>
      <c r="G5504" s="25" t="s">
        <v>293</v>
      </c>
      <c r="H5504" s="25"/>
      <c r="BA5504" s="73" t="s">
        <v>355</v>
      </c>
      <c r="BB5504" s="48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357</v>
      </c>
      <c r="E5505" s="1" t="s">
        <v>125</v>
      </c>
      <c r="F5505" s="26">
        <v>430</v>
      </c>
      <c r="G5505" s="25" t="s">
        <v>293</v>
      </c>
      <c r="H5505" s="25"/>
      <c r="BA5505" s="73" t="s">
        <v>355</v>
      </c>
      <c r="BB5505" s="48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357</v>
      </c>
      <c r="E5506" s="1" t="s">
        <v>126</v>
      </c>
      <c r="F5506" s="26">
        <v>155</v>
      </c>
      <c r="G5506" s="25" t="s">
        <v>293</v>
      </c>
      <c r="H5506" s="25"/>
      <c r="BA5506" s="73" t="s">
        <v>355</v>
      </c>
      <c r="BB5506" s="48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357</v>
      </c>
      <c r="E5507" s="1" t="s">
        <v>349</v>
      </c>
      <c r="F5507" s="26">
        <v>353</v>
      </c>
      <c r="G5507" s="25" t="s">
        <v>293</v>
      </c>
      <c r="H5507" s="25"/>
      <c r="BA5507" s="73" t="s">
        <v>355</v>
      </c>
      <c r="BB5507" s="48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357</v>
      </c>
      <c r="E5508" s="1" t="s">
        <v>350</v>
      </c>
      <c r="F5508" s="26">
        <v>88</v>
      </c>
      <c r="G5508" s="25" t="s">
        <v>293</v>
      </c>
      <c r="H5508" s="25"/>
      <c r="BA5508" s="73" t="s">
        <v>355</v>
      </c>
      <c r="BB5508" s="48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357</v>
      </c>
      <c r="E5509" s="1" t="s">
        <v>122</v>
      </c>
      <c r="F5509" s="26">
        <v>212</v>
      </c>
      <c r="G5509" s="25" t="s">
        <v>293</v>
      </c>
      <c r="H5509" s="25"/>
      <c r="BA5509" s="73" t="s">
        <v>355</v>
      </c>
      <c r="BB5509" s="48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357</v>
      </c>
      <c r="E5510" s="1" t="s">
        <v>124</v>
      </c>
      <c r="F5510" s="26">
        <v>100</v>
      </c>
      <c r="G5510" s="25" t="s">
        <v>293</v>
      </c>
      <c r="H5510" s="25"/>
      <c r="BA5510" s="73" t="s">
        <v>355</v>
      </c>
      <c r="BB5510" s="48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357</v>
      </c>
      <c r="E5511" s="1" t="s">
        <v>351</v>
      </c>
      <c r="F5511" s="26">
        <v>3.34</v>
      </c>
      <c r="G5511" s="25" t="s">
        <v>293</v>
      </c>
      <c r="H5511" s="25"/>
      <c r="BA5511" s="73" t="s">
        <v>355</v>
      </c>
      <c r="BB5511" s="48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357</v>
      </c>
      <c r="E5512" s="1" t="s">
        <v>353</v>
      </c>
      <c r="F5512" s="26">
        <v>17.8</v>
      </c>
      <c r="G5512" s="25" t="s">
        <v>293</v>
      </c>
      <c r="H5512" s="25"/>
      <c r="BA5512" s="73" t="s">
        <v>355</v>
      </c>
      <c r="BB5512" s="48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357</v>
      </c>
      <c r="E5513" s="1" t="s">
        <v>133</v>
      </c>
      <c r="F5513" s="26">
        <v>128</v>
      </c>
      <c r="G5513" s="25" t="s">
        <v>293</v>
      </c>
      <c r="H5513" s="25"/>
      <c r="BA5513" s="73" t="s">
        <v>355</v>
      </c>
      <c r="BB5513" s="48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357</v>
      </c>
      <c r="E5514" s="1" t="s">
        <v>135</v>
      </c>
      <c r="F5514" s="26">
        <v>6.6</v>
      </c>
      <c r="G5514" s="25" t="s">
        <v>293</v>
      </c>
      <c r="H5514" s="25"/>
      <c r="BA5514" s="73" t="s">
        <v>355</v>
      </c>
      <c r="BB5514" s="48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357</v>
      </c>
      <c r="E5515" s="1" t="s">
        <v>136</v>
      </c>
      <c r="F5515" s="26">
        <v>92</v>
      </c>
      <c r="G5515" s="25" t="s">
        <v>293</v>
      </c>
      <c r="H5515" s="25"/>
      <c r="BA5515" s="73" t="s">
        <v>355</v>
      </c>
      <c r="BB5515" s="48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357</v>
      </c>
      <c r="E5516" s="1" t="s">
        <v>339</v>
      </c>
      <c r="F5516" s="26">
        <v>1.25</v>
      </c>
      <c r="G5516" s="25" t="s">
        <v>293</v>
      </c>
      <c r="H5516" s="25"/>
      <c r="BA5516" s="73" t="s">
        <v>355</v>
      </c>
      <c r="BB5516" s="48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357</v>
      </c>
      <c r="E5517" s="1" t="s">
        <v>118</v>
      </c>
      <c r="F5517" s="26">
        <v>9.6</v>
      </c>
      <c r="G5517" s="25" t="s">
        <v>293</v>
      </c>
      <c r="H5517" s="25"/>
      <c r="BA5517" s="73" t="s">
        <v>355</v>
      </c>
      <c r="BB5517" s="48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357</v>
      </c>
      <c r="E5518" s="1" t="s">
        <v>130</v>
      </c>
      <c r="F5518" s="26">
        <v>2.4700000000000002</v>
      </c>
      <c r="G5518" s="25" t="s">
        <v>293</v>
      </c>
      <c r="H5518" s="25"/>
      <c r="BA5518" s="73" t="s">
        <v>355</v>
      </c>
      <c r="BB5518" s="48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357</v>
      </c>
      <c r="E5519" s="1" t="s">
        <v>341</v>
      </c>
      <c r="F5519" s="26">
        <v>1.2150000000000001</v>
      </c>
      <c r="G5519" s="25" t="s">
        <v>293</v>
      </c>
      <c r="H5519" s="25"/>
      <c r="BA5519" s="73" t="s">
        <v>355</v>
      </c>
      <c r="BB5519" s="48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357</v>
      </c>
      <c r="E5520" s="1" t="s">
        <v>127</v>
      </c>
      <c r="F5520" s="26">
        <v>4.7350000000000003</v>
      </c>
      <c r="G5520" s="25" t="s">
        <v>293</v>
      </c>
      <c r="H5520" s="25"/>
      <c r="BA5520" s="73" t="s">
        <v>355</v>
      </c>
      <c r="BB5520" s="48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357</v>
      </c>
      <c r="E5521" s="1" t="s">
        <v>131</v>
      </c>
      <c r="F5521" s="26">
        <v>11.9</v>
      </c>
      <c r="G5521" s="25" t="s">
        <v>293</v>
      </c>
      <c r="H5521" s="25"/>
      <c r="BA5521" s="73" t="s">
        <v>355</v>
      </c>
      <c r="BB5521" s="48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357</v>
      </c>
      <c r="E5522" s="1" t="s">
        <v>342</v>
      </c>
      <c r="F5522" s="26">
        <v>185</v>
      </c>
      <c r="G5522" s="25" t="s">
        <v>293</v>
      </c>
      <c r="H5522" s="25"/>
      <c r="BA5522" s="73" t="s">
        <v>355</v>
      </c>
      <c r="BB5522" s="48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357</v>
      </c>
      <c r="E5523" s="1" t="s">
        <v>119</v>
      </c>
      <c r="F5523" s="26">
        <v>93</v>
      </c>
      <c r="G5523" s="25" t="s">
        <v>293</v>
      </c>
      <c r="H5523" s="25"/>
      <c r="BA5523" s="73" t="s">
        <v>355</v>
      </c>
      <c r="BB5523" s="48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357</v>
      </c>
      <c r="E5524" s="1" t="s">
        <v>120</v>
      </c>
      <c r="F5524" s="26">
        <v>27</v>
      </c>
      <c r="G5524" s="25" t="s">
        <v>293</v>
      </c>
      <c r="H5524" s="25"/>
      <c r="BA5524" s="73" t="s">
        <v>355</v>
      </c>
      <c r="BB5524" s="48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357</v>
      </c>
      <c r="E5525" s="1" t="s">
        <v>117</v>
      </c>
      <c r="F5525" s="26">
        <v>6.52</v>
      </c>
      <c r="G5525" s="25" t="s">
        <v>293</v>
      </c>
      <c r="H5525" s="25"/>
      <c r="BA5525" s="73" t="s">
        <v>355</v>
      </c>
      <c r="BB5525" s="48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357</v>
      </c>
      <c r="E5526" s="1" t="s">
        <v>344</v>
      </c>
      <c r="F5526" s="26">
        <v>71</v>
      </c>
      <c r="G5526" s="25" t="s">
        <v>293</v>
      </c>
      <c r="H5526" s="25"/>
      <c r="BA5526" s="73" t="s">
        <v>355</v>
      </c>
      <c r="BB5526" s="48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357</v>
      </c>
      <c r="E5527" s="1" t="s">
        <v>132</v>
      </c>
      <c r="F5527" s="26">
        <v>7.13</v>
      </c>
      <c r="G5527" s="25" t="s">
        <v>293</v>
      </c>
      <c r="H5527" s="25"/>
      <c r="BA5527" s="73" t="s">
        <v>355</v>
      </c>
      <c r="BB5527" s="48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357</v>
      </c>
      <c r="E5528" s="1" t="s">
        <v>111</v>
      </c>
      <c r="F5528" s="26">
        <v>286</v>
      </c>
      <c r="G5528" s="25" t="s">
        <v>293</v>
      </c>
      <c r="H5528" s="25"/>
      <c r="BA5528" s="73" t="s">
        <v>355</v>
      </c>
      <c r="BB5528" s="48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357</v>
      </c>
      <c r="E5529" s="1" t="s">
        <v>345</v>
      </c>
      <c r="F5529" s="26">
        <v>9.69</v>
      </c>
      <c r="G5529" s="25" t="s">
        <v>293</v>
      </c>
      <c r="H5529" s="25"/>
      <c r="BA5529" s="73" t="s">
        <v>355</v>
      </c>
      <c r="BB5529" s="48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357</v>
      </c>
      <c r="E5530" s="1" t="s">
        <v>347</v>
      </c>
      <c r="F5530" s="26">
        <v>4.6399999999999997</v>
      </c>
      <c r="G5530" s="25" t="s">
        <v>293</v>
      </c>
      <c r="H5530" s="25"/>
      <c r="BA5530" s="73" t="s">
        <v>355</v>
      </c>
      <c r="BB5530" s="48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357</v>
      </c>
      <c r="E5531" s="1" t="s">
        <v>128</v>
      </c>
      <c r="F5531" s="26">
        <v>4.5999999999999996</v>
      </c>
      <c r="G5531" s="25" t="s">
        <v>293</v>
      </c>
      <c r="H5531" s="25"/>
      <c r="BA5531" s="73" t="s">
        <v>355</v>
      </c>
      <c r="BB5531" s="48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357</v>
      </c>
      <c r="E5532" s="1" t="s">
        <v>121</v>
      </c>
      <c r="F5532" s="26">
        <v>78</v>
      </c>
      <c r="G5532" s="25" t="s">
        <v>293</v>
      </c>
      <c r="H5532" s="25"/>
      <c r="BA5532" s="73" t="s">
        <v>355</v>
      </c>
      <c r="BB5532" s="48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357</v>
      </c>
      <c r="E5533" s="1" t="s">
        <v>115</v>
      </c>
      <c r="F5533" s="26">
        <v>94</v>
      </c>
      <c r="G5533" s="25" t="s">
        <v>293</v>
      </c>
      <c r="H5533" s="25"/>
      <c r="BA5533" s="73" t="s">
        <v>355</v>
      </c>
      <c r="BB5533" s="48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357</v>
      </c>
      <c r="E5534" s="1" t="s">
        <v>137</v>
      </c>
      <c r="F5534" s="26">
        <v>487</v>
      </c>
      <c r="G5534" s="25" t="s">
        <v>293</v>
      </c>
      <c r="H5534" s="25"/>
      <c r="BA5534" s="73" t="s">
        <v>355</v>
      </c>
      <c r="BB5534" s="48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357</v>
      </c>
      <c r="E5535" s="1" t="s">
        <v>348</v>
      </c>
      <c r="F5535" s="26">
        <v>427</v>
      </c>
      <c r="G5535" s="25" t="s">
        <v>293</v>
      </c>
      <c r="H5535" s="25"/>
      <c r="BA5535" s="73" t="s">
        <v>355</v>
      </c>
      <c r="BB5535" s="48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357</v>
      </c>
      <c r="E5536" s="1" t="s">
        <v>125</v>
      </c>
      <c r="F5536" s="26">
        <v>423</v>
      </c>
      <c r="G5536" s="25" t="s">
        <v>293</v>
      </c>
      <c r="H5536" s="25"/>
      <c r="BA5536" s="73" t="s">
        <v>355</v>
      </c>
      <c r="BB5536" s="48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357</v>
      </c>
      <c r="E5537" s="1" t="s">
        <v>126</v>
      </c>
      <c r="F5537" s="26">
        <v>155</v>
      </c>
      <c r="G5537" s="25" t="s">
        <v>293</v>
      </c>
      <c r="H5537" s="25"/>
      <c r="BA5537" s="73" t="s">
        <v>355</v>
      </c>
      <c r="BB5537" s="48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357</v>
      </c>
      <c r="E5538" s="1" t="s">
        <v>349</v>
      </c>
      <c r="F5538" s="26">
        <v>388</v>
      </c>
      <c r="G5538" s="25" t="s">
        <v>293</v>
      </c>
      <c r="H5538" s="25"/>
      <c r="BA5538" s="73" t="s">
        <v>355</v>
      </c>
      <c r="BB5538" s="48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357</v>
      </c>
      <c r="E5539" s="1" t="s">
        <v>350</v>
      </c>
      <c r="F5539" s="26">
        <v>88</v>
      </c>
      <c r="G5539" s="25" t="s">
        <v>293</v>
      </c>
      <c r="H5539" s="25"/>
      <c r="BA5539" s="73" t="s">
        <v>355</v>
      </c>
      <c r="BB5539" s="48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357</v>
      </c>
      <c r="E5540" s="1" t="s">
        <v>122</v>
      </c>
      <c r="F5540" s="26">
        <v>214</v>
      </c>
      <c r="G5540" s="25" t="s">
        <v>293</v>
      </c>
      <c r="H5540" s="25"/>
      <c r="BA5540" s="73" t="s">
        <v>355</v>
      </c>
      <c r="BB5540" s="48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357</v>
      </c>
      <c r="E5541" s="1" t="s">
        <v>124</v>
      </c>
      <c r="F5541" s="26">
        <v>103</v>
      </c>
      <c r="G5541" s="25" t="s">
        <v>293</v>
      </c>
      <c r="H5541" s="25"/>
      <c r="BA5541" s="73" t="s">
        <v>355</v>
      </c>
      <c r="BB5541" s="48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357</v>
      </c>
      <c r="E5542" s="1" t="s">
        <v>351</v>
      </c>
      <c r="F5542" s="26">
        <v>3.33</v>
      </c>
      <c r="G5542" s="25" t="s">
        <v>293</v>
      </c>
      <c r="H5542" s="25"/>
      <c r="BA5542" s="73" t="s">
        <v>355</v>
      </c>
      <c r="BB5542" s="48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357</v>
      </c>
      <c r="E5543" s="1" t="s">
        <v>353</v>
      </c>
      <c r="F5543" s="26">
        <v>18.600000000000001</v>
      </c>
      <c r="G5543" s="25" t="s">
        <v>293</v>
      </c>
      <c r="H5543" s="25"/>
      <c r="BA5543" s="73" t="s">
        <v>355</v>
      </c>
      <c r="BB5543" s="48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357</v>
      </c>
      <c r="E5544" s="1" t="s">
        <v>133</v>
      </c>
      <c r="F5544" s="26">
        <v>130</v>
      </c>
      <c r="G5544" s="25" t="s">
        <v>293</v>
      </c>
      <c r="H5544" s="25"/>
      <c r="BA5544" s="73" t="s">
        <v>355</v>
      </c>
      <c r="BB5544" s="48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357</v>
      </c>
      <c r="E5545" s="1" t="s">
        <v>135</v>
      </c>
      <c r="F5545" s="26">
        <v>6.6</v>
      </c>
      <c r="G5545" s="25" t="s">
        <v>293</v>
      </c>
      <c r="H5545" s="25"/>
      <c r="BA5545" s="73" t="s">
        <v>355</v>
      </c>
      <c r="BB5545" s="48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357</v>
      </c>
      <c r="E5546" s="1" t="s">
        <v>136</v>
      </c>
      <c r="F5546" s="26">
        <v>93</v>
      </c>
      <c r="G5546" s="25" t="s">
        <v>293</v>
      </c>
      <c r="H5546" s="25"/>
      <c r="BA5546" s="73" t="s">
        <v>355</v>
      </c>
      <c r="BB5546" s="48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357</v>
      </c>
      <c r="E5547" s="1" t="s">
        <v>339</v>
      </c>
      <c r="F5547" s="26">
        <v>1.1499999999999999</v>
      </c>
      <c r="G5547" s="25" t="s">
        <v>293</v>
      </c>
      <c r="H5547" s="25"/>
      <c r="BA5547" s="73" t="s">
        <v>355</v>
      </c>
      <c r="BB5547" s="48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357</v>
      </c>
      <c r="E5548" s="1" t="s">
        <v>118</v>
      </c>
      <c r="F5548" s="26">
        <v>9.5</v>
      </c>
      <c r="G5548" s="25" t="s">
        <v>293</v>
      </c>
      <c r="H5548" s="25"/>
      <c r="BA5548" s="73" t="s">
        <v>355</v>
      </c>
      <c r="BB5548" s="48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357</v>
      </c>
      <c r="E5549" s="1" t="s">
        <v>130</v>
      </c>
      <c r="F5549" s="26">
        <v>2.4500000000000002</v>
      </c>
      <c r="G5549" s="25" t="s">
        <v>293</v>
      </c>
      <c r="H5549" s="25"/>
      <c r="BA5549" s="73" t="s">
        <v>355</v>
      </c>
      <c r="BB5549" s="48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357</v>
      </c>
      <c r="E5550" s="1" t="s">
        <v>341</v>
      </c>
      <c r="F5550" s="26">
        <v>1.2390000000000001</v>
      </c>
      <c r="G5550" s="25" t="s">
        <v>293</v>
      </c>
      <c r="H5550" s="25"/>
      <c r="BA5550" s="73" t="s">
        <v>355</v>
      </c>
      <c r="BB5550" s="48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357</v>
      </c>
      <c r="E5551" s="1" t="s">
        <v>127</v>
      </c>
      <c r="F5551" s="26">
        <v>4.7149999999999999</v>
      </c>
      <c r="G5551" s="25" t="s">
        <v>293</v>
      </c>
      <c r="H5551" s="25"/>
      <c r="BA5551" s="73" t="s">
        <v>355</v>
      </c>
      <c r="BB5551" s="48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357</v>
      </c>
      <c r="E5552" s="1" t="s">
        <v>131</v>
      </c>
      <c r="F5552" s="26">
        <v>11.8</v>
      </c>
      <c r="G5552" s="25" t="s">
        <v>293</v>
      </c>
      <c r="H5552" s="25"/>
      <c r="BA5552" s="73" t="s">
        <v>355</v>
      </c>
      <c r="BB5552" s="48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357</v>
      </c>
      <c r="E5553" s="1" t="s">
        <v>342</v>
      </c>
      <c r="F5553" s="26">
        <v>178</v>
      </c>
      <c r="G5553" s="25" t="s">
        <v>293</v>
      </c>
      <c r="H5553" s="25"/>
      <c r="BA5553" s="73" t="s">
        <v>355</v>
      </c>
      <c r="BB5553" s="48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357</v>
      </c>
      <c r="E5554" s="1" t="s">
        <v>119</v>
      </c>
      <c r="F5554" s="26">
        <v>89</v>
      </c>
      <c r="G5554" s="25" t="s">
        <v>293</v>
      </c>
      <c r="H5554" s="25"/>
      <c r="BA5554" s="73" t="s">
        <v>355</v>
      </c>
      <c r="BB5554" s="48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357</v>
      </c>
      <c r="E5555" s="1" t="s">
        <v>120</v>
      </c>
      <c r="F5555" s="26">
        <v>27</v>
      </c>
      <c r="G5555" s="25" t="s">
        <v>293</v>
      </c>
      <c r="H5555" s="25"/>
      <c r="BA5555" s="73" t="s">
        <v>355</v>
      </c>
      <c r="BB5555" s="48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357</v>
      </c>
      <c r="E5556" s="1" t="s">
        <v>117</v>
      </c>
      <c r="F5556" s="26">
        <v>6.25</v>
      </c>
      <c r="G5556" s="25" t="s">
        <v>293</v>
      </c>
      <c r="H5556" s="25"/>
      <c r="BA5556" s="73" t="s">
        <v>355</v>
      </c>
      <c r="BB5556" s="48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357</v>
      </c>
      <c r="E5557" s="1" t="s">
        <v>344</v>
      </c>
      <c r="F5557" s="26">
        <v>69</v>
      </c>
      <c r="G5557" s="25" t="s">
        <v>293</v>
      </c>
      <c r="H5557" s="25"/>
      <c r="BA5557" s="73" t="s">
        <v>355</v>
      </c>
      <c r="BB5557" s="48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357</v>
      </c>
      <c r="E5558" s="1" t="s">
        <v>132</v>
      </c>
      <c r="F5558" s="26">
        <v>7.05</v>
      </c>
      <c r="G5558" s="25" t="s">
        <v>293</v>
      </c>
      <c r="H5558" s="25"/>
      <c r="BA5558" s="73" t="s">
        <v>355</v>
      </c>
      <c r="BB5558" s="48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357</v>
      </c>
      <c r="E5559" s="1" t="s">
        <v>111</v>
      </c>
      <c r="F5559" s="26">
        <v>279</v>
      </c>
      <c r="G5559" s="25" t="s">
        <v>293</v>
      </c>
      <c r="H5559" s="25"/>
      <c r="BA5559" s="73" t="s">
        <v>355</v>
      </c>
      <c r="BB5559" s="48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357</v>
      </c>
      <c r="E5560" s="1" t="s">
        <v>345</v>
      </c>
      <c r="F5560" s="26">
        <v>9.85</v>
      </c>
      <c r="G5560" s="25" t="s">
        <v>293</v>
      </c>
      <c r="H5560" s="25"/>
      <c r="BA5560" s="73" t="s">
        <v>355</v>
      </c>
      <c r="BB5560" s="48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357</v>
      </c>
      <c r="E5561" s="1" t="s">
        <v>347</v>
      </c>
      <c r="F5561" s="26">
        <v>4.75</v>
      </c>
      <c r="G5561" s="25" t="s">
        <v>293</v>
      </c>
      <c r="H5561" s="25"/>
      <c r="BA5561" s="73" t="s">
        <v>355</v>
      </c>
      <c r="BB5561" s="48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357</v>
      </c>
      <c r="E5562" s="1" t="s">
        <v>128</v>
      </c>
      <c r="F5562" s="26">
        <v>4.5</v>
      </c>
      <c r="G5562" s="25" t="s">
        <v>293</v>
      </c>
      <c r="H5562" s="25"/>
      <c r="BA5562" s="73" t="s">
        <v>355</v>
      </c>
      <c r="BB5562" s="48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357</v>
      </c>
      <c r="E5563" s="1" t="s">
        <v>121</v>
      </c>
      <c r="F5563" s="26">
        <v>80</v>
      </c>
      <c r="G5563" s="25" t="s">
        <v>293</v>
      </c>
      <c r="H5563" s="25"/>
      <c r="BA5563" s="73" t="s">
        <v>355</v>
      </c>
      <c r="BB5563" s="48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357</v>
      </c>
      <c r="E5564" s="1" t="s">
        <v>115</v>
      </c>
      <c r="F5564" s="26">
        <v>92</v>
      </c>
      <c r="G5564" s="25" t="s">
        <v>293</v>
      </c>
      <c r="H5564" s="25"/>
      <c r="BA5564" s="73" t="s">
        <v>355</v>
      </c>
      <c r="BB5564" s="48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357</v>
      </c>
      <c r="E5565" s="1" t="s">
        <v>137</v>
      </c>
      <c r="F5565" s="26">
        <v>488</v>
      </c>
      <c r="G5565" s="25" t="s">
        <v>293</v>
      </c>
      <c r="H5565" s="25"/>
      <c r="BA5565" s="73" t="s">
        <v>355</v>
      </c>
      <c r="BB5565" s="48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357</v>
      </c>
      <c r="E5566" s="1" t="s">
        <v>348</v>
      </c>
      <c r="F5566" s="26">
        <v>411</v>
      </c>
      <c r="G5566" s="25" t="s">
        <v>293</v>
      </c>
      <c r="H5566" s="25"/>
      <c r="BA5566" s="73" t="s">
        <v>355</v>
      </c>
      <c r="BB5566" s="48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357</v>
      </c>
      <c r="E5567" s="1" t="s">
        <v>125</v>
      </c>
      <c r="F5567" s="26">
        <v>416</v>
      </c>
      <c r="G5567" s="25" t="s">
        <v>293</v>
      </c>
      <c r="H5567" s="25"/>
      <c r="BA5567" s="73" t="s">
        <v>355</v>
      </c>
      <c r="BB5567" s="48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357</v>
      </c>
      <c r="E5568" s="1" t="s">
        <v>126</v>
      </c>
      <c r="F5568" s="26">
        <v>151</v>
      </c>
      <c r="G5568" s="25" t="s">
        <v>293</v>
      </c>
      <c r="H5568" s="25"/>
      <c r="BA5568" s="73" t="s">
        <v>355</v>
      </c>
      <c r="BB5568" s="48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357</v>
      </c>
      <c r="E5569" s="1" t="s">
        <v>349</v>
      </c>
      <c r="F5569" s="26">
        <v>375</v>
      </c>
      <c r="G5569" s="25" t="s">
        <v>293</v>
      </c>
      <c r="H5569" s="25"/>
      <c r="BA5569" s="73" t="s">
        <v>355</v>
      </c>
      <c r="BB5569" s="48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357</v>
      </c>
      <c r="E5570" s="1" t="s">
        <v>350</v>
      </c>
      <c r="F5570" s="26">
        <v>86</v>
      </c>
      <c r="G5570" s="25" t="s">
        <v>293</v>
      </c>
      <c r="H5570" s="25"/>
      <c r="BA5570" s="73" t="s">
        <v>355</v>
      </c>
      <c r="BB5570" s="48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357</v>
      </c>
      <c r="E5571" s="1" t="s">
        <v>122</v>
      </c>
      <c r="F5571" s="26">
        <v>214</v>
      </c>
      <c r="G5571" s="25" t="s">
        <v>293</v>
      </c>
      <c r="H5571" s="25"/>
      <c r="BA5571" s="73" t="s">
        <v>355</v>
      </c>
      <c r="BB5571" s="48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357</v>
      </c>
      <c r="E5572" s="1" t="s">
        <v>124</v>
      </c>
      <c r="F5572" s="26">
        <v>104</v>
      </c>
      <c r="G5572" s="25" t="s">
        <v>293</v>
      </c>
      <c r="H5572" s="25"/>
      <c r="BA5572" s="73" t="s">
        <v>355</v>
      </c>
      <c r="BB5572" s="48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357</v>
      </c>
      <c r="E5573" s="1" t="s">
        <v>351</v>
      </c>
      <c r="F5573" s="26">
        <v>3.36</v>
      </c>
      <c r="G5573" s="25" t="s">
        <v>293</v>
      </c>
      <c r="H5573" s="25"/>
      <c r="BA5573" s="73" t="s">
        <v>355</v>
      </c>
      <c r="BB5573" s="48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357</v>
      </c>
      <c r="E5574" s="1" t="s">
        <v>353</v>
      </c>
      <c r="F5574" s="26">
        <v>17.3</v>
      </c>
      <c r="G5574" s="25" t="s">
        <v>293</v>
      </c>
      <c r="H5574" s="25"/>
      <c r="BA5574" s="73" t="s">
        <v>355</v>
      </c>
      <c r="BB5574" s="48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357</v>
      </c>
      <c r="E5575" s="1" t="s">
        <v>133</v>
      </c>
      <c r="F5575" s="26">
        <v>127</v>
      </c>
      <c r="G5575" s="25" t="s">
        <v>293</v>
      </c>
      <c r="H5575" s="25"/>
      <c r="BA5575" s="73" t="s">
        <v>355</v>
      </c>
      <c r="BB5575" s="48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357</v>
      </c>
      <c r="E5576" s="1" t="s">
        <v>135</v>
      </c>
      <c r="F5576" s="26">
        <v>6.5</v>
      </c>
      <c r="G5576" s="25" t="s">
        <v>293</v>
      </c>
      <c r="H5576" s="25"/>
      <c r="BA5576" s="73" t="s">
        <v>355</v>
      </c>
      <c r="BB5576" s="48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357</v>
      </c>
      <c r="E5577" s="1" t="s">
        <v>136</v>
      </c>
      <c r="F5577" s="26">
        <v>91</v>
      </c>
      <c r="G5577" s="25" t="s">
        <v>293</v>
      </c>
      <c r="H5577" s="25"/>
      <c r="BA5577" s="73" t="s">
        <v>355</v>
      </c>
      <c r="BB5577" s="48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356</v>
      </c>
      <c r="E5578" s="1" t="s">
        <v>339</v>
      </c>
      <c r="F5578" s="26">
        <v>4.71</v>
      </c>
      <c r="G5578" s="25" t="s">
        <v>293</v>
      </c>
      <c r="H5578" s="25"/>
      <c r="BA5578" s="73" t="s">
        <v>355</v>
      </c>
      <c r="BB5578" s="48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356</v>
      </c>
      <c r="E5579" s="1" t="s">
        <v>118</v>
      </c>
      <c r="F5579" s="26">
        <v>4.5</v>
      </c>
      <c r="G5579" s="25" t="s">
        <v>293</v>
      </c>
      <c r="H5579" s="25"/>
      <c r="BA5579" s="73" t="s">
        <v>355</v>
      </c>
      <c r="BB5579" s="48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356</v>
      </c>
      <c r="E5580" s="1" t="s">
        <v>130</v>
      </c>
      <c r="F5580" s="26">
        <v>3.84</v>
      </c>
      <c r="G5580" s="25" t="s">
        <v>293</v>
      </c>
      <c r="H5580" s="25"/>
      <c r="BA5580" s="73" t="s">
        <v>355</v>
      </c>
      <c r="BB5580" s="48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356</v>
      </c>
      <c r="E5581" s="1" t="s">
        <v>341</v>
      </c>
      <c r="F5581" s="26">
        <v>0.31</v>
      </c>
      <c r="G5581" s="25" t="s">
        <v>293</v>
      </c>
      <c r="H5581" s="25"/>
      <c r="BA5581" s="73" t="s">
        <v>355</v>
      </c>
      <c r="BB5581" s="48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356</v>
      </c>
      <c r="E5582" s="1" t="s">
        <v>127</v>
      </c>
      <c r="F5582" s="26">
        <v>1.242</v>
      </c>
      <c r="G5582" s="25" t="s">
        <v>293</v>
      </c>
      <c r="H5582" s="25"/>
      <c r="BA5582" s="73" t="s">
        <v>355</v>
      </c>
      <c r="BB5582" s="48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356</v>
      </c>
      <c r="E5583" s="1" t="s">
        <v>131</v>
      </c>
      <c r="F5583" s="26">
        <v>8.8000000000000007</v>
      </c>
      <c r="G5583" s="25" t="s">
        <v>293</v>
      </c>
      <c r="H5583" s="25"/>
      <c r="BA5583" s="73" t="s">
        <v>355</v>
      </c>
      <c r="BB5583" s="48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356</v>
      </c>
      <c r="E5584" s="1" t="s">
        <v>342</v>
      </c>
      <c r="F5584" s="26">
        <v>328</v>
      </c>
      <c r="G5584" s="25" t="s">
        <v>293</v>
      </c>
      <c r="H5584" s="25"/>
      <c r="BA5584" s="73" t="s">
        <v>355</v>
      </c>
      <c r="BB5584" s="48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356</v>
      </c>
      <c r="E5585" s="1" t="s">
        <v>119</v>
      </c>
      <c r="F5585" s="26">
        <v>247</v>
      </c>
      <c r="G5585" s="25" t="s">
        <v>293</v>
      </c>
      <c r="H5585" s="25"/>
      <c r="BA5585" s="73" t="s">
        <v>355</v>
      </c>
      <c r="BB5585" s="48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356</v>
      </c>
      <c r="E5586" s="1" t="s">
        <v>120</v>
      </c>
      <c r="F5586" s="26">
        <v>76</v>
      </c>
      <c r="G5586" s="25" t="s">
        <v>293</v>
      </c>
      <c r="H5586" s="25"/>
      <c r="BA5586" s="73" t="s">
        <v>355</v>
      </c>
      <c r="BB5586" s="48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356</v>
      </c>
      <c r="E5587" s="1" t="s">
        <v>117</v>
      </c>
      <c r="F5587" s="26">
        <v>2.69</v>
      </c>
      <c r="G5587" s="25" t="s">
        <v>293</v>
      </c>
      <c r="H5587" s="25"/>
      <c r="BA5587" s="73" t="s">
        <v>355</v>
      </c>
      <c r="BB5587" s="48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356</v>
      </c>
      <c r="E5588" s="1" t="s">
        <v>344</v>
      </c>
      <c r="F5588" s="26">
        <v>230</v>
      </c>
      <c r="G5588" s="25" t="s">
        <v>293</v>
      </c>
      <c r="H5588" s="25"/>
      <c r="BA5588" s="73" t="s">
        <v>355</v>
      </c>
      <c r="BB5588" s="48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356</v>
      </c>
      <c r="E5589" s="1" t="s">
        <v>132</v>
      </c>
      <c r="F5589" s="26">
        <v>3.45</v>
      </c>
      <c r="G5589" s="25" t="s">
        <v>293</v>
      </c>
      <c r="H5589" s="25"/>
      <c r="BA5589" s="73" t="s">
        <v>355</v>
      </c>
      <c r="BB5589" s="48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356</v>
      </c>
      <c r="E5590" s="1" t="s">
        <v>111</v>
      </c>
      <c r="F5590" s="26">
        <v>87</v>
      </c>
      <c r="G5590" s="25" t="s">
        <v>293</v>
      </c>
      <c r="H5590" s="25"/>
      <c r="BA5590" s="73" t="s">
        <v>355</v>
      </c>
      <c r="BB5590" s="48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356</v>
      </c>
      <c r="E5591" s="1" t="s">
        <v>345</v>
      </c>
      <c r="F5591" s="26">
        <v>5.08</v>
      </c>
      <c r="G5591" s="25" t="s">
        <v>293</v>
      </c>
      <c r="H5591" s="25"/>
      <c r="BA5591" s="73" t="s">
        <v>355</v>
      </c>
      <c r="BB5591" s="48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356</v>
      </c>
      <c r="E5592" s="1" t="s">
        <v>347</v>
      </c>
      <c r="F5592" s="26">
        <v>2.33</v>
      </c>
      <c r="G5592" s="25" t="s">
        <v>293</v>
      </c>
      <c r="H5592" s="25"/>
      <c r="BA5592" s="73" t="s">
        <v>355</v>
      </c>
      <c r="BB5592" s="48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356</v>
      </c>
      <c r="E5593" s="1" t="s">
        <v>128</v>
      </c>
      <c r="F5593" s="26">
        <v>7.2</v>
      </c>
      <c r="G5593" s="25" t="s">
        <v>293</v>
      </c>
      <c r="H5593" s="25"/>
      <c r="BA5593" s="73" t="s">
        <v>355</v>
      </c>
      <c r="BB5593" s="48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356</v>
      </c>
      <c r="E5594" s="1" t="s">
        <v>121</v>
      </c>
      <c r="F5594" s="26">
        <v>159</v>
      </c>
      <c r="G5594" s="25" t="s">
        <v>293</v>
      </c>
      <c r="H5594" s="25"/>
      <c r="BA5594" s="73" t="s">
        <v>355</v>
      </c>
      <c r="BB5594" s="48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356</v>
      </c>
      <c r="E5595" s="1" t="s">
        <v>115</v>
      </c>
      <c r="F5595" s="26">
        <v>36</v>
      </c>
      <c r="G5595" s="25" t="s">
        <v>293</v>
      </c>
      <c r="H5595" s="25"/>
      <c r="BA5595" s="73" t="s">
        <v>355</v>
      </c>
      <c r="BB5595" s="48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356</v>
      </c>
      <c r="E5596" s="1" t="s">
        <v>137</v>
      </c>
      <c r="F5596" s="26">
        <v>75</v>
      </c>
      <c r="G5596" s="25" t="s">
        <v>293</v>
      </c>
      <c r="H5596" s="25"/>
      <c r="BA5596" s="73" t="s">
        <v>355</v>
      </c>
      <c r="BB5596" s="48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356</v>
      </c>
      <c r="E5597" s="1" t="s">
        <v>348</v>
      </c>
      <c r="F5597" s="26">
        <v>130</v>
      </c>
      <c r="G5597" s="25" t="s">
        <v>293</v>
      </c>
      <c r="H5597" s="25"/>
      <c r="BA5597" s="73" t="s">
        <v>355</v>
      </c>
      <c r="BB5597" s="48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356</v>
      </c>
      <c r="E5598" s="1" t="s">
        <v>125</v>
      </c>
      <c r="F5598" s="26">
        <v>120</v>
      </c>
      <c r="G5598" s="25" t="s">
        <v>293</v>
      </c>
      <c r="H5598" s="25"/>
      <c r="BA5598" s="73" t="s">
        <v>355</v>
      </c>
      <c r="BB5598" s="48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356</v>
      </c>
      <c r="E5599" s="1" t="s">
        <v>126</v>
      </c>
      <c r="F5599" s="26">
        <v>82</v>
      </c>
      <c r="G5599" s="25" t="s">
        <v>293</v>
      </c>
      <c r="H5599" s="25"/>
      <c r="BA5599" s="73" t="s">
        <v>355</v>
      </c>
      <c r="BB5599" s="48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356</v>
      </c>
      <c r="E5600" s="1" t="s">
        <v>349</v>
      </c>
      <c r="F5600" s="26">
        <v>153</v>
      </c>
      <c r="G5600" s="25" t="s">
        <v>293</v>
      </c>
      <c r="H5600" s="25"/>
      <c r="BA5600" s="73" t="s">
        <v>355</v>
      </c>
      <c r="BB5600" s="48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356</v>
      </c>
      <c r="E5601" s="1" t="s">
        <v>350</v>
      </c>
      <c r="F5601" s="26">
        <v>59</v>
      </c>
      <c r="G5601" s="25" t="s">
        <v>293</v>
      </c>
      <c r="H5601" s="25"/>
      <c r="BA5601" s="73" t="s">
        <v>355</v>
      </c>
      <c r="BB5601" s="48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356</v>
      </c>
      <c r="E5602" s="1" t="s">
        <v>122</v>
      </c>
      <c r="F5602" s="26">
        <v>48</v>
      </c>
      <c r="G5602" s="25" t="s">
        <v>293</v>
      </c>
      <c r="H5602" s="25"/>
      <c r="BA5602" s="73" t="s">
        <v>355</v>
      </c>
      <c r="BB5602" s="48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356</v>
      </c>
      <c r="E5603" s="1" t="s">
        <v>124</v>
      </c>
      <c r="F5603" s="26">
        <v>28</v>
      </c>
      <c r="G5603" s="25" t="s">
        <v>293</v>
      </c>
      <c r="H5603" s="25"/>
      <c r="BA5603" s="73" t="s">
        <v>355</v>
      </c>
      <c r="BB5603" s="48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356</v>
      </c>
      <c r="E5604" s="1" t="s">
        <v>351</v>
      </c>
      <c r="F5604" s="26">
        <v>0.95</v>
      </c>
      <c r="G5604" s="25" t="s">
        <v>293</v>
      </c>
      <c r="H5604" s="25"/>
      <c r="BA5604" s="73" t="s">
        <v>355</v>
      </c>
      <c r="BB5604" s="48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356</v>
      </c>
      <c r="E5605" s="1" t="s">
        <v>353</v>
      </c>
      <c r="F5605" s="26">
        <v>32.5</v>
      </c>
      <c r="G5605" s="25" t="s">
        <v>293</v>
      </c>
      <c r="H5605" s="25"/>
      <c r="BA5605" s="73" t="s">
        <v>355</v>
      </c>
      <c r="BB5605" s="48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356</v>
      </c>
      <c r="E5606" s="1" t="s">
        <v>133</v>
      </c>
      <c r="F5606" s="26">
        <v>147</v>
      </c>
      <c r="G5606" s="25" t="s">
        <v>293</v>
      </c>
      <c r="H5606" s="25"/>
      <c r="BA5606" s="73" t="s">
        <v>355</v>
      </c>
      <c r="BB5606" s="48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356</v>
      </c>
      <c r="E5607" s="1" t="s">
        <v>135</v>
      </c>
      <c r="F5607" s="26">
        <v>3.8</v>
      </c>
      <c r="G5607" s="25" t="s">
        <v>293</v>
      </c>
      <c r="H5607" s="25"/>
      <c r="BA5607" s="73" t="s">
        <v>355</v>
      </c>
      <c r="BB5607" s="48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356</v>
      </c>
      <c r="E5608" s="1" t="s">
        <v>136</v>
      </c>
      <c r="F5608" s="26">
        <v>114</v>
      </c>
      <c r="G5608" s="25" t="s">
        <v>293</v>
      </c>
      <c r="H5608" s="25"/>
      <c r="BA5608" s="73" t="s">
        <v>355</v>
      </c>
      <c r="BB5608" s="48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356</v>
      </c>
      <c r="E5609" s="1" t="s">
        <v>339</v>
      </c>
      <c r="F5609" s="26">
        <v>4.68</v>
      </c>
      <c r="G5609" s="25" t="s">
        <v>293</v>
      </c>
      <c r="H5609" s="25"/>
      <c r="BA5609" s="73" t="s">
        <v>355</v>
      </c>
      <c r="BB5609" s="48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356</v>
      </c>
      <c r="E5610" s="1" t="s">
        <v>118</v>
      </c>
      <c r="F5610" s="26">
        <v>4.5999999999999996</v>
      </c>
      <c r="G5610" s="25" t="s">
        <v>293</v>
      </c>
      <c r="H5610" s="25"/>
      <c r="BA5610" s="73" t="s">
        <v>355</v>
      </c>
      <c r="BB5610" s="48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356</v>
      </c>
      <c r="E5611" s="1" t="s">
        <v>130</v>
      </c>
      <c r="F5611" s="26">
        <v>3.88</v>
      </c>
      <c r="G5611" s="25" t="s">
        <v>293</v>
      </c>
      <c r="H5611" s="25"/>
      <c r="BA5611" s="73" t="s">
        <v>355</v>
      </c>
      <c r="BB5611" s="48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356</v>
      </c>
      <c r="E5612" s="1" t="s">
        <v>341</v>
      </c>
      <c r="F5612" s="26">
        <v>0.317</v>
      </c>
      <c r="G5612" s="25" t="s">
        <v>293</v>
      </c>
      <c r="H5612" s="25"/>
      <c r="BA5612" s="73" t="s">
        <v>355</v>
      </c>
      <c r="BB5612" s="48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356</v>
      </c>
      <c r="E5613" s="1" t="s">
        <v>127</v>
      </c>
      <c r="F5613" s="26">
        <v>1.2290000000000001</v>
      </c>
      <c r="G5613" s="25" t="s">
        <v>293</v>
      </c>
      <c r="H5613" s="25"/>
      <c r="BA5613" s="73" t="s">
        <v>355</v>
      </c>
      <c r="BB5613" s="48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356</v>
      </c>
      <c r="E5614" s="1" t="s">
        <v>131</v>
      </c>
      <c r="F5614" s="26">
        <v>8.6</v>
      </c>
      <c r="G5614" s="25" t="s">
        <v>293</v>
      </c>
      <c r="H5614" s="25"/>
      <c r="BA5614" s="73" t="s">
        <v>355</v>
      </c>
      <c r="BB5614" s="48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356</v>
      </c>
      <c r="E5615" s="1" t="s">
        <v>342</v>
      </c>
      <c r="F5615" s="26">
        <v>315</v>
      </c>
      <c r="G5615" s="25" t="s">
        <v>293</v>
      </c>
      <c r="H5615" s="25"/>
      <c r="BA5615" s="73" t="s">
        <v>355</v>
      </c>
      <c r="BB5615" s="48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356</v>
      </c>
      <c r="E5616" s="1" t="s">
        <v>119</v>
      </c>
      <c r="F5616" s="26">
        <v>246</v>
      </c>
      <c r="G5616" s="25" t="s">
        <v>293</v>
      </c>
      <c r="H5616" s="25"/>
      <c r="BA5616" s="73" t="s">
        <v>355</v>
      </c>
      <c r="BB5616" s="48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356</v>
      </c>
      <c r="E5617" s="1" t="s">
        <v>120</v>
      </c>
      <c r="F5617" s="26">
        <v>75</v>
      </c>
      <c r="G5617" s="25" t="s">
        <v>293</v>
      </c>
      <c r="H5617" s="25"/>
      <c r="BA5617" s="73" t="s">
        <v>355</v>
      </c>
      <c r="BB5617" s="48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356</v>
      </c>
      <c r="E5618" s="1" t="s">
        <v>117</v>
      </c>
      <c r="F5618" s="26">
        <v>2.78</v>
      </c>
      <c r="G5618" s="25" t="s">
        <v>293</v>
      </c>
      <c r="H5618" s="25"/>
      <c r="BA5618" s="73" t="s">
        <v>355</v>
      </c>
      <c r="BB5618" s="48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356</v>
      </c>
      <c r="E5619" s="1" t="s">
        <v>344</v>
      </c>
      <c r="F5619" s="26">
        <v>231</v>
      </c>
      <c r="G5619" s="25" t="s">
        <v>293</v>
      </c>
      <c r="H5619" s="25"/>
      <c r="BA5619" s="73" t="s">
        <v>355</v>
      </c>
      <c r="BB5619" s="48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356</v>
      </c>
      <c r="E5620" s="1" t="s">
        <v>132</v>
      </c>
      <c r="F5620" s="26">
        <v>3.45</v>
      </c>
      <c r="G5620" s="25" t="s">
        <v>293</v>
      </c>
      <c r="H5620" s="25"/>
      <c r="BA5620" s="73" t="s">
        <v>355</v>
      </c>
      <c r="BB5620" s="48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356</v>
      </c>
      <c r="E5621" s="1" t="s">
        <v>111</v>
      </c>
      <c r="F5621" s="26">
        <v>86</v>
      </c>
      <c r="G5621" s="25" t="s">
        <v>293</v>
      </c>
      <c r="H5621" s="25"/>
      <c r="BA5621" s="73" t="s">
        <v>355</v>
      </c>
      <c r="BB5621" s="48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356</v>
      </c>
      <c r="E5622" s="1" t="s">
        <v>345</v>
      </c>
      <c r="F5622" s="26">
        <v>5.2</v>
      </c>
      <c r="G5622" s="25" t="s">
        <v>293</v>
      </c>
      <c r="H5622" s="25"/>
      <c r="BA5622" s="73" t="s">
        <v>355</v>
      </c>
      <c r="BB5622" s="48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356</v>
      </c>
      <c r="E5623" s="1" t="s">
        <v>347</v>
      </c>
      <c r="F5623" s="26">
        <v>2.3199999999999998</v>
      </c>
      <c r="G5623" s="25" t="s">
        <v>293</v>
      </c>
      <c r="H5623" s="25"/>
      <c r="BA5623" s="73" t="s">
        <v>355</v>
      </c>
      <c r="BB5623" s="48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356</v>
      </c>
      <c r="E5624" s="1" t="s">
        <v>128</v>
      </c>
      <c r="F5624" s="26">
        <v>7.2</v>
      </c>
      <c r="G5624" s="25" t="s">
        <v>293</v>
      </c>
      <c r="H5624" s="25"/>
      <c r="BA5624" s="73" t="s">
        <v>355</v>
      </c>
      <c r="BB5624" s="48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356</v>
      </c>
      <c r="E5625" s="1" t="s">
        <v>121</v>
      </c>
      <c r="F5625" s="26">
        <v>156</v>
      </c>
      <c r="G5625" s="25" t="s">
        <v>293</v>
      </c>
      <c r="H5625" s="25"/>
      <c r="BA5625" s="73" t="s">
        <v>355</v>
      </c>
      <c r="BB5625" s="48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356</v>
      </c>
      <c r="E5626" s="1" t="s">
        <v>115</v>
      </c>
      <c r="F5626" s="26">
        <v>36</v>
      </c>
      <c r="G5626" s="25" t="s">
        <v>293</v>
      </c>
      <c r="H5626" s="25"/>
      <c r="BA5626" s="73" t="s">
        <v>355</v>
      </c>
      <c r="BB5626" s="48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356</v>
      </c>
      <c r="E5627" s="1" t="s">
        <v>137</v>
      </c>
      <c r="F5627" s="26">
        <v>75</v>
      </c>
      <c r="G5627" s="25" t="s">
        <v>293</v>
      </c>
      <c r="H5627" s="25"/>
      <c r="BA5627" s="73" t="s">
        <v>355</v>
      </c>
      <c r="BB5627" s="48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356</v>
      </c>
      <c r="E5628" s="1" t="s">
        <v>348</v>
      </c>
      <c r="F5628" s="26">
        <v>131</v>
      </c>
      <c r="G5628" s="25" t="s">
        <v>293</v>
      </c>
      <c r="H5628" s="25"/>
      <c r="BA5628" s="73" t="s">
        <v>355</v>
      </c>
      <c r="BB5628" s="48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356</v>
      </c>
      <c r="E5629" s="1" t="s">
        <v>125</v>
      </c>
      <c r="F5629" s="26">
        <v>122</v>
      </c>
      <c r="G5629" s="25" t="s">
        <v>293</v>
      </c>
      <c r="H5629" s="25"/>
      <c r="BA5629" s="73" t="s">
        <v>355</v>
      </c>
      <c r="BB5629" s="48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356</v>
      </c>
      <c r="E5630" s="1" t="s">
        <v>126</v>
      </c>
      <c r="F5630" s="26">
        <v>85</v>
      </c>
      <c r="G5630" s="25" t="s">
        <v>293</v>
      </c>
      <c r="H5630" s="25"/>
      <c r="BA5630" s="73" t="s">
        <v>355</v>
      </c>
      <c r="BB5630" s="48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356</v>
      </c>
      <c r="E5631" s="1" t="s">
        <v>349</v>
      </c>
      <c r="F5631" s="26">
        <v>155</v>
      </c>
      <c r="G5631" s="25" t="s">
        <v>293</v>
      </c>
      <c r="H5631" s="25"/>
      <c r="BA5631" s="73" t="s">
        <v>355</v>
      </c>
      <c r="BB5631" s="48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356</v>
      </c>
      <c r="E5632" s="1" t="s">
        <v>350</v>
      </c>
      <c r="F5632" s="26">
        <v>61</v>
      </c>
      <c r="G5632" s="25" t="s">
        <v>293</v>
      </c>
      <c r="H5632" s="25"/>
      <c r="BA5632" s="73" t="s">
        <v>355</v>
      </c>
      <c r="BB5632" s="48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356</v>
      </c>
      <c r="E5633" s="1" t="s">
        <v>122</v>
      </c>
      <c r="F5633" s="26">
        <v>47</v>
      </c>
      <c r="G5633" s="25" t="s">
        <v>293</v>
      </c>
      <c r="H5633" s="25"/>
      <c r="BA5633" s="73" t="s">
        <v>355</v>
      </c>
      <c r="BB5633" s="48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356</v>
      </c>
      <c r="E5634" s="1" t="s">
        <v>124</v>
      </c>
      <c r="F5634" s="26">
        <v>28</v>
      </c>
      <c r="G5634" s="25" t="s">
        <v>293</v>
      </c>
      <c r="H5634" s="25"/>
      <c r="BA5634" s="73" t="s">
        <v>355</v>
      </c>
      <c r="BB5634" s="48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356</v>
      </c>
      <c r="E5635" s="1" t="s">
        <v>351</v>
      </c>
      <c r="F5635" s="26">
        <v>0.94</v>
      </c>
      <c r="G5635" s="25" t="s">
        <v>293</v>
      </c>
      <c r="H5635" s="25"/>
      <c r="BA5635" s="73" t="s">
        <v>355</v>
      </c>
      <c r="BB5635" s="48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356</v>
      </c>
      <c r="E5636" s="1" t="s">
        <v>353</v>
      </c>
      <c r="F5636" s="26">
        <v>33.299999999999997</v>
      </c>
      <c r="G5636" s="25" t="s">
        <v>293</v>
      </c>
      <c r="H5636" s="25"/>
      <c r="BA5636" s="73" t="s">
        <v>355</v>
      </c>
      <c r="BB5636" s="48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356</v>
      </c>
      <c r="E5637" s="1" t="s">
        <v>133</v>
      </c>
      <c r="F5637" s="26">
        <v>147</v>
      </c>
      <c r="G5637" s="25" t="s">
        <v>293</v>
      </c>
      <c r="H5637" s="25"/>
      <c r="BA5637" s="73" t="s">
        <v>355</v>
      </c>
      <c r="BB5637" s="48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356</v>
      </c>
      <c r="E5638" s="1" t="s">
        <v>135</v>
      </c>
      <c r="F5638" s="26">
        <v>3.8</v>
      </c>
      <c r="G5638" s="25" t="s">
        <v>293</v>
      </c>
      <c r="H5638" s="25"/>
      <c r="BA5638" s="73" t="s">
        <v>355</v>
      </c>
      <c r="BB5638" s="48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356</v>
      </c>
      <c r="E5639" s="1" t="s">
        <v>136</v>
      </c>
      <c r="F5639" s="26">
        <v>114</v>
      </c>
      <c r="G5639" s="25" t="s">
        <v>293</v>
      </c>
      <c r="H5639" s="25"/>
      <c r="BA5639" s="73" t="s">
        <v>355</v>
      </c>
      <c r="BB5639" s="48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356</v>
      </c>
      <c r="E5640" s="1" t="s">
        <v>339</v>
      </c>
      <c r="F5640" s="26">
        <v>4.7</v>
      </c>
      <c r="G5640" s="25" t="s">
        <v>293</v>
      </c>
      <c r="H5640" s="25"/>
      <c r="BA5640" s="73" t="s">
        <v>355</v>
      </c>
      <c r="BB5640" s="48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356</v>
      </c>
      <c r="E5641" s="1" t="s">
        <v>118</v>
      </c>
      <c r="F5641" s="26">
        <v>4.5999999999999996</v>
      </c>
      <c r="G5641" s="25" t="s">
        <v>293</v>
      </c>
      <c r="H5641" s="25"/>
      <c r="BA5641" s="73" t="s">
        <v>355</v>
      </c>
      <c r="BB5641" s="48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356</v>
      </c>
      <c r="E5642" s="1" t="s">
        <v>130</v>
      </c>
      <c r="F5642" s="26">
        <v>3.8</v>
      </c>
      <c r="G5642" s="25" t="s">
        <v>293</v>
      </c>
      <c r="H5642" s="25"/>
      <c r="BA5642" s="73" t="s">
        <v>355</v>
      </c>
      <c r="BB5642" s="48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356</v>
      </c>
      <c r="E5643" s="1" t="s">
        <v>341</v>
      </c>
      <c r="F5643" s="26">
        <v>0.31</v>
      </c>
      <c r="G5643" s="25" t="s">
        <v>293</v>
      </c>
      <c r="H5643" s="25"/>
      <c r="BA5643" s="73" t="s">
        <v>355</v>
      </c>
      <c r="BB5643" s="48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356</v>
      </c>
      <c r="E5644" s="1" t="s">
        <v>127</v>
      </c>
      <c r="F5644" s="26">
        <v>1.2</v>
      </c>
      <c r="G5644" s="25" t="s">
        <v>293</v>
      </c>
      <c r="H5644" s="25"/>
      <c r="BA5644" s="73" t="s">
        <v>355</v>
      </c>
      <c r="BB5644" s="48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356</v>
      </c>
      <c r="E5645" s="1" t="s">
        <v>131</v>
      </c>
      <c r="F5645" s="26">
        <v>8.6</v>
      </c>
      <c r="G5645" s="25" t="s">
        <v>293</v>
      </c>
      <c r="H5645" s="25"/>
      <c r="BA5645" s="73" t="s">
        <v>355</v>
      </c>
      <c r="BB5645" s="48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356</v>
      </c>
      <c r="E5646" s="1" t="s">
        <v>342</v>
      </c>
      <c r="F5646" s="26">
        <v>317</v>
      </c>
      <c r="G5646" s="25" t="s">
        <v>293</v>
      </c>
      <c r="H5646" s="25"/>
      <c r="BA5646" s="73" t="s">
        <v>355</v>
      </c>
      <c r="BB5646" s="48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356</v>
      </c>
      <c r="E5647" s="1" t="s">
        <v>119</v>
      </c>
      <c r="F5647" s="26">
        <v>247</v>
      </c>
      <c r="G5647" s="25" t="s">
        <v>293</v>
      </c>
      <c r="H5647" s="25"/>
      <c r="BA5647" s="73" t="s">
        <v>355</v>
      </c>
      <c r="BB5647" s="48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356</v>
      </c>
      <c r="E5648" s="1" t="s">
        <v>120</v>
      </c>
      <c r="F5648" s="26">
        <v>77</v>
      </c>
      <c r="G5648" s="25" t="s">
        <v>293</v>
      </c>
      <c r="H5648" s="25"/>
      <c r="BA5648" s="73" t="s">
        <v>355</v>
      </c>
      <c r="BB5648" s="48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356</v>
      </c>
      <c r="E5649" s="1" t="s">
        <v>117</v>
      </c>
      <c r="F5649" s="26">
        <v>2.67</v>
      </c>
      <c r="G5649" s="25" t="s">
        <v>293</v>
      </c>
      <c r="H5649" s="25"/>
      <c r="BA5649" s="73" t="s">
        <v>355</v>
      </c>
      <c r="BB5649" s="48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356</v>
      </c>
      <c r="E5650" s="1" t="s">
        <v>344</v>
      </c>
      <c r="F5650" s="26">
        <v>232</v>
      </c>
      <c r="G5650" s="25" t="s">
        <v>293</v>
      </c>
      <c r="H5650" s="25"/>
      <c r="BA5650" s="73" t="s">
        <v>355</v>
      </c>
      <c r="BB5650" s="48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356</v>
      </c>
      <c r="E5651" s="1" t="s">
        <v>132</v>
      </c>
      <c r="F5651" s="26">
        <v>3.4</v>
      </c>
      <c r="G5651" s="25" t="s">
        <v>293</v>
      </c>
      <c r="H5651" s="25"/>
      <c r="BA5651" s="73" t="s">
        <v>355</v>
      </c>
      <c r="BB5651" s="48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356</v>
      </c>
      <c r="E5652" s="1" t="s">
        <v>111</v>
      </c>
      <c r="F5652" s="26">
        <v>85</v>
      </c>
      <c r="G5652" s="25" t="s">
        <v>293</v>
      </c>
      <c r="H5652" s="25"/>
      <c r="BA5652" s="73" t="s">
        <v>355</v>
      </c>
      <c r="BB5652" s="48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356</v>
      </c>
      <c r="E5653" s="1" t="s">
        <v>345</v>
      </c>
      <c r="F5653" s="26">
        <v>5.12</v>
      </c>
      <c r="G5653" s="25" t="s">
        <v>293</v>
      </c>
      <c r="H5653" s="25"/>
      <c r="BA5653" s="73" t="s">
        <v>355</v>
      </c>
      <c r="BB5653" s="48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356</v>
      </c>
      <c r="E5654" s="1" t="s">
        <v>347</v>
      </c>
      <c r="F5654" s="26">
        <v>2.23</v>
      </c>
      <c r="G5654" s="25" t="s">
        <v>293</v>
      </c>
      <c r="H5654" s="25"/>
      <c r="BA5654" s="73" t="s">
        <v>355</v>
      </c>
      <c r="BB5654" s="48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356</v>
      </c>
      <c r="E5655" s="1" t="s">
        <v>128</v>
      </c>
      <c r="F5655" s="26">
        <v>7.1</v>
      </c>
      <c r="G5655" s="25" t="s">
        <v>293</v>
      </c>
      <c r="H5655" s="25"/>
      <c r="BA5655" s="73" t="s">
        <v>355</v>
      </c>
      <c r="BB5655" s="48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356</v>
      </c>
      <c r="E5656" s="1" t="s">
        <v>121</v>
      </c>
      <c r="F5656" s="26">
        <v>159</v>
      </c>
      <c r="G5656" s="25" t="s">
        <v>293</v>
      </c>
      <c r="H5656" s="25"/>
      <c r="BA5656" s="73" t="s">
        <v>355</v>
      </c>
      <c r="BB5656" s="48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356</v>
      </c>
      <c r="E5657" s="1" t="s">
        <v>115</v>
      </c>
      <c r="F5657" s="26">
        <v>36</v>
      </c>
      <c r="G5657" s="25" t="s">
        <v>293</v>
      </c>
      <c r="H5657" s="25"/>
      <c r="BA5657" s="73" t="s">
        <v>355</v>
      </c>
      <c r="BB5657" s="48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356</v>
      </c>
      <c r="E5658" s="1" t="s">
        <v>137</v>
      </c>
      <c r="F5658" s="26">
        <v>75</v>
      </c>
      <c r="G5658" s="25" t="s">
        <v>293</v>
      </c>
      <c r="H5658" s="25"/>
      <c r="BA5658" s="73" t="s">
        <v>355</v>
      </c>
      <c r="BB5658" s="48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356</v>
      </c>
      <c r="E5659" s="1" t="s">
        <v>348</v>
      </c>
      <c r="F5659" s="26">
        <v>129</v>
      </c>
      <c r="G5659" s="25" t="s">
        <v>293</v>
      </c>
      <c r="H5659" s="25"/>
      <c r="BA5659" s="73" t="s">
        <v>355</v>
      </c>
      <c r="BB5659" s="48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356</v>
      </c>
      <c r="E5660" s="1" t="s">
        <v>125</v>
      </c>
      <c r="F5660" s="26">
        <v>118</v>
      </c>
      <c r="G5660" s="25" t="s">
        <v>293</v>
      </c>
      <c r="H5660" s="25"/>
      <c r="BA5660" s="73" t="s">
        <v>355</v>
      </c>
      <c r="BB5660" s="48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356</v>
      </c>
      <c r="E5661" s="1" t="s">
        <v>126</v>
      </c>
      <c r="F5661" s="26">
        <v>82</v>
      </c>
      <c r="G5661" s="25" t="s">
        <v>293</v>
      </c>
      <c r="H5661" s="25"/>
      <c r="BA5661" s="73" t="s">
        <v>355</v>
      </c>
      <c r="BB5661" s="48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356</v>
      </c>
      <c r="E5662" s="1" t="s">
        <v>349</v>
      </c>
      <c r="F5662" s="26">
        <v>145</v>
      </c>
      <c r="G5662" s="25" t="s">
        <v>293</v>
      </c>
      <c r="H5662" s="25"/>
      <c r="BA5662" s="73" t="s">
        <v>355</v>
      </c>
      <c r="BB5662" s="48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356</v>
      </c>
      <c r="E5663" s="1" t="s">
        <v>350</v>
      </c>
      <c r="F5663" s="26">
        <v>59</v>
      </c>
      <c r="G5663" s="25" t="s">
        <v>293</v>
      </c>
      <c r="H5663" s="25"/>
      <c r="BA5663" s="73" t="s">
        <v>355</v>
      </c>
      <c r="BB5663" s="48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356</v>
      </c>
      <c r="E5664" s="1" t="s">
        <v>122</v>
      </c>
      <c r="F5664" s="26">
        <v>45</v>
      </c>
      <c r="G5664" s="25" t="s">
        <v>293</v>
      </c>
      <c r="H5664" s="25"/>
      <c r="BA5664" s="73" t="s">
        <v>355</v>
      </c>
      <c r="BB5664" s="48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356</v>
      </c>
      <c r="E5665" s="1" t="s">
        <v>124</v>
      </c>
      <c r="F5665" s="26">
        <v>30</v>
      </c>
      <c r="G5665" s="25" t="s">
        <v>293</v>
      </c>
      <c r="H5665" s="25"/>
      <c r="BA5665" s="73" t="s">
        <v>355</v>
      </c>
      <c r="BB5665" s="48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356</v>
      </c>
      <c r="E5666" s="1" t="s">
        <v>351</v>
      </c>
      <c r="F5666" s="26">
        <v>0.93</v>
      </c>
      <c r="G5666" s="25" t="s">
        <v>293</v>
      </c>
      <c r="H5666" s="25"/>
      <c r="BA5666" s="73" t="s">
        <v>355</v>
      </c>
      <c r="BB5666" s="48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356</v>
      </c>
      <c r="E5667" s="1" t="s">
        <v>353</v>
      </c>
      <c r="F5667" s="26">
        <v>32.4</v>
      </c>
      <c r="G5667" s="25" t="s">
        <v>293</v>
      </c>
      <c r="H5667" s="25"/>
      <c r="BA5667" s="73" t="s">
        <v>355</v>
      </c>
      <c r="BB5667" s="48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356</v>
      </c>
      <c r="E5668" s="1" t="s">
        <v>133</v>
      </c>
      <c r="F5668" s="26">
        <v>147</v>
      </c>
      <c r="G5668" s="25" t="s">
        <v>293</v>
      </c>
      <c r="H5668" s="25"/>
      <c r="BA5668" s="73" t="s">
        <v>355</v>
      </c>
      <c r="BB5668" s="48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356</v>
      </c>
      <c r="E5669" s="1" t="s">
        <v>135</v>
      </c>
      <c r="F5669" s="26">
        <v>3.9</v>
      </c>
      <c r="G5669" s="25" t="s">
        <v>293</v>
      </c>
      <c r="H5669" s="25"/>
      <c r="BA5669" s="73" t="s">
        <v>355</v>
      </c>
      <c r="BB5669" s="48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356</v>
      </c>
      <c r="E5670" s="1" t="s">
        <v>136</v>
      </c>
      <c r="F5670" s="26">
        <v>109</v>
      </c>
      <c r="G5670" s="25" t="s">
        <v>293</v>
      </c>
      <c r="H5670" s="25"/>
      <c r="BA5670" s="73" t="s">
        <v>355</v>
      </c>
      <c r="BB5670" s="48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356</v>
      </c>
      <c r="E5671" s="1" t="s">
        <v>339</v>
      </c>
      <c r="F5671" s="26">
        <v>4.83</v>
      </c>
      <c r="G5671" s="25" t="s">
        <v>293</v>
      </c>
      <c r="H5671" s="25"/>
      <c r="BA5671" s="73" t="s">
        <v>355</v>
      </c>
      <c r="BB5671" s="48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356</v>
      </c>
      <c r="E5672" s="1" t="s">
        <v>118</v>
      </c>
      <c r="F5672" s="26">
        <v>4.4000000000000004</v>
      </c>
      <c r="G5672" s="25" t="s">
        <v>293</v>
      </c>
      <c r="H5672" s="25"/>
      <c r="BA5672" s="73" t="s">
        <v>355</v>
      </c>
      <c r="BB5672" s="48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356</v>
      </c>
      <c r="E5673" s="1" t="s">
        <v>130</v>
      </c>
      <c r="F5673" s="26">
        <v>3.89</v>
      </c>
      <c r="G5673" s="25" t="s">
        <v>293</v>
      </c>
      <c r="H5673" s="25"/>
      <c r="BA5673" s="73" t="s">
        <v>355</v>
      </c>
      <c r="BB5673" s="48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356</v>
      </c>
      <c r="E5674" s="1" t="s">
        <v>341</v>
      </c>
      <c r="F5674" s="26">
        <v>0.28999999999999998</v>
      </c>
      <c r="G5674" s="25" t="s">
        <v>293</v>
      </c>
      <c r="H5674" s="25"/>
      <c r="BA5674" s="73" t="s">
        <v>355</v>
      </c>
      <c r="BB5674" s="48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356</v>
      </c>
      <c r="E5675" s="1" t="s">
        <v>127</v>
      </c>
      <c r="F5675" s="26">
        <v>1.21</v>
      </c>
      <c r="G5675" s="25" t="s">
        <v>293</v>
      </c>
      <c r="H5675" s="25"/>
      <c r="BA5675" s="73" t="s">
        <v>355</v>
      </c>
      <c r="BB5675" s="48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356</v>
      </c>
      <c r="E5676" s="1" t="s">
        <v>131</v>
      </c>
      <c r="F5676" s="26">
        <v>8.8000000000000007</v>
      </c>
      <c r="G5676" s="25" t="s">
        <v>293</v>
      </c>
      <c r="H5676" s="25"/>
      <c r="BA5676" s="73" t="s">
        <v>355</v>
      </c>
      <c r="BB5676" s="48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356</v>
      </c>
      <c r="E5677" s="1" t="s">
        <v>342</v>
      </c>
      <c r="F5677" s="26">
        <v>321</v>
      </c>
      <c r="G5677" s="25" t="s">
        <v>293</v>
      </c>
      <c r="H5677" s="25"/>
      <c r="BA5677" s="73" t="s">
        <v>355</v>
      </c>
      <c r="BB5677" s="48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356</v>
      </c>
      <c r="E5678" s="1" t="s">
        <v>119</v>
      </c>
      <c r="F5678" s="26">
        <v>248</v>
      </c>
      <c r="G5678" s="25" t="s">
        <v>293</v>
      </c>
      <c r="H5678" s="25"/>
      <c r="BA5678" s="73" t="s">
        <v>355</v>
      </c>
      <c r="BB5678" s="48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356</v>
      </c>
      <c r="E5679" s="1" t="s">
        <v>120</v>
      </c>
      <c r="F5679" s="26">
        <v>76</v>
      </c>
      <c r="G5679" s="25" t="s">
        <v>293</v>
      </c>
      <c r="H5679" s="25"/>
      <c r="BA5679" s="73" t="s">
        <v>355</v>
      </c>
      <c r="BB5679" s="48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356</v>
      </c>
      <c r="E5680" s="1" t="s">
        <v>117</v>
      </c>
      <c r="F5680" s="26">
        <v>2.87</v>
      </c>
      <c r="G5680" s="25" t="s">
        <v>293</v>
      </c>
      <c r="H5680" s="25"/>
      <c r="BA5680" s="73" t="s">
        <v>355</v>
      </c>
      <c r="BB5680" s="48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356</v>
      </c>
      <c r="E5681" s="1" t="s">
        <v>344</v>
      </c>
      <c r="F5681" s="26">
        <v>234</v>
      </c>
      <c r="G5681" s="25" t="s">
        <v>293</v>
      </c>
      <c r="H5681" s="25"/>
      <c r="BA5681" s="73" t="s">
        <v>355</v>
      </c>
      <c r="BB5681" s="48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356</v>
      </c>
      <c r="E5682" s="1" t="s">
        <v>132</v>
      </c>
      <c r="F5682" s="26">
        <v>3.51</v>
      </c>
      <c r="G5682" s="25" t="s">
        <v>293</v>
      </c>
      <c r="H5682" s="25"/>
      <c r="BA5682" s="73" t="s">
        <v>355</v>
      </c>
      <c r="BB5682" s="48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356</v>
      </c>
      <c r="E5683" s="1" t="s">
        <v>111</v>
      </c>
      <c r="F5683" s="26">
        <v>87</v>
      </c>
      <c r="G5683" s="25" t="s">
        <v>293</v>
      </c>
      <c r="H5683" s="25"/>
      <c r="BA5683" s="73" t="s">
        <v>355</v>
      </c>
      <c r="BB5683" s="48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356</v>
      </c>
      <c r="E5684" s="1" t="s">
        <v>345</v>
      </c>
      <c r="F5684" s="26">
        <v>5.0999999999999996</v>
      </c>
      <c r="G5684" s="25" t="s">
        <v>293</v>
      </c>
      <c r="H5684" s="25"/>
      <c r="BA5684" s="73" t="s">
        <v>355</v>
      </c>
      <c r="BB5684" s="48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356</v>
      </c>
      <c r="E5685" s="1" t="s">
        <v>347</v>
      </c>
      <c r="F5685" s="26">
        <v>2.2599999999999998</v>
      </c>
      <c r="G5685" s="25" t="s">
        <v>293</v>
      </c>
      <c r="H5685" s="25"/>
      <c r="BA5685" s="73" t="s">
        <v>355</v>
      </c>
      <c r="BB5685" s="48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356</v>
      </c>
      <c r="E5686" s="1" t="s">
        <v>128</v>
      </c>
      <c r="F5686" s="26">
        <v>7.2</v>
      </c>
      <c r="G5686" s="25" t="s">
        <v>293</v>
      </c>
      <c r="H5686" s="25"/>
      <c r="BA5686" s="73" t="s">
        <v>355</v>
      </c>
      <c r="BB5686" s="48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356</v>
      </c>
      <c r="E5687" s="1" t="s">
        <v>121</v>
      </c>
      <c r="F5687" s="26">
        <v>159</v>
      </c>
      <c r="G5687" s="25" t="s">
        <v>293</v>
      </c>
      <c r="H5687" s="25"/>
      <c r="BA5687" s="73" t="s">
        <v>355</v>
      </c>
      <c r="BB5687" s="48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356</v>
      </c>
      <c r="E5688" s="1" t="s">
        <v>115</v>
      </c>
      <c r="F5688" s="26">
        <v>37</v>
      </c>
      <c r="G5688" s="25" t="s">
        <v>293</v>
      </c>
      <c r="H5688" s="25"/>
      <c r="BA5688" s="73" t="s">
        <v>355</v>
      </c>
      <c r="BB5688" s="48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356</v>
      </c>
      <c r="E5689" s="1" t="s">
        <v>137</v>
      </c>
      <c r="F5689" s="26">
        <v>76</v>
      </c>
      <c r="G5689" s="25" t="s">
        <v>293</v>
      </c>
      <c r="H5689" s="25"/>
      <c r="BA5689" s="73" t="s">
        <v>355</v>
      </c>
      <c r="BB5689" s="48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356</v>
      </c>
      <c r="E5690" s="1" t="s">
        <v>348</v>
      </c>
      <c r="F5690" s="26">
        <v>129</v>
      </c>
      <c r="G5690" s="25" t="s">
        <v>293</v>
      </c>
      <c r="H5690" s="25"/>
      <c r="BA5690" s="73" t="s">
        <v>355</v>
      </c>
      <c r="BB5690" s="48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356</v>
      </c>
      <c r="E5691" s="1" t="s">
        <v>125</v>
      </c>
      <c r="F5691" s="26">
        <v>124</v>
      </c>
      <c r="G5691" s="25" t="s">
        <v>293</v>
      </c>
      <c r="H5691" s="25"/>
      <c r="BA5691" s="73" t="s">
        <v>355</v>
      </c>
      <c r="BB5691" s="48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356</v>
      </c>
      <c r="E5692" s="1" t="s">
        <v>126</v>
      </c>
      <c r="F5692" s="26">
        <v>82</v>
      </c>
      <c r="G5692" s="25" t="s">
        <v>293</v>
      </c>
      <c r="H5692" s="25"/>
      <c r="BA5692" s="73" t="s">
        <v>355</v>
      </c>
      <c r="BB5692" s="48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356</v>
      </c>
      <c r="E5693" s="1" t="s">
        <v>349</v>
      </c>
      <c r="F5693" s="26">
        <v>153</v>
      </c>
      <c r="G5693" s="25" t="s">
        <v>293</v>
      </c>
      <c r="H5693" s="25"/>
      <c r="BA5693" s="73" t="s">
        <v>355</v>
      </c>
      <c r="BB5693" s="48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356</v>
      </c>
      <c r="E5694" s="1" t="s">
        <v>350</v>
      </c>
      <c r="F5694" s="26">
        <v>58</v>
      </c>
      <c r="G5694" s="25" t="s">
        <v>293</v>
      </c>
      <c r="H5694" s="25"/>
      <c r="BA5694" s="73" t="s">
        <v>355</v>
      </c>
      <c r="BB5694" s="48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356</v>
      </c>
      <c r="E5695" s="1" t="s">
        <v>122</v>
      </c>
      <c r="F5695" s="26">
        <v>47</v>
      </c>
      <c r="G5695" s="25" t="s">
        <v>293</v>
      </c>
      <c r="H5695" s="25"/>
      <c r="BA5695" s="73" t="s">
        <v>355</v>
      </c>
      <c r="BB5695" s="48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356</v>
      </c>
      <c r="E5696" s="1" t="s">
        <v>124</v>
      </c>
      <c r="F5696" s="26">
        <v>28</v>
      </c>
      <c r="G5696" s="25" t="s">
        <v>293</v>
      </c>
      <c r="H5696" s="25"/>
      <c r="BA5696" s="73" t="s">
        <v>355</v>
      </c>
      <c r="BB5696" s="48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356</v>
      </c>
      <c r="E5697" s="1" t="s">
        <v>351</v>
      </c>
      <c r="F5697" s="26">
        <v>0.95</v>
      </c>
      <c r="G5697" s="25" t="s">
        <v>293</v>
      </c>
      <c r="H5697" s="25"/>
      <c r="BA5697" s="73" t="s">
        <v>355</v>
      </c>
      <c r="BB5697" s="48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356</v>
      </c>
      <c r="E5698" s="1" t="s">
        <v>353</v>
      </c>
      <c r="F5698" s="26">
        <v>32</v>
      </c>
      <c r="G5698" s="25" t="s">
        <v>293</v>
      </c>
      <c r="H5698" s="25"/>
      <c r="BA5698" s="73" t="s">
        <v>355</v>
      </c>
      <c r="BB5698" s="48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356</v>
      </c>
      <c r="E5699" s="1" t="s">
        <v>133</v>
      </c>
      <c r="F5699" s="26">
        <v>146</v>
      </c>
      <c r="G5699" s="25" t="s">
        <v>293</v>
      </c>
      <c r="H5699" s="25"/>
      <c r="BA5699" s="73" t="s">
        <v>355</v>
      </c>
      <c r="BB5699" s="48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356</v>
      </c>
      <c r="E5700" s="1" t="s">
        <v>135</v>
      </c>
      <c r="F5700" s="26">
        <v>3.7</v>
      </c>
      <c r="G5700" s="25" t="s">
        <v>293</v>
      </c>
      <c r="H5700" s="25"/>
      <c r="BA5700" s="73" t="s">
        <v>355</v>
      </c>
      <c r="BB5700" s="48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356</v>
      </c>
      <c r="E5701" s="1" t="s">
        <v>136</v>
      </c>
      <c r="F5701" s="26">
        <v>110</v>
      </c>
      <c r="G5701" s="25" t="s">
        <v>293</v>
      </c>
      <c r="H5701" s="25"/>
      <c r="BA5701" s="73" t="s">
        <v>355</v>
      </c>
      <c r="BB5701" s="48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356</v>
      </c>
      <c r="E5702" s="1" t="s">
        <v>339</v>
      </c>
      <c r="F5702" s="26">
        <v>4.5999999999999996</v>
      </c>
      <c r="G5702" s="25" t="s">
        <v>293</v>
      </c>
      <c r="H5702" s="25"/>
      <c r="BA5702" s="73" t="s">
        <v>355</v>
      </c>
      <c r="BB5702" s="48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356</v>
      </c>
      <c r="E5703" s="1" t="s">
        <v>118</v>
      </c>
      <c r="F5703" s="26">
        <v>4.5999999999999996</v>
      </c>
      <c r="G5703" s="25" t="s">
        <v>293</v>
      </c>
      <c r="H5703" s="25"/>
      <c r="BA5703" s="73" t="s">
        <v>355</v>
      </c>
      <c r="BB5703" s="48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356</v>
      </c>
      <c r="E5704" s="1" t="s">
        <v>130</v>
      </c>
      <c r="F5704" s="26">
        <v>3.82</v>
      </c>
      <c r="G5704" s="25" t="s">
        <v>293</v>
      </c>
      <c r="H5704" s="25"/>
      <c r="BA5704" s="73" t="s">
        <v>355</v>
      </c>
      <c r="BB5704" s="48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356</v>
      </c>
      <c r="E5705" s="1" t="s">
        <v>341</v>
      </c>
      <c r="F5705" s="26">
        <v>0.33</v>
      </c>
      <c r="G5705" s="25" t="s">
        <v>293</v>
      </c>
      <c r="H5705" s="25"/>
      <c r="BA5705" s="73" t="s">
        <v>355</v>
      </c>
      <c r="BB5705" s="48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356</v>
      </c>
      <c r="E5706" s="1" t="s">
        <v>127</v>
      </c>
      <c r="F5706" s="26">
        <v>1.24</v>
      </c>
      <c r="G5706" s="25" t="s">
        <v>293</v>
      </c>
      <c r="H5706" s="25"/>
      <c r="BA5706" s="73" t="s">
        <v>355</v>
      </c>
      <c r="BB5706" s="48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356</v>
      </c>
      <c r="E5707" s="1" t="s">
        <v>131</v>
      </c>
      <c r="F5707" s="26">
        <v>8.6</v>
      </c>
      <c r="G5707" s="25" t="s">
        <v>293</v>
      </c>
      <c r="H5707" s="25"/>
      <c r="BA5707" s="73" t="s">
        <v>355</v>
      </c>
      <c r="BB5707" s="48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356</v>
      </c>
      <c r="E5708" s="1" t="s">
        <v>342</v>
      </c>
      <c r="F5708" s="26">
        <v>319</v>
      </c>
      <c r="G5708" s="25" t="s">
        <v>293</v>
      </c>
      <c r="H5708" s="25"/>
      <c r="BA5708" s="73" t="s">
        <v>355</v>
      </c>
      <c r="BB5708" s="48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356</v>
      </c>
      <c r="E5709" s="1" t="s">
        <v>119</v>
      </c>
      <c r="F5709" s="26">
        <v>250</v>
      </c>
      <c r="G5709" s="25" t="s">
        <v>293</v>
      </c>
      <c r="H5709" s="25"/>
      <c r="BA5709" s="73" t="s">
        <v>355</v>
      </c>
      <c r="BB5709" s="48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356</v>
      </c>
      <c r="E5710" s="1" t="s">
        <v>120</v>
      </c>
      <c r="F5710" s="26">
        <v>80</v>
      </c>
      <c r="G5710" s="25" t="s">
        <v>293</v>
      </c>
      <c r="H5710" s="25"/>
      <c r="BA5710" s="73" t="s">
        <v>355</v>
      </c>
      <c r="BB5710" s="48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356</v>
      </c>
      <c r="E5711" s="1" t="s">
        <v>117</v>
      </c>
      <c r="F5711" s="26">
        <v>2.72</v>
      </c>
      <c r="G5711" s="25" t="s">
        <v>293</v>
      </c>
      <c r="H5711" s="25"/>
      <c r="BA5711" s="73" t="s">
        <v>355</v>
      </c>
      <c r="BB5711" s="48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356</v>
      </c>
      <c r="E5712" s="1" t="s">
        <v>344</v>
      </c>
      <c r="F5712" s="26">
        <v>230</v>
      </c>
      <c r="G5712" s="25" t="s">
        <v>293</v>
      </c>
      <c r="H5712" s="25"/>
      <c r="BA5712" s="73" t="s">
        <v>355</v>
      </c>
      <c r="BB5712" s="48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356</v>
      </c>
      <c r="E5713" s="1" t="s">
        <v>132</v>
      </c>
      <c r="F5713" s="26">
        <v>3.41</v>
      </c>
      <c r="G5713" s="25" t="s">
        <v>293</v>
      </c>
      <c r="H5713" s="25"/>
      <c r="BA5713" s="73" t="s">
        <v>355</v>
      </c>
      <c r="BB5713" s="48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356</v>
      </c>
      <c r="E5714" s="1" t="s">
        <v>111</v>
      </c>
      <c r="F5714" s="26">
        <v>84</v>
      </c>
      <c r="G5714" s="25" t="s">
        <v>293</v>
      </c>
      <c r="H5714" s="25"/>
      <c r="BA5714" s="73" t="s">
        <v>355</v>
      </c>
      <c r="BB5714" s="48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356</v>
      </c>
      <c r="E5715" s="1" t="s">
        <v>345</v>
      </c>
      <c r="F5715" s="26">
        <v>5.14</v>
      </c>
      <c r="G5715" s="25" t="s">
        <v>293</v>
      </c>
      <c r="H5715" s="25"/>
      <c r="BA5715" s="73" t="s">
        <v>355</v>
      </c>
      <c r="BB5715" s="48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356</v>
      </c>
      <c r="E5716" s="1" t="s">
        <v>347</v>
      </c>
      <c r="F5716" s="26">
        <v>2.2400000000000002</v>
      </c>
      <c r="G5716" s="25" t="s">
        <v>293</v>
      </c>
      <c r="H5716" s="25"/>
      <c r="BA5716" s="73" t="s">
        <v>355</v>
      </c>
      <c r="BB5716" s="48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356</v>
      </c>
      <c r="E5717" s="1" t="s">
        <v>128</v>
      </c>
      <c r="F5717" s="26">
        <v>7.1</v>
      </c>
      <c r="G5717" s="25" t="s">
        <v>293</v>
      </c>
      <c r="H5717" s="25"/>
      <c r="BA5717" s="73" t="s">
        <v>355</v>
      </c>
      <c r="BB5717" s="48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356</v>
      </c>
      <c r="E5718" s="1" t="s">
        <v>121</v>
      </c>
      <c r="F5718" s="26">
        <v>162</v>
      </c>
      <c r="G5718" s="25" t="s">
        <v>293</v>
      </c>
      <c r="H5718" s="25"/>
      <c r="BA5718" s="73" t="s">
        <v>355</v>
      </c>
      <c r="BB5718" s="48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356</v>
      </c>
      <c r="E5719" s="1" t="s">
        <v>115</v>
      </c>
      <c r="F5719" s="26">
        <v>36</v>
      </c>
      <c r="G5719" s="25" t="s">
        <v>293</v>
      </c>
      <c r="H5719" s="25"/>
      <c r="BA5719" s="73" t="s">
        <v>355</v>
      </c>
      <c r="BB5719" s="48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356</v>
      </c>
      <c r="E5720" s="1" t="s">
        <v>137</v>
      </c>
      <c r="F5720" s="26">
        <v>76</v>
      </c>
      <c r="G5720" s="25" t="s">
        <v>293</v>
      </c>
      <c r="H5720" s="25"/>
      <c r="BA5720" s="73" t="s">
        <v>355</v>
      </c>
      <c r="BB5720" s="48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356</v>
      </c>
      <c r="E5721" s="1" t="s">
        <v>348</v>
      </c>
      <c r="F5721" s="26">
        <v>131</v>
      </c>
      <c r="G5721" s="25" t="s">
        <v>293</v>
      </c>
      <c r="H5721" s="25"/>
      <c r="BA5721" s="73" t="s">
        <v>355</v>
      </c>
      <c r="BB5721" s="48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356</v>
      </c>
      <c r="E5722" s="1" t="s">
        <v>125</v>
      </c>
      <c r="F5722" s="26">
        <v>113</v>
      </c>
      <c r="G5722" s="25" t="s">
        <v>293</v>
      </c>
      <c r="H5722" s="25"/>
      <c r="BA5722" s="73" t="s">
        <v>355</v>
      </c>
      <c r="BB5722" s="48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356</v>
      </c>
      <c r="E5723" s="1" t="s">
        <v>126</v>
      </c>
      <c r="F5723" s="26">
        <v>81</v>
      </c>
      <c r="G5723" s="25" t="s">
        <v>293</v>
      </c>
      <c r="H5723" s="25"/>
      <c r="BA5723" s="73" t="s">
        <v>355</v>
      </c>
      <c r="BB5723" s="48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356</v>
      </c>
      <c r="E5724" s="1" t="s">
        <v>349</v>
      </c>
      <c r="F5724" s="26">
        <v>151</v>
      </c>
      <c r="G5724" s="25" t="s">
        <v>293</v>
      </c>
      <c r="H5724" s="25"/>
      <c r="BA5724" s="73" t="s">
        <v>355</v>
      </c>
      <c r="BB5724" s="48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356</v>
      </c>
      <c r="E5725" s="1" t="s">
        <v>350</v>
      </c>
      <c r="F5725" s="26">
        <v>56</v>
      </c>
      <c r="G5725" s="25" t="s">
        <v>293</v>
      </c>
      <c r="H5725" s="25"/>
      <c r="BA5725" s="73" t="s">
        <v>355</v>
      </c>
      <c r="BB5725" s="48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356</v>
      </c>
      <c r="E5726" s="1" t="s">
        <v>122</v>
      </c>
      <c r="F5726" s="26">
        <v>44</v>
      </c>
      <c r="G5726" s="25" t="s">
        <v>293</v>
      </c>
      <c r="H5726" s="25"/>
      <c r="BA5726" s="73" t="s">
        <v>355</v>
      </c>
      <c r="BB5726" s="48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356</v>
      </c>
      <c r="E5727" s="1" t="s">
        <v>124</v>
      </c>
      <c r="F5727" s="26">
        <v>28</v>
      </c>
      <c r="G5727" s="25" t="s">
        <v>293</v>
      </c>
      <c r="H5727" s="25"/>
      <c r="BA5727" s="73" t="s">
        <v>355</v>
      </c>
      <c r="BB5727" s="48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356</v>
      </c>
      <c r="E5728" s="1" t="s">
        <v>351</v>
      </c>
      <c r="F5728" s="26">
        <v>0.96</v>
      </c>
      <c r="G5728" s="25" t="s">
        <v>293</v>
      </c>
      <c r="H5728" s="25"/>
      <c r="BA5728" s="73" t="s">
        <v>355</v>
      </c>
      <c r="BB5728" s="48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356</v>
      </c>
      <c r="E5729" s="1" t="s">
        <v>353</v>
      </c>
      <c r="F5729" s="26">
        <v>34.200000000000003</v>
      </c>
      <c r="G5729" s="25" t="s">
        <v>293</v>
      </c>
      <c r="H5729" s="25"/>
      <c r="BA5729" s="73" t="s">
        <v>355</v>
      </c>
      <c r="BB5729" s="48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356</v>
      </c>
      <c r="E5730" s="1" t="s">
        <v>133</v>
      </c>
      <c r="F5730" s="26">
        <v>149</v>
      </c>
      <c r="G5730" s="25" t="s">
        <v>293</v>
      </c>
      <c r="H5730" s="25"/>
      <c r="BA5730" s="73" t="s">
        <v>355</v>
      </c>
      <c r="BB5730" s="48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356</v>
      </c>
      <c r="E5731" s="1" t="s">
        <v>135</v>
      </c>
      <c r="F5731" s="26">
        <v>3.9</v>
      </c>
      <c r="G5731" s="25" t="s">
        <v>293</v>
      </c>
      <c r="H5731" s="25"/>
      <c r="BA5731" s="73" t="s">
        <v>355</v>
      </c>
      <c r="BB5731" s="48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356</v>
      </c>
      <c r="E5732" s="1" t="s">
        <v>136</v>
      </c>
      <c r="F5732" s="26">
        <v>110</v>
      </c>
      <c r="G5732" s="25" t="s">
        <v>293</v>
      </c>
      <c r="H5732" s="25"/>
      <c r="BA5732" s="73" t="s">
        <v>355</v>
      </c>
      <c r="BB5732" s="48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356</v>
      </c>
      <c r="E5733" s="1" t="s">
        <v>339</v>
      </c>
      <c r="F5733" s="26">
        <v>4.62</v>
      </c>
      <c r="G5733" s="25" t="s">
        <v>293</v>
      </c>
      <c r="H5733" s="25"/>
      <c r="BA5733" s="73" t="s">
        <v>355</v>
      </c>
      <c r="BB5733" s="48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356</v>
      </c>
      <c r="E5734" s="1" t="s">
        <v>118</v>
      </c>
      <c r="F5734" s="26">
        <v>4.5</v>
      </c>
      <c r="G5734" s="25" t="s">
        <v>293</v>
      </c>
      <c r="H5734" s="25"/>
      <c r="BA5734" s="73" t="s">
        <v>355</v>
      </c>
      <c r="BB5734" s="48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356</v>
      </c>
      <c r="E5735" s="1" t="s">
        <v>130</v>
      </c>
      <c r="F5735" s="26">
        <v>3.83</v>
      </c>
      <c r="G5735" s="25" t="s">
        <v>293</v>
      </c>
      <c r="H5735" s="25"/>
      <c r="BA5735" s="73" t="s">
        <v>355</v>
      </c>
      <c r="BB5735" s="48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356</v>
      </c>
      <c r="E5736" s="1" t="s">
        <v>341</v>
      </c>
      <c r="F5736" s="26">
        <v>0.33</v>
      </c>
      <c r="G5736" s="25" t="s">
        <v>293</v>
      </c>
      <c r="H5736" s="25"/>
      <c r="BA5736" s="73" t="s">
        <v>355</v>
      </c>
      <c r="BB5736" s="48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356</v>
      </c>
      <c r="E5737" s="1" t="s">
        <v>127</v>
      </c>
      <c r="F5737" s="26">
        <v>1.22</v>
      </c>
      <c r="G5737" s="25" t="s">
        <v>293</v>
      </c>
      <c r="H5737" s="25"/>
      <c r="BA5737" s="73" t="s">
        <v>355</v>
      </c>
      <c r="BB5737" s="48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356</v>
      </c>
      <c r="E5738" s="1" t="s">
        <v>131</v>
      </c>
      <c r="F5738" s="26">
        <v>8.6</v>
      </c>
      <c r="G5738" s="25" t="s">
        <v>293</v>
      </c>
      <c r="H5738" s="25"/>
      <c r="BA5738" s="73" t="s">
        <v>355</v>
      </c>
      <c r="BB5738" s="48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356</v>
      </c>
      <c r="E5739" s="1" t="s">
        <v>342</v>
      </c>
      <c r="F5739" s="26">
        <v>309</v>
      </c>
      <c r="G5739" s="25" t="s">
        <v>293</v>
      </c>
      <c r="H5739" s="25"/>
      <c r="BA5739" s="73" t="s">
        <v>355</v>
      </c>
      <c r="BB5739" s="48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356</v>
      </c>
      <c r="E5740" s="1" t="s">
        <v>119</v>
      </c>
      <c r="F5740" s="26">
        <v>247</v>
      </c>
      <c r="G5740" s="25" t="s">
        <v>293</v>
      </c>
      <c r="H5740" s="25"/>
      <c r="BA5740" s="73" t="s">
        <v>355</v>
      </c>
      <c r="BB5740" s="48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356</v>
      </c>
      <c r="E5741" s="1" t="s">
        <v>120</v>
      </c>
      <c r="F5741" s="26">
        <v>77</v>
      </c>
      <c r="G5741" s="25" t="s">
        <v>293</v>
      </c>
      <c r="H5741" s="25"/>
      <c r="BA5741" s="73" t="s">
        <v>355</v>
      </c>
      <c r="BB5741" s="48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356</v>
      </c>
      <c r="E5742" s="1" t="s">
        <v>117</v>
      </c>
      <c r="F5742" s="26">
        <v>2.72</v>
      </c>
      <c r="G5742" s="25" t="s">
        <v>293</v>
      </c>
      <c r="H5742" s="25"/>
      <c r="BA5742" s="73" t="s">
        <v>355</v>
      </c>
      <c r="BB5742" s="48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356</v>
      </c>
      <c r="E5743" s="1" t="s">
        <v>344</v>
      </c>
      <c r="F5743" s="26">
        <v>232</v>
      </c>
      <c r="G5743" s="25" t="s">
        <v>293</v>
      </c>
      <c r="H5743" s="25"/>
      <c r="BA5743" s="73" t="s">
        <v>355</v>
      </c>
      <c r="BB5743" s="48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356</v>
      </c>
      <c r="E5744" s="1" t="s">
        <v>132</v>
      </c>
      <c r="F5744" s="26">
        <v>3.49</v>
      </c>
      <c r="G5744" s="25" t="s">
        <v>293</v>
      </c>
      <c r="H5744" s="25"/>
      <c r="BA5744" s="73" t="s">
        <v>355</v>
      </c>
      <c r="BB5744" s="48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356</v>
      </c>
      <c r="E5745" s="1" t="s">
        <v>111</v>
      </c>
      <c r="F5745" s="26">
        <v>85</v>
      </c>
      <c r="G5745" s="25" t="s">
        <v>293</v>
      </c>
      <c r="H5745" s="25"/>
      <c r="BA5745" s="73" t="s">
        <v>355</v>
      </c>
      <c r="BB5745" s="48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356</v>
      </c>
      <c r="E5746" s="1" t="s">
        <v>345</v>
      </c>
      <c r="F5746" s="26">
        <v>5.0999999999999996</v>
      </c>
      <c r="G5746" s="25" t="s">
        <v>293</v>
      </c>
      <c r="H5746" s="25"/>
      <c r="BA5746" s="73" t="s">
        <v>355</v>
      </c>
      <c r="BB5746" s="48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356</v>
      </c>
      <c r="E5747" s="1" t="s">
        <v>347</v>
      </c>
      <c r="F5747" s="26">
        <v>2.2000000000000002</v>
      </c>
      <c r="G5747" s="25" t="s">
        <v>293</v>
      </c>
      <c r="H5747" s="25"/>
      <c r="BA5747" s="73" t="s">
        <v>355</v>
      </c>
      <c r="BB5747" s="48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356</v>
      </c>
      <c r="E5748" s="1" t="s">
        <v>128</v>
      </c>
      <c r="F5748" s="26">
        <v>7.1</v>
      </c>
      <c r="G5748" s="25" t="s">
        <v>293</v>
      </c>
      <c r="H5748" s="25"/>
      <c r="BA5748" s="73" t="s">
        <v>355</v>
      </c>
      <c r="BB5748" s="48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356</v>
      </c>
      <c r="E5749" s="1" t="s">
        <v>121</v>
      </c>
      <c r="F5749" s="26">
        <v>161</v>
      </c>
      <c r="G5749" s="25" t="s">
        <v>293</v>
      </c>
      <c r="H5749" s="25"/>
      <c r="BA5749" s="73" t="s">
        <v>355</v>
      </c>
      <c r="BB5749" s="48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356</v>
      </c>
      <c r="E5750" s="1" t="s">
        <v>115</v>
      </c>
      <c r="F5750" s="26">
        <v>36</v>
      </c>
      <c r="G5750" s="25" t="s">
        <v>293</v>
      </c>
      <c r="H5750" s="25"/>
      <c r="BA5750" s="73" t="s">
        <v>355</v>
      </c>
      <c r="BB5750" s="48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356</v>
      </c>
      <c r="E5751" s="1" t="s">
        <v>137</v>
      </c>
      <c r="F5751" s="26">
        <v>76</v>
      </c>
      <c r="G5751" s="25" t="s">
        <v>293</v>
      </c>
      <c r="H5751" s="25"/>
      <c r="BA5751" s="73" t="s">
        <v>355</v>
      </c>
      <c r="BB5751" s="48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356</v>
      </c>
      <c r="E5752" s="1" t="s">
        <v>348</v>
      </c>
      <c r="F5752" s="26">
        <v>131</v>
      </c>
      <c r="G5752" s="25" t="s">
        <v>293</v>
      </c>
      <c r="H5752" s="25"/>
      <c r="BA5752" s="73" t="s">
        <v>355</v>
      </c>
      <c r="BB5752" s="48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356</v>
      </c>
      <c r="E5753" s="1" t="s">
        <v>125</v>
      </c>
      <c r="F5753" s="26">
        <v>115</v>
      </c>
      <c r="G5753" s="25" t="s">
        <v>293</v>
      </c>
      <c r="H5753" s="25"/>
      <c r="BA5753" s="73" t="s">
        <v>355</v>
      </c>
      <c r="BB5753" s="48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356</v>
      </c>
      <c r="E5754" s="1" t="s">
        <v>126</v>
      </c>
      <c r="F5754" s="26">
        <v>80</v>
      </c>
      <c r="G5754" s="25" t="s">
        <v>293</v>
      </c>
      <c r="H5754" s="25"/>
      <c r="BA5754" s="73" t="s">
        <v>355</v>
      </c>
      <c r="BB5754" s="48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356</v>
      </c>
      <c r="E5755" s="1" t="s">
        <v>349</v>
      </c>
      <c r="F5755" s="26">
        <v>148</v>
      </c>
      <c r="G5755" s="25" t="s">
        <v>293</v>
      </c>
      <c r="H5755" s="25"/>
      <c r="BA5755" s="73" t="s">
        <v>355</v>
      </c>
      <c r="BB5755" s="48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356</v>
      </c>
      <c r="E5756" s="1" t="s">
        <v>350</v>
      </c>
      <c r="F5756" s="26">
        <v>59</v>
      </c>
      <c r="G5756" s="25" t="s">
        <v>293</v>
      </c>
      <c r="H5756" s="25"/>
      <c r="BA5756" s="73" t="s">
        <v>355</v>
      </c>
      <c r="BB5756" s="48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356</v>
      </c>
      <c r="E5757" s="1" t="s">
        <v>122</v>
      </c>
      <c r="F5757" s="26">
        <v>44</v>
      </c>
      <c r="G5757" s="25" t="s">
        <v>293</v>
      </c>
      <c r="H5757" s="25"/>
      <c r="BA5757" s="73" t="s">
        <v>355</v>
      </c>
      <c r="BB5757" s="48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356</v>
      </c>
      <c r="E5758" s="1" t="s">
        <v>124</v>
      </c>
      <c r="F5758" s="26">
        <v>29</v>
      </c>
      <c r="G5758" s="25" t="s">
        <v>293</v>
      </c>
      <c r="H5758" s="25"/>
      <c r="BA5758" s="73" t="s">
        <v>355</v>
      </c>
      <c r="BB5758" s="48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356</v>
      </c>
      <c r="E5759" s="1" t="s">
        <v>351</v>
      </c>
      <c r="F5759" s="26">
        <v>0.97</v>
      </c>
      <c r="G5759" s="25" t="s">
        <v>293</v>
      </c>
      <c r="H5759" s="25"/>
      <c r="BA5759" s="73" t="s">
        <v>355</v>
      </c>
      <c r="BB5759" s="48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356</v>
      </c>
      <c r="E5760" s="1" t="s">
        <v>353</v>
      </c>
      <c r="F5760" s="26">
        <v>33.5</v>
      </c>
      <c r="G5760" s="25" t="s">
        <v>293</v>
      </c>
      <c r="H5760" s="25"/>
      <c r="BA5760" s="73" t="s">
        <v>355</v>
      </c>
      <c r="BB5760" s="48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356</v>
      </c>
      <c r="E5761" s="1" t="s">
        <v>133</v>
      </c>
      <c r="F5761" s="26">
        <v>146</v>
      </c>
      <c r="G5761" s="25" t="s">
        <v>293</v>
      </c>
      <c r="H5761" s="25"/>
      <c r="BA5761" s="73" t="s">
        <v>355</v>
      </c>
      <c r="BB5761" s="48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356</v>
      </c>
      <c r="E5762" s="1" t="s">
        <v>135</v>
      </c>
      <c r="F5762" s="26">
        <v>3.8</v>
      </c>
      <c r="G5762" s="25" t="s">
        <v>293</v>
      </c>
      <c r="H5762" s="25"/>
      <c r="BA5762" s="73" t="s">
        <v>355</v>
      </c>
      <c r="BB5762" s="48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356</v>
      </c>
      <c r="E5763" s="1" t="s">
        <v>136</v>
      </c>
      <c r="F5763" s="26">
        <v>113</v>
      </c>
      <c r="G5763" s="25" t="s">
        <v>293</v>
      </c>
      <c r="H5763" s="25"/>
      <c r="BA5763" s="73" t="s">
        <v>355</v>
      </c>
      <c r="BB5763" s="48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356</v>
      </c>
      <c r="E5764" s="1" t="s">
        <v>339</v>
      </c>
      <c r="F5764" s="26">
        <v>4.59</v>
      </c>
      <c r="G5764" s="25" t="s">
        <v>293</v>
      </c>
      <c r="H5764" s="25"/>
      <c r="BA5764" s="73" t="s">
        <v>355</v>
      </c>
      <c r="BB5764" s="48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356</v>
      </c>
      <c r="E5765" s="1" t="s">
        <v>118</v>
      </c>
      <c r="F5765" s="26">
        <v>4.4000000000000004</v>
      </c>
      <c r="G5765" s="25" t="s">
        <v>293</v>
      </c>
      <c r="H5765" s="25"/>
      <c r="BA5765" s="73" t="s">
        <v>355</v>
      </c>
      <c r="BB5765" s="48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356</v>
      </c>
      <c r="E5766" s="1" t="s">
        <v>130</v>
      </c>
      <c r="F5766" s="26">
        <v>3.91</v>
      </c>
      <c r="G5766" s="25" t="s">
        <v>293</v>
      </c>
      <c r="H5766" s="25"/>
      <c r="BA5766" s="73" t="s">
        <v>355</v>
      </c>
      <c r="BB5766" s="48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356</v>
      </c>
      <c r="E5767" s="1" t="s">
        <v>341</v>
      </c>
      <c r="F5767" s="26">
        <v>0.33</v>
      </c>
      <c r="G5767" s="25" t="s">
        <v>293</v>
      </c>
      <c r="H5767" s="25"/>
      <c r="BA5767" s="73" t="s">
        <v>355</v>
      </c>
      <c r="BB5767" s="48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356</v>
      </c>
      <c r="E5768" s="1" t="s">
        <v>127</v>
      </c>
      <c r="F5768" s="26">
        <v>1.25</v>
      </c>
      <c r="G5768" s="25" t="s">
        <v>293</v>
      </c>
      <c r="H5768" s="25"/>
      <c r="BA5768" s="73" t="s">
        <v>355</v>
      </c>
      <c r="BB5768" s="48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356</v>
      </c>
      <c r="E5769" s="1" t="s">
        <v>131</v>
      </c>
      <c r="F5769" s="26">
        <v>8.6999999999999993</v>
      </c>
      <c r="G5769" s="25" t="s">
        <v>293</v>
      </c>
      <c r="H5769" s="25"/>
      <c r="BA5769" s="73" t="s">
        <v>355</v>
      </c>
      <c r="BB5769" s="48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356</v>
      </c>
      <c r="E5770" s="1" t="s">
        <v>342</v>
      </c>
      <c r="F5770" s="26">
        <v>317</v>
      </c>
      <c r="G5770" s="25" t="s">
        <v>293</v>
      </c>
      <c r="H5770" s="25"/>
      <c r="BA5770" s="73" t="s">
        <v>355</v>
      </c>
      <c r="BB5770" s="48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356</v>
      </c>
      <c r="E5771" s="1" t="s">
        <v>119</v>
      </c>
      <c r="F5771" s="26">
        <v>248</v>
      </c>
      <c r="G5771" s="25" t="s">
        <v>293</v>
      </c>
      <c r="H5771" s="25"/>
      <c r="BA5771" s="73" t="s">
        <v>355</v>
      </c>
      <c r="BB5771" s="48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356</v>
      </c>
      <c r="E5772" s="1" t="s">
        <v>120</v>
      </c>
      <c r="F5772" s="26">
        <v>77</v>
      </c>
      <c r="G5772" s="25" t="s">
        <v>293</v>
      </c>
      <c r="H5772" s="25"/>
      <c r="BA5772" s="73" t="s">
        <v>355</v>
      </c>
      <c r="BB5772" s="48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356</v>
      </c>
      <c r="E5773" s="1" t="s">
        <v>117</v>
      </c>
      <c r="F5773" s="26">
        <v>2.82</v>
      </c>
      <c r="G5773" s="25" t="s">
        <v>293</v>
      </c>
      <c r="H5773" s="25"/>
      <c r="BA5773" s="73" t="s">
        <v>355</v>
      </c>
      <c r="BB5773" s="48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356</v>
      </c>
      <c r="E5774" s="1" t="s">
        <v>344</v>
      </c>
      <c r="F5774" s="26">
        <v>231</v>
      </c>
      <c r="G5774" s="25" t="s">
        <v>293</v>
      </c>
      <c r="H5774" s="25"/>
      <c r="BA5774" s="73" t="s">
        <v>355</v>
      </c>
      <c r="BB5774" s="48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356</v>
      </c>
      <c r="E5775" s="1" t="s">
        <v>132</v>
      </c>
      <c r="F5775" s="26">
        <v>3.5</v>
      </c>
      <c r="G5775" s="25" t="s">
        <v>293</v>
      </c>
      <c r="H5775" s="25"/>
      <c r="BA5775" s="73" t="s">
        <v>355</v>
      </c>
      <c r="BB5775" s="48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356</v>
      </c>
      <c r="E5776" s="1" t="s">
        <v>111</v>
      </c>
      <c r="F5776" s="26">
        <v>85</v>
      </c>
      <c r="G5776" s="25" t="s">
        <v>293</v>
      </c>
      <c r="H5776" s="25"/>
      <c r="BA5776" s="73" t="s">
        <v>355</v>
      </c>
      <c r="BB5776" s="48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356</v>
      </c>
      <c r="E5777" s="1" t="s">
        <v>345</v>
      </c>
      <c r="F5777" s="26">
        <v>5.12</v>
      </c>
      <c r="G5777" s="25" t="s">
        <v>293</v>
      </c>
      <c r="H5777" s="25"/>
      <c r="BA5777" s="73" t="s">
        <v>355</v>
      </c>
      <c r="BB5777" s="48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356</v>
      </c>
      <c r="E5778" s="1" t="s">
        <v>347</v>
      </c>
      <c r="F5778" s="26">
        <v>2.2200000000000002</v>
      </c>
      <c r="G5778" s="25" t="s">
        <v>293</v>
      </c>
      <c r="H5778" s="25"/>
      <c r="BA5778" s="73" t="s">
        <v>355</v>
      </c>
      <c r="BB5778" s="48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356</v>
      </c>
      <c r="E5779" s="1" t="s">
        <v>128</v>
      </c>
      <c r="F5779" s="26">
        <v>7.1</v>
      </c>
      <c r="G5779" s="25" t="s">
        <v>293</v>
      </c>
      <c r="H5779" s="25"/>
      <c r="BA5779" s="73" t="s">
        <v>355</v>
      </c>
      <c r="BB5779" s="48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356</v>
      </c>
      <c r="E5780" s="1" t="s">
        <v>121</v>
      </c>
      <c r="F5780" s="26">
        <v>159</v>
      </c>
      <c r="G5780" s="25" t="s">
        <v>293</v>
      </c>
      <c r="H5780" s="25"/>
      <c r="BA5780" s="73" t="s">
        <v>355</v>
      </c>
      <c r="BB5780" s="48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356</v>
      </c>
      <c r="E5781" s="1" t="s">
        <v>115</v>
      </c>
      <c r="F5781" s="26">
        <v>36</v>
      </c>
      <c r="G5781" s="25" t="s">
        <v>293</v>
      </c>
      <c r="H5781" s="25"/>
      <c r="BA5781" s="73" t="s">
        <v>355</v>
      </c>
      <c r="BB5781" s="48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356</v>
      </c>
      <c r="E5782" s="1" t="s">
        <v>137</v>
      </c>
      <c r="F5782" s="26">
        <v>76</v>
      </c>
      <c r="G5782" s="25" t="s">
        <v>293</v>
      </c>
      <c r="H5782" s="25"/>
      <c r="BA5782" s="73" t="s">
        <v>355</v>
      </c>
      <c r="BB5782" s="48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356</v>
      </c>
      <c r="E5783" s="1" t="s">
        <v>348</v>
      </c>
      <c r="F5783" s="26">
        <v>132</v>
      </c>
      <c r="G5783" s="25" t="s">
        <v>293</v>
      </c>
      <c r="H5783" s="25"/>
      <c r="BA5783" s="73" t="s">
        <v>355</v>
      </c>
      <c r="BB5783" s="48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356</v>
      </c>
      <c r="E5784" s="1" t="s">
        <v>125</v>
      </c>
      <c r="F5784" s="26">
        <v>115</v>
      </c>
      <c r="G5784" s="25" t="s">
        <v>293</v>
      </c>
      <c r="H5784" s="25"/>
      <c r="BA5784" s="73" t="s">
        <v>355</v>
      </c>
      <c r="BB5784" s="48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356</v>
      </c>
      <c r="E5785" s="1" t="s">
        <v>126</v>
      </c>
      <c r="F5785" s="26">
        <v>81</v>
      </c>
      <c r="G5785" s="25" t="s">
        <v>293</v>
      </c>
      <c r="H5785" s="25"/>
      <c r="BA5785" s="73" t="s">
        <v>355</v>
      </c>
      <c r="BB5785" s="48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356</v>
      </c>
      <c r="E5786" s="1" t="s">
        <v>349</v>
      </c>
      <c r="F5786" s="26">
        <v>145</v>
      </c>
      <c r="G5786" s="25" t="s">
        <v>293</v>
      </c>
      <c r="H5786" s="25"/>
      <c r="BA5786" s="73" t="s">
        <v>355</v>
      </c>
      <c r="BB5786" s="48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356</v>
      </c>
      <c r="E5787" s="1" t="s">
        <v>350</v>
      </c>
      <c r="F5787" s="26">
        <v>59</v>
      </c>
      <c r="G5787" s="25" t="s">
        <v>293</v>
      </c>
      <c r="H5787" s="25"/>
      <c r="BA5787" s="73" t="s">
        <v>355</v>
      </c>
      <c r="BB5787" s="48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356</v>
      </c>
      <c r="E5788" s="1" t="s">
        <v>122</v>
      </c>
      <c r="F5788" s="26">
        <v>45</v>
      </c>
      <c r="G5788" s="25" t="s">
        <v>293</v>
      </c>
      <c r="H5788" s="25"/>
      <c r="BA5788" s="73" t="s">
        <v>355</v>
      </c>
      <c r="BB5788" s="48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356</v>
      </c>
      <c r="E5789" s="1" t="s">
        <v>124</v>
      </c>
      <c r="F5789" s="26">
        <v>26</v>
      </c>
      <c r="G5789" s="25" t="s">
        <v>293</v>
      </c>
      <c r="H5789" s="25"/>
      <c r="BA5789" s="73" t="s">
        <v>355</v>
      </c>
      <c r="BB5789" s="48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356</v>
      </c>
      <c r="E5790" s="1" t="s">
        <v>351</v>
      </c>
      <c r="F5790" s="26">
        <v>0.96</v>
      </c>
      <c r="G5790" s="25" t="s">
        <v>293</v>
      </c>
      <c r="H5790" s="25"/>
      <c r="BA5790" s="73" t="s">
        <v>355</v>
      </c>
      <c r="BB5790" s="48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356</v>
      </c>
      <c r="E5791" s="1" t="s">
        <v>353</v>
      </c>
      <c r="F5791" s="26">
        <v>33.1</v>
      </c>
      <c r="G5791" s="25" t="s">
        <v>293</v>
      </c>
      <c r="H5791" s="25"/>
      <c r="BA5791" s="73" t="s">
        <v>355</v>
      </c>
      <c r="BB5791" s="48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356</v>
      </c>
      <c r="E5792" s="1" t="s">
        <v>133</v>
      </c>
      <c r="F5792" s="26">
        <v>147</v>
      </c>
      <c r="G5792" s="25" t="s">
        <v>293</v>
      </c>
      <c r="H5792" s="25"/>
      <c r="BA5792" s="73" t="s">
        <v>355</v>
      </c>
      <c r="BB5792" s="48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356</v>
      </c>
      <c r="E5793" s="1" t="s">
        <v>135</v>
      </c>
      <c r="F5793" s="26">
        <v>3.8</v>
      </c>
      <c r="G5793" s="25" t="s">
        <v>293</v>
      </c>
      <c r="H5793" s="25"/>
      <c r="BA5793" s="73" t="s">
        <v>355</v>
      </c>
      <c r="BB5793" s="48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356</v>
      </c>
      <c r="E5794" s="1" t="s">
        <v>136</v>
      </c>
      <c r="F5794" s="26">
        <v>108</v>
      </c>
      <c r="G5794" s="25" t="s">
        <v>293</v>
      </c>
      <c r="H5794" s="25"/>
      <c r="BA5794" s="73" t="s">
        <v>355</v>
      </c>
      <c r="BB5794" s="48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356</v>
      </c>
      <c r="E5795" s="1" t="s">
        <v>339</v>
      </c>
      <c r="F5795" s="26">
        <v>4.53</v>
      </c>
      <c r="G5795" s="25" t="s">
        <v>293</v>
      </c>
      <c r="H5795" s="25"/>
      <c r="BA5795" s="73" t="s">
        <v>355</v>
      </c>
      <c r="BB5795" s="48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356</v>
      </c>
      <c r="E5796" s="1" t="s">
        <v>118</v>
      </c>
      <c r="F5796" s="26">
        <v>4.5</v>
      </c>
      <c r="G5796" s="25" t="s">
        <v>293</v>
      </c>
      <c r="H5796" s="25"/>
      <c r="BA5796" s="73" t="s">
        <v>355</v>
      </c>
      <c r="BB5796" s="48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356</v>
      </c>
      <c r="E5797" s="1" t="s">
        <v>130</v>
      </c>
      <c r="F5797" s="26">
        <v>3.63</v>
      </c>
      <c r="G5797" s="25" t="s">
        <v>293</v>
      </c>
      <c r="H5797" s="25"/>
      <c r="BA5797" s="73" t="s">
        <v>355</v>
      </c>
      <c r="BB5797" s="48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356</v>
      </c>
      <c r="E5798" s="1" t="s">
        <v>341</v>
      </c>
      <c r="F5798" s="26">
        <v>0.32</v>
      </c>
      <c r="G5798" s="25" t="s">
        <v>293</v>
      </c>
      <c r="H5798" s="25"/>
      <c r="BA5798" s="73" t="s">
        <v>355</v>
      </c>
      <c r="BB5798" s="48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356</v>
      </c>
      <c r="E5799" s="1" t="s">
        <v>127</v>
      </c>
      <c r="F5799" s="26">
        <v>1.21</v>
      </c>
      <c r="G5799" s="25" t="s">
        <v>293</v>
      </c>
      <c r="H5799" s="25"/>
      <c r="BA5799" s="73" t="s">
        <v>355</v>
      </c>
      <c r="BB5799" s="48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356</v>
      </c>
      <c r="E5800" s="1" t="s">
        <v>131</v>
      </c>
      <c r="F5800" s="26">
        <v>8.5</v>
      </c>
      <c r="G5800" s="25" t="s">
        <v>293</v>
      </c>
      <c r="H5800" s="25"/>
      <c r="BA5800" s="73" t="s">
        <v>355</v>
      </c>
      <c r="BB5800" s="48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356</v>
      </c>
      <c r="E5801" s="1" t="s">
        <v>342</v>
      </c>
      <c r="F5801" s="26">
        <v>302</v>
      </c>
      <c r="G5801" s="25" t="s">
        <v>293</v>
      </c>
      <c r="H5801" s="25"/>
      <c r="BA5801" s="73" t="s">
        <v>355</v>
      </c>
      <c r="BB5801" s="48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356</v>
      </c>
      <c r="E5802" s="1" t="s">
        <v>119</v>
      </c>
      <c r="F5802" s="26">
        <v>244</v>
      </c>
      <c r="G5802" s="25" t="s">
        <v>293</v>
      </c>
      <c r="H5802" s="25"/>
      <c r="BA5802" s="73" t="s">
        <v>355</v>
      </c>
      <c r="BB5802" s="48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356</v>
      </c>
      <c r="E5803" s="1" t="s">
        <v>120</v>
      </c>
      <c r="F5803" s="26">
        <v>75</v>
      </c>
      <c r="G5803" s="25" t="s">
        <v>293</v>
      </c>
      <c r="H5803" s="25"/>
      <c r="BA5803" s="73" t="s">
        <v>355</v>
      </c>
      <c r="BB5803" s="48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356</v>
      </c>
      <c r="E5804" s="1" t="s">
        <v>117</v>
      </c>
      <c r="F5804" s="26">
        <v>2.72</v>
      </c>
      <c r="G5804" s="25" t="s">
        <v>293</v>
      </c>
      <c r="H5804" s="25"/>
      <c r="BA5804" s="73" t="s">
        <v>355</v>
      </c>
      <c r="BB5804" s="48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356</v>
      </c>
      <c r="E5805" s="1" t="s">
        <v>344</v>
      </c>
      <c r="F5805" s="26">
        <v>229</v>
      </c>
      <c r="G5805" s="25" t="s">
        <v>293</v>
      </c>
      <c r="H5805" s="25"/>
      <c r="BA5805" s="73" t="s">
        <v>355</v>
      </c>
      <c r="BB5805" s="48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356</v>
      </c>
      <c r="E5806" s="1" t="s">
        <v>132</v>
      </c>
      <c r="F5806" s="26">
        <v>3.4</v>
      </c>
      <c r="G5806" s="25" t="s">
        <v>293</v>
      </c>
      <c r="H5806" s="25"/>
      <c r="BA5806" s="73" t="s">
        <v>355</v>
      </c>
      <c r="BB5806" s="48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356</v>
      </c>
      <c r="E5807" s="1" t="s">
        <v>111</v>
      </c>
      <c r="F5807" s="26">
        <v>85</v>
      </c>
      <c r="G5807" s="25" t="s">
        <v>293</v>
      </c>
      <c r="H5807" s="25"/>
      <c r="BA5807" s="73" t="s">
        <v>355</v>
      </c>
      <c r="BB5807" s="48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356</v>
      </c>
      <c r="E5808" s="1" t="s">
        <v>345</v>
      </c>
      <c r="F5808" s="26">
        <v>5.0999999999999996</v>
      </c>
      <c r="G5808" s="25" t="s">
        <v>293</v>
      </c>
      <c r="H5808" s="25"/>
      <c r="BA5808" s="73" t="s">
        <v>355</v>
      </c>
      <c r="BB5808" s="48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356</v>
      </c>
      <c r="E5809" s="1" t="s">
        <v>347</v>
      </c>
      <c r="F5809" s="26">
        <v>2.1800000000000002</v>
      </c>
      <c r="G5809" s="25" t="s">
        <v>293</v>
      </c>
      <c r="H5809" s="25"/>
      <c r="BA5809" s="73" t="s">
        <v>355</v>
      </c>
      <c r="BB5809" s="48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356</v>
      </c>
      <c r="E5810" s="1" t="s">
        <v>128</v>
      </c>
      <c r="F5810" s="26">
        <v>7.1</v>
      </c>
      <c r="G5810" s="25" t="s">
        <v>293</v>
      </c>
      <c r="H5810" s="25"/>
      <c r="BA5810" s="73" t="s">
        <v>355</v>
      </c>
      <c r="BB5810" s="48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356</v>
      </c>
      <c r="E5811" s="1" t="s">
        <v>121</v>
      </c>
      <c r="F5811" s="26">
        <v>155</v>
      </c>
      <c r="G5811" s="25" t="s">
        <v>293</v>
      </c>
      <c r="H5811" s="25"/>
      <c r="BA5811" s="73" t="s">
        <v>355</v>
      </c>
      <c r="BB5811" s="48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356</v>
      </c>
      <c r="E5812" s="1" t="s">
        <v>115</v>
      </c>
      <c r="F5812" s="26">
        <v>37</v>
      </c>
      <c r="G5812" s="25" t="s">
        <v>293</v>
      </c>
      <c r="H5812" s="25"/>
      <c r="BA5812" s="73" t="s">
        <v>355</v>
      </c>
      <c r="BB5812" s="48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356</v>
      </c>
      <c r="E5813" s="1" t="s">
        <v>137</v>
      </c>
      <c r="F5813" s="26">
        <v>75</v>
      </c>
      <c r="G5813" s="25" t="s">
        <v>293</v>
      </c>
      <c r="H5813" s="25"/>
      <c r="BA5813" s="73" t="s">
        <v>355</v>
      </c>
      <c r="BB5813" s="48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356</v>
      </c>
      <c r="E5814" s="1" t="s">
        <v>348</v>
      </c>
      <c r="F5814" s="26">
        <v>130</v>
      </c>
      <c r="G5814" s="25" t="s">
        <v>293</v>
      </c>
      <c r="H5814" s="25"/>
      <c r="BA5814" s="73" t="s">
        <v>355</v>
      </c>
      <c r="BB5814" s="48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356</v>
      </c>
      <c r="E5815" s="1" t="s">
        <v>125</v>
      </c>
      <c r="F5815" s="26">
        <v>112</v>
      </c>
      <c r="G5815" s="25" t="s">
        <v>293</v>
      </c>
      <c r="H5815" s="25"/>
      <c r="BA5815" s="73" t="s">
        <v>355</v>
      </c>
      <c r="BB5815" s="48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356</v>
      </c>
      <c r="E5816" s="1" t="s">
        <v>126</v>
      </c>
      <c r="F5816" s="26">
        <v>82</v>
      </c>
      <c r="G5816" s="25" t="s">
        <v>293</v>
      </c>
      <c r="H5816" s="25"/>
      <c r="BA5816" s="73" t="s">
        <v>355</v>
      </c>
      <c r="BB5816" s="48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356</v>
      </c>
      <c r="E5817" s="1" t="s">
        <v>349</v>
      </c>
      <c r="F5817" s="26">
        <v>148</v>
      </c>
      <c r="G5817" s="25" t="s">
        <v>293</v>
      </c>
      <c r="H5817" s="25"/>
      <c r="BA5817" s="73" t="s">
        <v>355</v>
      </c>
      <c r="BB5817" s="48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356</v>
      </c>
      <c r="E5818" s="1" t="s">
        <v>350</v>
      </c>
      <c r="F5818" s="26">
        <v>58</v>
      </c>
      <c r="G5818" s="25" t="s">
        <v>293</v>
      </c>
      <c r="H5818" s="25"/>
      <c r="BA5818" s="73" t="s">
        <v>355</v>
      </c>
      <c r="BB5818" s="48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356</v>
      </c>
      <c r="E5819" s="1" t="s">
        <v>122</v>
      </c>
      <c r="F5819" s="26">
        <v>44</v>
      </c>
      <c r="G5819" s="25" t="s">
        <v>293</v>
      </c>
      <c r="H5819" s="25"/>
      <c r="BA5819" s="73" t="s">
        <v>355</v>
      </c>
      <c r="BB5819" s="48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356</v>
      </c>
      <c r="E5820" s="1" t="s">
        <v>124</v>
      </c>
      <c r="F5820" s="26">
        <v>29</v>
      </c>
      <c r="G5820" s="25" t="s">
        <v>293</v>
      </c>
      <c r="H5820" s="25"/>
      <c r="BA5820" s="73" t="s">
        <v>355</v>
      </c>
      <c r="BB5820" s="48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356</v>
      </c>
      <c r="E5821" s="1" t="s">
        <v>351</v>
      </c>
      <c r="F5821" s="26">
        <v>0.95</v>
      </c>
      <c r="G5821" s="25" t="s">
        <v>293</v>
      </c>
      <c r="H5821" s="25"/>
      <c r="BA5821" s="73" t="s">
        <v>355</v>
      </c>
      <c r="BB5821" s="48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356</v>
      </c>
      <c r="E5822" s="1" t="s">
        <v>353</v>
      </c>
      <c r="F5822" s="26">
        <v>32.1</v>
      </c>
      <c r="G5822" s="25" t="s">
        <v>293</v>
      </c>
      <c r="H5822" s="25"/>
      <c r="BA5822" s="73" t="s">
        <v>355</v>
      </c>
      <c r="BB5822" s="48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356</v>
      </c>
      <c r="E5823" s="1" t="s">
        <v>133</v>
      </c>
      <c r="F5823" s="26">
        <v>145</v>
      </c>
      <c r="G5823" s="25" t="s">
        <v>293</v>
      </c>
      <c r="H5823" s="25"/>
      <c r="BA5823" s="73" t="s">
        <v>355</v>
      </c>
      <c r="BB5823" s="48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356</v>
      </c>
      <c r="E5824" s="1" t="s">
        <v>135</v>
      </c>
      <c r="F5824" s="26">
        <v>3.9</v>
      </c>
      <c r="G5824" s="25" t="s">
        <v>293</v>
      </c>
      <c r="H5824" s="25"/>
      <c r="BA5824" s="73" t="s">
        <v>355</v>
      </c>
      <c r="BB5824" s="48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356</v>
      </c>
      <c r="E5825" s="1" t="s">
        <v>136</v>
      </c>
      <c r="F5825" s="26">
        <v>119</v>
      </c>
      <c r="G5825" s="25" t="s">
        <v>293</v>
      </c>
      <c r="H5825" s="25"/>
      <c r="BA5825" s="73" t="s">
        <v>355</v>
      </c>
      <c r="BB5825" s="48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356</v>
      </c>
      <c r="E5826" s="1" t="s">
        <v>339</v>
      </c>
      <c r="F5826" s="26">
        <v>4.6900000000000004</v>
      </c>
      <c r="G5826" s="25" t="s">
        <v>293</v>
      </c>
      <c r="H5826" s="25"/>
      <c r="BA5826" s="73" t="s">
        <v>355</v>
      </c>
      <c r="BB5826" s="48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356</v>
      </c>
      <c r="E5827" s="1" t="s">
        <v>118</v>
      </c>
      <c r="F5827" s="26">
        <v>4.4000000000000004</v>
      </c>
      <c r="G5827" s="25" t="s">
        <v>293</v>
      </c>
      <c r="H5827" s="25"/>
      <c r="BA5827" s="73" t="s">
        <v>355</v>
      </c>
      <c r="BB5827" s="48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356</v>
      </c>
      <c r="E5828" s="1" t="s">
        <v>130</v>
      </c>
      <c r="F5828" s="26">
        <v>3.81</v>
      </c>
      <c r="G5828" s="25" t="s">
        <v>293</v>
      </c>
      <c r="H5828" s="25"/>
      <c r="BA5828" s="73" t="s">
        <v>355</v>
      </c>
      <c r="BB5828" s="48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356</v>
      </c>
      <c r="E5829" s="1" t="s">
        <v>341</v>
      </c>
      <c r="F5829" s="26">
        <v>0.31</v>
      </c>
      <c r="G5829" s="25" t="s">
        <v>293</v>
      </c>
      <c r="H5829" s="25"/>
      <c r="BA5829" s="73" t="s">
        <v>355</v>
      </c>
      <c r="BB5829" s="48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356</v>
      </c>
      <c r="E5830" s="1" t="s">
        <v>127</v>
      </c>
      <c r="F5830" s="26">
        <v>1.22</v>
      </c>
      <c r="G5830" s="25" t="s">
        <v>293</v>
      </c>
      <c r="H5830" s="25"/>
      <c r="BA5830" s="73" t="s">
        <v>355</v>
      </c>
      <c r="BB5830" s="48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356</v>
      </c>
      <c r="E5831" s="1" t="s">
        <v>131</v>
      </c>
      <c r="F5831" s="26">
        <v>8.6999999999999993</v>
      </c>
      <c r="G5831" s="25" t="s">
        <v>293</v>
      </c>
      <c r="H5831" s="25"/>
      <c r="BA5831" s="73" t="s">
        <v>355</v>
      </c>
      <c r="BB5831" s="48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356</v>
      </c>
      <c r="E5832" s="1" t="s">
        <v>342</v>
      </c>
      <c r="F5832" s="26">
        <v>303</v>
      </c>
      <c r="G5832" s="25" t="s">
        <v>293</v>
      </c>
      <c r="H5832" s="25"/>
      <c r="BA5832" s="73" t="s">
        <v>355</v>
      </c>
      <c r="BB5832" s="48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356</v>
      </c>
      <c r="E5833" s="1" t="s">
        <v>119</v>
      </c>
      <c r="F5833" s="26">
        <v>243</v>
      </c>
      <c r="G5833" s="25" t="s">
        <v>293</v>
      </c>
      <c r="H5833" s="25"/>
      <c r="BA5833" s="73" t="s">
        <v>355</v>
      </c>
      <c r="BB5833" s="48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356</v>
      </c>
      <c r="E5834" s="1" t="s">
        <v>120</v>
      </c>
      <c r="F5834" s="26">
        <v>75</v>
      </c>
      <c r="G5834" s="25" t="s">
        <v>293</v>
      </c>
      <c r="H5834" s="25"/>
      <c r="BA5834" s="73" t="s">
        <v>355</v>
      </c>
      <c r="BB5834" s="48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356</v>
      </c>
      <c r="E5835" s="1" t="s">
        <v>117</v>
      </c>
      <c r="F5835" s="26">
        <v>2.72</v>
      </c>
      <c r="G5835" s="25" t="s">
        <v>293</v>
      </c>
      <c r="H5835" s="25"/>
      <c r="BA5835" s="73" t="s">
        <v>355</v>
      </c>
      <c r="BB5835" s="48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356</v>
      </c>
      <c r="E5836" s="1" t="s">
        <v>344</v>
      </c>
      <c r="F5836" s="26">
        <v>230</v>
      </c>
      <c r="G5836" s="25" t="s">
        <v>293</v>
      </c>
      <c r="H5836" s="25"/>
      <c r="BA5836" s="73" t="s">
        <v>355</v>
      </c>
      <c r="BB5836" s="48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356</v>
      </c>
      <c r="E5837" s="1" t="s">
        <v>132</v>
      </c>
      <c r="F5837" s="26">
        <v>3.41</v>
      </c>
      <c r="G5837" s="25" t="s">
        <v>293</v>
      </c>
      <c r="H5837" s="25"/>
      <c r="BA5837" s="73" t="s">
        <v>355</v>
      </c>
      <c r="BB5837" s="48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356</v>
      </c>
      <c r="E5838" s="1" t="s">
        <v>111</v>
      </c>
      <c r="F5838" s="26">
        <v>85</v>
      </c>
      <c r="G5838" s="25" t="s">
        <v>293</v>
      </c>
      <c r="H5838" s="25"/>
      <c r="BA5838" s="73" t="s">
        <v>355</v>
      </c>
      <c r="BB5838" s="48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356</v>
      </c>
      <c r="E5839" s="1" t="s">
        <v>345</v>
      </c>
      <c r="F5839" s="26">
        <v>5.18</v>
      </c>
      <c r="G5839" s="25" t="s">
        <v>293</v>
      </c>
      <c r="H5839" s="25"/>
      <c r="BA5839" s="73" t="s">
        <v>355</v>
      </c>
      <c r="BB5839" s="48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356</v>
      </c>
      <c r="E5840" s="1" t="s">
        <v>347</v>
      </c>
      <c r="F5840" s="26">
        <v>2.31</v>
      </c>
      <c r="G5840" s="25" t="s">
        <v>293</v>
      </c>
      <c r="H5840" s="25"/>
      <c r="BA5840" s="73" t="s">
        <v>355</v>
      </c>
      <c r="BB5840" s="48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356</v>
      </c>
      <c r="E5841" s="1" t="s">
        <v>128</v>
      </c>
      <c r="F5841" s="26">
        <v>7</v>
      </c>
      <c r="G5841" s="25" t="s">
        <v>293</v>
      </c>
      <c r="H5841" s="25"/>
      <c r="BA5841" s="73" t="s">
        <v>355</v>
      </c>
      <c r="BB5841" s="48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356</v>
      </c>
      <c r="E5842" s="1" t="s">
        <v>121</v>
      </c>
      <c r="F5842" s="26">
        <v>156</v>
      </c>
      <c r="G5842" s="25" t="s">
        <v>293</v>
      </c>
      <c r="H5842" s="25"/>
      <c r="BA5842" s="73" t="s">
        <v>355</v>
      </c>
      <c r="BB5842" s="48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356</v>
      </c>
      <c r="E5843" s="1" t="s">
        <v>115</v>
      </c>
      <c r="F5843" s="26">
        <v>34</v>
      </c>
      <c r="G5843" s="25" t="s">
        <v>293</v>
      </c>
      <c r="H5843" s="25"/>
      <c r="BA5843" s="73" t="s">
        <v>355</v>
      </c>
      <c r="BB5843" s="48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356</v>
      </c>
      <c r="E5844" s="1" t="s">
        <v>137</v>
      </c>
      <c r="F5844" s="26">
        <v>74</v>
      </c>
      <c r="G5844" s="25" t="s">
        <v>293</v>
      </c>
      <c r="H5844" s="25"/>
      <c r="BA5844" s="73" t="s">
        <v>355</v>
      </c>
      <c r="BB5844" s="48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356</v>
      </c>
      <c r="E5845" s="1" t="s">
        <v>348</v>
      </c>
      <c r="F5845" s="26">
        <v>129</v>
      </c>
      <c r="G5845" s="25" t="s">
        <v>293</v>
      </c>
      <c r="H5845" s="25"/>
      <c r="BA5845" s="73" t="s">
        <v>355</v>
      </c>
      <c r="BB5845" s="48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356</v>
      </c>
      <c r="E5846" s="1" t="s">
        <v>125</v>
      </c>
      <c r="F5846" s="26">
        <v>119</v>
      </c>
      <c r="G5846" s="25" t="s">
        <v>293</v>
      </c>
      <c r="H5846" s="25"/>
      <c r="BA5846" s="73" t="s">
        <v>355</v>
      </c>
      <c r="BB5846" s="48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356</v>
      </c>
      <c r="E5847" s="1" t="s">
        <v>126</v>
      </c>
      <c r="F5847" s="26">
        <v>81</v>
      </c>
      <c r="G5847" s="25" t="s">
        <v>293</v>
      </c>
      <c r="H5847" s="25"/>
      <c r="BA5847" s="73" t="s">
        <v>355</v>
      </c>
      <c r="BB5847" s="48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356</v>
      </c>
      <c r="E5848" s="1" t="s">
        <v>349</v>
      </c>
      <c r="F5848" s="26">
        <v>150</v>
      </c>
      <c r="G5848" s="25" t="s">
        <v>293</v>
      </c>
      <c r="H5848" s="25"/>
      <c r="BA5848" s="73" t="s">
        <v>355</v>
      </c>
      <c r="BB5848" s="48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356</v>
      </c>
      <c r="E5849" s="1" t="s">
        <v>350</v>
      </c>
      <c r="F5849" s="26">
        <v>56</v>
      </c>
      <c r="G5849" s="25" t="s">
        <v>293</v>
      </c>
      <c r="H5849" s="25"/>
      <c r="BA5849" s="73" t="s">
        <v>355</v>
      </c>
      <c r="BB5849" s="48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356</v>
      </c>
      <c r="E5850" s="1" t="s">
        <v>122</v>
      </c>
      <c r="F5850" s="26">
        <v>47</v>
      </c>
      <c r="G5850" s="25" t="s">
        <v>293</v>
      </c>
      <c r="H5850" s="25"/>
      <c r="BA5850" s="73" t="s">
        <v>355</v>
      </c>
      <c r="BB5850" s="48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356</v>
      </c>
      <c r="E5851" s="1" t="s">
        <v>124</v>
      </c>
      <c r="F5851" s="26">
        <v>28</v>
      </c>
      <c r="G5851" s="25" t="s">
        <v>293</v>
      </c>
      <c r="H5851" s="25"/>
      <c r="BA5851" s="73" t="s">
        <v>355</v>
      </c>
      <c r="BB5851" s="48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356</v>
      </c>
      <c r="E5852" s="1" t="s">
        <v>351</v>
      </c>
      <c r="F5852" s="26">
        <v>0.9</v>
      </c>
      <c r="G5852" s="25" t="s">
        <v>293</v>
      </c>
      <c r="H5852" s="25"/>
      <c r="BA5852" s="73" t="s">
        <v>355</v>
      </c>
      <c r="BB5852" s="48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356</v>
      </c>
      <c r="E5853" s="1" t="s">
        <v>353</v>
      </c>
      <c r="F5853" s="26">
        <v>30.5</v>
      </c>
      <c r="G5853" s="25" t="s">
        <v>293</v>
      </c>
      <c r="H5853" s="25"/>
      <c r="BA5853" s="73" t="s">
        <v>355</v>
      </c>
      <c r="BB5853" s="48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356</v>
      </c>
      <c r="E5854" s="1" t="s">
        <v>133</v>
      </c>
      <c r="F5854" s="26">
        <v>144</v>
      </c>
      <c r="G5854" s="25" t="s">
        <v>293</v>
      </c>
      <c r="H5854" s="25"/>
      <c r="BA5854" s="73" t="s">
        <v>355</v>
      </c>
      <c r="BB5854" s="48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356</v>
      </c>
      <c r="E5855" s="1" t="s">
        <v>135</v>
      </c>
      <c r="F5855" s="26">
        <v>3.7</v>
      </c>
      <c r="G5855" s="25" t="s">
        <v>293</v>
      </c>
      <c r="H5855" s="25"/>
      <c r="BA5855" s="73" t="s">
        <v>355</v>
      </c>
      <c r="BB5855" s="48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356</v>
      </c>
      <c r="E5856" s="1" t="s">
        <v>136</v>
      </c>
      <c r="F5856" s="26">
        <v>116</v>
      </c>
      <c r="G5856" s="25" t="s">
        <v>293</v>
      </c>
      <c r="H5856" s="25"/>
      <c r="BA5856" s="73" t="s">
        <v>355</v>
      </c>
      <c r="BB5856" s="48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356</v>
      </c>
      <c r="E5857" s="1" t="s">
        <v>339</v>
      </c>
      <c r="F5857" s="26">
        <v>4.67</v>
      </c>
      <c r="G5857" s="25" t="s">
        <v>293</v>
      </c>
      <c r="H5857" s="25"/>
      <c r="BA5857" s="73" t="s">
        <v>355</v>
      </c>
      <c r="BB5857" s="48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356</v>
      </c>
      <c r="E5858" s="1" t="s">
        <v>118</v>
      </c>
      <c r="F5858" s="26">
        <v>4.5999999999999996</v>
      </c>
      <c r="G5858" s="25" t="s">
        <v>293</v>
      </c>
      <c r="H5858" s="25"/>
      <c r="BA5858" s="73" t="s">
        <v>355</v>
      </c>
      <c r="BB5858" s="48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356</v>
      </c>
      <c r="E5859" s="1" t="s">
        <v>130</v>
      </c>
      <c r="F5859" s="26">
        <v>3.78</v>
      </c>
      <c r="G5859" s="25" t="s">
        <v>293</v>
      </c>
      <c r="H5859" s="25"/>
      <c r="BA5859" s="73" t="s">
        <v>355</v>
      </c>
      <c r="BB5859" s="48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356</v>
      </c>
      <c r="E5860" s="1" t="s">
        <v>341</v>
      </c>
      <c r="F5860" s="26">
        <v>0.31</v>
      </c>
      <c r="G5860" s="25" t="s">
        <v>293</v>
      </c>
      <c r="H5860" s="25"/>
      <c r="BA5860" s="73" t="s">
        <v>355</v>
      </c>
      <c r="BB5860" s="48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356</v>
      </c>
      <c r="E5861" s="1" t="s">
        <v>127</v>
      </c>
      <c r="F5861" s="26">
        <v>1.2270000000000001</v>
      </c>
      <c r="G5861" s="25" t="s">
        <v>293</v>
      </c>
      <c r="H5861" s="25"/>
      <c r="BA5861" s="73" t="s">
        <v>355</v>
      </c>
      <c r="BB5861" s="48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356</v>
      </c>
      <c r="E5862" s="1" t="s">
        <v>131</v>
      </c>
      <c r="F5862" s="26">
        <v>8.8000000000000007</v>
      </c>
      <c r="G5862" s="25" t="s">
        <v>293</v>
      </c>
      <c r="H5862" s="25"/>
      <c r="BA5862" s="73" t="s">
        <v>355</v>
      </c>
      <c r="BB5862" s="48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356</v>
      </c>
      <c r="E5863" s="1" t="s">
        <v>342</v>
      </c>
      <c r="F5863" s="26">
        <v>361</v>
      </c>
      <c r="G5863" s="25" t="s">
        <v>293</v>
      </c>
      <c r="H5863" s="25"/>
      <c r="BA5863" s="73" t="s">
        <v>355</v>
      </c>
      <c r="BB5863" s="48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356</v>
      </c>
      <c r="E5864" s="1" t="s">
        <v>119</v>
      </c>
      <c r="F5864" s="26">
        <v>249</v>
      </c>
      <c r="G5864" s="25" t="s">
        <v>293</v>
      </c>
      <c r="H5864" s="25"/>
      <c r="BA5864" s="73" t="s">
        <v>355</v>
      </c>
      <c r="BB5864" s="48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356</v>
      </c>
      <c r="E5865" s="1" t="s">
        <v>120</v>
      </c>
      <c r="F5865" s="26">
        <v>77</v>
      </c>
      <c r="G5865" s="25" t="s">
        <v>293</v>
      </c>
      <c r="H5865" s="25"/>
      <c r="BA5865" s="73" t="s">
        <v>355</v>
      </c>
      <c r="BB5865" s="48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356</v>
      </c>
      <c r="E5866" s="1" t="s">
        <v>117</v>
      </c>
      <c r="F5866" s="26">
        <v>2.57</v>
      </c>
      <c r="G5866" s="25" t="s">
        <v>293</v>
      </c>
      <c r="H5866" s="25"/>
      <c r="BA5866" s="73" t="s">
        <v>355</v>
      </c>
      <c r="BB5866" s="48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356</v>
      </c>
      <c r="E5867" s="1" t="s">
        <v>344</v>
      </c>
      <c r="F5867" s="26">
        <v>233</v>
      </c>
      <c r="G5867" s="25" t="s">
        <v>293</v>
      </c>
      <c r="H5867" s="25"/>
      <c r="BA5867" s="73" t="s">
        <v>355</v>
      </c>
      <c r="BB5867" s="48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356</v>
      </c>
      <c r="E5868" s="1" t="s">
        <v>132</v>
      </c>
      <c r="F5868" s="26">
        <v>3.44</v>
      </c>
      <c r="G5868" s="25" t="s">
        <v>293</v>
      </c>
      <c r="H5868" s="25"/>
      <c r="BA5868" s="73" t="s">
        <v>355</v>
      </c>
      <c r="BB5868" s="48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356</v>
      </c>
      <c r="E5869" s="1" t="s">
        <v>111</v>
      </c>
      <c r="F5869" s="26">
        <v>84</v>
      </c>
      <c r="G5869" s="25" t="s">
        <v>293</v>
      </c>
      <c r="H5869" s="25"/>
      <c r="BA5869" s="73" t="s">
        <v>355</v>
      </c>
      <c r="BB5869" s="48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356</v>
      </c>
      <c r="E5870" s="1" t="s">
        <v>345</v>
      </c>
      <c r="F5870" s="26">
        <v>5.18</v>
      </c>
      <c r="G5870" s="25" t="s">
        <v>293</v>
      </c>
      <c r="H5870" s="25"/>
      <c r="BA5870" s="73" t="s">
        <v>355</v>
      </c>
      <c r="BB5870" s="48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356</v>
      </c>
      <c r="E5871" s="1" t="s">
        <v>347</v>
      </c>
      <c r="F5871" s="26">
        <v>2.17</v>
      </c>
      <c r="G5871" s="25" t="s">
        <v>293</v>
      </c>
      <c r="H5871" s="25"/>
      <c r="BA5871" s="73" t="s">
        <v>355</v>
      </c>
      <c r="BB5871" s="48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356</v>
      </c>
      <c r="E5872" s="1" t="s">
        <v>128</v>
      </c>
      <c r="F5872" s="26">
        <v>7.2</v>
      </c>
      <c r="G5872" s="25" t="s">
        <v>293</v>
      </c>
      <c r="H5872" s="25"/>
      <c r="BA5872" s="73" t="s">
        <v>355</v>
      </c>
      <c r="BB5872" s="48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356</v>
      </c>
      <c r="E5873" s="1" t="s">
        <v>121</v>
      </c>
      <c r="F5873" s="26">
        <v>161</v>
      </c>
      <c r="G5873" s="25" t="s">
        <v>293</v>
      </c>
      <c r="H5873" s="25"/>
      <c r="BA5873" s="73" t="s">
        <v>355</v>
      </c>
      <c r="BB5873" s="48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356</v>
      </c>
      <c r="E5874" s="1" t="s">
        <v>115</v>
      </c>
      <c r="F5874" s="26">
        <v>35</v>
      </c>
      <c r="G5874" s="25" t="s">
        <v>293</v>
      </c>
      <c r="H5874" s="25"/>
      <c r="BA5874" s="73" t="s">
        <v>355</v>
      </c>
      <c r="BB5874" s="48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356</v>
      </c>
      <c r="E5875" s="1" t="s">
        <v>137</v>
      </c>
      <c r="F5875" s="26">
        <v>75</v>
      </c>
      <c r="G5875" s="25" t="s">
        <v>293</v>
      </c>
      <c r="H5875" s="25"/>
      <c r="BA5875" s="73" t="s">
        <v>355</v>
      </c>
      <c r="BB5875" s="48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356</v>
      </c>
      <c r="E5876" s="1" t="s">
        <v>348</v>
      </c>
      <c r="F5876" s="26">
        <v>139</v>
      </c>
      <c r="G5876" s="25" t="s">
        <v>293</v>
      </c>
      <c r="H5876" s="25"/>
      <c r="BA5876" s="73" t="s">
        <v>355</v>
      </c>
      <c r="BB5876" s="48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356</v>
      </c>
      <c r="E5877" s="1" t="s">
        <v>125</v>
      </c>
      <c r="F5877" s="26">
        <v>118</v>
      </c>
      <c r="G5877" s="25" t="s">
        <v>293</v>
      </c>
      <c r="H5877" s="25"/>
      <c r="BA5877" s="73" t="s">
        <v>355</v>
      </c>
      <c r="BB5877" s="48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356</v>
      </c>
      <c r="E5878" s="1" t="s">
        <v>126</v>
      </c>
      <c r="F5878" s="26">
        <v>82</v>
      </c>
      <c r="G5878" s="25" t="s">
        <v>293</v>
      </c>
      <c r="H5878" s="25"/>
      <c r="BA5878" s="73" t="s">
        <v>355</v>
      </c>
      <c r="BB5878" s="48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356</v>
      </c>
      <c r="E5879" s="1" t="s">
        <v>349</v>
      </c>
      <c r="F5879" s="26">
        <v>158</v>
      </c>
      <c r="G5879" s="25" t="s">
        <v>293</v>
      </c>
      <c r="H5879" s="25"/>
      <c r="BA5879" s="73" t="s">
        <v>355</v>
      </c>
      <c r="BB5879" s="48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356</v>
      </c>
      <c r="E5880" s="1" t="s">
        <v>350</v>
      </c>
      <c r="F5880" s="26">
        <v>59</v>
      </c>
      <c r="G5880" s="25" t="s">
        <v>293</v>
      </c>
      <c r="H5880" s="25"/>
      <c r="BA5880" s="73" t="s">
        <v>355</v>
      </c>
      <c r="BB5880" s="48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356</v>
      </c>
      <c r="E5881" s="1" t="s">
        <v>122</v>
      </c>
      <c r="F5881" s="26">
        <v>45</v>
      </c>
      <c r="G5881" s="25" t="s">
        <v>293</v>
      </c>
      <c r="H5881" s="25"/>
      <c r="BA5881" s="73" t="s">
        <v>355</v>
      </c>
      <c r="BB5881" s="48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356</v>
      </c>
      <c r="E5882" s="1" t="s">
        <v>124</v>
      </c>
      <c r="F5882" s="26">
        <v>28</v>
      </c>
      <c r="G5882" s="25" t="s">
        <v>293</v>
      </c>
      <c r="H5882" s="25"/>
      <c r="BA5882" s="73" t="s">
        <v>355</v>
      </c>
      <c r="BB5882" s="48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356</v>
      </c>
      <c r="E5883" s="1" t="s">
        <v>351</v>
      </c>
      <c r="F5883" s="26">
        <v>0.94</v>
      </c>
      <c r="G5883" s="25" t="s">
        <v>293</v>
      </c>
      <c r="H5883" s="25"/>
      <c r="BA5883" s="73" t="s">
        <v>355</v>
      </c>
      <c r="BB5883" s="48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356</v>
      </c>
      <c r="E5884" s="1" t="s">
        <v>353</v>
      </c>
      <c r="F5884" s="26">
        <v>31.2</v>
      </c>
      <c r="G5884" s="25" t="s">
        <v>293</v>
      </c>
      <c r="H5884" s="25"/>
      <c r="BA5884" s="73" t="s">
        <v>355</v>
      </c>
      <c r="BB5884" s="48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356</v>
      </c>
      <c r="E5885" s="1" t="s">
        <v>133</v>
      </c>
      <c r="F5885" s="26">
        <v>149</v>
      </c>
      <c r="G5885" s="25" t="s">
        <v>293</v>
      </c>
      <c r="H5885" s="25"/>
      <c r="BA5885" s="73" t="s">
        <v>355</v>
      </c>
      <c r="BB5885" s="48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356</v>
      </c>
      <c r="E5886" s="1" t="s">
        <v>135</v>
      </c>
      <c r="F5886" s="26">
        <v>3.8</v>
      </c>
      <c r="G5886" s="25" t="s">
        <v>293</v>
      </c>
      <c r="H5886" s="25"/>
      <c r="BA5886" s="73" t="s">
        <v>355</v>
      </c>
      <c r="BB5886" s="48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356</v>
      </c>
      <c r="E5887" s="1" t="s">
        <v>136</v>
      </c>
      <c r="F5887" s="26">
        <v>109</v>
      </c>
      <c r="G5887" s="25" t="s">
        <v>293</v>
      </c>
      <c r="H5887" s="25"/>
      <c r="BA5887" s="73" t="s">
        <v>355</v>
      </c>
      <c r="BB5887" s="48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356</v>
      </c>
      <c r="E5888" s="1" t="s">
        <v>339</v>
      </c>
      <c r="F5888" s="26">
        <v>4.63</v>
      </c>
      <c r="G5888" s="25" t="s">
        <v>293</v>
      </c>
      <c r="H5888" s="25"/>
      <c r="BA5888" s="73" t="s">
        <v>355</v>
      </c>
      <c r="BB5888" s="48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356</v>
      </c>
      <c r="E5889" s="1" t="s">
        <v>118</v>
      </c>
      <c r="F5889" s="26">
        <v>4.7</v>
      </c>
      <c r="G5889" s="25" t="s">
        <v>293</v>
      </c>
      <c r="H5889" s="25"/>
      <c r="BA5889" s="73" t="s">
        <v>355</v>
      </c>
      <c r="BB5889" s="48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356</v>
      </c>
      <c r="E5890" s="1" t="s">
        <v>130</v>
      </c>
      <c r="F5890" s="26">
        <v>3.64</v>
      </c>
      <c r="G5890" s="25" t="s">
        <v>293</v>
      </c>
      <c r="H5890" s="25"/>
      <c r="BA5890" s="73" t="s">
        <v>355</v>
      </c>
      <c r="BB5890" s="48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356</v>
      </c>
      <c r="E5891" s="1" t="s">
        <v>341</v>
      </c>
      <c r="F5891" s="26">
        <v>0.32</v>
      </c>
      <c r="G5891" s="25" t="s">
        <v>293</v>
      </c>
      <c r="H5891" s="25"/>
      <c r="BA5891" s="73" t="s">
        <v>355</v>
      </c>
      <c r="BB5891" s="48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356</v>
      </c>
      <c r="E5892" s="1" t="s">
        <v>127</v>
      </c>
      <c r="F5892" s="26">
        <v>1.23</v>
      </c>
      <c r="G5892" s="25" t="s">
        <v>293</v>
      </c>
      <c r="H5892" s="25"/>
      <c r="BA5892" s="73" t="s">
        <v>355</v>
      </c>
      <c r="BB5892" s="48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356</v>
      </c>
      <c r="E5893" s="1" t="s">
        <v>131</v>
      </c>
      <c r="F5893" s="26">
        <v>8.6</v>
      </c>
      <c r="G5893" s="25" t="s">
        <v>293</v>
      </c>
      <c r="H5893" s="25"/>
      <c r="BA5893" s="73" t="s">
        <v>355</v>
      </c>
      <c r="BB5893" s="48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356</v>
      </c>
      <c r="E5894" s="1" t="s">
        <v>342</v>
      </c>
      <c r="F5894" s="26">
        <v>346</v>
      </c>
      <c r="G5894" s="25" t="s">
        <v>293</v>
      </c>
      <c r="H5894" s="25"/>
      <c r="BA5894" s="73" t="s">
        <v>355</v>
      </c>
      <c r="BB5894" s="48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356</v>
      </c>
      <c r="E5895" s="1" t="s">
        <v>119</v>
      </c>
      <c r="F5895" s="26">
        <v>250</v>
      </c>
      <c r="G5895" s="25" t="s">
        <v>293</v>
      </c>
      <c r="H5895" s="25"/>
      <c r="BA5895" s="73" t="s">
        <v>355</v>
      </c>
      <c r="BB5895" s="48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356</v>
      </c>
      <c r="E5896" s="1" t="s">
        <v>120</v>
      </c>
      <c r="F5896" s="26">
        <v>76</v>
      </c>
      <c r="G5896" s="25" t="s">
        <v>293</v>
      </c>
      <c r="H5896" s="25"/>
      <c r="BA5896" s="73" t="s">
        <v>355</v>
      </c>
      <c r="BB5896" s="48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356</v>
      </c>
      <c r="E5897" s="1" t="s">
        <v>117</v>
      </c>
      <c r="F5897" s="26">
        <v>2.67</v>
      </c>
      <c r="G5897" s="25" t="s">
        <v>293</v>
      </c>
      <c r="H5897" s="25"/>
      <c r="BA5897" s="73" t="s">
        <v>355</v>
      </c>
      <c r="BB5897" s="48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356</v>
      </c>
      <c r="E5898" s="1" t="s">
        <v>344</v>
      </c>
      <c r="F5898" s="26">
        <v>232</v>
      </c>
      <c r="G5898" s="25" t="s">
        <v>293</v>
      </c>
      <c r="H5898" s="25"/>
      <c r="BA5898" s="73" t="s">
        <v>355</v>
      </c>
      <c r="BB5898" s="48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356</v>
      </c>
      <c r="E5899" s="1" t="s">
        <v>132</v>
      </c>
      <c r="F5899" s="26">
        <v>3.42</v>
      </c>
      <c r="G5899" s="25" t="s">
        <v>293</v>
      </c>
      <c r="H5899" s="25"/>
      <c r="BA5899" s="73" t="s">
        <v>355</v>
      </c>
      <c r="BB5899" s="48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356</v>
      </c>
      <c r="E5900" s="1" t="s">
        <v>111</v>
      </c>
      <c r="F5900" s="26">
        <v>85</v>
      </c>
      <c r="G5900" s="25" t="s">
        <v>293</v>
      </c>
      <c r="H5900" s="25"/>
      <c r="BA5900" s="73" t="s">
        <v>355</v>
      </c>
      <c r="BB5900" s="48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356</v>
      </c>
      <c r="E5901" s="1" t="s">
        <v>345</v>
      </c>
      <c r="F5901" s="26">
        <v>5.0999999999999996</v>
      </c>
      <c r="G5901" s="25" t="s">
        <v>293</v>
      </c>
      <c r="H5901" s="25"/>
      <c r="BA5901" s="73" t="s">
        <v>355</v>
      </c>
      <c r="BB5901" s="48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356</v>
      </c>
      <c r="E5902" s="1" t="s">
        <v>347</v>
      </c>
      <c r="F5902" s="26">
        <v>2.1</v>
      </c>
      <c r="G5902" s="25" t="s">
        <v>293</v>
      </c>
      <c r="H5902" s="25"/>
      <c r="BA5902" s="73" t="s">
        <v>355</v>
      </c>
      <c r="BB5902" s="48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356</v>
      </c>
      <c r="E5903" s="1" t="s">
        <v>128</v>
      </c>
      <c r="F5903" s="26">
        <v>7.2</v>
      </c>
      <c r="G5903" s="25" t="s">
        <v>293</v>
      </c>
      <c r="H5903" s="25"/>
      <c r="BA5903" s="73" t="s">
        <v>355</v>
      </c>
      <c r="BB5903" s="48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356</v>
      </c>
      <c r="E5904" s="1" t="s">
        <v>121</v>
      </c>
      <c r="F5904" s="26">
        <v>160</v>
      </c>
      <c r="G5904" s="25" t="s">
        <v>293</v>
      </c>
      <c r="H5904" s="25"/>
      <c r="BA5904" s="73" t="s">
        <v>355</v>
      </c>
      <c r="BB5904" s="48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356</v>
      </c>
      <c r="E5905" s="1" t="s">
        <v>115</v>
      </c>
      <c r="F5905" s="26">
        <v>35</v>
      </c>
      <c r="G5905" s="25" t="s">
        <v>293</v>
      </c>
      <c r="H5905" s="25"/>
      <c r="BA5905" s="73" t="s">
        <v>355</v>
      </c>
      <c r="BB5905" s="48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356</v>
      </c>
      <c r="E5906" s="1" t="s">
        <v>137</v>
      </c>
      <c r="F5906" s="26">
        <v>75</v>
      </c>
      <c r="G5906" s="25" t="s">
        <v>293</v>
      </c>
      <c r="H5906" s="25"/>
      <c r="BA5906" s="73" t="s">
        <v>355</v>
      </c>
      <c r="BB5906" s="48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356</v>
      </c>
      <c r="E5907" s="1" t="s">
        <v>348</v>
      </c>
      <c r="F5907" s="26">
        <v>142</v>
      </c>
      <c r="G5907" s="25" t="s">
        <v>293</v>
      </c>
      <c r="H5907" s="25"/>
      <c r="BA5907" s="73" t="s">
        <v>355</v>
      </c>
      <c r="BB5907" s="48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356</v>
      </c>
      <c r="E5908" s="1" t="s">
        <v>125</v>
      </c>
      <c r="F5908" s="26">
        <v>117</v>
      </c>
      <c r="G5908" s="25" t="s">
        <v>293</v>
      </c>
      <c r="H5908" s="25"/>
      <c r="BA5908" s="73" t="s">
        <v>355</v>
      </c>
      <c r="BB5908" s="48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356</v>
      </c>
      <c r="E5909" s="1" t="s">
        <v>126</v>
      </c>
      <c r="F5909" s="26">
        <v>81</v>
      </c>
      <c r="G5909" s="25" t="s">
        <v>293</v>
      </c>
      <c r="H5909" s="25"/>
      <c r="BA5909" s="73" t="s">
        <v>355</v>
      </c>
      <c r="BB5909" s="48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356</v>
      </c>
      <c r="E5910" s="1" t="s">
        <v>349</v>
      </c>
      <c r="F5910" s="26">
        <v>152</v>
      </c>
      <c r="G5910" s="25" t="s">
        <v>293</v>
      </c>
      <c r="H5910" s="25"/>
      <c r="BA5910" s="73" t="s">
        <v>355</v>
      </c>
      <c r="BB5910" s="48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356</v>
      </c>
      <c r="E5911" s="1" t="s">
        <v>350</v>
      </c>
      <c r="F5911" s="26">
        <v>59</v>
      </c>
      <c r="G5911" s="25" t="s">
        <v>293</v>
      </c>
      <c r="H5911" s="25"/>
      <c r="BA5911" s="73" t="s">
        <v>355</v>
      </c>
      <c r="BB5911" s="48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356</v>
      </c>
      <c r="E5912" s="1" t="s">
        <v>122</v>
      </c>
      <c r="F5912" s="26">
        <v>45</v>
      </c>
      <c r="G5912" s="25" t="s">
        <v>293</v>
      </c>
      <c r="H5912" s="25"/>
      <c r="BA5912" s="73" t="s">
        <v>355</v>
      </c>
      <c r="BB5912" s="48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356</v>
      </c>
      <c r="E5913" s="1" t="s">
        <v>124</v>
      </c>
      <c r="F5913" s="26">
        <v>28</v>
      </c>
      <c r="G5913" s="25" t="s">
        <v>293</v>
      </c>
      <c r="H5913" s="25"/>
      <c r="BA5913" s="73" t="s">
        <v>355</v>
      </c>
      <c r="BB5913" s="48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356</v>
      </c>
      <c r="E5914" s="1" t="s">
        <v>351</v>
      </c>
      <c r="F5914" s="26">
        <v>0.95</v>
      </c>
      <c r="G5914" s="25" t="s">
        <v>293</v>
      </c>
      <c r="H5914" s="25"/>
      <c r="BA5914" s="73" t="s">
        <v>355</v>
      </c>
      <c r="BB5914" s="48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356</v>
      </c>
      <c r="E5915" s="1" t="s">
        <v>353</v>
      </c>
      <c r="F5915" s="26">
        <v>33.299999999999997</v>
      </c>
      <c r="G5915" s="25" t="s">
        <v>293</v>
      </c>
      <c r="H5915" s="25"/>
      <c r="BA5915" s="73" t="s">
        <v>355</v>
      </c>
      <c r="BB5915" s="48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356</v>
      </c>
      <c r="E5916" s="1" t="s">
        <v>133</v>
      </c>
      <c r="F5916" s="26">
        <v>151</v>
      </c>
      <c r="G5916" s="25" t="s">
        <v>293</v>
      </c>
      <c r="H5916" s="25"/>
      <c r="BA5916" s="73" t="s">
        <v>355</v>
      </c>
      <c r="BB5916" s="48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356</v>
      </c>
      <c r="E5917" s="1" t="s">
        <v>135</v>
      </c>
      <c r="F5917" s="26">
        <v>3.9</v>
      </c>
      <c r="G5917" s="25" t="s">
        <v>293</v>
      </c>
      <c r="H5917" s="25"/>
      <c r="BA5917" s="73" t="s">
        <v>355</v>
      </c>
      <c r="BB5917" s="48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356</v>
      </c>
      <c r="E5918" s="1" t="s">
        <v>136</v>
      </c>
      <c r="F5918" s="26">
        <v>110</v>
      </c>
      <c r="G5918" s="25" t="s">
        <v>293</v>
      </c>
      <c r="H5918" s="25"/>
      <c r="BA5918" s="73" t="s">
        <v>355</v>
      </c>
      <c r="BB5918" s="48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356</v>
      </c>
      <c r="E5919" s="1" t="s">
        <v>339</v>
      </c>
      <c r="F5919" s="26">
        <v>4.8899999999999997</v>
      </c>
      <c r="G5919" s="25" t="s">
        <v>293</v>
      </c>
      <c r="H5919" s="25"/>
      <c r="BA5919" s="73" t="s">
        <v>355</v>
      </c>
      <c r="BB5919" s="48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356</v>
      </c>
      <c r="E5920" s="1" t="s">
        <v>118</v>
      </c>
      <c r="F5920" s="26">
        <v>4.7</v>
      </c>
      <c r="G5920" s="25" t="s">
        <v>293</v>
      </c>
      <c r="H5920" s="25"/>
      <c r="BA5920" s="73" t="s">
        <v>355</v>
      </c>
      <c r="BB5920" s="48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356</v>
      </c>
      <c r="E5921" s="1" t="s">
        <v>130</v>
      </c>
      <c r="F5921" s="26">
        <v>3.83</v>
      </c>
      <c r="G5921" s="25" t="s">
        <v>293</v>
      </c>
      <c r="H5921" s="25"/>
      <c r="BA5921" s="73" t="s">
        <v>355</v>
      </c>
      <c r="BB5921" s="48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356</v>
      </c>
      <c r="E5922" s="1" t="s">
        <v>341</v>
      </c>
      <c r="F5922" s="26">
        <v>0.33</v>
      </c>
      <c r="G5922" s="25" t="s">
        <v>293</v>
      </c>
      <c r="H5922" s="25"/>
      <c r="BA5922" s="73" t="s">
        <v>355</v>
      </c>
      <c r="BB5922" s="48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356</v>
      </c>
      <c r="E5923" s="1" t="s">
        <v>127</v>
      </c>
      <c r="F5923" s="26">
        <v>1.2869999999999999</v>
      </c>
      <c r="G5923" s="25" t="s">
        <v>293</v>
      </c>
      <c r="H5923" s="25"/>
      <c r="BA5923" s="73" t="s">
        <v>355</v>
      </c>
      <c r="BB5923" s="48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356</v>
      </c>
      <c r="E5924" s="1" t="s">
        <v>131</v>
      </c>
      <c r="F5924" s="26">
        <v>8.9</v>
      </c>
      <c r="G5924" s="25" t="s">
        <v>293</v>
      </c>
      <c r="H5924" s="25"/>
      <c r="BA5924" s="73" t="s">
        <v>355</v>
      </c>
      <c r="BB5924" s="48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356</v>
      </c>
      <c r="E5925" s="1" t="s">
        <v>342</v>
      </c>
      <c r="F5925" s="26">
        <v>349</v>
      </c>
      <c r="G5925" s="25" t="s">
        <v>293</v>
      </c>
      <c r="H5925" s="25"/>
      <c r="BA5925" s="73" t="s">
        <v>355</v>
      </c>
      <c r="BB5925" s="48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356</v>
      </c>
      <c r="E5926" s="1" t="s">
        <v>119</v>
      </c>
      <c r="F5926" s="26">
        <v>257</v>
      </c>
      <c r="G5926" s="25" t="s">
        <v>293</v>
      </c>
      <c r="H5926" s="25"/>
      <c r="BA5926" s="73" t="s">
        <v>355</v>
      </c>
      <c r="BB5926" s="48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356</v>
      </c>
      <c r="E5927" s="1" t="s">
        <v>120</v>
      </c>
      <c r="F5927" s="26">
        <v>78</v>
      </c>
      <c r="G5927" s="25" t="s">
        <v>293</v>
      </c>
      <c r="H5927" s="25"/>
      <c r="BA5927" s="73" t="s">
        <v>355</v>
      </c>
      <c r="BB5927" s="48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356</v>
      </c>
      <c r="E5928" s="1" t="s">
        <v>117</v>
      </c>
      <c r="F5928" s="26">
        <v>2.74</v>
      </c>
      <c r="G5928" s="25" t="s">
        <v>293</v>
      </c>
      <c r="H5928" s="25"/>
      <c r="BA5928" s="73" t="s">
        <v>355</v>
      </c>
      <c r="BB5928" s="48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356</v>
      </c>
      <c r="E5929" s="1" t="s">
        <v>344</v>
      </c>
      <c r="F5929" s="26">
        <v>237</v>
      </c>
      <c r="G5929" s="25" t="s">
        <v>293</v>
      </c>
      <c r="H5929" s="25"/>
      <c r="BA5929" s="73" t="s">
        <v>355</v>
      </c>
      <c r="BB5929" s="48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356</v>
      </c>
      <c r="E5930" s="1" t="s">
        <v>132</v>
      </c>
      <c r="F5930" s="26">
        <v>3.47</v>
      </c>
      <c r="G5930" s="25" t="s">
        <v>293</v>
      </c>
      <c r="H5930" s="25"/>
      <c r="BA5930" s="73" t="s">
        <v>355</v>
      </c>
      <c r="BB5930" s="48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356</v>
      </c>
      <c r="E5931" s="1" t="s">
        <v>111</v>
      </c>
      <c r="F5931" s="26">
        <v>88</v>
      </c>
      <c r="G5931" s="25" t="s">
        <v>293</v>
      </c>
      <c r="H5931" s="25"/>
      <c r="BA5931" s="73" t="s">
        <v>355</v>
      </c>
      <c r="BB5931" s="48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356</v>
      </c>
      <c r="E5932" s="1" t="s">
        <v>345</v>
      </c>
      <c r="F5932" s="26">
        <v>5.0999999999999996</v>
      </c>
      <c r="G5932" s="25" t="s">
        <v>293</v>
      </c>
      <c r="H5932" s="25"/>
      <c r="BA5932" s="73" t="s">
        <v>355</v>
      </c>
      <c r="BB5932" s="48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356</v>
      </c>
      <c r="E5933" s="1" t="s">
        <v>347</v>
      </c>
      <c r="F5933" s="26">
        <v>2.2599999999999998</v>
      </c>
      <c r="G5933" s="25" t="s">
        <v>293</v>
      </c>
      <c r="H5933" s="25"/>
      <c r="BA5933" s="73" t="s">
        <v>355</v>
      </c>
      <c r="BB5933" s="48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356</v>
      </c>
      <c r="E5934" s="1" t="s">
        <v>128</v>
      </c>
      <c r="F5934" s="26">
        <v>7.2</v>
      </c>
      <c r="G5934" s="25" t="s">
        <v>293</v>
      </c>
      <c r="H5934" s="25"/>
      <c r="BA5934" s="73" t="s">
        <v>355</v>
      </c>
      <c r="BB5934" s="48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356</v>
      </c>
      <c r="E5935" s="1" t="s">
        <v>121</v>
      </c>
      <c r="F5935" s="26">
        <v>165</v>
      </c>
      <c r="G5935" s="25" t="s">
        <v>293</v>
      </c>
      <c r="H5935" s="25"/>
      <c r="BA5935" s="73" t="s">
        <v>355</v>
      </c>
      <c r="BB5935" s="48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356</v>
      </c>
      <c r="E5936" s="1" t="s">
        <v>115</v>
      </c>
      <c r="F5936" s="26">
        <v>36</v>
      </c>
      <c r="G5936" s="25" t="s">
        <v>293</v>
      </c>
      <c r="H5936" s="25"/>
      <c r="BA5936" s="73" t="s">
        <v>355</v>
      </c>
      <c r="BB5936" s="48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356</v>
      </c>
      <c r="E5937" s="1" t="s">
        <v>137</v>
      </c>
      <c r="F5937" s="26">
        <v>76</v>
      </c>
      <c r="G5937" s="25" t="s">
        <v>293</v>
      </c>
      <c r="H5937" s="25"/>
      <c r="BA5937" s="73" t="s">
        <v>355</v>
      </c>
      <c r="BB5937" s="48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356</v>
      </c>
      <c r="E5938" s="1" t="s">
        <v>348</v>
      </c>
      <c r="F5938" s="26">
        <v>143</v>
      </c>
      <c r="G5938" s="25" t="s">
        <v>293</v>
      </c>
      <c r="H5938" s="25"/>
      <c r="BA5938" s="73" t="s">
        <v>355</v>
      </c>
      <c r="BB5938" s="48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356</v>
      </c>
      <c r="E5939" s="1" t="s">
        <v>125</v>
      </c>
      <c r="F5939" s="26">
        <v>120</v>
      </c>
      <c r="G5939" s="25" t="s">
        <v>293</v>
      </c>
      <c r="H5939" s="25"/>
      <c r="BA5939" s="73" t="s">
        <v>355</v>
      </c>
      <c r="BB5939" s="48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356</v>
      </c>
      <c r="E5940" s="1" t="s">
        <v>126</v>
      </c>
      <c r="F5940" s="26">
        <v>83</v>
      </c>
      <c r="G5940" s="25" t="s">
        <v>293</v>
      </c>
      <c r="H5940" s="25"/>
      <c r="BA5940" s="73" t="s">
        <v>355</v>
      </c>
      <c r="BB5940" s="48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356</v>
      </c>
      <c r="E5941" s="1" t="s">
        <v>349</v>
      </c>
      <c r="F5941" s="26">
        <v>146</v>
      </c>
      <c r="G5941" s="25" t="s">
        <v>293</v>
      </c>
      <c r="H5941" s="25"/>
      <c r="BA5941" s="73" t="s">
        <v>355</v>
      </c>
      <c r="BB5941" s="48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356</v>
      </c>
      <c r="E5942" s="1" t="s">
        <v>350</v>
      </c>
      <c r="F5942" s="26">
        <v>59</v>
      </c>
      <c r="G5942" s="25" t="s">
        <v>293</v>
      </c>
      <c r="H5942" s="25"/>
      <c r="BA5942" s="73" t="s">
        <v>355</v>
      </c>
      <c r="BB5942" s="48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356</v>
      </c>
      <c r="E5943" s="1" t="s">
        <v>122</v>
      </c>
      <c r="F5943" s="26">
        <v>45</v>
      </c>
      <c r="G5943" s="25" t="s">
        <v>293</v>
      </c>
      <c r="H5943" s="25"/>
      <c r="BA5943" s="73" t="s">
        <v>355</v>
      </c>
      <c r="BB5943" s="48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356</v>
      </c>
      <c r="E5944" s="1" t="s">
        <v>124</v>
      </c>
      <c r="F5944" s="26">
        <v>28</v>
      </c>
      <c r="G5944" s="25" t="s">
        <v>293</v>
      </c>
      <c r="H5944" s="25"/>
      <c r="BA5944" s="73" t="s">
        <v>355</v>
      </c>
      <c r="BB5944" s="48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356</v>
      </c>
      <c r="E5945" s="1" t="s">
        <v>351</v>
      </c>
      <c r="F5945" s="26">
        <v>0.94</v>
      </c>
      <c r="G5945" s="25" t="s">
        <v>293</v>
      </c>
      <c r="H5945" s="25"/>
      <c r="BA5945" s="73" t="s">
        <v>355</v>
      </c>
      <c r="BB5945" s="48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356</v>
      </c>
      <c r="E5946" s="1" t="s">
        <v>353</v>
      </c>
      <c r="F5946" s="26">
        <v>33</v>
      </c>
      <c r="G5946" s="25" t="s">
        <v>293</v>
      </c>
      <c r="H5946" s="25"/>
      <c r="BA5946" s="73" t="s">
        <v>355</v>
      </c>
      <c r="BB5946" s="48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356</v>
      </c>
      <c r="E5947" s="1" t="s">
        <v>133</v>
      </c>
      <c r="F5947" s="26">
        <v>150</v>
      </c>
      <c r="G5947" s="25" t="s">
        <v>293</v>
      </c>
      <c r="H5947" s="25"/>
      <c r="BA5947" s="73" t="s">
        <v>355</v>
      </c>
      <c r="BB5947" s="48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356</v>
      </c>
      <c r="E5948" s="1" t="s">
        <v>135</v>
      </c>
      <c r="F5948" s="26">
        <v>4.0999999999999996</v>
      </c>
      <c r="G5948" s="25" t="s">
        <v>293</v>
      </c>
      <c r="H5948" s="25"/>
      <c r="BA5948" s="73" t="s">
        <v>355</v>
      </c>
      <c r="BB5948" s="48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356</v>
      </c>
      <c r="E5949" s="1" t="s">
        <v>136</v>
      </c>
      <c r="F5949" s="26">
        <v>115</v>
      </c>
      <c r="G5949" s="25" t="s">
        <v>293</v>
      </c>
      <c r="H5949" s="25"/>
      <c r="BA5949" s="73" t="s">
        <v>355</v>
      </c>
      <c r="BB5949" s="48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356</v>
      </c>
      <c r="E5950" s="1" t="s">
        <v>339</v>
      </c>
      <c r="F5950" s="26">
        <v>4.72</v>
      </c>
      <c r="G5950" s="25" t="s">
        <v>293</v>
      </c>
      <c r="H5950" s="25"/>
      <c r="BA5950" s="73" t="s">
        <v>355</v>
      </c>
      <c r="BB5950" s="48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356</v>
      </c>
      <c r="E5951" s="1" t="s">
        <v>118</v>
      </c>
      <c r="F5951" s="26">
        <v>4.7</v>
      </c>
      <c r="G5951" s="25" t="s">
        <v>293</v>
      </c>
      <c r="H5951" s="25"/>
      <c r="BA5951" s="73" t="s">
        <v>355</v>
      </c>
      <c r="BB5951" s="48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356</v>
      </c>
      <c r="E5952" s="1" t="s">
        <v>130</v>
      </c>
      <c r="F5952" s="26">
        <v>3.8</v>
      </c>
      <c r="G5952" s="25" t="s">
        <v>293</v>
      </c>
      <c r="H5952" s="25"/>
      <c r="BA5952" s="73" t="s">
        <v>355</v>
      </c>
      <c r="BB5952" s="48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356</v>
      </c>
      <c r="E5953" s="1" t="s">
        <v>341</v>
      </c>
      <c r="F5953" s="26">
        <v>0.33</v>
      </c>
      <c r="G5953" s="25" t="s">
        <v>293</v>
      </c>
      <c r="H5953" s="25"/>
      <c r="BA5953" s="73" t="s">
        <v>355</v>
      </c>
      <c r="BB5953" s="48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356</v>
      </c>
      <c r="E5954" s="1" t="s">
        <v>127</v>
      </c>
      <c r="F5954" s="26">
        <v>1.25</v>
      </c>
      <c r="G5954" s="25" t="s">
        <v>293</v>
      </c>
      <c r="H5954" s="25"/>
      <c r="BA5954" s="73" t="s">
        <v>355</v>
      </c>
      <c r="BB5954" s="48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356</v>
      </c>
      <c r="E5955" s="1" t="s">
        <v>131</v>
      </c>
      <c r="F5955" s="26">
        <v>8.6999999999999993</v>
      </c>
      <c r="G5955" s="25" t="s">
        <v>293</v>
      </c>
      <c r="H5955" s="25"/>
      <c r="BA5955" s="73" t="s">
        <v>355</v>
      </c>
      <c r="BB5955" s="48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356</v>
      </c>
      <c r="E5956" s="1" t="s">
        <v>342</v>
      </c>
      <c r="F5956" s="26">
        <v>327</v>
      </c>
      <c r="G5956" s="25" t="s">
        <v>293</v>
      </c>
      <c r="H5956" s="25"/>
      <c r="BA5956" s="73" t="s">
        <v>355</v>
      </c>
      <c r="BB5956" s="48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356</v>
      </c>
      <c r="E5957" s="1" t="s">
        <v>119</v>
      </c>
      <c r="F5957" s="26">
        <v>247</v>
      </c>
      <c r="G5957" s="25" t="s">
        <v>293</v>
      </c>
      <c r="H5957" s="25"/>
      <c r="BA5957" s="73" t="s">
        <v>355</v>
      </c>
      <c r="BB5957" s="48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356</v>
      </c>
      <c r="E5958" s="1" t="s">
        <v>120</v>
      </c>
      <c r="F5958" s="26">
        <v>77</v>
      </c>
      <c r="G5958" s="25" t="s">
        <v>293</v>
      </c>
      <c r="H5958" s="25"/>
      <c r="BA5958" s="73" t="s">
        <v>355</v>
      </c>
      <c r="BB5958" s="48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356</v>
      </c>
      <c r="E5959" s="1" t="s">
        <v>117</v>
      </c>
      <c r="F5959" s="26">
        <v>2.71</v>
      </c>
      <c r="G5959" s="25" t="s">
        <v>293</v>
      </c>
      <c r="H5959" s="25"/>
      <c r="BA5959" s="73" t="s">
        <v>355</v>
      </c>
      <c r="BB5959" s="48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356</v>
      </c>
      <c r="E5960" s="1" t="s">
        <v>344</v>
      </c>
      <c r="F5960" s="26">
        <v>237</v>
      </c>
      <c r="G5960" s="25" t="s">
        <v>293</v>
      </c>
      <c r="H5960" s="25"/>
      <c r="BA5960" s="73" t="s">
        <v>355</v>
      </c>
      <c r="BB5960" s="48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356</v>
      </c>
      <c r="E5961" s="1" t="s">
        <v>132</v>
      </c>
      <c r="F5961" s="26">
        <v>3.39</v>
      </c>
      <c r="G5961" s="25" t="s">
        <v>293</v>
      </c>
      <c r="H5961" s="25"/>
      <c r="BA5961" s="73" t="s">
        <v>355</v>
      </c>
      <c r="BB5961" s="48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356</v>
      </c>
      <c r="E5962" s="1" t="s">
        <v>111</v>
      </c>
      <c r="F5962" s="26">
        <v>85</v>
      </c>
      <c r="G5962" s="25" t="s">
        <v>293</v>
      </c>
      <c r="H5962" s="25"/>
      <c r="BA5962" s="73" t="s">
        <v>355</v>
      </c>
      <c r="BB5962" s="48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356</v>
      </c>
      <c r="E5963" s="1" t="s">
        <v>345</v>
      </c>
      <c r="F5963" s="26">
        <v>5.15</v>
      </c>
      <c r="G5963" s="25" t="s">
        <v>293</v>
      </c>
      <c r="H5963" s="25"/>
      <c r="BA5963" s="73" t="s">
        <v>355</v>
      </c>
      <c r="BB5963" s="48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356</v>
      </c>
      <c r="E5964" s="1" t="s">
        <v>347</v>
      </c>
      <c r="F5964" s="26">
        <v>2.13</v>
      </c>
      <c r="G5964" s="25" t="s">
        <v>293</v>
      </c>
      <c r="H5964" s="25"/>
      <c r="BA5964" s="73" t="s">
        <v>355</v>
      </c>
      <c r="BB5964" s="48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356</v>
      </c>
      <c r="E5965" s="1" t="s">
        <v>128</v>
      </c>
      <c r="F5965" s="26">
        <v>7.2</v>
      </c>
      <c r="G5965" s="25" t="s">
        <v>293</v>
      </c>
      <c r="H5965" s="25"/>
      <c r="BA5965" s="73" t="s">
        <v>355</v>
      </c>
      <c r="BB5965" s="48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356</v>
      </c>
      <c r="E5966" s="1" t="s">
        <v>121</v>
      </c>
      <c r="F5966" s="26">
        <v>157</v>
      </c>
      <c r="G5966" s="25" t="s">
        <v>293</v>
      </c>
      <c r="H5966" s="25"/>
      <c r="BA5966" s="73" t="s">
        <v>355</v>
      </c>
      <c r="BB5966" s="48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356</v>
      </c>
      <c r="E5967" s="1" t="s">
        <v>115</v>
      </c>
      <c r="F5967" s="26">
        <v>34</v>
      </c>
      <c r="G5967" s="25" t="s">
        <v>293</v>
      </c>
      <c r="H5967" s="25"/>
      <c r="BA5967" s="73" t="s">
        <v>355</v>
      </c>
      <c r="BB5967" s="48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356</v>
      </c>
      <c r="E5968" s="1" t="s">
        <v>137</v>
      </c>
      <c r="F5968" s="26">
        <v>76</v>
      </c>
      <c r="G5968" s="25" t="s">
        <v>293</v>
      </c>
      <c r="H5968" s="25"/>
      <c r="BA5968" s="73" t="s">
        <v>355</v>
      </c>
      <c r="BB5968" s="48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356</v>
      </c>
      <c r="E5969" s="1" t="s">
        <v>348</v>
      </c>
      <c r="F5969" s="26">
        <v>146</v>
      </c>
      <c r="G5969" s="25" t="s">
        <v>293</v>
      </c>
      <c r="H5969" s="25"/>
      <c r="BA5969" s="73" t="s">
        <v>355</v>
      </c>
      <c r="BB5969" s="48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356</v>
      </c>
      <c r="E5970" s="1" t="s">
        <v>125</v>
      </c>
      <c r="F5970" s="26">
        <v>110</v>
      </c>
      <c r="G5970" s="25" t="s">
        <v>293</v>
      </c>
      <c r="H5970" s="25"/>
      <c r="BA5970" s="73" t="s">
        <v>355</v>
      </c>
      <c r="BB5970" s="48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356</v>
      </c>
      <c r="E5971" s="1" t="s">
        <v>126</v>
      </c>
      <c r="F5971" s="26">
        <v>81</v>
      </c>
      <c r="G5971" s="25" t="s">
        <v>293</v>
      </c>
      <c r="H5971" s="25"/>
      <c r="BA5971" s="73" t="s">
        <v>355</v>
      </c>
      <c r="BB5971" s="48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356</v>
      </c>
      <c r="E5972" s="1" t="s">
        <v>349</v>
      </c>
      <c r="F5972" s="26">
        <v>167</v>
      </c>
      <c r="G5972" s="25" t="s">
        <v>293</v>
      </c>
      <c r="H5972" s="25"/>
      <c r="BA5972" s="73" t="s">
        <v>355</v>
      </c>
      <c r="BB5972" s="48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356</v>
      </c>
      <c r="E5973" s="1" t="s">
        <v>350</v>
      </c>
      <c r="F5973" s="26">
        <v>59</v>
      </c>
      <c r="G5973" s="25" t="s">
        <v>293</v>
      </c>
      <c r="H5973" s="25"/>
      <c r="BA5973" s="73" t="s">
        <v>355</v>
      </c>
      <c r="BB5973" s="48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356</v>
      </c>
      <c r="E5974" s="1" t="s">
        <v>122</v>
      </c>
      <c r="F5974" s="26">
        <v>46</v>
      </c>
      <c r="G5974" s="25" t="s">
        <v>293</v>
      </c>
      <c r="H5974" s="25"/>
      <c r="BA5974" s="73" t="s">
        <v>355</v>
      </c>
      <c r="BB5974" s="48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356</v>
      </c>
      <c r="E5975" s="1" t="s">
        <v>124</v>
      </c>
      <c r="F5975" s="26">
        <v>28</v>
      </c>
      <c r="G5975" s="25" t="s">
        <v>293</v>
      </c>
      <c r="H5975" s="25"/>
      <c r="BA5975" s="73" t="s">
        <v>355</v>
      </c>
      <c r="BB5975" s="48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356</v>
      </c>
      <c r="E5976" s="1" t="s">
        <v>351</v>
      </c>
      <c r="F5976" s="26">
        <v>0.95</v>
      </c>
      <c r="G5976" s="25" t="s">
        <v>293</v>
      </c>
      <c r="H5976" s="25"/>
      <c r="BA5976" s="73" t="s">
        <v>355</v>
      </c>
      <c r="BB5976" s="48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356</v>
      </c>
      <c r="E5977" s="1" t="s">
        <v>353</v>
      </c>
      <c r="F5977" s="26">
        <v>34.4</v>
      </c>
      <c r="G5977" s="25" t="s">
        <v>293</v>
      </c>
      <c r="H5977" s="25"/>
      <c r="BA5977" s="73" t="s">
        <v>355</v>
      </c>
      <c r="BB5977" s="48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356</v>
      </c>
      <c r="E5978" s="1" t="s">
        <v>133</v>
      </c>
      <c r="F5978" s="26">
        <v>148</v>
      </c>
      <c r="G5978" s="25" t="s">
        <v>293</v>
      </c>
      <c r="H5978" s="25"/>
      <c r="BA5978" s="73" t="s">
        <v>355</v>
      </c>
      <c r="BB5978" s="48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356</v>
      </c>
      <c r="E5979" s="1" t="s">
        <v>135</v>
      </c>
      <c r="F5979" s="26">
        <v>3.9</v>
      </c>
      <c r="G5979" s="25" t="s">
        <v>293</v>
      </c>
      <c r="H5979" s="25"/>
      <c r="BA5979" s="73" t="s">
        <v>355</v>
      </c>
      <c r="BB5979" s="48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356</v>
      </c>
      <c r="E5980" s="1" t="s">
        <v>136</v>
      </c>
      <c r="F5980" s="26">
        <v>108</v>
      </c>
      <c r="G5980" s="25" t="s">
        <v>293</v>
      </c>
      <c r="H5980" s="25"/>
      <c r="BA5980" s="73" t="s">
        <v>355</v>
      </c>
      <c r="BB5980" s="48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356</v>
      </c>
      <c r="E5981" s="1" t="s">
        <v>339</v>
      </c>
      <c r="F5981" s="26">
        <v>4.6500000000000004</v>
      </c>
      <c r="G5981" s="25" t="s">
        <v>293</v>
      </c>
      <c r="H5981" s="25"/>
      <c r="BA5981" s="73" t="s">
        <v>355</v>
      </c>
      <c r="BB5981" s="48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356</v>
      </c>
      <c r="E5982" s="1" t="s">
        <v>118</v>
      </c>
      <c r="F5982" s="26">
        <v>4.7</v>
      </c>
      <c r="G5982" s="25" t="s">
        <v>293</v>
      </c>
      <c r="H5982" s="25"/>
      <c r="BA5982" s="73" t="s">
        <v>355</v>
      </c>
      <c r="BB5982" s="48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356</v>
      </c>
      <c r="E5983" s="1" t="s">
        <v>130</v>
      </c>
      <c r="F5983" s="26">
        <v>3.8610000000000002</v>
      </c>
      <c r="G5983" s="25" t="s">
        <v>293</v>
      </c>
      <c r="H5983" s="25"/>
      <c r="BA5983" s="73" t="s">
        <v>355</v>
      </c>
      <c r="BB5983" s="48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356</v>
      </c>
      <c r="E5984" s="1" t="s">
        <v>341</v>
      </c>
      <c r="F5984" s="26">
        <v>0.31</v>
      </c>
      <c r="G5984" s="25" t="s">
        <v>293</v>
      </c>
      <c r="H5984" s="25"/>
      <c r="BA5984" s="73" t="s">
        <v>355</v>
      </c>
      <c r="BB5984" s="48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356</v>
      </c>
      <c r="E5985" s="1" t="s">
        <v>127</v>
      </c>
      <c r="F5985" s="26">
        <v>1.25</v>
      </c>
      <c r="G5985" s="25" t="s">
        <v>293</v>
      </c>
      <c r="H5985" s="25"/>
      <c r="BA5985" s="73" t="s">
        <v>355</v>
      </c>
      <c r="BB5985" s="48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356</v>
      </c>
      <c r="E5986" s="1" t="s">
        <v>131</v>
      </c>
      <c r="F5986" s="26">
        <v>8.6999999999999993</v>
      </c>
      <c r="G5986" s="25" t="s">
        <v>293</v>
      </c>
      <c r="H5986" s="25"/>
      <c r="BA5986" s="73" t="s">
        <v>355</v>
      </c>
      <c r="BB5986" s="48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356</v>
      </c>
      <c r="E5987" s="1" t="s">
        <v>342</v>
      </c>
      <c r="F5987" s="26">
        <v>339</v>
      </c>
      <c r="G5987" s="25" t="s">
        <v>293</v>
      </c>
      <c r="H5987" s="25"/>
      <c r="BA5987" s="73" t="s">
        <v>355</v>
      </c>
      <c r="BB5987" s="48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356</v>
      </c>
      <c r="E5988" s="1" t="s">
        <v>119</v>
      </c>
      <c r="F5988" s="26">
        <v>246</v>
      </c>
      <c r="G5988" s="25" t="s">
        <v>293</v>
      </c>
      <c r="H5988" s="25"/>
      <c r="BA5988" s="73" t="s">
        <v>355</v>
      </c>
      <c r="BB5988" s="48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356</v>
      </c>
      <c r="E5989" s="1" t="s">
        <v>120</v>
      </c>
      <c r="F5989" s="26">
        <v>74</v>
      </c>
      <c r="G5989" s="25" t="s">
        <v>293</v>
      </c>
      <c r="H5989" s="25"/>
      <c r="BA5989" s="73" t="s">
        <v>355</v>
      </c>
      <c r="BB5989" s="48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356</v>
      </c>
      <c r="E5990" s="1" t="s">
        <v>117</v>
      </c>
      <c r="F5990" s="26">
        <v>2.83</v>
      </c>
      <c r="G5990" s="25" t="s">
        <v>293</v>
      </c>
      <c r="H5990" s="25"/>
      <c r="BA5990" s="73" t="s">
        <v>355</v>
      </c>
      <c r="BB5990" s="48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356</v>
      </c>
      <c r="E5991" s="1" t="s">
        <v>344</v>
      </c>
      <c r="F5991" s="26">
        <v>232</v>
      </c>
      <c r="G5991" s="25" t="s">
        <v>293</v>
      </c>
      <c r="H5991" s="25"/>
      <c r="BA5991" s="73" t="s">
        <v>355</v>
      </c>
      <c r="BB5991" s="48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356</v>
      </c>
      <c r="E5992" s="1" t="s">
        <v>132</v>
      </c>
      <c r="F5992" s="26">
        <v>3.38</v>
      </c>
      <c r="G5992" s="25" t="s">
        <v>293</v>
      </c>
      <c r="H5992" s="25"/>
      <c r="BA5992" s="73" t="s">
        <v>355</v>
      </c>
      <c r="BB5992" s="48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356</v>
      </c>
      <c r="E5993" s="1" t="s">
        <v>111</v>
      </c>
      <c r="F5993" s="26">
        <v>86</v>
      </c>
      <c r="G5993" s="25" t="s">
        <v>293</v>
      </c>
      <c r="H5993" s="25"/>
      <c r="BA5993" s="73" t="s">
        <v>355</v>
      </c>
      <c r="BB5993" s="48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356</v>
      </c>
      <c r="E5994" s="1" t="s">
        <v>345</v>
      </c>
      <c r="F5994" s="26">
        <v>5.0999999999999996</v>
      </c>
      <c r="G5994" s="25" t="s">
        <v>293</v>
      </c>
      <c r="H5994" s="25"/>
      <c r="BA5994" s="73" t="s">
        <v>355</v>
      </c>
      <c r="BB5994" s="48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356</v>
      </c>
      <c r="E5995" s="1" t="s">
        <v>347</v>
      </c>
      <c r="F5995" s="26">
        <v>2.2200000000000002</v>
      </c>
      <c r="G5995" s="25" t="s">
        <v>293</v>
      </c>
      <c r="H5995" s="25"/>
      <c r="BA5995" s="73" t="s">
        <v>355</v>
      </c>
      <c r="BB5995" s="48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356</v>
      </c>
      <c r="E5996" s="1" t="s">
        <v>128</v>
      </c>
      <c r="F5996" s="26">
        <v>7</v>
      </c>
      <c r="G5996" s="25" t="s">
        <v>293</v>
      </c>
      <c r="H5996" s="25"/>
      <c r="BA5996" s="73" t="s">
        <v>355</v>
      </c>
      <c r="BB5996" s="48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356</v>
      </c>
      <c r="E5997" s="1" t="s">
        <v>121</v>
      </c>
      <c r="F5997" s="26">
        <v>158</v>
      </c>
      <c r="G5997" s="25" t="s">
        <v>293</v>
      </c>
      <c r="H5997" s="25"/>
      <c r="BA5997" s="73" t="s">
        <v>355</v>
      </c>
      <c r="BB5997" s="48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356</v>
      </c>
      <c r="E5998" s="1" t="s">
        <v>115</v>
      </c>
      <c r="F5998" s="26">
        <v>33</v>
      </c>
      <c r="G5998" s="25" t="s">
        <v>293</v>
      </c>
      <c r="H5998" s="25"/>
      <c r="BA5998" s="73" t="s">
        <v>355</v>
      </c>
      <c r="BB5998" s="48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356</v>
      </c>
      <c r="E5999" s="1" t="s">
        <v>137</v>
      </c>
      <c r="F5999" s="26">
        <v>75</v>
      </c>
      <c r="G5999" s="25" t="s">
        <v>293</v>
      </c>
      <c r="H5999" s="25"/>
      <c r="BA5999" s="73" t="s">
        <v>355</v>
      </c>
      <c r="BB5999" s="48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356</v>
      </c>
      <c r="E6000" s="1" t="s">
        <v>348</v>
      </c>
      <c r="F6000" s="26">
        <v>144</v>
      </c>
      <c r="G6000" s="25" t="s">
        <v>293</v>
      </c>
      <c r="H6000" s="25"/>
      <c r="BA6000" s="73" t="s">
        <v>355</v>
      </c>
      <c r="BB6000" s="48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356</v>
      </c>
      <c r="E6001" s="1" t="s">
        <v>125</v>
      </c>
      <c r="F6001" s="26">
        <v>117</v>
      </c>
      <c r="G6001" s="25" t="s">
        <v>293</v>
      </c>
      <c r="H6001" s="25"/>
      <c r="BA6001" s="73" t="s">
        <v>355</v>
      </c>
      <c r="BB6001" s="48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356</v>
      </c>
      <c r="E6002" s="1" t="s">
        <v>126</v>
      </c>
      <c r="F6002" s="26">
        <v>80</v>
      </c>
      <c r="G6002" s="25" t="s">
        <v>293</v>
      </c>
      <c r="H6002" s="25"/>
      <c r="BA6002" s="73" t="s">
        <v>355</v>
      </c>
      <c r="BB6002" s="48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356</v>
      </c>
      <c r="E6003" s="1" t="s">
        <v>349</v>
      </c>
      <c r="F6003" s="26">
        <v>168</v>
      </c>
      <c r="G6003" s="25" t="s">
        <v>293</v>
      </c>
      <c r="H6003" s="25"/>
      <c r="BA6003" s="73" t="s">
        <v>355</v>
      </c>
      <c r="BB6003" s="48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356</v>
      </c>
      <c r="E6004" s="1" t="s">
        <v>350</v>
      </c>
      <c r="F6004" s="26">
        <v>58</v>
      </c>
      <c r="G6004" s="25" t="s">
        <v>293</v>
      </c>
      <c r="H6004" s="25"/>
      <c r="BA6004" s="73" t="s">
        <v>355</v>
      </c>
      <c r="BB6004" s="48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356</v>
      </c>
      <c r="E6005" s="1" t="s">
        <v>122</v>
      </c>
      <c r="F6005" s="26">
        <v>49</v>
      </c>
      <c r="G6005" s="25" t="s">
        <v>293</v>
      </c>
      <c r="H6005" s="25"/>
      <c r="BA6005" s="73" t="s">
        <v>355</v>
      </c>
      <c r="BB6005" s="48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356</v>
      </c>
      <c r="E6006" s="1" t="s">
        <v>124</v>
      </c>
      <c r="F6006" s="26">
        <v>28</v>
      </c>
      <c r="G6006" s="25" t="s">
        <v>293</v>
      </c>
      <c r="H6006" s="25"/>
      <c r="BA6006" s="73" t="s">
        <v>355</v>
      </c>
      <c r="BB6006" s="48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356</v>
      </c>
      <c r="E6007" s="1" t="s">
        <v>351</v>
      </c>
      <c r="F6007" s="26">
        <v>0.97</v>
      </c>
      <c r="G6007" s="25" t="s">
        <v>293</v>
      </c>
      <c r="H6007" s="25"/>
      <c r="BA6007" s="73" t="s">
        <v>355</v>
      </c>
      <c r="BB6007" s="48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356</v>
      </c>
      <c r="E6008" s="1" t="s">
        <v>353</v>
      </c>
      <c r="F6008" s="26">
        <v>32.9</v>
      </c>
      <c r="G6008" s="25" t="s">
        <v>293</v>
      </c>
      <c r="H6008" s="25"/>
      <c r="BA6008" s="73" t="s">
        <v>355</v>
      </c>
      <c r="BB6008" s="48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356</v>
      </c>
      <c r="E6009" s="1" t="s">
        <v>133</v>
      </c>
      <c r="F6009" s="26">
        <v>148</v>
      </c>
      <c r="G6009" s="25" t="s">
        <v>293</v>
      </c>
      <c r="H6009" s="25"/>
      <c r="BA6009" s="73" t="s">
        <v>355</v>
      </c>
      <c r="BB6009" s="48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356</v>
      </c>
      <c r="E6010" s="1" t="s">
        <v>135</v>
      </c>
      <c r="F6010" s="26">
        <v>3.8</v>
      </c>
      <c r="G6010" s="25" t="s">
        <v>293</v>
      </c>
      <c r="H6010" s="25"/>
      <c r="BA6010" s="73" t="s">
        <v>355</v>
      </c>
      <c r="BB6010" s="48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356</v>
      </c>
      <c r="E6011" s="1" t="s">
        <v>136</v>
      </c>
      <c r="F6011" s="26">
        <v>109</v>
      </c>
      <c r="G6011" s="25" t="s">
        <v>293</v>
      </c>
      <c r="H6011" s="25"/>
      <c r="BA6011" s="73" t="s">
        <v>355</v>
      </c>
      <c r="BB6011" s="48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356</v>
      </c>
      <c r="E6012" s="1" t="s">
        <v>339</v>
      </c>
      <c r="F6012" s="26">
        <v>4.6399999999999997</v>
      </c>
      <c r="G6012" s="25" t="s">
        <v>293</v>
      </c>
      <c r="H6012" s="25"/>
      <c r="BA6012" s="73" t="s">
        <v>355</v>
      </c>
      <c r="BB6012" s="48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356</v>
      </c>
      <c r="E6013" s="1" t="s">
        <v>118</v>
      </c>
      <c r="F6013" s="26">
        <v>4.5</v>
      </c>
      <c r="G6013" s="25" t="s">
        <v>293</v>
      </c>
      <c r="H6013" s="25"/>
      <c r="BA6013" s="73" t="s">
        <v>355</v>
      </c>
      <c r="BB6013" s="48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356</v>
      </c>
      <c r="E6014" s="1" t="s">
        <v>130</v>
      </c>
      <c r="F6014" s="26">
        <v>3.81</v>
      </c>
      <c r="G6014" s="25" t="s">
        <v>293</v>
      </c>
      <c r="H6014" s="25"/>
      <c r="BA6014" s="73" t="s">
        <v>355</v>
      </c>
      <c r="BB6014" s="48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356</v>
      </c>
      <c r="E6015" s="1" t="s">
        <v>341</v>
      </c>
      <c r="F6015" s="26">
        <v>0.3</v>
      </c>
      <c r="G6015" s="25" t="s">
        <v>293</v>
      </c>
      <c r="H6015" s="25"/>
      <c r="BA6015" s="73" t="s">
        <v>355</v>
      </c>
      <c r="BB6015" s="48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356</v>
      </c>
      <c r="E6016" s="1" t="s">
        <v>127</v>
      </c>
      <c r="F6016" s="26">
        <v>1.22</v>
      </c>
      <c r="G6016" s="25" t="s">
        <v>293</v>
      </c>
      <c r="H6016" s="25"/>
      <c r="BA6016" s="73" t="s">
        <v>355</v>
      </c>
      <c r="BB6016" s="48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356</v>
      </c>
      <c r="E6017" s="1" t="s">
        <v>131</v>
      </c>
      <c r="F6017" s="26">
        <v>8.5</v>
      </c>
      <c r="G6017" s="25" t="s">
        <v>293</v>
      </c>
      <c r="H6017" s="25"/>
      <c r="BA6017" s="73" t="s">
        <v>355</v>
      </c>
      <c r="BB6017" s="48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356</v>
      </c>
      <c r="E6018" s="1" t="s">
        <v>342</v>
      </c>
      <c r="F6018" s="26">
        <v>334</v>
      </c>
      <c r="G6018" s="25" t="s">
        <v>293</v>
      </c>
      <c r="H6018" s="25"/>
      <c r="BA6018" s="73" t="s">
        <v>355</v>
      </c>
      <c r="BB6018" s="48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356</v>
      </c>
      <c r="E6019" s="1" t="s">
        <v>119</v>
      </c>
      <c r="F6019" s="26">
        <v>242</v>
      </c>
      <c r="G6019" s="25" t="s">
        <v>293</v>
      </c>
      <c r="H6019" s="25"/>
      <c r="BA6019" s="73" t="s">
        <v>355</v>
      </c>
      <c r="BB6019" s="48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356</v>
      </c>
      <c r="E6020" s="1" t="s">
        <v>120</v>
      </c>
      <c r="F6020" s="26">
        <v>77</v>
      </c>
      <c r="G6020" s="25" t="s">
        <v>293</v>
      </c>
      <c r="H6020" s="25"/>
      <c r="BA6020" s="73" t="s">
        <v>355</v>
      </c>
      <c r="BB6020" s="48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356</v>
      </c>
      <c r="E6021" s="1" t="s">
        <v>117</v>
      </c>
      <c r="F6021" s="26">
        <v>2.65</v>
      </c>
      <c r="G6021" s="25" t="s">
        <v>293</v>
      </c>
      <c r="H6021" s="25"/>
      <c r="BA6021" s="73" t="s">
        <v>355</v>
      </c>
      <c r="BB6021" s="48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356</v>
      </c>
      <c r="E6022" s="1" t="s">
        <v>344</v>
      </c>
      <c r="F6022" s="26">
        <v>230</v>
      </c>
      <c r="G6022" s="25" t="s">
        <v>293</v>
      </c>
      <c r="H6022" s="25"/>
      <c r="BA6022" s="73" t="s">
        <v>355</v>
      </c>
      <c r="BB6022" s="48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356</v>
      </c>
      <c r="E6023" s="1" t="s">
        <v>132</v>
      </c>
      <c r="F6023" s="26">
        <v>3.43</v>
      </c>
      <c r="G6023" s="25" t="s">
        <v>293</v>
      </c>
      <c r="H6023" s="25"/>
      <c r="BA6023" s="73" t="s">
        <v>355</v>
      </c>
      <c r="BB6023" s="48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356</v>
      </c>
      <c r="E6024" s="1" t="s">
        <v>111</v>
      </c>
      <c r="F6024" s="26">
        <v>84</v>
      </c>
      <c r="G6024" s="25" t="s">
        <v>293</v>
      </c>
      <c r="H6024" s="25"/>
      <c r="BA6024" s="73" t="s">
        <v>355</v>
      </c>
      <c r="BB6024" s="48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356</v>
      </c>
      <c r="E6025" s="1" t="s">
        <v>345</v>
      </c>
      <c r="F6025" s="26">
        <v>5.0999999999999996</v>
      </c>
      <c r="G6025" s="25" t="s">
        <v>293</v>
      </c>
      <c r="H6025" s="25"/>
      <c r="BA6025" s="73" t="s">
        <v>355</v>
      </c>
      <c r="BB6025" s="48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356</v>
      </c>
      <c r="E6026" s="1" t="s">
        <v>347</v>
      </c>
      <c r="F6026" s="26">
        <v>2.23</v>
      </c>
      <c r="G6026" s="25" t="s">
        <v>293</v>
      </c>
      <c r="H6026" s="25"/>
      <c r="BA6026" s="73" t="s">
        <v>355</v>
      </c>
      <c r="BB6026" s="48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356</v>
      </c>
      <c r="E6027" s="1" t="s">
        <v>128</v>
      </c>
      <c r="F6027" s="26">
        <v>7.1</v>
      </c>
      <c r="G6027" s="25" t="s">
        <v>293</v>
      </c>
      <c r="H6027" s="25"/>
      <c r="BA6027" s="73" t="s">
        <v>355</v>
      </c>
      <c r="BB6027" s="48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356</v>
      </c>
      <c r="E6028" s="1" t="s">
        <v>121</v>
      </c>
      <c r="F6028" s="26">
        <v>156</v>
      </c>
      <c r="G6028" s="25" t="s">
        <v>293</v>
      </c>
      <c r="H6028" s="25"/>
      <c r="BA6028" s="73" t="s">
        <v>355</v>
      </c>
      <c r="BB6028" s="48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356</v>
      </c>
      <c r="E6029" s="1" t="s">
        <v>115</v>
      </c>
      <c r="F6029" s="26">
        <v>35</v>
      </c>
      <c r="G6029" s="25" t="s">
        <v>293</v>
      </c>
      <c r="H6029" s="25"/>
      <c r="BA6029" s="73" t="s">
        <v>355</v>
      </c>
      <c r="BB6029" s="48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356</v>
      </c>
      <c r="E6030" s="1" t="s">
        <v>137</v>
      </c>
      <c r="F6030" s="26">
        <v>75</v>
      </c>
      <c r="G6030" s="25" t="s">
        <v>293</v>
      </c>
      <c r="H6030" s="25"/>
      <c r="BA6030" s="73" t="s">
        <v>355</v>
      </c>
      <c r="BB6030" s="48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356</v>
      </c>
      <c r="E6031" s="1" t="s">
        <v>348</v>
      </c>
      <c r="F6031" s="26">
        <v>141</v>
      </c>
      <c r="G6031" s="25" t="s">
        <v>293</v>
      </c>
      <c r="H6031" s="25"/>
      <c r="BA6031" s="73" t="s">
        <v>355</v>
      </c>
      <c r="BB6031" s="48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356</v>
      </c>
      <c r="E6032" s="1" t="s">
        <v>125</v>
      </c>
      <c r="F6032" s="26">
        <v>108</v>
      </c>
      <c r="G6032" s="25" t="s">
        <v>293</v>
      </c>
      <c r="H6032" s="25"/>
      <c r="BA6032" s="73" t="s">
        <v>355</v>
      </c>
      <c r="BB6032" s="48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356</v>
      </c>
      <c r="E6033" s="1" t="s">
        <v>126</v>
      </c>
      <c r="F6033" s="26">
        <v>80</v>
      </c>
      <c r="G6033" s="25" t="s">
        <v>293</v>
      </c>
      <c r="H6033" s="25"/>
      <c r="BA6033" s="73" t="s">
        <v>355</v>
      </c>
      <c r="BB6033" s="48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356</v>
      </c>
      <c r="E6034" s="1" t="s">
        <v>349</v>
      </c>
      <c r="F6034" s="26">
        <v>168</v>
      </c>
      <c r="G6034" s="25" t="s">
        <v>293</v>
      </c>
      <c r="H6034" s="25"/>
      <c r="BA6034" s="73" t="s">
        <v>355</v>
      </c>
      <c r="BB6034" s="48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356</v>
      </c>
      <c r="E6035" s="1" t="s">
        <v>350</v>
      </c>
      <c r="F6035" s="26">
        <v>57</v>
      </c>
      <c r="G6035" s="25" t="s">
        <v>293</v>
      </c>
      <c r="H6035" s="25"/>
      <c r="BA6035" s="73" t="s">
        <v>355</v>
      </c>
      <c r="BB6035" s="48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356</v>
      </c>
      <c r="E6036" s="1" t="s">
        <v>122</v>
      </c>
      <c r="F6036" s="26">
        <v>43</v>
      </c>
      <c r="G6036" s="25" t="s">
        <v>293</v>
      </c>
      <c r="H6036" s="25"/>
      <c r="BA6036" s="73" t="s">
        <v>355</v>
      </c>
      <c r="BB6036" s="48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356</v>
      </c>
      <c r="E6037" s="1" t="s">
        <v>124</v>
      </c>
      <c r="F6037" s="26">
        <v>28</v>
      </c>
      <c r="G6037" s="25" t="s">
        <v>293</v>
      </c>
      <c r="H6037" s="25"/>
      <c r="BA6037" s="73" t="s">
        <v>355</v>
      </c>
      <c r="BB6037" s="48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356</v>
      </c>
      <c r="E6038" s="1" t="s">
        <v>351</v>
      </c>
      <c r="F6038" s="26">
        <v>0.96</v>
      </c>
      <c r="G6038" s="25" t="s">
        <v>293</v>
      </c>
      <c r="H6038" s="25"/>
      <c r="BA6038" s="73" t="s">
        <v>355</v>
      </c>
      <c r="BB6038" s="48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356</v>
      </c>
      <c r="E6039" s="1" t="s">
        <v>353</v>
      </c>
      <c r="F6039" s="26">
        <v>32.299999999999997</v>
      </c>
      <c r="G6039" s="25" t="s">
        <v>293</v>
      </c>
      <c r="H6039" s="25"/>
      <c r="BA6039" s="73" t="s">
        <v>355</v>
      </c>
      <c r="BB6039" s="48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356</v>
      </c>
      <c r="E6040" s="1" t="s">
        <v>133</v>
      </c>
      <c r="F6040" s="26">
        <v>146</v>
      </c>
      <c r="G6040" s="25" t="s">
        <v>293</v>
      </c>
      <c r="H6040" s="25"/>
      <c r="BA6040" s="73" t="s">
        <v>355</v>
      </c>
      <c r="BB6040" s="48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356</v>
      </c>
      <c r="E6041" s="1" t="s">
        <v>135</v>
      </c>
      <c r="F6041" s="26">
        <v>3.8</v>
      </c>
      <c r="G6041" s="25" t="s">
        <v>293</v>
      </c>
      <c r="H6041" s="25"/>
      <c r="BA6041" s="73" t="s">
        <v>355</v>
      </c>
      <c r="BB6041" s="48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356</v>
      </c>
      <c r="E6042" s="1" t="s">
        <v>136</v>
      </c>
      <c r="F6042" s="26">
        <v>106</v>
      </c>
      <c r="G6042" s="25" t="s">
        <v>293</v>
      </c>
      <c r="H6042" s="25"/>
      <c r="BA6042" s="73" t="s">
        <v>355</v>
      </c>
      <c r="BB6042" s="48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356</v>
      </c>
      <c r="E6043" s="1" t="s">
        <v>339</v>
      </c>
      <c r="F6043" s="26">
        <v>4.6399999999999997</v>
      </c>
      <c r="G6043" s="25" t="s">
        <v>293</v>
      </c>
      <c r="H6043" s="25"/>
      <c r="BA6043" s="73" t="s">
        <v>355</v>
      </c>
      <c r="BB6043" s="48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356</v>
      </c>
      <c r="E6044" s="1" t="s">
        <v>118</v>
      </c>
      <c r="F6044" s="26">
        <v>4.5999999999999996</v>
      </c>
      <c r="G6044" s="25" t="s">
        <v>293</v>
      </c>
      <c r="H6044" s="25"/>
      <c r="BA6044" s="73" t="s">
        <v>355</v>
      </c>
      <c r="BB6044" s="48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356</v>
      </c>
      <c r="E6045" s="1" t="s">
        <v>130</v>
      </c>
      <c r="F6045" s="26">
        <v>3.83</v>
      </c>
      <c r="G6045" s="25" t="s">
        <v>293</v>
      </c>
      <c r="H6045" s="25"/>
      <c r="BA6045" s="73" t="s">
        <v>355</v>
      </c>
      <c r="BB6045" s="48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356</v>
      </c>
      <c r="E6046" s="1" t="s">
        <v>341</v>
      </c>
      <c r="F6046" s="26">
        <v>0.32</v>
      </c>
      <c r="G6046" s="25" t="s">
        <v>293</v>
      </c>
      <c r="H6046" s="25"/>
      <c r="BA6046" s="73" t="s">
        <v>355</v>
      </c>
      <c r="BB6046" s="48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356</v>
      </c>
      <c r="E6047" s="1" t="s">
        <v>127</v>
      </c>
      <c r="F6047" s="26">
        <v>1.21</v>
      </c>
      <c r="G6047" s="25" t="s">
        <v>293</v>
      </c>
      <c r="H6047" s="25"/>
      <c r="BA6047" s="73" t="s">
        <v>355</v>
      </c>
      <c r="BB6047" s="48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356</v>
      </c>
      <c r="E6048" s="1" t="s">
        <v>131</v>
      </c>
      <c r="F6048" s="26">
        <v>8.6</v>
      </c>
      <c r="G6048" s="25" t="s">
        <v>293</v>
      </c>
      <c r="H6048" s="25"/>
      <c r="BA6048" s="73" t="s">
        <v>355</v>
      </c>
      <c r="BB6048" s="48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356</v>
      </c>
      <c r="E6049" s="1" t="s">
        <v>342</v>
      </c>
      <c r="F6049" s="26">
        <v>334</v>
      </c>
      <c r="G6049" s="25" t="s">
        <v>293</v>
      </c>
      <c r="H6049" s="25"/>
      <c r="BA6049" s="73" t="s">
        <v>355</v>
      </c>
      <c r="BB6049" s="48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356</v>
      </c>
      <c r="E6050" s="1" t="s">
        <v>119</v>
      </c>
      <c r="F6050" s="26">
        <v>249</v>
      </c>
      <c r="G6050" s="25" t="s">
        <v>293</v>
      </c>
      <c r="H6050" s="25"/>
      <c r="BA6050" s="73" t="s">
        <v>355</v>
      </c>
      <c r="BB6050" s="48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356</v>
      </c>
      <c r="E6051" s="1" t="s">
        <v>120</v>
      </c>
      <c r="F6051" s="26">
        <v>77</v>
      </c>
      <c r="G6051" s="25" t="s">
        <v>293</v>
      </c>
      <c r="H6051" s="25"/>
      <c r="BA6051" s="73" t="s">
        <v>355</v>
      </c>
      <c r="BB6051" s="48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356</v>
      </c>
      <c r="E6052" s="1" t="s">
        <v>117</v>
      </c>
      <c r="F6052" s="26">
        <v>2.67</v>
      </c>
      <c r="G6052" s="25" t="s">
        <v>293</v>
      </c>
      <c r="H6052" s="25"/>
      <c r="BA6052" s="73" t="s">
        <v>355</v>
      </c>
      <c r="BB6052" s="48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356</v>
      </c>
      <c r="E6053" s="1" t="s">
        <v>344</v>
      </c>
      <c r="F6053" s="26">
        <v>231</v>
      </c>
      <c r="G6053" s="25" t="s">
        <v>293</v>
      </c>
      <c r="H6053" s="25"/>
      <c r="BA6053" s="73" t="s">
        <v>355</v>
      </c>
      <c r="BB6053" s="48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356</v>
      </c>
      <c r="E6054" s="1" t="s">
        <v>132</v>
      </c>
      <c r="F6054" s="26">
        <v>3.36</v>
      </c>
      <c r="G6054" s="25" t="s">
        <v>293</v>
      </c>
      <c r="H6054" s="25"/>
      <c r="BA6054" s="73" t="s">
        <v>355</v>
      </c>
      <c r="BB6054" s="48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356</v>
      </c>
      <c r="E6055" s="1" t="s">
        <v>111</v>
      </c>
      <c r="F6055" s="26">
        <v>85</v>
      </c>
      <c r="G6055" s="25" t="s">
        <v>293</v>
      </c>
      <c r="H6055" s="25"/>
      <c r="BA6055" s="73" t="s">
        <v>355</v>
      </c>
      <c r="BB6055" s="48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356</v>
      </c>
      <c r="E6056" s="1" t="s">
        <v>345</v>
      </c>
      <c r="F6056" s="26">
        <v>5.12</v>
      </c>
      <c r="G6056" s="25" t="s">
        <v>293</v>
      </c>
      <c r="H6056" s="25"/>
      <c r="BA6056" s="73" t="s">
        <v>355</v>
      </c>
      <c r="BB6056" s="48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356</v>
      </c>
      <c r="E6057" s="1" t="s">
        <v>347</v>
      </c>
      <c r="F6057" s="26">
        <v>2.19</v>
      </c>
      <c r="G6057" s="25" t="s">
        <v>293</v>
      </c>
      <c r="H6057" s="25"/>
      <c r="BA6057" s="73" t="s">
        <v>355</v>
      </c>
      <c r="BB6057" s="48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356</v>
      </c>
      <c r="E6058" s="1" t="s">
        <v>128</v>
      </c>
      <c r="F6058" s="26">
        <v>7</v>
      </c>
      <c r="G6058" s="25" t="s">
        <v>293</v>
      </c>
      <c r="H6058" s="25"/>
      <c r="BA6058" s="73" t="s">
        <v>355</v>
      </c>
      <c r="BB6058" s="48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356</v>
      </c>
      <c r="E6059" s="1" t="s">
        <v>121</v>
      </c>
      <c r="F6059" s="26">
        <v>158</v>
      </c>
      <c r="G6059" s="25" t="s">
        <v>293</v>
      </c>
      <c r="H6059" s="25"/>
      <c r="BA6059" s="73" t="s">
        <v>355</v>
      </c>
      <c r="BB6059" s="48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356</v>
      </c>
      <c r="E6060" s="1" t="s">
        <v>115</v>
      </c>
      <c r="F6060" s="26">
        <v>34</v>
      </c>
      <c r="G6060" s="25" t="s">
        <v>293</v>
      </c>
      <c r="H6060" s="25"/>
      <c r="BA6060" s="73" t="s">
        <v>355</v>
      </c>
      <c r="BB6060" s="48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356</v>
      </c>
      <c r="E6061" s="1" t="s">
        <v>137</v>
      </c>
      <c r="F6061" s="26">
        <v>76</v>
      </c>
      <c r="G6061" s="25" t="s">
        <v>293</v>
      </c>
      <c r="H6061" s="25"/>
      <c r="BA6061" s="73" t="s">
        <v>355</v>
      </c>
      <c r="BB6061" s="48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356</v>
      </c>
      <c r="E6062" s="1" t="s">
        <v>348</v>
      </c>
      <c r="F6062" s="26">
        <v>141</v>
      </c>
      <c r="G6062" s="25" t="s">
        <v>293</v>
      </c>
      <c r="H6062" s="25"/>
      <c r="BA6062" s="73" t="s">
        <v>355</v>
      </c>
      <c r="BB6062" s="48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356</v>
      </c>
      <c r="E6063" s="1" t="s">
        <v>125</v>
      </c>
      <c r="F6063" s="26">
        <v>112</v>
      </c>
      <c r="G6063" s="25" t="s">
        <v>293</v>
      </c>
      <c r="H6063" s="25"/>
      <c r="BA6063" s="73" t="s">
        <v>355</v>
      </c>
      <c r="BB6063" s="48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356</v>
      </c>
      <c r="E6064" s="1" t="s">
        <v>126</v>
      </c>
      <c r="F6064" s="26">
        <v>81</v>
      </c>
      <c r="G6064" s="25" t="s">
        <v>293</v>
      </c>
      <c r="H6064" s="25"/>
      <c r="BA6064" s="73" t="s">
        <v>355</v>
      </c>
      <c r="BB6064" s="48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356</v>
      </c>
      <c r="E6065" s="1" t="s">
        <v>349</v>
      </c>
      <c r="F6065" s="26">
        <v>168</v>
      </c>
      <c r="G6065" s="25" t="s">
        <v>293</v>
      </c>
      <c r="H6065" s="25"/>
      <c r="BA6065" s="73" t="s">
        <v>355</v>
      </c>
      <c r="BB6065" s="48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356</v>
      </c>
      <c r="E6066" s="1" t="s">
        <v>350</v>
      </c>
      <c r="F6066" s="26">
        <v>57</v>
      </c>
      <c r="G6066" s="25" t="s">
        <v>293</v>
      </c>
      <c r="H6066" s="25"/>
      <c r="BA6066" s="73" t="s">
        <v>355</v>
      </c>
      <c r="BB6066" s="48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356</v>
      </c>
      <c r="E6067" s="1" t="s">
        <v>122</v>
      </c>
      <c r="F6067" s="26">
        <v>47</v>
      </c>
      <c r="G6067" s="25" t="s">
        <v>293</v>
      </c>
      <c r="H6067" s="25"/>
      <c r="BA6067" s="73" t="s">
        <v>355</v>
      </c>
      <c r="BB6067" s="48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356</v>
      </c>
      <c r="E6068" s="1" t="s">
        <v>124</v>
      </c>
      <c r="F6068" s="26">
        <v>29</v>
      </c>
      <c r="G6068" s="25" t="s">
        <v>293</v>
      </c>
      <c r="H6068" s="25"/>
      <c r="BA6068" s="73" t="s">
        <v>355</v>
      </c>
      <c r="BB6068" s="48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356</v>
      </c>
      <c r="E6069" s="1" t="s">
        <v>351</v>
      </c>
      <c r="F6069" s="26">
        <v>0.95</v>
      </c>
      <c r="G6069" s="25" t="s">
        <v>293</v>
      </c>
      <c r="H6069" s="25"/>
      <c r="BA6069" s="73" t="s">
        <v>355</v>
      </c>
      <c r="BB6069" s="48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356</v>
      </c>
      <c r="E6070" s="1" t="s">
        <v>353</v>
      </c>
      <c r="F6070" s="26">
        <v>32.6</v>
      </c>
      <c r="G6070" s="25" t="s">
        <v>293</v>
      </c>
      <c r="H6070" s="25"/>
      <c r="BA6070" s="73" t="s">
        <v>355</v>
      </c>
      <c r="BB6070" s="48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356</v>
      </c>
      <c r="E6071" s="1" t="s">
        <v>133</v>
      </c>
      <c r="F6071" s="26">
        <v>148</v>
      </c>
      <c r="G6071" s="25" t="s">
        <v>293</v>
      </c>
      <c r="H6071" s="25"/>
      <c r="BA6071" s="73" t="s">
        <v>355</v>
      </c>
      <c r="BB6071" s="48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356</v>
      </c>
      <c r="E6072" s="1" t="s">
        <v>135</v>
      </c>
      <c r="F6072" s="26">
        <v>3.8</v>
      </c>
      <c r="G6072" s="25" t="s">
        <v>293</v>
      </c>
      <c r="H6072" s="25"/>
      <c r="BA6072" s="73" t="s">
        <v>355</v>
      </c>
      <c r="BB6072" s="48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356</v>
      </c>
      <c r="E6073" s="1" t="s">
        <v>136</v>
      </c>
      <c r="F6073" s="26">
        <v>107</v>
      </c>
      <c r="G6073" s="25" t="s">
        <v>293</v>
      </c>
      <c r="H6073" s="25"/>
      <c r="BA6073" s="73" t="s">
        <v>355</v>
      </c>
      <c r="BB6073" s="48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356</v>
      </c>
      <c r="E6074" s="1" t="s">
        <v>339</v>
      </c>
      <c r="F6074" s="26">
        <v>4.68</v>
      </c>
      <c r="G6074" s="25" t="s">
        <v>293</v>
      </c>
      <c r="H6074" s="25"/>
      <c r="BA6074" s="73" t="s">
        <v>355</v>
      </c>
      <c r="BB6074" s="48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356</v>
      </c>
      <c r="E6075" s="1" t="s">
        <v>118</v>
      </c>
      <c r="F6075" s="26">
        <v>4.5999999999999996</v>
      </c>
      <c r="G6075" s="25" t="s">
        <v>293</v>
      </c>
      <c r="H6075" s="25"/>
      <c r="BA6075" s="73" t="s">
        <v>355</v>
      </c>
      <c r="BB6075" s="48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356</v>
      </c>
      <c r="E6076" s="1" t="s">
        <v>130</v>
      </c>
      <c r="F6076" s="26">
        <v>3.87</v>
      </c>
      <c r="G6076" s="25" t="s">
        <v>293</v>
      </c>
      <c r="H6076" s="25"/>
      <c r="BA6076" s="73" t="s">
        <v>355</v>
      </c>
      <c r="BB6076" s="48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356</v>
      </c>
      <c r="E6077" s="1" t="s">
        <v>341</v>
      </c>
      <c r="F6077" s="26">
        <v>0.34</v>
      </c>
      <c r="G6077" s="25" t="s">
        <v>293</v>
      </c>
      <c r="H6077" s="25"/>
      <c r="BA6077" s="73" t="s">
        <v>355</v>
      </c>
      <c r="BB6077" s="48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356</v>
      </c>
      <c r="E6078" s="1" t="s">
        <v>127</v>
      </c>
      <c r="F6078" s="26">
        <v>1.24</v>
      </c>
      <c r="G6078" s="25" t="s">
        <v>293</v>
      </c>
      <c r="H6078" s="25"/>
      <c r="BA6078" s="73" t="s">
        <v>355</v>
      </c>
      <c r="BB6078" s="48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356</v>
      </c>
      <c r="E6079" s="1" t="s">
        <v>131</v>
      </c>
      <c r="F6079" s="26">
        <v>8.9</v>
      </c>
      <c r="G6079" s="25" t="s">
        <v>293</v>
      </c>
      <c r="H6079" s="25"/>
      <c r="BA6079" s="73" t="s">
        <v>355</v>
      </c>
      <c r="BB6079" s="48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356</v>
      </c>
      <c r="E6080" s="1" t="s">
        <v>342</v>
      </c>
      <c r="F6080" s="26">
        <v>347</v>
      </c>
      <c r="G6080" s="25" t="s">
        <v>293</v>
      </c>
      <c r="H6080" s="25"/>
      <c r="BA6080" s="73" t="s">
        <v>355</v>
      </c>
      <c r="BB6080" s="48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356</v>
      </c>
      <c r="E6081" s="1" t="s">
        <v>119</v>
      </c>
      <c r="F6081" s="26">
        <v>249</v>
      </c>
      <c r="G6081" s="25" t="s">
        <v>293</v>
      </c>
      <c r="H6081" s="25"/>
      <c r="BA6081" s="73" t="s">
        <v>355</v>
      </c>
      <c r="BB6081" s="48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356</v>
      </c>
      <c r="E6082" s="1" t="s">
        <v>120</v>
      </c>
      <c r="F6082" s="26">
        <v>78</v>
      </c>
      <c r="G6082" s="25" t="s">
        <v>293</v>
      </c>
      <c r="H6082" s="25"/>
      <c r="BA6082" s="73" t="s">
        <v>355</v>
      </c>
      <c r="BB6082" s="48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356</v>
      </c>
      <c r="E6083" s="1" t="s">
        <v>117</v>
      </c>
      <c r="F6083" s="26">
        <v>2.73</v>
      </c>
      <c r="G6083" s="25" t="s">
        <v>293</v>
      </c>
      <c r="H6083" s="25"/>
      <c r="BA6083" s="73" t="s">
        <v>355</v>
      </c>
      <c r="BB6083" s="48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356</v>
      </c>
      <c r="E6084" s="1" t="s">
        <v>344</v>
      </c>
      <c r="F6084" s="26">
        <v>233</v>
      </c>
      <c r="G6084" s="25" t="s">
        <v>293</v>
      </c>
      <c r="H6084" s="25"/>
      <c r="BA6084" s="73" t="s">
        <v>355</v>
      </c>
      <c r="BB6084" s="48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356</v>
      </c>
      <c r="E6085" s="1" t="s">
        <v>132</v>
      </c>
      <c r="F6085" s="26">
        <v>3.36</v>
      </c>
      <c r="G6085" s="25" t="s">
        <v>293</v>
      </c>
      <c r="H6085" s="25"/>
      <c r="BA6085" s="73" t="s">
        <v>355</v>
      </c>
      <c r="BB6085" s="48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356</v>
      </c>
      <c r="E6086" s="1" t="s">
        <v>111</v>
      </c>
      <c r="F6086" s="26">
        <v>86</v>
      </c>
      <c r="G6086" s="25" t="s">
        <v>293</v>
      </c>
      <c r="H6086" s="25"/>
      <c r="BA6086" s="73" t="s">
        <v>355</v>
      </c>
      <c r="BB6086" s="48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356</v>
      </c>
      <c r="E6087" s="1" t="s">
        <v>345</v>
      </c>
      <c r="F6087" s="26">
        <v>5.15</v>
      </c>
      <c r="G6087" s="25" t="s">
        <v>293</v>
      </c>
      <c r="H6087" s="25"/>
      <c r="BA6087" s="73" t="s">
        <v>355</v>
      </c>
      <c r="BB6087" s="48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356</v>
      </c>
      <c r="E6088" s="1" t="s">
        <v>347</v>
      </c>
      <c r="F6088" s="26">
        <v>2.23</v>
      </c>
      <c r="G6088" s="25" t="s">
        <v>293</v>
      </c>
      <c r="H6088" s="25"/>
      <c r="BA6088" s="73" t="s">
        <v>355</v>
      </c>
      <c r="BB6088" s="48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356</v>
      </c>
      <c r="E6089" s="1" t="s">
        <v>128</v>
      </c>
      <c r="F6089" s="26">
        <v>7.2</v>
      </c>
      <c r="G6089" s="25" t="s">
        <v>293</v>
      </c>
      <c r="H6089" s="25"/>
      <c r="BA6089" s="73" t="s">
        <v>355</v>
      </c>
      <c r="BB6089" s="48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356</v>
      </c>
      <c r="E6090" s="1" t="s">
        <v>121</v>
      </c>
      <c r="F6090" s="26">
        <v>162</v>
      </c>
      <c r="G6090" s="25" t="s">
        <v>293</v>
      </c>
      <c r="H6090" s="25"/>
      <c r="BA6090" s="73" t="s">
        <v>355</v>
      </c>
      <c r="BB6090" s="48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356</v>
      </c>
      <c r="E6091" s="1" t="s">
        <v>115</v>
      </c>
      <c r="F6091" s="26">
        <v>35</v>
      </c>
      <c r="G6091" s="25" t="s">
        <v>293</v>
      </c>
      <c r="H6091" s="25"/>
      <c r="BA6091" s="73" t="s">
        <v>355</v>
      </c>
      <c r="BB6091" s="48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356</v>
      </c>
      <c r="E6092" s="1" t="s">
        <v>137</v>
      </c>
      <c r="F6092" s="26">
        <v>75</v>
      </c>
      <c r="G6092" s="25" t="s">
        <v>293</v>
      </c>
      <c r="H6092" s="25"/>
      <c r="BA6092" s="73" t="s">
        <v>355</v>
      </c>
      <c r="BB6092" s="48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356</v>
      </c>
      <c r="E6093" s="1" t="s">
        <v>348</v>
      </c>
      <c r="F6093" s="26">
        <v>145</v>
      </c>
      <c r="G6093" s="25" t="s">
        <v>293</v>
      </c>
      <c r="H6093" s="25"/>
      <c r="BA6093" s="73" t="s">
        <v>355</v>
      </c>
      <c r="BB6093" s="48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356</v>
      </c>
      <c r="E6094" s="1" t="s">
        <v>125</v>
      </c>
      <c r="F6094" s="26">
        <v>117</v>
      </c>
      <c r="G6094" s="25" t="s">
        <v>293</v>
      </c>
      <c r="H6094" s="25"/>
      <c r="BA6094" s="73" t="s">
        <v>355</v>
      </c>
      <c r="BB6094" s="48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356</v>
      </c>
      <c r="E6095" s="1" t="s">
        <v>126</v>
      </c>
      <c r="F6095" s="26">
        <v>81</v>
      </c>
      <c r="G6095" s="25" t="s">
        <v>293</v>
      </c>
      <c r="H6095" s="25"/>
      <c r="BA6095" s="73" t="s">
        <v>355</v>
      </c>
      <c r="BB6095" s="48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356</v>
      </c>
      <c r="E6096" s="1" t="s">
        <v>349</v>
      </c>
      <c r="F6096" s="26">
        <v>174</v>
      </c>
      <c r="G6096" s="25" t="s">
        <v>293</v>
      </c>
      <c r="H6096" s="25"/>
      <c r="BA6096" s="73" t="s">
        <v>355</v>
      </c>
      <c r="BB6096" s="48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356</v>
      </c>
      <c r="E6097" s="1" t="s">
        <v>350</v>
      </c>
      <c r="F6097" s="26">
        <v>59</v>
      </c>
      <c r="G6097" s="25" t="s">
        <v>293</v>
      </c>
      <c r="H6097" s="25"/>
      <c r="BA6097" s="73" t="s">
        <v>355</v>
      </c>
      <c r="BB6097" s="48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356</v>
      </c>
      <c r="E6098" s="1" t="s">
        <v>122</v>
      </c>
      <c r="F6098" s="26">
        <v>48</v>
      </c>
      <c r="G6098" s="25" t="s">
        <v>293</v>
      </c>
      <c r="H6098" s="25"/>
      <c r="BA6098" s="73" t="s">
        <v>355</v>
      </c>
      <c r="BB6098" s="48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356</v>
      </c>
      <c r="E6099" s="1" t="s">
        <v>124</v>
      </c>
      <c r="F6099" s="26">
        <v>29</v>
      </c>
      <c r="G6099" s="25" t="s">
        <v>293</v>
      </c>
      <c r="H6099" s="25"/>
      <c r="BA6099" s="73" t="s">
        <v>355</v>
      </c>
      <c r="BB6099" s="48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356</v>
      </c>
      <c r="E6100" s="1" t="s">
        <v>351</v>
      </c>
      <c r="F6100" s="26">
        <v>0.92</v>
      </c>
      <c r="G6100" s="25" t="s">
        <v>293</v>
      </c>
      <c r="H6100" s="25"/>
      <c r="BA6100" s="73" t="s">
        <v>355</v>
      </c>
      <c r="BB6100" s="48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356</v>
      </c>
      <c r="E6101" s="1" t="s">
        <v>353</v>
      </c>
      <c r="F6101" s="26">
        <v>32.1</v>
      </c>
      <c r="G6101" s="25" t="s">
        <v>293</v>
      </c>
      <c r="H6101" s="25"/>
      <c r="BA6101" s="73" t="s">
        <v>355</v>
      </c>
      <c r="BB6101" s="48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356</v>
      </c>
      <c r="E6102" s="1" t="s">
        <v>133</v>
      </c>
      <c r="F6102" s="26">
        <v>150</v>
      </c>
      <c r="G6102" s="25" t="s">
        <v>293</v>
      </c>
      <c r="H6102" s="25"/>
      <c r="BA6102" s="73" t="s">
        <v>355</v>
      </c>
      <c r="BB6102" s="48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356</v>
      </c>
      <c r="E6103" s="1" t="s">
        <v>135</v>
      </c>
      <c r="F6103" s="26">
        <v>3.9</v>
      </c>
      <c r="G6103" s="25" t="s">
        <v>293</v>
      </c>
      <c r="H6103" s="25"/>
      <c r="BA6103" s="73" t="s">
        <v>355</v>
      </c>
      <c r="BB6103" s="48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356</v>
      </c>
      <c r="E6104" s="1" t="s">
        <v>136</v>
      </c>
      <c r="F6104" s="26">
        <v>108</v>
      </c>
      <c r="G6104" s="25" t="s">
        <v>293</v>
      </c>
      <c r="H6104" s="25"/>
      <c r="BA6104" s="73" t="s">
        <v>355</v>
      </c>
      <c r="BB6104" s="48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356</v>
      </c>
      <c r="E6105" s="1" t="s">
        <v>339</v>
      </c>
      <c r="F6105" s="26">
        <v>4.47</v>
      </c>
      <c r="G6105" s="25" t="s">
        <v>293</v>
      </c>
      <c r="H6105" s="25"/>
      <c r="BA6105" s="73" t="s">
        <v>355</v>
      </c>
      <c r="BB6105" s="48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356</v>
      </c>
      <c r="E6106" s="1" t="s">
        <v>118</v>
      </c>
      <c r="F6106" s="26">
        <v>4.5999999999999996</v>
      </c>
      <c r="G6106" s="25" t="s">
        <v>293</v>
      </c>
      <c r="H6106" s="25"/>
      <c r="BA6106" s="73" t="s">
        <v>355</v>
      </c>
      <c r="BB6106" s="48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356</v>
      </c>
      <c r="E6107" s="1" t="s">
        <v>130</v>
      </c>
      <c r="F6107" s="26">
        <v>3.76</v>
      </c>
      <c r="G6107" s="25" t="s">
        <v>293</v>
      </c>
      <c r="H6107" s="25"/>
      <c r="BA6107" s="73" t="s">
        <v>355</v>
      </c>
      <c r="BB6107" s="48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356</v>
      </c>
      <c r="E6108" s="1" t="s">
        <v>341</v>
      </c>
      <c r="F6108" s="26">
        <v>0.32100000000000001</v>
      </c>
      <c r="G6108" s="25" t="s">
        <v>293</v>
      </c>
      <c r="H6108" s="25"/>
      <c r="BA6108" s="73" t="s">
        <v>355</v>
      </c>
      <c r="BB6108" s="48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356</v>
      </c>
      <c r="E6109" s="1" t="s">
        <v>127</v>
      </c>
      <c r="F6109" s="26">
        <v>1.21</v>
      </c>
      <c r="G6109" s="25" t="s">
        <v>293</v>
      </c>
      <c r="H6109" s="25"/>
      <c r="BA6109" s="73" t="s">
        <v>355</v>
      </c>
      <c r="BB6109" s="48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356</v>
      </c>
      <c r="E6110" s="1" t="s">
        <v>131</v>
      </c>
      <c r="F6110" s="26">
        <v>8.5</v>
      </c>
      <c r="G6110" s="25" t="s">
        <v>293</v>
      </c>
      <c r="H6110" s="25"/>
      <c r="BA6110" s="73" t="s">
        <v>355</v>
      </c>
      <c r="BB6110" s="48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356</v>
      </c>
      <c r="E6111" s="1" t="s">
        <v>342</v>
      </c>
      <c r="F6111" s="26">
        <v>324</v>
      </c>
      <c r="G6111" s="25" t="s">
        <v>293</v>
      </c>
      <c r="H6111" s="25"/>
      <c r="BA6111" s="73" t="s">
        <v>355</v>
      </c>
      <c r="BB6111" s="48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356</v>
      </c>
      <c r="E6112" s="1" t="s">
        <v>119</v>
      </c>
      <c r="F6112" s="26">
        <v>245</v>
      </c>
      <c r="G6112" s="25" t="s">
        <v>293</v>
      </c>
      <c r="H6112" s="25"/>
      <c r="BA6112" s="73" t="s">
        <v>355</v>
      </c>
      <c r="BB6112" s="48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356</v>
      </c>
      <c r="E6113" s="1" t="s">
        <v>120</v>
      </c>
      <c r="F6113" s="26">
        <v>79</v>
      </c>
      <c r="G6113" s="25" t="s">
        <v>293</v>
      </c>
      <c r="H6113" s="25"/>
      <c r="BA6113" s="73" t="s">
        <v>355</v>
      </c>
      <c r="BB6113" s="48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356</v>
      </c>
      <c r="E6114" s="1" t="s">
        <v>117</v>
      </c>
      <c r="F6114" s="26">
        <v>2.62</v>
      </c>
      <c r="G6114" s="25" t="s">
        <v>293</v>
      </c>
      <c r="H6114" s="25"/>
      <c r="BA6114" s="73" t="s">
        <v>355</v>
      </c>
      <c r="BB6114" s="48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356</v>
      </c>
      <c r="E6115" s="1" t="s">
        <v>344</v>
      </c>
      <c r="F6115" s="26">
        <v>227</v>
      </c>
      <c r="G6115" s="25" t="s">
        <v>293</v>
      </c>
      <c r="H6115" s="25"/>
      <c r="BA6115" s="73" t="s">
        <v>355</v>
      </c>
      <c r="BB6115" s="48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356</v>
      </c>
      <c r="E6116" s="1" t="s">
        <v>132</v>
      </c>
      <c r="F6116" s="26">
        <v>3.38</v>
      </c>
      <c r="G6116" s="25" t="s">
        <v>293</v>
      </c>
      <c r="H6116" s="25"/>
      <c r="BA6116" s="73" t="s">
        <v>355</v>
      </c>
      <c r="BB6116" s="48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356</v>
      </c>
      <c r="E6117" s="1" t="s">
        <v>111</v>
      </c>
      <c r="F6117" s="26">
        <v>84</v>
      </c>
      <c r="G6117" s="25" t="s">
        <v>293</v>
      </c>
      <c r="H6117" s="25"/>
      <c r="BA6117" s="73" t="s">
        <v>355</v>
      </c>
      <c r="BB6117" s="48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356</v>
      </c>
      <c r="E6118" s="1" t="s">
        <v>345</v>
      </c>
      <c r="F6118" s="26">
        <v>5.3</v>
      </c>
      <c r="G6118" s="25" t="s">
        <v>293</v>
      </c>
      <c r="H6118" s="25"/>
      <c r="BA6118" s="73" t="s">
        <v>355</v>
      </c>
      <c r="BB6118" s="48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356</v>
      </c>
      <c r="E6119" s="1" t="s">
        <v>347</v>
      </c>
      <c r="F6119" s="26">
        <v>2.17</v>
      </c>
      <c r="G6119" s="25" t="s">
        <v>293</v>
      </c>
      <c r="H6119" s="25"/>
      <c r="BA6119" s="73" t="s">
        <v>355</v>
      </c>
      <c r="BB6119" s="48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356</v>
      </c>
      <c r="E6120" s="1" t="s">
        <v>128</v>
      </c>
      <c r="F6120" s="26">
        <v>7</v>
      </c>
      <c r="G6120" s="25" t="s">
        <v>293</v>
      </c>
      <c r="H6120" s="25"/>
      <c r="BA6120" s="73" t="s">
        <v>355</v>
      </c>
      <c r="BB6120" s="48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356</v>
      </c>
      <c r="E6121" s="1" t="s">
        <v>121</v>
      </c>
      <c r="F6121" s="26">
        <v>156</v>
      </c>
      <c r="G6121" s="25" t="s">
        <v>293</v>
      </c>
      <c r="H6121" s="25"/>
      <c r="BA6121" s="73" t="s">
        <v>355</v>
      </c>
      <c r="BB6121" s="48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356</v>
      </c>
      <c r="E6122" s="1" t="s">
        <v>115</v>
      </c>
      <c r="F6122" s="26">
        <v>34</v>
      </c>
      <c r="G6122" s="25" t="s">
        <v>293</v>
      </c>
      <c r="H6122" s="25"/>
      <c r="BA6122" s="73" t="s">
        <v>355</v>
      </c>
      <c r="BB6122" s="48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356</v>
      </c>
      <c r="E6123" s="1" t="s">
        <v>137</v>
      </c>
      <c r="F6123" s="26">
        <v>74</v>
      </c>
      <c r="G6123" s="25" t="s">
        <v>293</v>
      </c>
      <c r="H6123" s="25"/>
      <c r="BA6123" s="73" t="s">
        <v>355</v>
      </c>
      <c r="BB6123" s="48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356</v>
      </c>
      <c r="E6124" s="1" t="s">
        <v>348</v>
      </c>
      <c r="F6124" s="26">
        <v>138</v>
      </c>
      <c r="G6124" s="25" t="s">
        <v>293</v>
      </c>
      <c r="H6124" s="25"/>
      <c r="BA6124" s="73" t="s">
        <v>355</v>
      </c>
      <c r="BB6124" s="48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356</v>
      </c>
      <c r="E6125" s="1" t="s">
        <v>125</v>
      </c>
      <c r="F6125" s="26">
        <v>109</v>
      </c>
      <c r="G6125" s="25" t="s">
        <v>293</v>
      </c>
      <c r="H6125" s="25"/>
      <c r="BA6125" s="73" t="s">
        <v>355</v>
      </c>
      <c r="BB6125" s="48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356</v>
      </c>
      <c r="E6126" s="1" t="s">
        <v>126</v>
      </c>
      <c r="F6126" s="26">
        <v>78</v>
      </c>
      <c r="G6126" s="25" t="s">
        <v>293</v>
      </c>
      <c r="H6126" s="25"/>
      <c r="BA6126" s="73" t="s">
        <v>355</v>
      </c>
      <c r="BB6126" s="48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356</v>
      </c>
      <c r="E6127" s="1" t="s">
        <v>349</v>
      </c>
      <c r="F6127" s="26">
        <v>163</v>
      </c>
      <c r="G6127" s="25" t="s">
        <v>293</v>
      </c>
      <c r="H6127" s="25"/>
      <c r="BA6127" s="73" t="s">
        <v>355</v>
      </c>
      <c r="BB6127" s="48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356</v>
      </c>
      <c r="E6128" s="1" t="s">
        <v>350</v>
      </c>
      <c r="F6128" s="26">
        <v>57</v>
      </c>
      <c r="G6128" s="25" t="s">
        <v>293</v>
      </c>
      <c r="H6128" s="25"/>
      <c r="BA6128" s="73" t="s">
        <v>355</v>
      </c>
      <c r="BB6128" s="48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356</v>
      </c>
      <c r="E6129" s="1" t="s">
        <v>122</v>
      </c>
      <c r="F6129" s="26">
        <v>45</v>
      </c>
      <c r="G6129" s="25" t="s">
        <v>293</v>
      </c>
      <c r="H6129" s="25"/>
      <c r="BA6129" s="73" t="s">
        <v>355</v>
      </c>
      <c r="BB6129" s="48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356</v>
      </c>
      <c r="E6130" s="1" t="s">
        <v>124</v>
      </c>
      <c r="F6130" s="26">
        <v>29</v>
      </c>
      <c r="G6130" s="25" t="s">
        <v>293</v>
      </c>
      <c r="H6130" s="25"/>
      <c r="BA6130" s="73" t="s">
        <v>355</v>
      </c>
      <c r="BB6130" s="48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356</v>
      </c>
      <c r="E6131" s="1" t="s">
        <v>351</v>
      </c>
      <c r="F6131" s="26">
        <v>0.98</v>
      </c>
      <c r="G6131" s="25" t="s">
        <v>293</v>
      </c>
      <c r="H6131" s="25"/>
      <c r="BA6131" s="73" t="s">
        <v>355</v>
      </c>
      <c r="BB6131" s="48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356</v>
      </c>
      <c r="E6132" s="1" t="s">
        <v>353</v>
      </c>
      <c r="F6132" s="26">
        <v>31.9</v>
      </c>
      <c r="G6132" s="25" t="s">
        <v>293</v>
      </c>
      <c r="H6132" s="25"/>
      <c r="BA6132" s="73" t="s">
        <v>355</v>
      </c>
      <c r="BB6132" s="48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356</v>
      </c>
      <c r="E6133" s="1" t="s">
        <v>133</v>
      </c>
      <c r="F6133" s="26">
        <v>144</v>
      </c>
      <c r="G6133" s="25" t="s">
        <v>293</v>
      </c>
      <c r="H6133" s="25"/>
      <c r="BA6133" s="73" t="s">
        <v>355</v>
      </c>
      <c r="BB6133" s="48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356</v>
      </c>
      <c r="E6134" s="1" t="s">
        <v>135</v>
      </c>
      <c r="F6134" s="26">
        <v>3.7</v>
      </c>
      <c r="G6134" s="25" t="s">
        <v>293</v>
      </c>
      <c r="H6134" s="25"/>
      <c r="BA6134" s="73" t="s">
        <v>355</v>
      </c>
      <c r="BB6134" s="48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356</v>
      </c>
      <c r="E6135" s="1" t="s">
        <v>136</v>
      </c>
      <c r="F6135" s="26">
        <v>103</v>
      </c>
      <c r="G6135" s="25" t="s">
        <v>293</v>
      </c>
      <c r="H6135" s="25"/>
      <c r="BA6135" s="73" t="s">
        <v>355</v>
      </c>
      <c r="BB6135" s="48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356</v>
      </c>
      <c r="E6136" s="1" t="s">
        <v>339</v>
      </c>
      <c r="F6136" s="26">
        <v>4.6900000000000004</v>
      </c>
      <c r="G6136" s="25" t="s">
        <v>293</v>
      </c>
      <c r="H6136" s="25"/>
      <c r="BA6136" s="73" t="s">
        <v>355</v>
      </c>
      <c r="BB6136" s="48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356</v>
      </c>
      <c r="E6137" s="1" t="s">
        <v>118</v>
      </c>
      <c r="F6137" s="26">
        <v>4.4000000000000004</v>
      </c>
      <c r="G6137" s="25" t="s">
        <v>293</v>
      </c>
      <c r="H6137" s="25"/>
      <c r="BA6137" s="73" t="s">
        <v>355</v>
      </c>
      <c r="BB6137" s="48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356</v>
      </c>
      <c r="E6138" s="1" t="s">
        <v>130</v>
      </c>
      <c r="F6138" s="26">
        <v>3.76</v>
      </c>
      <c r="G6138" s="25" t="s">
        <v>293</v>
      </c>
      <c r="H6138" s="25"/>
      <c r="BA6138" s="73" t="s">
        <v>355</v>
      </c>
      <c r="BB6138" s="48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356</v>
      </c>
      <c r="E6139" s="1" t="s">
        <v>341</v>
      </c>
      <c r="F6139" s="26">
        <v>0.31</v>
      </c>
      <c r="G6139" s="25" t="s">
        <v>293</v>
      </c>
      <c r="H6139" s="25"/>
      <c r="BA6139" s="73" t="s">
        <v>355</v>
      </c>
      <c r="BB6139" s="48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356</v>
      </c>
      <c r="E6140" s="1" t="s">
        <v>127</v>
      </c>
      <c r="F6140" s="26">
        <v>1.25</v>
      </c>
      <c r="G6140" s="25" t="s">
        <v>293</v>
      </c>
      <c r="H6140" s="25"/>
      <c r="BA6140" s="73" t="s">
        <v>355</v>
      </c>
      <c r="BB6140" s="48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356</v>
      </c>
      <c r="E6141" s="1" t="s">
        <v>131</v>
      </c>
      <c r="F6141" s="26">
        <v>8.6999999999999993</v>
      </c>
      <c r="G6141" s="25" t="s">
        <v>293</v>
      </c>
      <c r="H6141" s="25"/>
      <c r="BA6141" s="73" t="s">
        <v>355</v>
      </c>
      <c r="BB6141" s="48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356</v>
      </c>
      <c r="E6142" s="1" t="s">
        <v>342</v>
      </c>
      <c r="F6142" s="26">
        <v>337</v>
      </c>
      <c r="G6142" s="25" t="s">
        <v>293</v>
      </c>
      <c r="H6142" s="25"/>
      <c r="BA6142" s="73" t="s">
        <v>355</v>
      </c>
      <c r="BB6142" s="48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356</v>
      </c>
      <c r="E6143" s="1" t="s">
        <v>119</v>
      </c>
      <c r="F6143" s="26">
        <v>246</v>
      </c>
      <c r="G6143" s="25" t="s">
        <v>293</v>
      </c>
      <c r="H6143" s="25"/>
      <c r="BA6143" s="73" t="s">
        <v>355</v>
      </c>
      <c r="BB6143" s="48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356</v>
      </c>
      <c r="E6144" s="1" t="s">
        <v>120</v>
      </c>
      <c r="F6144" s="26">
        <v>78</v>
      </c>
      <c r="G6144" s="25" t="s">
        <v>293</v>
      </c>
      <c r="H6144" s="25"/>
      <c r="BA6144" s="73" t="s">
        <v>355</v>
      </c>
      <c r="BB6144" s="48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356</v>
      </c>
      <c r="E6145" s="1" t="s">
        <v>117</v>
      </c>
      <c r="F6145" s="26">
        <v>2.68</v>
      </c>
      <c r="G6145" s="25" t="s">
        <v>293</v>
      </c>
      <c r="H6145" s="25"/>
      <c r="BA6145" s="73" t="s">
        <v>355</v>
      </c>
      <c r="BB6145" s="48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356</v>
      </c>
      <c r="E6146" s="1" t="s">
        <v>344</v>
      </c>
      <c r="F6146" s="26">
        <v>228</v>
      </c>
      <c r="G6146" s="25" t="s">
        <v>293</v>
      </c>
      <c r="H6146" s="25"/>
      <c r="BA6146" s="73" t="s">
        <v>355</v>
      </c>
      <c r="BB6146" s="48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356</v>
      </c>
      <c r="E6147" s="1" t="s">
        <v>132</v>
      </c>
      <c r="F6147" s="26">
        <v>3.49</v>
      </c>
      <c r="G6147" s="25" t="s">
        <v>293</v>
      </c>
      <c r="H6147" s="25"/>
      <c r="BA6147" s="73" t="s">
        <v>355</v>
      </c>
      <c r="BB6147" s="48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356</v>
      </c>
      <c r="E6148" s="1" t="s">
        <v>111</v>
      </c>
      <c r="F6148" s="26">
        <v>85</v>
      </c>
      <c r="G6148" s="25" t="s">
        <v>293</v>
      </c>
      <c r="H6148" s="25"/>
      <c r="BA6148" s="73" t="s">
        <v>355</v>
      </c>
      <c r="BB6148" s="48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356</v>
      </c>
      <c r="E6149" s="1" t="s">
        <v>345</v>
      </c>
      <c r="F6149" s="26">
        <v>5.2</v>
      </c>
      <c r="G6149" s="25" t="s">
        <v>293</v>
      </c>
      <c r="H6149" s="25"/>
      <c r="BA6149" s="73" t="s">
        <v>355</v>
      </c>
      <c r="BB6149" s="48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356</v>
      </c>
      <c r="E6150" s="1" t="s">
        <v>347</v>
      </c>
      <c r="F6150" s="26">
        <v>2.33</v>
      </c>
      <c r="G6150" s="25" t="s">
        <v>293</v>
      </c>
      <c r="H6150" s="25"/>
      <c r="BA6150" s="73" t="s">
        <v>355</v>
      </c>
      <c r="BB6150" s="48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356</v>
      </c>
      <c r="E6151" s="1" t="s">
        <v>128</v>
      </c>
      <c r="F6151" s="26">
        <v>7</v>
      </c>
      <c r="G6151" s="25" t="s">
        <v>293</v>
      </c>
      <c r="H6151" s="25"/>
      <c r="BA6151" s="73" t="s">
        <v>355</v>
      </c>
      <c r="BB6151" s="48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356</v>
      </c>
      <c r="E6152" s="1" t="s">
        <v>121</v>
      </c>
      <c r="F6152" s="26">
        <v>158</v>
      </c>
      <c r="G6152" s="25" t="s">
        <v>293</v>
      </c>
      <c r="H6152" s="25"/>
      <c r="BA6152" s="73" t="s">
        <v>355</v>
      </c>
      <c r="BB6152" s="48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356</v>
      </c>
      <c r="E6153" s="1" t="s">
        <v>115</v>
      </c>
      <c r="F6153" s="26">
        <v>34</v>
      </c>
      <c r="G6153" s="25" t="s">
        <v>293</v>
      </c>
      <c r="H6153" s="25"/>
      <c r="BA6153" s="73" t="s">
        <v>355</v>
      </c>
      <c r="BB6153" s="48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356</v>
      </c>
      <c r="E6154" s="1" t="s">
        <v>137</v>
      </c>
      <c r="F6154" s="26">
        <v>75</v>
      </c>
      <c r="G6154" s="25" t="s">
        <v>293</v>
      </c>
      <c r="H6154" s="25"/>
      <c r="BA6154" s="73" t="s">
        <v>355</v>
      </c>
      <c r="BB6154" s="48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356</v>
      </c>
      <c r="E6155" s="1" t="s">
        <v>348</v>
      </c>
      <c r="F6155" s="26">
        <v>139</v>
      </c>
      <c r="G6155" s="25" t="s">
        <v>293</v>
      </c>
      <c r="H6155" s="25"/>
      <c r="BA6155" s="73" t="s">
        <v>355</v>
      </c>
      <c r="BB6155" s="48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356</v>
      </c>
      <c r="E6156" s="1" t="s">
        <v>125</v>
      </c>
      <c r="F6156" s="26">
        <v>114</v>
      </c>
      <c r="G6156" s="25" t="s">
        <v>293</v>
      </c>
      <c r="H6156" s="25"/>
      <c r="BA6156" s="73" t="s">
        <v>355</v>
      </c>
      <c r="BB6156" s="48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356</v>
      </c>
      <c r="E6157" s="1" t="s">
        <v>126</v>
      </c>
      <c r="F6157" s="26">
        <v>78</v>
      </c>
      <c r="G6157" s="25" t="s">
        <v>293</v>
      </c>
      <c r="H6157" s="25"/>
      <c r="BA6157" s="73" t="s">
        <v>355</v>
      </c>
      <c r="BB6157" s="48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356</v>
      </c>
      <c r="E6158" s="1" t="s">
        <v>349</v>
      </c>
      <c r="F6158" s="26">
        <v>172</v>
      </c>
      <c r="G6158" s="25" t="s">
        <v>293</v>
      </c>
      <c r="H6158" s="25"/>
      <c r="BA6158" s="73" t="s">
        <v>355</v>
      </c>
      <c r="BB6158" s="48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356</v>
      </c>
      <c r="E6159" s="1" t="s">
        <v>350</v>
      </c>
      <c r="F6159" s="26">
        <v>56</v>
      </c>
      <c r="G6159" s="25" t="s">
        <v>293</v>
      </c>
      <c r="H6159" s="25"/>
      <c r="BA6159" s="73" t="s">
        <v>355</v>
      </c>
      <c r="BB6159" s="48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356</v>
      </c>
      <c r="E6160" s="1" t="s">
        <v>122</v>
      </c>
      <c r="F6160" s="26">
        <v>45</v>
      </c>
      <c r="G6160" s="25" t="s">
        <v>293</v>
      </c>
      <c r="H6160" s="25"/>
      <c r="BA6160" s="73" t="s">
        <v>355</v>
      </c>
      <c r="BB6160" s="48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356</v>
      </c>
      <c r="E6161" s="1" t="s">
        <v>124</v>
      </c>
      <c r="F6161" s="26">
        <v>28</v>
      </c>
      <c r="G6161" s="25" t="s">
        <v>293</v>
      </c>
      <c r="H6161" s="25"/>
      <c r="BA6161" s="73" t="s">
        <v>355</v>
      </c>
      <c r="BB6161" s="48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356</v>
      </c>
      <c r="E6162" s="1" t="s">
        <v>351</v>
      </c>
      <c r="F6162" s="26">
        <v>0.97</v>
      </c>
      <c r="G6162" s="25" t="s">
        <v>293</v>
      </c>
      <c r="H6162" s="25"/>
      <c r="BA6162" s="73" t="s">
        <v>355</v>
      </c>
      <c r="BB6162" s="48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356</v>
      </c>
      <c r="E6163" s="1" t="s">
        <v>353</v>
      </c>
      <c r="F6163" s="26">
        <v>31.3</v>
      </c>
      <c r="G6163" s="25" t="s">
        <v>293</v>
      </c>
      <c r="H6163" s="25"/>
      <c r="BA6163" s="73" t="s">
        <v>355</v>
      </c>
      <c r="BB6163" s="48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356</v>
      </c>
      <c r="E6164" s="1" t="s">
        <v>339</v>
      </c>
      <c r="F6164" s="26">
        <v>4.68</v>
      </c>
      <c r="G6164" s="25" t="s">
        <v>293</v>
      </c>
      <c r="H6164" s="25"/>
      <c r="BA6164" s="73" t="s">
        <v>355</v>
      </c>
      <c r="BB6164" s="48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356</v>
      </c>
      <c r="E6165" s="1" t="s">
        <v>118</v>
      </c>
      <c r="F6165" s="26">
        <v>4.4000000000000004</v>
      </c>
      <c r="G6165" s="25" t="s">
        <v>293</v>
      </c>
      <c r="H6165" s="25"/>
      <c r="BA6165" s="73" t="s">
        <v>355</v>
      </c>
      <c r="BB6165" s="48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356</v>
      </c>
      <c r="E6166" s="1" t="s">
        <v>130</v>
      </c>
      <c r="F6166" s="26">
        <v>3.92</v>
      </c>
      <c r="G6166" s="25" t="s">
        <v>293</v>
      </c>
      <c r="H6166" s="25"/>
      <c r="BA6166" s="73" t="s">
        <v>355</v>
      </c>
      <c r="BB6166" s="48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356</v>
      </c>
      <c r="E6167" s="1" t="s">
        <v>341</v>
      </c>
      <c r="F6167" s="26">
        <v>0.32400000000000001</v>
      </c>
      <c r="G6167" s="25" t="s">
        <v>293</v>
      </c>
      <c r="H6167" s="25"/>
      <c r="BA6167" s="73" t="s">
        <v>355</v>
      </c>
      <c r="BB6167" s="48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356</v>
      </c>
      <c r="E6168" s="1" t="s">
        <v>127</v>
      </c>
      <c r="F6168" s="26">
        <v>1.23</v>
      </c>
      <c r="G6168" s="25" t="s">
        <v>293</v>
      </c>
      <c r="H6168" s="25"/>
      <c r="BA6168" s="73" t="s">
        <v>355</v>
      </c>
      <c r="BB6168" s="48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356</v>
      </c>
      <c r="E6169" s="1" t="s">
        <v>131</v>
      </c>
      <c r="F6169" s="26">
        <v>8.8000000000000007</v>
      </c>
      <c r="G6169" s="25" t="s">
        <v>293</v>
      </c>
      <c r="H6169" s="25"/>
      <c r="BA6169" s="73" t="s">
        <v>355</v>
      </c>
      <c r="BB6169" s="48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356</v>
      </c>
      <c r="E6170" s="1" t="s">
        <v>342</v>
      </c>
      <c r="F6170" s="26">
        <v>323</v>
      </c>
      <c r="G6170" s="25" t="s">
        <v>293</v>
      </c>
      <c r="H6170" s="25"/>
      <c r="BA6170" s="73" t="s">
        <v>355</v>
      </c>
      <c r="BB6170" s="48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356</v>
      </c>
      <c r="E6171" s="1" t="s">
        <v>119</v>
      </c>
      <c r="F6171" s="26">
        <v>252</v>
      </c>
      <c r="G6171" s="25" t="s">
        <v>293</v>
      </c>
      <c r="H6171" s="25"/>
      <c r="BA6171" s="73" t="s">
        <v>355</v>
      </c>
      <c r="BB6171" s="48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356</v>
      </c>
      <c r="E6172" s="1" t="s">
        <v>120</v>
      </c>
      <c r="F6172" s="26">
        <v>78</v>
      </c>
      <c r="G6172" s="25" t="s">
        <v>293</v>
      </c>
      <c r="H6172" s="25"/>
      <c r="BA6172" s="73" t="s">
        <v>355</v>
      </c>
      <c r="BB6172" s="48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356</v>
      </c>
      <c r="E6173" s="1" t="s">
        <v>117</v>
      </c>
      <c r="F6173" s="26">
        <v>2.73</v>
      </c>
      <c r="G6173" s="25" t="s">
        <v>293</v>
      </c>
      <c r="H6173" s="25"/>
      <c r="BA6173" s="73" t="s">
        <v>355</v>
      </c>
      <c r="BB6173" s="48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356</v>
      </c>
      <c r="E6174" s="1" t="s">
        <v>344</v>
      </c>
      <c r="F6174" s="26">
        <v>230</v>
      </c>
      <c r="G6174" s="25" t="s">
        <v>293</v>
      </c>
      <c r="H6174" s="25"/>
      <c r="BA6174" s="73" t="s">
        <v>355</v>
      </c>
      <c r="BB6174" s="48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356</v>
      </c>
      <c r="E6175" s="1" t="s">
        <v>132</v>
      </c>
      <c r="F6175" s="26">
        <v>3.34</v>
      </c>
      <c r="G6175" s="25" t="s">
        <v>293</v>
      </c>
      <c r="H6175" s="25"/>
      <c r="BA6175" s="73" t="s">
        <v>355</v>
      </c>
      <c r="BB6175" s="48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356</v>
      </c>
      <c r="E6176" s="1" t="s">
        <v>111</v>
      </c>
      <c r="F6176" s="26">
        <v>86</v>
      </c>
      <c r="G6176" s="25" t="s">
        <v>293</v>
      </c>
      <c r="H6176" s="25"/>
      <c r="BA6176" s="73" t="s">
        <v>355</v>
      </c>
      <c r="BB6176" s="48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356</v>
      </c>
      <c r="E6177" s="1" t="s">
        <v>345</v>
      </c>
      <c r="F6177" s="26">
        <v>5</v>
      </c>
      <c r="G6177" s="25" t="s">
        <v>293</v>
      </c>
      <c r="H6177" s="25"/>
      <c r="BA6177" s="73" t="s">
        <v>355</v>
      </c>
      <c r="BB6177" s="48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356</v>
      </c>
      <c r="E6178" s="1" t="s">
        <v>347</v>
      </c>
      <c r="F6178" s="26">
        <v>2.19</v>
      </c>
      <c r="G6178" s="25" t="s">
        <v>293</v>
      </c>
      <c r="H6178" s="25"/>
      <c r="BA6178" s="73" t="s">
        <v>355</v>
      </c>
      <c r="BB6178" s="48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356</v>
      </c>
      <c r="E6179" s="1" t="s">
        <v>128</v>
      </c>
      <c r="F6179" s="26">
        <v>7.1</v>
      </c>
      <c r="G6179" s="25" t="s">
        <v>293</v>
      </c>
      <c r="H6179" s="25"/>
      <c r="BA6179" s="73" t="s">
        <v>355</v>
      </c>
      <c r="BB6179" s="48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356</v>
      </c>
      <c r="E6180" s="1" t="s">
        <v>121</v>
      </c>
      <c r="F6180" s="26">
        <v>157</v>
      </c>
      <c r="G6180" s="25" t="s">
        <v>293</v>
      </c>
      <c r="H6180" s="25"/>
      <c r="BA6180" s="73" t="s">
        <v>355</v>
      </c>
      <c r="BB6180" s="48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356</v>
      </c>
      <c r="E6181" s="1" t="s">
        <v>115</v>
      </c>
      <c r="F6181" s="26">
        <v>31</v>
      </c>
      <c r="G6181" s="25" t="s">
        <v>293</v>
      </c>
      <c r="H6181" s="25"/>
      <c r="BA6181" s="73" t="s">
        <v>355</v>
      </c>
      <c r="BB6181" s="48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356</v>
      </c>
      <c r="E6182" s="1" t="s">
        <v>137</v>
      </c>
      <c r="F6182" s="26">
        <v>75</v>
      </c>
      <c r="G6182" s="25" t="s">
        <v>293</v>
      </c>
      <c r="H6182" s="25"/>
      <c r="BA6182" s="73" t="s">
        <v>355</v>
      </c>
      <c r="BB6182" s="48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356</v>
      </c>
      <c r="E6183" s="1" t="s">
        <v>348</v>
      </c>
      <c r="F6183" s="26">
        <v>138</v>
      </c>
      <c r="G6183" s="25" t="s">
        <v>293</v>
      </c>
      <c r="H6183" s="25"/>
      <c r="BA6183" s="73" t="s">
        <v>355</v>
      </c>
      <c r="BB6183" s="48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356</v>
      </c>
      <c r="E6184" s="1" t="s">
        <v>125</v>
      </c>
      <c r="F6184" s="26">
        <v>118</v>
      </c>
      <c r="G6184" s="25" t="s">
        <v>293</v>
      </c>
      <c r="H6184" s="25"/>
      <c r="BA6184" s="73" t="s">
        <v>355</v>
      </c>
      <c r="BB6184" s="48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356</v>
      </c>
      <c r="E6185" s="1" t="s">
        <v>126</v>
      </c>
      <c r="F6185" s="26">
        <v>80</v>
      </c>
      <c r="G6185" s="25" t="s">
        <v>293</v>
      </c>
      <c r="H6185" s="25"/>
      <c r="BA6185" s="73" t="s">
        <v>355</v>
      </c>
      <c r="BB6185" s="48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356</v>
      </c>
      <c r="E6186" s="1" t="s">
        <v>349</v>
      </c>
      <c r="F6186" s="26">
        <v>166</v>
      </c>
      <c r="G6186" s="25" t="s">
        <v>293</v>
      </c>
      <c r="H6186" s="25"/>
      <c r="BA6186" s="73" t="s">
        <v>355</v>
      </c>
      <c r="BB6186" s="48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356</v>
      </c>
      <c r="E6187" s="1" t="s">
        <v>350</v>
      </c>
      <c r="F6187" s="26">
        <v>57</v>
      </c>
      <c r="G6187" s="25" t="s">
        <v>293</v>
      </c>
      <c r="H6187" s="25"/>
      <c r="BA6187" s="73" t="s">
        <v>355</v>
      </c>
      <c r="BB6187" s="48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356</v>
      </c>
      <c r="E6188" s="1" t="s">
        <v>122</v>
      </c>
      <c r="F6188" s="26">
        <v>45</v>
      </c>
      <c r="G6188" s="25" t="s">
        <v>293</v>
      </c>
      <c r="H6188" s="25"/>
      <c r="BA6188" s="73" t="s">
        <v>355</v>
      </c>
      <c r="BB6188" s="48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356</v>
      </c>
      <c r="E6189" s="1" t="s">
        <v>124</v>
      </c>
      <c r="F6189" s="26">
        <v>27</v>
      </c>
      <c r="G6189" s="25" t="s">
        <v>293</v>
      </c>
      <c r="H6189" s="25"/>
      <c r="BA6189" s="73" t="s">
        <v>355</v>
      </c>
      <c r="BB6189" s="48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356</v>
      </c>
      <c r="E6190" s="1" t="s">
        <v>351</v>
      </c>
      <c r="F6190" s="26">
        <v>0.99</v>
      </c>
      <c r="G6190" s="25" t="s">
        <v>293</v>
      </c>
      <c r="H6190" s="25"/>
      <c r="BA6190" s="73" t="s">
        <v>355</v>
      </c>
      <c r="BB6190" s="48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356</v>
      </c>
      <c r="E6191" s="1" t="s">
        <v>353</v>
      </c>
      <c r="F6191" s="26">
        <v>32.5</v>
      </c>
      <c r="G6191" s="25" t="s">
        <v>293</v>
      </c>
      <c r="H6191" s="25"/>
      <c r="BA6191" s="73" t="s">
        <v>355</v>
      </c>
      <c r="BB6191" s="48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356</v>
      </c>
      <c r="E6192" s="1" t="s">
        <v>133</v>
      </c>
      <c r="F6192" s="26">
        <v>144</v>
      </c>
      <c r="G6192" s="25" t="s">
        <v>293</v>
      </c>
      <c r="H6192" s="25"/>
      <c r="BA6192" s="73" t="s">
        <v>355</v>
      </c>
      <c r="BB6192" s="48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356</v>
      </c>
      <c r="E6193" s="1" t="s">
        <v>135</v>
      </c>
      <c r="F6193" s="26">
        <v>3.7</v>
      </c>
      <c r="G6193" s="25" t="s">
        <v>293</v>
      </c>
      <c r="H6193" s="25"/>
      <c r="BA6193" s="73" t="s">
        <v>355</v>
      </c>
      <c r="BB6193" s="48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356</v>
      </c>
      <c r="E6194" s="1" t="s">
        <v>136</v>
      </c>
      <c r="F6194" s="26">
        <v>104</v>
      </c>
      <c r="G6194" s="25" t="s">
        <v>293</v>
      </c>
      <c r="H6194" s="25"/>
      <c r="BA6194" s="73" t="s">
        <v>355</v>
      </c>
      <c r="BB6194" s="48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357</v>
      </c>
      <c r="E6195" s="1" t="s">
        <v>339</v>
      </c>
      <c r="F6195" s="26">
        <v>1.4</v>
      </c>
      <c r="G6195" s="25" t="s">
        <v>293</v>
      </c>
      <c r="H6195" s="25"/>
      <c r="BA6195" s="73" t="s">
        <v>355</v>
      </c>
      <c r="BB6195" s="48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357</v>
      </c>
      <c r="E6196" s="1" t="s">
        <v>118</v>
      </c>
      <c r="F6196" s="26">
        <v>9.5</v>
      </c>
      <c r="G6196" s="25" t="s">
        <v>293</v>
      </c>
      <c r="H6196" s="25"/>
      <c r="BA6196" s="73" t="s">
        <v>355</v>
      </c>
      <c r="BB6196" s="48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357</v>
      </c>
      <c r="E6197" s="1" t="s">
        <v>130</v>
      </c>
      <c r="F6197" s="26">
        <v>2.4300000000000002</v>
      </c>
      <c r="G6197" s="25" t="s">
        <v>293</v>
      </c>
      <c r="H6197" s="25"/>
      <c r="BA6197" s="73" t="s">
        <v>355</v>
      </c>
      <c r="BB6197" s="48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357</v>
      </c>
      <c r="E6198" s="1" t="s">
        <v>341</v>
      </c>
      <c r="F6198" s="26">
        <v>1.196</v>
      </c>
      <c r="G6198" s="25" t="s">
        <v>293</v>
      </c>
      <c r="H6198" s="25"/>
      <c r="BA6198" s="73" t="s">
        <v>355</v>
      </c>
      <c r="BB6198" s="48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357</v>
      </c>
      <c r="E6199" s="1" t="s">
        <v>127</v>
      </c>
      <c r="F6199" s="26">
        <v>4.6349999999999998</v>
      </c>
      <c r="G6199" s="25" t="s">
        <v>293</v>
      </c>
      <c r="H6199" s="25"/>
      <c r="BA6199" s="73" t="s">
        <v>355</v>
      </c>
      <c r="BB6199" s="48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357</v>
      </c>
      <c r="E6200" s="1" t="s">
        <v>131</v>
      </c>
      <c r="F6200" s="26">
        <v>12.1</v>
      </c>
      <c r="G6200" s="25" t="s">
        <v>293</v>
      </c>
      <c r="H6200" s="25"/>
      <c r="BA6200" s="73" t="s">
        <v>355</v>
      </c>
      <c r="BB6200" s="48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357</v>
      </c>
      <c r="E6201" s="1" t="s">
        <v>342</v>
      </c>
      <c r="F6201" s="26">
        <v>185</v>
      </c>
      <c r="G6201" s="25" t="s">
        <v>293</v>
      </c>
      <c r="H6201" s="25"/>
      <c r="BA6201" s="73" t="s">
        <v>355</v>
      </c>
      <c r="BB6201" s="48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357</v>
      </c>
      <c r="E6202" s="1" t="s">
        <v>119</v>
      </c>
      <c r="F6202" s="26">
        <v>92</v>
      </c>
      <c r="G6202" s="25" t="s">
        <v>293</v>
      </c>
      <c r="H6202" s="25"/>
      <c r="BA6202" s="73" t="s">
        <v>355</v>
      </c>
      <c r="BB6202" s="48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357</v>
      </c>
      <c r="E6203" s="1" t="s">
        <v>120</v>
      </c>
      <c r="F6203" s="26">
        <v>27</v>
      </c>
      <c r="G6203" s="25" t="s">
        <v>293</v>
      </c>
      <c r="H6203" s="25"/>
      <c r="BA6203" s="73" t="s">
        <v>355</v>
      </c>
      <c r="BB6203" s="48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357</v>
      </c>
      <c r="E6204" s="1" t="s">
        <v>117</v>
      </c>
      <c r="F6204" s="26">
        <v>6.34</v>
      </c>
      <c r="G6204" s="25" t="s">
        <v>293</v>
      </c>
      <c r="H6204" s="25"/>
      <c r="BA6204" s="73" t="s">
        <v>355</v>
      </c>
      <c r="BB6204" s="48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357</v>
      </c>
      <c r="E6205" s="1" t="s">
        <v>344</v>
      </c>
      <c r="F6205" s="26">
        <v>69</v>
      </c>
      <c r="G6205" s="25" t="s">
        <v>293</v>
      </c>
      <c r="H6205" s="25"/>
      <c r="BA6205" s="73" t="s">
        <v>355</v>
      </c>
      <c r="BB6205" s="48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357</v>
      </c>
      <c r="E6206" s="1" t="s">
        <v>132</v>
      </c>
      <c r="F6206" s="26">
        <v>7.06</v>
      </c>
      <c r="G6206" s="25" t="s">
        <v>293</v>
      </c>
      <c r="H6206" s="25"/>
      <c r="BA6206" s="73" t="s">
        <v>355</v>
      </c>
      <c r="BB6206" s="48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357</v>
      </c>
      <c r="E6207" s="1" t="s">
        <v>111</v>
      </c>
      <c r="F6207" s="26">
        <v>279</v>
      </c>
      <c r="G6207" s="25" t="s">
        <v>293</v>
      </c>
      <c r="H6207" s="25"/>
      <c r="BA6207" s="73" t="s">
        <v>355</v>
      </c>
      <c r="BB6207" s="48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357</v>
      </c>
      <c r="E6208" s="1" t="s">
        <v>345</v>
      </c>
      <c r="F6208" s="26">
        <v>9.68</v>
      </c>
      <c r="G6208" s="25" t="s">
        <v>293</v>
      </c>
      <c r="H6208" s="25"/>
      <c r="BA6208" s="73" t="s">
        <v>355</v>
      </c>
      <c r="BB6208" s="48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357</v>
      </c>
      <c r="E6209" s="1" t="s">
        <v>347</v>
      </c>
      <c r="F6209" s="26">
        <v>4.87</v>
      </c>
      <c r="G6209" s="25" t="s">
        <v>293</v>
      </c>
      <c r="H6209" s="25"/>
      <c r="BA6209" s="73" t="s">
        <v>355</v>
      </c>
      <c r="BB6209" s="48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357</v>
      </c>
      <c r="E6210" s="1" t="s">
        <v>128</v>
      </c>
      <c r="F6210" s="26">
        <v>4.5999999999999996</v>
      </c>
      <c r="G6210" s="25" t="s">
        <v>293</v>
      </c>
      <c r="H6210" s="25"/>
      <c r="BA6210" s="73" t="s">
        <v>355</v>
      </c>
      <c r="BB6210" s="48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357</v>
      </c>
      <c r="E6211" s="1" t="s">
        <v>121</v>
      </c>
      <c r="F6211" s="26">
        <v>82</v>
      </c>
      <c r="G6211" s="25" t="s">
        <v>293</v>
      </c>
      <c r="H6211" s="25"/>
      <c r="BA6211" s="73" t="s">
        <v>355</v>
      </c>
      <c r="BB6211" s="48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357</v>
      </c>
      <c r="E6212" s="1" t="s">
        <v>115</v>
      </c>
      <c r="F6212" s="26">
        <v>94</v>
      </c>
      <c r="G6212" s="25" t="s">
        <v>293</v>
      </c>
      <c r="H6212" s="25"/>
      <c r="BA6212" s="73" t="s">
        <v>355</v>
      </c>
      <c r="BB6212" s="48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357</v>
      </c>
      <c r="E6213" s="1" t="s">
        <v>137</v>
      </c>
      <c r="F6213" s="26">
        <v>481</v>
      </c>
      <c r="G6213" s="25" t="s">
        <v>293</v>
      </c>
      <c r="H6213" s="25"/>
      <c r="BA6213" s="73" t="s">
        <v>355</v>
      </c>
      <c r="BB6213" s="48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357</v>
      </c>
      <c r="E6214" s="1" t="s">
        <v>348</v>
      </c>
      <c r="F6214" s="26">
        <v>409</v>
      </c>
      <c r="G6214" s="25" t="s">
        <v>293</v>
      </c>
      <c r="H6214" s="25"/>
      <c r="BA6214" s="73" t="s">
        <v>355</v>
      </c>
      <c r="BB6214" s="48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357</v>
      </c>
      <c r="E6215" s="1" t="s">
        <v>125</v>
      </c>
      <c r="F6215" s="26">
        <v>428</v>
      </c>
      <c r="G6215" s="25" t="s">
        <v>293</v>
      </c>
      <c r="H6215" s="25"/>
      <c r="BA6215" s="73" t="s">
        <v>355</v>
      </c>
      <c r="BB6215" s="48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357</v>
      </c>
      <c r="E6216" s="1" t="s">
        <v>126</v>
      </c>
      <c r="F6216" s="26">
        <v>152</v>
      </c>
      <c r="G6216" s="25" t="s">
        <v>293</v>
      </c>
      <c r="H6216" s="25"/>
      <c r="BA6216" s="73" t="s">
        <v>355</v>
      </c>
      <c r="BB6216" s="48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357</v>
      </c>
      <c r="E6217" s="1" t="s">
        <v>349</v>
      </c>
      <c r="F6217" s="26">
        <v>357</v>
      </c>
      <c r="G6217" s="25" t="s">
        <v>293</v>
      </c>
      <c r="H6217" s="25"/>
      <c r="BA6217" s="73" t="s">
        <v>355</v>
      </c>
      <c r="BB6217" s="48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357</v>
      </c>
      <c r="E6218" s="1" t="s">
        <v>350</v>
      </c>
      <c r="F6218" s="26">
        <v>86</v>
      </c>
      <c r="G6218" s="25" t="s">
        <v>293</v>
      </c>
      <c r="H6218" s="25"/>
      <c r="BA6218" s="73" t="s">
        <v>355</v>
      </c>
      <c r="BB6218" s="48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357</v>
      </c>
      <c r="E6219" s="1" t="s">
        <v>122</v>
      </c>
      <c r="F6219" s="26">
        <v>217</v>
      </c>
      <c r="G6219" s="25" t="s">
        <v>293</v>
      </c>
      <c r="H6219" s="25"/>
      <c r="BA6219" s="73" t="s">
        <v>355</v>
      </c>
      <c r="BB6219" s="48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357</v>
      </c>
      <c r="E6220" s="1" t="s">
        <v>124</v>
      </c>
      <c r="F6220" s="26">
        <v>100</v>
      </c>
      <c r="G6220" s="25" t="s">
        <v>293</v>
      </c>
      <c r="H6220" s="25"/>
      <c r="BA6220" s="73" t="s">
        <v>355</v>
      </c>
      <c r="BB6220" s="48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357</v>
      </c>
      <c r="E6221" s="1" t="s">
        <v>351</v>
      </c>
      <c r="F6221" s="26">
        <v>3.46</v>
      </c>
      <c r="G6221" s="25" t="s">
        <v>293</v>
      </c>
      <c r="H6221" s="25"/>
      <c r="BA6221" s="73" t="s">
        <v>355</v>
      </c>
      <c r="BB6221" s="48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357</v>
      </c>
      <c r="E6222" s="1" t="s">
        <v>353</v>
      </c>
      <c r="F6222" s="26">
        <v>16.899999999999999</v>
      </c>
      <c r="G6222" s="25" t="s">
        <v>293</v>
      </c>
      <c r="H6222" s="25"/>
      <c r="BA6222" s="73" t="s">
        <v>355</v>
      </c>
      <c r="BB6222" s="48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357</v>
      </c>
      <c r="E6223" s="1" t="s">
        <v>133</v>
      </c>
      <c r="F6223" s="26">
        <v>127</v>
      </c>
      <c r="G6223" s="25" t="s">
        <v>293</v>
      </c>
      <c r="H6223" s="25"/>
      <c r="BA6223" s="73" t="s">
        <v>355</v>
      </c>
      <c r="BB6223" s="48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357</v>
      </c>
      <c r="E6224" s="1" t="s">
        <v>135</v>
      </c>
      <c r="F6224" s="26">
        <v>6.4</v>
      </c>
      <c r="G6224" s="25" t="s">
        <v>293</v>
      </c>
      <c r="H6224" s="25"/>
      <c r="BA6224" s="73" t="s">
        <v>355</v>
      </c>
      <c r="BB6224" s="48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357</v>
      </c>
      <c r="E6225" s="1" t="s">
        <v>136</v>
      </c>
      <c r="F6225" s="26">
        <v>90</v>
      </c>
      <c r="G6225" s="25" t="s">
        <v>293</v>
      </c>
      <c r="H6225" s="25"/>
      <c r="BA6225" s="73" t="s">
        <v>355</v>
      </c>
      <c r="BB6225" s="48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357</v>
      </c>
      <c r="E6226" s="1" t="s">
        <v>339</v>
      </c>
      <c r="F6226" s="26">
        <v>1.27</v>
      </c>
      <c r="G6226" s="25" t="s">
        <v>293</v>
      </c>
      <c r="H6226" s="25"/>
      <c r="BA6226" s="73" t="s">
        <v>355</v>
      </c>
      <c r="BB6226" s="48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357</v>
      </c>
      <c r="E6227" s="1" t="s">
        <v>118</v>
      </c>
      <c r="F6227" s="26">
        <v>9.5</v>
      </c>
      <c r="G6227" s="25" t="s">
        <v>293</v>
      </c>
      <c r="H6227" s="25"/>
      <c r="BA6227" s="73" t="s">
        <v>355</v>
      </c>
      <c r="BB6227" s="48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357</v>
      </c>
      <c r="E6228" s="1" t="s">
        <v>130</v>
      </c>
      <c r="F6228" s="26">
        <v>2.4300000000000002</v>
      </c>
      <c r="G6228" s="25" t="s">
        <v>293</v>
      </c>
      <c r="H6228" s="25"/>
      <c r="BA6228" s="73" t="s">
        <v>355</v>
      </c>
      <c r="BB6228" s="48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357</v>
      </c>
      <c r="E6229" s="1" t="s">
        <v>341</v>
      </c>
      <c r="F6229" s="26">
        <v>1.2090000000000001</v>
      </c>
      <c r="G6229" s="25" t="s">
        <v>293</v>
      </c>
      <c r="H6229" s="25"/>
      <c r="BA6229" s="73" t="s">
        <v>355</v>
      </c>
      <c r="BB6229" s="48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357</v>
      </c>
      <c r="E6230" s="1" t="s">
        <v>127</v>
      </c>
      <c r="F6230" s="26">
        <v>4.641</v>
      </c>
      <c r="G6230" s="25" t="s">
        <v>293</v>
      </c>
      <c r="H6230" s="25"/>
      <c r="BA6230" s="73" t="s">
        <v>355</v>
      </c>
      <c r="BB6230" s="48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357</v>
      </c>
      <c r="E6231" s="1" t="s">
        <v>131</v>
      </c>
      <c r="F6231" s="26">
        <v>11.8</v>
      </c>
      <c r="G6231" s="25" t="s">
        <v>293</v>
      </c>
      <c r="H6231" s="25"/>
      <c r="BA6231" s="73" t="s">
        <v>355</v>
      </c>
      <c r="BB6231" s="48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357</v>
      </c>
      <c r="E6232" s="1" t="s">
        <v>342</v>
      </c>
      <c r="F6232" s="26">
        <v>186</v>
      </c>
      <c r="G6232" s="25" t="s">
        <v>293</v>
      </c>
      <c r="H6232" s="25"/>
      <c r="BA6232" s="73" t="s">
        <v>355</v>
      </c>
      <c r="BB6232" s="48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357</v>
      </c>
      <c r="E6233" s="1" t="s">
        <v>119</v>
      </c>
      <c r="F6233" s="26">
        <v>93</v>
      </c>
      <c r="G6233" s="25" t="s">
        <v>293</v>
      </c>
      <c r="H6233" s="25"/>
      <c r="BA6233" s="73" t="s">
        <v>355</v>
      </c>
      <c r="BB6233" s="48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357</v>
      </c>
      <c r="E6234" s="1" t="s">
        <v>120</v>
      </c>
      <c r="F6234" s="26">
        <v>27</v>
      </c>
      <c r="G6234" s="25" t="s">
        <v>293</v>
      </c>
      <c r="H6234" s="25"/>
      <c r="BA6234" s="73" t="s">
        <v>355</v>
      </c>
      <c r="BB6234" s="48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357</v>
      </c>
      <c r="E6235" s="1" t="s">
        <v>117</v>
      </c>
      <c r="F6235" s="26">
        <v>6.42</v>
      </c>
      <c r="G6235" s="25" t="s">
        <v>293</v>
      </c>
      <c r="H6235" s="25"/>
      <c r="BA6235" s="73" t="s">
        <v>355</v>
      </c>
      <c r="BB6235" s="48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357</v>
      </c>
      <c r="E6236" s="1" t="s">
        <v>344</v>
      </c>
      <c r="F6236" s="26">
        <v>69</v>
      </c>
      <c r="G6236" s="25" t="s">
        <v>293</v>
      </c>
      <c r="H6236" s="25"/>
      <c r="BA6236" s="73" t="s">
        <v>355</v>
      </c>
      <c r="BB6236" s="48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357</v>
      </c>
      <c r="E6237" s="1" t="s">
        <v>132</v>
      </c>
      <c r="F6237" s="26">
        <v>7</v>
      </c>
      <c r="G6237" s="25" t="s">
        <v>293</v>
      </c>
      <c r="H6237" s="25"/>
      <c r="BA6237" s="73" t="s">
        <v>355</v>
      </c>
      <c r="BB6237" s="48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357</v>
      </c>
      <c r="E6238" s="1" t="s">
        <v>111</v>
      </c>
      <c r="F6238" s="26">
        <v>280</v>
      </c>
      <c r="G6238" s="25" t="s">
        <v>293</v>
      </c>
      <c r="H6238" s="25"/>
      <c r="BA6238" s="73" t="s">
        <v>355</v>
      </c>
      <c r="BB6238" s="48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357</v>
      </c>
      <c r="E6239" s="1" t="s">
        <v>345</v>
      </c>
      <c r="F6239" s="26">
        <v>9.5399999999999991</v>
      </c>
      <c r="G6239" s="25" t="s">
        <v>293</v>
      </c>
      <c r="H6239" s="25"/>
      <c r="BA6239" s="73" t="s">
        <v>355</v>
      </c>
      <c r="BB6239" s="48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357</v>
      </c>
      <c r="E6240" s="1" t="s">
        <v>347</v>
      </c>
      <c r="F6240" s="26">
        <v>4.78</v>
      </c>
      <c r="G6240" s="25" t="s">
        <v>293</v>
      </c>
      <c r="H6240" s="25"/>
      <c r="BA6240" s="73" t="s">
        <v>355</v>
      </c>
      <c r="BB6240" s="48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357</v>
      </c>
      <c r="E6241" s="1" t="s">
        <v>128</v>
      </c>
      <c r="F6241" s="26">
        <v>4.5999999999999996</v>
      </c>
      <c r="G6241" s="25" t="s">
        <v>293</v>
      </c>
      <c r="H6241" s="25"/>
      <c r="BA6241" s="73" t="s">
        <v>355</v>
      </c>
      <c r="BB6241" s="48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357</v>
      </c>
      <c r="E6242" s="1" t="s">
        <v>121</v>
      </c>
      <c r="F6242" s="26">
        <v>83</v>
      </c>
      <c r="G6242" s="25" t="s">
        <v>293</v>
      </c>
      <c r="H6242" s="25"/>
      <c r="BA6242" s="73" t="s">
        <v>355</v>
      </c>
      <c r="BB6242" s="48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357</v>
      </c>
      <c r="E6243" s="1" t="s">
        <v>115</v>
      </c>
      <c r="F6243" s="26">
        <v>96</v>
      </c>
      <c r="G6243" s="25" t="s">
        <v>293</v>
      </c>
      <c r="H6243" s="25"/>
      <c r="BA6243" s="73" t="s">
        <v>355</v>
      </c>
      <c r="BB6243" s="48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357</v>
      </c>
      <c r="E6244" s="1" t="s">
        <v>137</v>
      </c>
      <c r="F6244" s="26">
        <v>482</v>
      </c>
      <c r="G6244" s="25" t="s">
        <v>293</v>
      </c>
      <c r="H6244" s="25"/>
      <c r="BA6244" s="73" t="s">
        <v>355</v>
      </c>
      <c r="BB6244" s="48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357</v>
      </c>
      <c r="E6245" s="1" t="s">
        <v>348</v>
      </c>
      <c r="F6245" s="26">
        <v>409</v>
      </c>
      <c r="G6245" s="25" t="s">
        <v>293</v>
      </c>
      <c r="H6245" s="25"/>
      <c r="BA6245" s="73" t="s">
        <v>355</v>
      </c>
      <c r="BB6245" s="48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357</v>
      </c>
      <c r="E6246" s="1" t="s">
        <v>125</v>
      </c>
      <c r="F6246" s="26">
        <v>432</v>
      </c>
      <c r="G6246" s="25" t="s">
        <v>293</v>
      </c>
      <c r="H6246" s="25"/>
      <c r="BA6246" s="73" t="s">
        <v>355</v>
      </c>
      <c r="BB6246" s="48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357</v>
      </c>
      <c r="E6247" s="1" t="s">
        <v>126</v>
      </c>
      <c r="F6247" s="26">
        <v>156</v>
      </c>
      <c r="G6247" s="25" t="s">
        <v>293</v>
      </c>
      <c r="H6247" s="25"/>
      <c r="BA6247" s="73" t="s">
        <v>355</v>
      </c>
      <c r="BB6247" s="48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357</v>
      </c>
      <c r="E6248" s="1" t="s">
        <v>349</v>
      </c>
      <c r="F6248" s="26">
        <v>354</v>
      </c>
      <c r="G6248" s="25" t="s">
        <v>293</v>
      </c>
      <c r="H6248" s="25"/>
      <c r="BA6248" s="73" t="s">
        <v>355</v>
      </c>
      <c r="BB6248" s="48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357</v>
      </c>
      <c r="E6249" s="1" t="s">
        <v>350</v>
      </c>
      <c r="F6249" s="26">
        <v>89</v>
      </c>
      <c r="G6249" s="25" t="s">
        <v>293</v>
      </c>
      <c r="H6249" s="25"/>
      <c r="BA6249" s="73" t="s">
        <v>355</v>
      </c>
      <c r="BB6249" s="48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357</v>
      </c>
      <c r="E6250" s="1" t="s">
        <v>122</v>
      </c>
      <c r="F6250" s="26">
        <v>215</v>
      </c>
      <c r="G6250" s="25" t="s">
        <v>293</v>
      </c>
      <c r="H6250" s="25"/>
      <c r="BA6250" s="73" t="s">
        <v>355</v>
      </c>
      <c r="BB6250" s="48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357</v>
      </c>
      <c r="E6251" s="1" t="s">
        <v>124</v>
      </c>
      <c r="F6251" s="26">
        <v>100</v>
      </c>
      <c r="G6251" s="25" t="s">
        <v>293</v>
      </c>
      <c r="H6251" s="25"/>
      <c r="BA6251" s="73" t="s">
        <v>355</v>
      </c>
      <c r="BB6251" s="48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357</v>
      </c>
      <c r="E6252" s="1" t="s">
        <v>351</v>
      </c>
      <c r="F6252" s="26">
        <v>3.45</v>
      </c>
      <c r="G6252" s="25" t="s">
        <v>293</v>
      </c>
      <c r="H6252" s="25"/>
      <c r="BA6252" s="73" t="s">
        <v>355</v>
      </c>
      <c r="BB6252" s="48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357</v>
      </c>
      <c r="E6253" s="1" t="s">
        <v>353</v>
      </c>
      <c r="F6253" s="26">
        <v>16.899999999999999</v>
      </c>
      <c r="G6253" s="25" t="s">
        <v>293</v>
      </c>
      <c r="H6253" s="25"/>
      <c r="BA6253" s="73" t="s">
        <v>355</v>
      </c>
      <c r="BB6253" s="48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357</v>
      </c>
      <c r="E6254" s="1" t="s">
        <v>133</v>
      </c>
      <c r="F6254" s="26">
        <v>128</v>
      </c>
      <c r="G6254" s="25" t="s">
        <v>293</v>
      </c>
      <c r="H6254" s="25"/>
      <c r="BA6254" s="73" t="s">
        <v>355</v>
      </c>
      <c r="BB6254" s="48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357</v>
      </c>
      <c r="E6255" s="1" t="s">
        <v>135</v>
      </c>
      <c r="F6255" s="26">
        <v>6.6</v>
      </c>
      <c r="G6255" s="25" t="s">
        <v>293</v>
      </c>
      <c r="H6255" s="25"/>
      <c r="BA6255" s="73" t="s">
        <v>355</v>
      </c>
      <c r="BB6255" s="48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357</v>
      </c>
      <c r="E6256" s="1" t="s">
        <v>136</v>
      </c>
      <c r="F6256" s="26">
        <v>90</v>
      </c>
      <c r="G6256" s="25" t="s">
        <v>293</v>
      </c>
      <c r="H6256" s="25"/>
      <c r="BA6256" s="73" t="s">
        <v>355</v>
      </c>
      <c r="BB6256" s="48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357</v>
      </c>
      <c r="E6257" s="1" t="s">
        <v>339</v>
      </c>
      <c r="F6257" s="26">
        <v>1.18</v>
      </c>
      <c r="G6257" s="25" t="s">
        <v>293</v>
      </c>
      <c r="H6257" s="25"/>
      <c r="BA6257" s="73" t="s">
        <v>355</v>
      </c>
      <c r="BB6257" s="48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357</v>
      </c>
      <c r="E6258" s="1" t="s">
        <v>118</v>
      </c>
      <c r="F6258" s="26">
        <v>9.5</v>
      </c>
      <c r="G6258" s="25" t="s">
        <v>293</v>
      </c>
      <c r="H6258" s="25"/>
      <c r="BA6258" s="73" t="s">
        <v>355</v>
      </c>
      <c r="BB6258" s="48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357</v>
      </c>
      <c r="E6259" s="1" t="s">
        <v>130</v>
      </c>
      <c r="F6259" s="26">
        <v>2.4500000000000002</v>
      </c>
      <c r="G6259" s="25" t="s">
        <v>293</v>
      </c>
      <c r="H6259" s="25"/>
      <c r="BA6259" s="73" t="s">
        <v>355</v>
      </c>
      <c r="BB6259" s="48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357</v>
      </c>
      <c r="E6260" s="1" t="s">
        <v>341</v>
      </c>
      <c r="F6260" s="26">
        <v>1.22</v>
      </c>
      <c r="G6260" s="25" t="s">
        <v>293</v>
      </c>
      <c r="H6260" s="25"/>
      <c r="BA6260" s="73" t="s">
        <v>355</v>
      </c>
      <c r="BB6260" s="48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357</v>
      </c>
      <c r="E6261" s="1" t="s">
        <v>127</v>
      </c>
      <c r="F6261" s="26">
        <v>4.78</v>
      </c>
      <c r="G6261" s="25" t="s">
        <v>293</v>
      </c>
      <c r="H6261" s="25"/>
      <c r="BA6261" s="73" t="s">
        <v>355</v>
      </c>
      <c r="BB6261" s="48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357</v>
      </c>
      <c r="E6262" s="1" t="s">
        <v>131</v>
      </c>
      <c r="F6262" s="26">
        <v>11.8</v>
      </c>
      <c r="G6262" s="25" t="s">
        <v>293</v>
      </c>
      <c r="H6262" s="25"/>
      <c r="BA6262" s="73" t="s">
        <v>355</v>
      </c>
      <c r="BB6262" s="48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357</v>
      </c>
      <c r="E6263" s="1" t="s">
        <v>342</v>
      </c>
      <c r="F6263" s="26">
        <v>180</v>
      </c>
      <c r="G6263" s="25" t="s">
        <v>293</v>
      </c>
      <c r="H6263" s="25"/>
      <c r="BA6263" s="73" t="s">
        <v>355</v>
      </c>
      <c r="BB6263" s="48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357</v>
      </c>
      <c r="E6264" s="1" t="s">
        <v>119</v>
      </c>
      <c r="F6264" s="26">
        <v>92</v>
      </c>
      <c r="G6264" s="25" t="s">
        <v>293</v>
      </c>
      <c r="H6264" s="25"/>
      <c r="BA6264" s="73" t="s">
        <v>355</v>
      </c>
      <c r="BB6264" s="48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357</v>
      </c>
      <c r="E6265" s="1" t="s">
        <v>120</v>
      </c>
      <c r="F6265" s="26">
        <v>27</v>
      </c>
      <c r="G6265" s="25" t="s">
        <v>293</v>
      </c>
      <c r="H6265" s="25"/>
      <c r="BA6265" s="73" t="s">
        <v>355</v>
      </c>
      <c r="BB6265" s="48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357</v>
      </c>
      <c r="E6266" s="1" t="s">
        <v>117</v>
      </c>
      <c r="F6266" s="26">
        <v>6.25</v>
      </c>
      <c r="G6266" s="25" t="s">
        <v>293</v>
      </c>
      <c r="H6266" s="25"/>
      <c r="BA6266" s="73" t="s">
        <v>355</v>
      </c>
      <c r="BB6266" s="48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357</v>
      </c>
      <c r="E6267" s="1" t="s">
        <v>344</v>
      </c>
      <c r="F6267" s="26">
        <v>70</v>
      </c>
      <c r="G6267" s="25" t="s">
        <v>293</v>
      </c>
      <c r="H6267" s="25"/>
      <c r="BA6267" s="73" t="s">
        <v>355</v>
      </c>
      <c r="BB6267" s="48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357</v>
      </c>
      <c r="E6268" s="1" t="s">
        <v>132</v>
      </c>
      <c r="F6268" s="26">
        <v>7.02</v>
      </c>
      <c r="G6268" s="25" t="s">
        <v>293</v>
      </c>
      <c r="H6268" s="25"/>
      <c r="BA6268" s="73" t="s">
        <v>355</v>
      </c>
      <c r="BB6268" s="48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357</v>
      </c>
      <c r="E6269" s="1" t="s">
        <v>111</v>
      </c>
      <c r="F6269" s="26">
        <v>281</v>
      </c>
      <c r="G6269" s="25" t="s">
        <v>293</v>
      </c>
      <c r="H6269" s="25"/>
      <c r="BA6269" s="73" t="s">
        <v>355</v>
      </c>
      <c r="BB6269" s="48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357</v>
      </c>
      <c r="E6270" s="1" t="s">
        <v>345</v>
      </c>
      <c r="F6270" s="26">
        <v>9.6999999999999993</v>
      </c>
      <c r="G6270" s="25" t="s">
        <v>293</v>
      </c>
      <c r="H6270" s="25"/>
      <c r="BA6270" s="73" t="s">
        <v>355</v>
      </c>
      <c r="BB6270" s="48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357</v>
      </c>
      <c r="E6271" s="1" t="s">
        <v>347</v>
      </c>
      <c r="F6271" s="26">
        <v>4.76</v>
      </c>
      <c r="G6271" s="25" t="s">
        <v>293</v>
      </c>
      <c r="H6271" s="25"/>
      <c r="BA6271" s="73" t="s">
        <v>355</v>
      </c>
      <c r="BB6271" s="48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357</v>
      </c>
      <c r="E6272" s="1" t="s">
        <v>128</v>
      </c>
      <c r="F6272" s="26">
        <v>4.5</v>
      </c>
      <c r="G6272" s="25" t="s">
        <v>293</v>
      </c>
      <c r="H6272" s="25"/>
      <c r="BA6272" s="73" t="s">
        <v>355</v>
      </c>
      <c r="BB6272" s="48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357</v>
      </c>
      <c r="E6273" s="1" t="s">
        <v>121</v>
      </c>
      <c r="F6273" s="26">
        <v>79</v>
      </c>
      <c r="G6273" s="25" t="s">
        <v>293</v>
      </c>
      <c r="H6273" s="25"/>
      <c r="BA6273" s="73" t="s">
        <v>355</v>
      </c>
      <c r="BB6273" s="48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357</v>
      </c>
      <c r="E6274" s="1" t="s">
        <v>115</v>
      </c>
      <c r="F6274" s="26">
        <v>93</v>
      </c>
      <c r="G6274" s="25" t="s">
        <v>293</v>
      </c>
      <c r="H6274" s="25"/>
      <c r="BA6274" s="73" t="s">
        <v>355</v>
      </c>
      <c r="BB6274" s="48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357</v>
      </c>
      <c r="E6275" s="1" t="s">
        <v>137</v>
      </c>
      <c r="F6275" s="26">
        <v>483</v>
      </c>
      <c r="G6275" s="25" t="s">
        <v>293</v>
      </c>
      <c r="H6275" s="25"/>
      <c r="BA6275" s="73" t="s">
        <v>355</v>
      </c>
      <c r="BB6275" s="48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357</v>
      </c>
      <c r="E6276" s="1" t="s">
        <v>348</v>
      </c>
      <c r="F6276" s="26">
        <v>415</v>
      </c>
      <c r="G6276" s="25" t="s">
        <v>293</v>
      </c>
      <c r="H6276" s="25"/>
      <c r="BA6276" s="73" t="s">
        <v>355</v>
      </c>
      <c r="BB6276" s="48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357</v>
      </c>
      <c r="E6277" s="1" t="s">
        <v>125</v>
      </c>
      <c r="F6277" s="26">
        <v>415</v>
      </c>
      <c r="G6277" s="25" t="s">
        <v>293</v>
      </c>
      <c r="H6277" s="25"/>
      <c r="BA6277" s="73" t="s">
        <v>355</v>
      </c>
      <c r="BB6277" s="48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357</v>
      </c>
      <c r="E6278" s="1" t="s">
        <v>126</v>
      </c>
      <c r="F6278" s="26">
        <v>154</v>
      </c>
      <c r="G6278" s="25" t="s">
        <v>293</v>
      </c>
      <c r="H6278" s="25"/>
      <c r="BA6278" s="73" t="s">
        <v>355</v>
      </c>
      <c r="BB6278" s="48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357</v>
      </c>
      <c r="E6279" s="1" t="s">
        <v>349</v>
      </c>
      <c r="F6279" s="26">
        <v>360</v>
      </c>
      <c r="G6279" s="25" t="s">
        <v>293</v>
      </c>
      <c r="H6279" s="25"/>
      <c r="BA6279" s="73" t="s">
        <v>355</v>
      </c>
      <c r="BB6279" s="48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357</v>
      </c>
      <c r="E6280" s="1" t="s">
        <v>350</v>
      </c>
      <c r="F6280" s="26">
        <v>85</v>
      </c>
      <c r="G6280" s="25" t="s">
        <v>293</v>
      </c>
      <c r="H6280" s="25"/>
      <c r="BA6280" s="73" t="s">
        <v>355</v>
      </c>
      <c r="BB6280" s="48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357</v>
      </c>
      <c r="E6281" s="1" t="s">
        <v>122</v>
      </c>
      <c r="F6281" s="26">
        <v>216</v>
      </c>
      <c r="G6281" s="25" t="s">
        <v>293</v>
      </c>
      <c r="H6281" s="25"/>
      <c r="BA6281" s="73" t="s">
        <v>355</v>
      </c>
      <c r="BB6281" s="48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357</v>
      </c>
      <c r="E6282" s="1" t="s">
        <v>124</v>
      </c>
      <c r="F6282" s="26">
        <v>101</v>
      </c>
      <c r="G6282" s="25" t="s">
        <v>293</v>
      </c>
      <c r="H6282" s="25"/>
      <c r="BA6282" s="73" t="s">
        <v>355</v>
      </c>
      <c r="BB6282" s="48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357</v>
      </c>
      <c r="E6283" s="1" t="s">
        <v>351</v>
      </c>
      <c r="F6283" s="26">
        <v>3.51</v>
      </c>
      <c r="G6283" s="25" t="s">
        <v>293</v>
      </c>
      <c r="H6283" s="25"/>
      <c r="BA6283" s="73" t="s">
        <v>355</v>
      </c>
      <c r="BB6283" s="48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357</v>
      </c>
      <c r="E6284" s="1" t="s">
        <v>353</v>
      </c>
      <c r="F6284" s="26">
        <v>17</v>
      </c>
      <c r="G6284" s="25" t="s">
        <v>293</v>
      </c>
      <c r="H6284" s="25"/>
      <c r="BA6284" s="73" t="s">
        <v>355</v>
      </c>
      <c r="BB6284" s="48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357</v>
      </c>
      <c r="E6285" s="1" t="s">
        <v>133</v>
      </c>
      <c r="F6285" s="26">
        <v>127</v>
      </c>
      <c r="G6285" s="25" t="s">
        <v>293</v>
      </c>
      <c r="H6285" s="25"/>
      <c r="BA6285" s="73" t="s">
        <v>355</v>
      </c>
      <c r="BB6285" s="48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357</v>
      </c>
      <c r="E6286" s="1" t="s">
        <v>135</v>
      </c>
      <c r="F6286" s="26">
        <v>6.5</v>
      </c>
      <c r="G6286" s="25" t="s">
        <v>293</v>
      </c>
      <c r="H6286" s="25"/>
      <c r="BA6286" s="73" t="s">
        <v>355</v>
      </c>
      <c r="BB6286" s="48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357</v>
      </c>
      <c r="E6287" s="1" t="s">
        <v>136</v>
      </c>
      <c r="F6287" s="26">
        <v>93</v>
      </c>
      <c r="G6287" s="25" t="s">
        <v>293</v>
      </c>
      <c r="H6287" s="25"/>
      <c r="BA6287" s="73" t="s">
        <v>355</v>
      </c>
      <c r="BB6287" s="48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357</v>
      </c>
      <c r="E6288" s="1" t="s">
        <v>339</v>
      </c>
      <c r="F6288" s="26">
        <v>1.2</v>
      </c>
      <c r="G6288" s="25" t="s">
        <v>293</v>
      </c>
      <c r="H6288" s="25"/>
      <c r="BA6288" s="73" t="s">
        <v>355</v>
      </c>
      <c r="BB6288" s="48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357</v>
      </c>
      <c r="E6289" s="1" t="s">
        <v>118</v>
      </c>
      <c r="F6289" s="26">
        <v>9.4</v>
      </c>
      <c r="G6289" s="25" t="s">
        <v>293</v>
      </c>
      <c r="H6289" s="25"/>
      <c r="BA6289" s="73" t="s">
        <v>355</v>
      </c>
      <c r="BB6289" s="48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357</v>
      </c>
      <c r="E6290" s="1" t="s">
        <v>130</v>
      </c>
      <c r="F6290" s="26">
        <v>2.46</v>
      </c>
      <c r="G6290" s="25" t="s">
        <v>293</v>
      </c>
      <c r="H6290" s="25"/>
      <c r="BA6290" s="73" t="s">
        <v>355</v>
      </c>
      <c r="BB6290" s="48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357</v>
      </c>
      <c r="E6291" s="1" t="s">
        <v>341</v>
      </c>
      <c r="F6291" s="26">
        <v>1.21</v>
      </c>
      <c r="G6291" s="25" t="s">
        <v>293</v>
      </c>
      <c r="H6291" s="25"/>
      <c r="BA6291" s="73" t="s">
        <v>355</v>
      </c>
      <c r="BB6291" s="48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357</v>
      </c>
      <c r="E6292" s="1" t="s">
        <v>127</v>
      </c>
      <c r="F6292" s="26">
        <v>4.6500000000000004</v>
      </c>
      <c r="G6292" s="25" t="s">
        <v>293</v>
      </c>
      <c r="H6292" s="25"/>
      <c r="BA6292" s="73" t="s">
        <v>355</v>
      </c>
      <c r="BB6292" s="48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357</v>
      </c>
      <c r="E6293" s="1" t="s">
        <v>131</v>
      </c>
      <c r="F6293" s="26">
        <v>11.82</v>
      </c>
      <c r="G6293" s="25" t="s">
        <v>293</v>
      </c>
      <c r="H6293" s="25"/>
      <c r="BA6293" s="73" t="s">
        <v>355</v>
      </c>
      <c r="BB6293" s="48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357</v>
      </c>
      <c r="E6294" s="1" t="s">
        <v>342</v>
      </c>
      <c r="F6294" s="26">
        <v>187</v>
      </c>
      <c r="G6294" s="25" t="s">
        <v>293</v>
      </c>
      <c r="H6294" s="25"/>
      <c r="BA6294" s="73" t="s">
        <v>355</v>
      </c>
      <c r="BB6294" s="48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357</v>
      </c>
      <c r="E6295" s="1" t="s">
        <v>119</v>
      </c>
      <c r="F6295" s="26">
        <v>95</v>
      </c>
      <c r="G6295" s="25" t="s">
        <v>293</v>
      </c>
      <c r="H6295" s="25"/>
      <c r="BA6295" s="73" t="s">
        <v>355</v>
      </c>
      <c r="BB6295" s="48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357</v>
      </c>
      <c r="E6296" s="1" t="s">
        <v>120</v>
      </c>
      <c r="F6296" s="26">
        <v>27</v>
      </c>
      <c r="G6296" s="25" t="s">
        <v>293</v>
      </c>
      <c r="H6296" s="25"/>
      <c r="BA6296" s="73" t="s">
        <v>355</v>
      </c>
      <c r="BB6296" s="48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357</v>
      </c>
      <c r="E6297" s="1" t="s">
        <v>117</v>
      </c>
      <c r="F6297" s="26">
        <v>6.56</v>
      </c>
      <c r="G6297" s="25" t="s">
        <v>293</v>
      </c>
      <c r="H6297" s="25"/>
      <c r="BA6297" s="73" t="s">
        <v>355</v>
      </c>
      <c r="BB6297" s="48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357</v>
      </c>
      <c r="E6298" s="1" t="s">
        <v>344</v>
      </c>
      <c r="F6298" s="26">
        <v>71</v>
      </c>
      <c r="G6298" s="25" t="s">
        <v>293</v>
      </c>
      <c r="H6298" s="25"/>
      <c r="BA6298" s="73" t="s">
        <v>355</v>
      </c>
      <c r="BB6298" s="48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357</v>
      </c>
      <c r="E6299" s="1" t="s">
        <v>132</v>
      </c>
      <c r="F6299" s="26">
        <v>7.22</v>
      </c>
      <c r="G6299" s="25" t="s">
        <v>293</v>
      </c>
      <c r="H6299" s="25"/>
      <c r="BA6299" s="73" t="s">
        <v>355</v>
      </c>
      <c r="BB6299" s="48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357</v>
      </c>
      <c r="E6300" s="1" t="s">
        <v>111</v>
      </c>
      <c r="F6300" s="26">
        <v>284</v>
      </c>
      <c r="G6300" s="25" t="s">
        <v>293</v>
      </c>
      <c r="H6300" s="25"/>
      <c r="BA6300" s="73" t="s">
        <v>355</v>
      </c>
      <c r="BB6300" s="48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357</v>
      </c>
      <c r="E6301" s="1" t="s">
        <v>345</v>
      </c>
      <c r="F6301" s="26">
        <v>9.6</v>
      </c>
      <c r="G6301" s="25" t="s">
        <v>293</v>
      </c>
      <c r="H6301" s="25"/>
      <c r="BA6301" s="73" t="s">
        <v>355</v>
      </c>
      <c r="BB6301" s="48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357</v>
      </c>
      <c r="E6302" s="1" t="s">
        <v>347</v>
      </c>
      <c r="F6302" s="26">
        <v>4.88</v>
      </c>
      <c r="G6302" s="25" t="s">
        <v>293</v>
      </c>
      <c r="H6302" s="25"/>
      <c r="BA6302" s="73" t="s">
        <v>355</v>
      </c>
      <c r="BB6302" s="48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357</v>
      </c>
      <c r="E6303" s="1" t="s">
        <v>128</v>
      </c>
      <c r="F6303" s="26">
        <v>4.7</v>
      </c>
      <c r="G6303" s="25" t="s">
        <v>293</v>
      </c>
      <c r="H6303" s="25"/>
      <c r="BA6303" s="73" t="s">
        <v>355</v>
      </c>
      <c r="BB6303" s="48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357</v>
      </c>
      <c r="E6304" s="1" t="s">
        <v>121</v>
      </c>
      <c r="F6304" s="26">
        <v>81</v>
      </c>
      <c r="G6304" s="25" t="s">
        <v>293</v>
      </c>
      <c r="H6304" s="25"/>
      <c r="BA6304" s="73" t="s">
        <v>355</v>
      </c>
      <c r="BB6304" s="48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357</v>
      </c>
      <c r="E6305" s="1" t="s">
        <v>115</v>
      </c>
      <c r="F6305" s="26">
        <v>96</v>
      </c>
      <c r="G6305" s="25" t="s">
        <v>293</v>
      </c>
      <c r="H6305" s="25"/>
      <c r="BA6305" s="73" t="s">
        <v>355</v>
      </c>
      <c r="BB6305" s="48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357</v>
      </c>
      <c r="E6306" s="1" t="s">
        <v>137</v>
      </c>
      <c r="F6306" s="26">
        <v>484</v>
      </c>
      <c r="G6306" s="25" t="s">
        <v>293</v>
      </c>
      <c r="H6306" s="25"/>
      <c r="BA6306" s="73" t="s">
        <v>355</v>
      </c>
      <c r="BB6306" s="48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357</v>
      </c>
      <c r="E6307" s="1" t="s">
        <v>348</v>
      </c>
      <c r="F6307" s="26">
        <v>410</v>
      </c>
      <c r="G6307" s="25" t="s">
        <v>293</v>
      </c>
      <c r="H6307" s="25"/>
      <c r="BA6307" s="73" t="s">
        <v>355</v>
      </c>
      <c r="BB6307" s="48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357</v>
      </c>
      <c r="E6308" s="1" t="s">
        <v>125</v>
      </c>
      <c r="F6308" s="26">
        <v>427</v>
      </c>
      <c r="G6308" s="25" t="s">
        <v>293</v>
      </c>
      <c r="H6308" s="25"/>
      <c r="BA6308" s="73" t="s">
        <v>355</v>
      </c>
      <c r="BB6308" s="48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357</v>
      </c>
      <c r="E6309" s="1" t="s">
        <v>126</v>
      </c>
      <c r="F6309" s="26">
        <v>156</v>
      </c>
      <c r="G6309" s="25" t="s">
        <v>293</v>
      </c>
      <c r="H6309" s="25"/>
      <c r="BA6309" s="73" t="s">
        <v>355</v>
      </c>
      <c r="BB6309" s="48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357</v>
      </c>
      <c r="E6310" s="1" t="s">
        <v>349</v>
      </c>
      <c r="F6310" s="26">
        <v>355</v>
      </c>
      <c r="G6310" s="25" t="s">
        <v>293</v>
      </c>
      <c r="H6310" s="25"/>
      <c r="BA6310" s="73" t="s">
        <v>355</v>
      </c>
      <c r="BB6310" s="48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357</v>
      </c>
      <c r="E6311" s="1" t="s">
        <v>350</v>
      </c>
      <c r="F6311" s="26">
        <v>86</v>
      </c>
      <c r="G6311" s="25" t="s">
        <v>293</v>
      </c>
      <c r="H6311" s="25"/>
      <c r="BA6311" s="73" t="s">
        <v>355</v>
      </c>
      <c r="BB6311" s="48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357</v>
      </c>
      <c r="E6312" s="1" t="s">
        <v>122</v>
      </c>
      <c r="F6312" s="26">
        <v>218</v>
      </c>
      <c r="G6312" s="25" t="s">
        <v>293</v>
      </c>
      <c r="H6312" s="25"/>
      <c r="BA6312" s="73" t="s">
        <v>355</v>
      </c>
      <c r="BB6312" s="48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357</v>
      </c>
      <c r="E6313" s="1" t="s">
        <v>124</v>
      </c>
      <c r="F6313" s="26">
        <v>100</v>
      </c>
      <c r="G6313" s="25" t="s">
        <v>293</v>
      </c>
      <c r="H6313" s="25"/>
      <c r="BA6313" s="73" t="s">
        <v>355</v>
      </c>
      <c r="BB6313" s="48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357</v>
      </c>
      <c r="E6314" s="1" t="s">
        <v>351</v>
      </c>
      <c r="F6314" s="26">
        <v>3.53</v>
      </c>
      <c r="G6314" s="25" t="s">
        <v>293</v>
      </c>
      <c r="H6314" s="25"/>
      <c r="BA6314" s="73" t="s">
        <v>355</v>
      </c>
      <c r="BB6314" s="48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357</v>
      </c>
      <c r="E6315" s="1" t="s">
        <v>353</v>
      </c>
      <c r="F6315" s="26">
        <v>14.7</v>
      </c>
      <c r="G6315" s="25" t="s">
        <v>293</v>
      </c>
      <c r="H6315" s="25"/>
      <c r="BA6315" s="73" t="s">
        <v>355</v>
      </c>
      <c r="BB6315" s="48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357</v>
      </c>
      <c r="E6316" s="1" t="s">
        <v>133</v>
      </c>
      <c r="F6316" s="26">
        <v>128</v>
      </c>
      <c r="G6316" s="25" t="s">
        <v>293</v>
      </c>
      <c r="H6316" s="25"/>
      <c r="BA6316" s="73" t="s">
        <v>355</v>
      </c>
      <c r="BB6316" s="48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357</v>
      </c>
      <c r="E6317" s="1" t="s">
        <v>135</v>
      </c>
      <c r="F6317" s="26">
        <v>6.5</v>
      </c>
      <c r="G6317" s="25" t="s">
        <v>293</v>
      </c>
      <c r="H6317" s="25"/>
      <c r="BA6317" s="73" t="s">
        <v>355</v>
      </c>
      <c r="BB6317" s="48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357</v>
      </c>
      <c r="E6318" s="1" t="s">
        <v>136</v>
      </c>
      <c r="F6318" s="26">
        <v>94</v>
      </c>
      <c r="G6318" s="25" t="s">
        <v>293</v>
      </c>
      <c r="H6318" s="25"/>
      <c r="BA6318" s="73" t="s">
        <v>355</v>
      </c>
      <c r="BB6318" s="48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357</v>
      </c>
      <c r="E6319" s="1" t="s">
        <v>339</v>
      </c>
      <c r="F6319" s="26">
        <v>1.28</v>
      </c>
      <c r="G6319" s="25" t="s">
        <v>293</v>
      </c>
      <c r="H6319" s="25"/>
      <c r="BA6319" s="73" t="s">
        <v>355</v>
      </c>
      <c r="BB6319" s="48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357</v>
      </c>
      <c r="E6320" s="1" t="s">
        <v>118</v>
      </c>
      <c r="F6320" s="26">
        <v>9.6</v>
      </c>
      <c r="G6320" s="25" t="s">
        <v>293</v>
      </c>
      <c r="H6320" s="25"/>
      <c r="BA6320" s="73" t="s">
        <v>355</v>
      </c>
      <c r="BB6320" s="48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357</v>
      </c>
      <c r="E6321" s="1" t="s">
        <v>130</v>
      </c>
      <c r="F6321" s="26">
        <v>2.41</v>
      </c>
      <c r="G6321" s="25" t="s">
        <v>293</v>
      </c>
      <c r="H6321" s="25"/>
      <c r="BA6321" s="73" t="s">
        <v>355</v>
      </c>
      <c r="BB6321" s="48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357</v>
      </c>
      <c r="E6322" s="1" t="s">
        <v>341</v>
      </c>
      <c r="F6322" s="26">
        <v>1.24</v>
      </c>
      <c r="G6322" s="25" t="s">
        <v>293</v>
      </c>
      <c r="H6322" s="25"/>
      <c r="BA6322" s="73" t="s">
        <v>355</v>
      </c>
      <c r="BB6322" s="48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357</v>
      </c>
      <c r="E6323" s="1" t="s">
        <v>127</v>
      </c>
      <c r="F6323" s="26">
        <v>4.75</v>
      </c>
      <c r="G6323" s="25" t="s">
        <v>293</v>
      </c>
      <c r="H6323" s="25"/>
      <c r="BA6323" s="73" t="s">
        <v>355</v>
      </c>
      <c r="BB6323" s="48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357</v>
      </c>
      <c r="E6324" s="1" t="s">
        <v>131</v>
      </c>
      <c r="F6324" s="26">
        <v>11.8</v>
      </c>
      <c r="G6324" s="25" t="s">
        <v>293</v>
      </c>
      <c r="H6324" s="25"/>
      <c r="BA6324" s="73" t="s">
        <v>355</v>
      </c>
      <c r="BB6324" s="48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357</v>
      </c>
      <c r="E6325" s="1" t="s">
        <v>342</v>
      </c>
      <c r="F6325" s="26">
        <v>178</v>
      </c>
      <c r="G6325" s="25" t="s">
        <v>293</v>
      </c>
      <c r="H6325" s="25"/>
      <c r="BA6325" s="73" t="s">
        <v>355</v>
      </c>
      <c r="BB6325" s="48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357</v>
      </c>
      <c r="E6326" s="1" t="s">
        <v>119</v>
      </c>
      <c r="F6326" s="26">
        <v>93</v>
      </c>
      <c r="G6326" s="25" t="s">
        <v>293</v>
      </c>
      <c r="H6326" s="25"/>
      <c r="BA6326" s="73" t="s">
        <v>355</v>
      </c>
      <c r="BB6326" s="48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357</v>
      </c>
      <c r="E6327" s="1" t="s">
        <v>120</v>
      </c>
      <c r="F6327" s="26">
        <v>27</v>
      </c>
      <c r="G6327" s="25" t="s">
        <v>293</v>
      </c>
      <c r="H6327" s="25"/>
      <c r="BA6327" s="73" t="s">
        <v>355</v>
      </c>
      <c r="BB6327" s="48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357</v>
      </c>
      <c r="E6328" s="1" t="s">
        <v>117</v>
      </c>
      <c r="F6328" s="26">
        <v>6.33</v>
      </c>
      <c r="G6328" s="25" t="s">
        <v>293</v>
      </c>
      <c r="H6328" s="25"/>
      <c r="BA6328" s="73" t="s">
        <v>355</v>
      </c>
      <c r="BB6328" s="48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357</v>
      </c>
      <c r="E6329" s="1" t="s">
        <v>344</v>
      </c>
      <c r="F6329" s="26">
        <v>69</v>
      </c>
      <c r="G6329" s="25" t="s">
        <v>293</v>
      </c>
      <c r="H6329" s="25"/>
      <c r="BA6329" s="73" t="s">
        <v>355</v>
      </c>
      <c r="BB6329" s="48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357</v>
      </c>
      <c r="E6330" s="1" t="s">
        <v>132</v>
      </c>
      <c r="F6330" s="26">
        <v>7.1</v>
      </c>
      <c r="G6330" s="25" t="s">
        <v>293</v>
      </c>
      <c r="H6330" s="25"/>
      <c r="BA6330" s="73" t="s">
        <v>355</v>
      </c>
      <c r="BB6330" s="48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357</v>
      </c>
      <c r="E6331" s="1" t="s">
        <v>111</v>
      </c>
      <c r="F6331" s="26">
        <v>280</v>
      </c>
      <c r="G6331" s="25" t="s">
        <v>293</v>
      </c>
      <c r="H6331" s="25"/>
      <c r="BA6331" s="73" t="s">
        <v>355</v>
      </c>
      <c r="BB6331" s="48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357</v>
      </c>
      <c r="E6332" s="1" t="s">
        <v>345</v>
      </c>
      <c r="F6332" s="26">
        <v>9.6999999999999993</v>
      </c>
      <c r="G6332" s="25" t="s">
        <v>293</v>
      </c>
      <c r="H6332" s="25"/>
      <c r="BA6332" s="73" t="s">
        <v>355</v>
      </c>
      <c r="BB6332" s="48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357</v>
      </c>
      <c r="E6333" s="1" t="s">
        <v>347</v>
      </c>
      <c r="F6333" s="26">
        <v>4.7</v>
      </c>
      <c r="G6333" s="25" t="s">
        <v>293</v>
      </c>
      <c r="H6333" s="25"/>
      <c r="BA6333" s="73" t="s">
        <v>355</v>
      </c>
      <c r="BB6333" s="48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357</v>
      </c>
      <c r="E6334" s="1" t="s">
        <v>128</v>
      </c>
      <c r="F6334" s="26">
        <v>4.5999999999999996</v>
      </c>
      <c r="G6334" s="25" t="s">
        <v>293</v>
      </c>
      <c r="H6334" s="25"/>
      <c r="BA6334" s="73" t="s">
        <v>355</v>
      </c>
      <c r="BB6334" s="48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357</v>
      </c>
      <c r="E6335" s="1" t="s">
        <v>121</v>
      </c>
      <c r="F6335" s="26">
        <v>81</v>
      </c>
      <c r="G6335" s="25" t="s">
        <v>293</v>
      </c>
      <c r="H6335" s="25"/>
      <c r="BA6335" s="73" t="s">
        <v>355</v>
      </c>
      <c r="BB6335" s="48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357</v>
      </c>
      <c r="E6336" s="1" t="s">
        <v>115</v>
      </c>
      <c r="F6336" s="26">
        <v>99</v>
      </c>
      <c r="G6336" s="25" t="s">
        <v>293</v>
      </c>
      <c r="H6336" s="25"/>
      <c r="BA6336" s="73" t="s">
        <v>355</v>
      </c>
      <c r="BB6336" s="48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357</v>
      </c>
      <c r="E6337" s="1" t="s">
        <v>137</v>
      </c>
      <c r="F6337" s="26">
        <v>487</v>
      </c>
      <c r="G6337" s="25" t="s">
        <v>293</v>
      </c>
      <c r="H6337" s="25"/>
      <c r="BA6337" s="73" t="s">
        <v>355</v>
      </c>
      <c r="BB6337" s="48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357</v>
      </c>
      <c r="E6338" s="1" t="s">
        <v>348</v>
      </c>
      <c r="F6338" s="26">
        <v>407</v>
      </c>
      <c r="G6338" s="25" t="s">
        <v>293</v>
      </c>
      <c r="H6338" s="25"/>
      <c r="BA6338" s="73" t="s">
        <v>355</v>
      </c>
      <c r="BB6338" s="48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357</v>
      </c>
      <c r="E6339" s="1" t="s">
        <v>125</v>
      </c>
      <c r="F6339" s="26">
        <v>412</v>
      </c>
      <c r="G6339" s="25" t="s">
        <v>293</v>
      </c>
      <c r="H6339" s="25"/>
      <c r="BA6339" s="73" t="s">
        <v>355</v>
      </c>
      <c r="BB6339" s="48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357</v>
      </c>
      <c r="E6340" s="1" t="s">
        <v>126</v>
      </c>
      <c r="F6340" s="26">
        <v>154</v>
      </c>
      <c r="G6340" s="25" t="s">
        <v>293</v>
      </c>
      <c r="H6340" s="25"/>
      <c r="BA6340" s="73" t="s">
        <v>355</v>
      </c>
      <c r="BB6340" s="48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357</v>
      </c>
      <c r="E6341" s="1" t="s">
        <v>349</v>
      </c>
      <c r="F6341" s="26">
        <v>354</v>
      </c>
      <c r="G6341" s="25" t="s">
        <v>293</v>
      </c>
      <c r="H6341" s="25"/>
      <c r="BA6341" s="73" t="s">
        <v>355</v>
      </c>
      <c r="BB6341" s="48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357</v>
      </c>
      <c r="E6342" s="1" t="s">
        <v>350</v>
      </c>
      <c r="F6342" s="26">
        <v>83</v>
      </c>
      <c r="G6342" s="25" t="s">
        <v>293</v>
      </c>
      <c r="H6342" s="25"/>
      <c r="BA6342" s="73" t="s">
        <v>355</v>
      </c>
      <c r="BB6342" s="48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357</v>
      </c>
      <c r="E6343" s="1" t="s">
        <v>122</v>
      </c>
      <c r="F6343" s="26">
        <v>215</v>
      </c>
      <c r="G6343" s="25" t="s">
        <v>293</v>
      </c>
      <c r="H6343" s="25"/>
      <c r="BA6343" s="73" t="s">
        <v>355</v>
      </c>
      <c r="BB6343" s="48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357</v>
      </c>
      <c r="E6344" s="1" t="s">
        <v>124</v>
      </c>
      <c r="F6344" s="26">
        <v>106</v>
      </c>
      <c r="G6344" s="25" t="s">
        <v>293</v>
      </c>
      <c r="H6344" s="25"/>
      <c r="BA6344" s="73" t="s">
        <v>355</v>
      </c>
      <c r="BB6344" s="48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357</v>
      </c>
      <c r="E6345" s="1" t="s">
        <v>351</v>
      </c>
      <c r="F6345" s="26">
        <v>3.6</v>
      </c>
      <c r="G6345" s="25" t="s">
        <v>293</v>
      </c>
      <c r="H6345" s="25"/>
      <c r="BA6345" s="73" t="s">
        <v>355</v>
      </c>
      <c r="BB6345" s="48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357</v>
      </c>
      <c r="E6346" s="1" t="s">
        <v>353</v>
      </c>
      <c r="F6346" s="26">
        <v>16</v>
      </c>
      <c r="G6346" s="25" t="s">
        <v>293</v>
      </c>
      <c r="H6346" s="25"/>
      <c r="BA6346" s="73" t="s">
        <v>355</v>
      </c>
      <c r="BB6346" s="48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357</v>
      </c>
      <c r="E6347" s="1" t="s">
        <v>133</v>
      </c>
      <c r="F6347" s="26">
        <v>127</v>
      </c>
      <c r="G6347" s="25" t="s">
        <v>293</v>
      </c>
      <c r="H6347" s="25"/>
      <c r="BA6347" s="73" t="s">
        <v>355</v>
      </c>
      <c r="BB6347" s="48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357</v>
      </c>
      <c r="E6348" s="1" t="s">
        <v>135</v>
      </c>
      <c r="F6348" s="26">
        <v>6.5</v>
      </c>
      <c r="G6348" s="25" t="s">
        <v>293</v>
      </c>
      <c r="H6348" s="25"/>
      <c r="BA6348" s="73" t="s">
        <v>355</v>
      </c>
      <c r="BB6348" s="48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357</v>
      </c>
      <c r="E6349" s="1" t="s">
        <v>136</v>
      </c>
      <c r="F6349" s="26">
        <v>93</v>
      </c>
      <c r="G6349" s="25" t="s">
        <v>293</v>
      </c>
      <c r="H6349" s="25"/>
      <c r="BA6349" s="73" t="s">
        <v>355</v>
      </c>
      <c r="BB6349" s="48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357</v>
      </c>
      <c r="E6350" s="1" t="s">
        <v>339</v>
      </c>
      <c r="F6350" s="26">
        <v>1.25</v>
      </c>
      <c r="G6350" s="25" t="s">
        <v>293</v>
      </c>
      <c r="H6350" s="25"/>
      <c r="BA6350" s="73" t="s">
        <v>355</v>
      </c>
      <c r="BB6350" s="48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357</v>
      </c>
      <c r="E6351" s="1" t="s">
        <v>118</v>
      </c>
      <c r="F6351" s="26">
        <v>9.5</v>
      </c>
      <c r="G6351" s="25" t="s">
        <v>293</v>
      </c>
      <c r="H6351" s="25"/>
      <c r="BA6351" s="73" t="s">
        <v>355</v>
      </c>
      <c r="BB6351" s="48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357</v>
      </c>
      <c r="E6352" s="1" t="s">
        <v>130</v>
      </c>
      <c r="F6352" s="26">
        <v>2.46</v>
      </c>
      <c r="G6352" s="25" t="s">
        <v>293</v>
      </c>
      <c r="H6352" s="25"/>
      <c r="BA6352" s="73" t="s">
        <v>355</v>
      </c>
      <c r="BB6352" s="48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357</v>
      </c>
      <c r="E6353" s="1" t="s">
        <v>341</v>
      </c>
      <c r="F6353" s="26">
        <v>1.24</v>
      </c>
      <c r="G6353" s="25" t="s">
        <v>293</v>
      </c>
      <c r="H6353" s="25"/>
      <c r="BA6353" s="73" t="s">
        <v>355</v>
      </c>
      <c r="BB6353" s="48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357</v>
      </c>
      <c r="E6354" s="1" t="s">
        <v>127</v>
      </c>
      <c r="F6354" s="26">
        <v>4.79</v>
      </c>
      <c r="G6354" s="25" t="s">
        <v>293</v>
      </c>
      <c r="H6354" s="25"/>
      <c r="BA6354" s="73" t="s">
        <v>355</v>
      </c>
      <c r="BB6354" s="48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357</v>
      </c>
      <c r="E6355" s="1" t="s">
        <v>131</v>
      </c>
      <c r="F6355" s="26">
        <v>11.8</v>
      </c>
      <c r="G6355" s="25" t="s">
        <v>293</v>
      </c>
      <c r="H6355" s="25"/>
      <c r="BA6355" s="73" t="s">
        <v>355</v>
      </c>
      <c r="BB6355" s="48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357</v>
      </c>
      <c r="E6356" s="1" t="s">
        <v>342</v>
      </c>
      <c r="F6356" s="26">
        <v>198</v>
      </c>
      <c r="G6356" s="25" t="s">
        <v>293</v>
      </c>
      <c r="H6356" s="25"/>
      <c r="BA6356" s="73" t="s">
        <v>355</v>
      </c>
      <c r="BB6356" s="48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357</v>
      </c>
      <c r="E6357" s="1" t="s">
        <v>119</v>
      </c>
      <c r="F6357" s="26">
        <v>94</v>
      </c>
      <c r="G6357" s="25" t="s">
        <v>293</v>
      </c>
      <c r="H6357" s="25"/>
      <c r="BA6357" s="73" t="s">
        <v>355</v>
      </c>
      <c r="BB6357" s="48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357</v>
      </c>
      <c r="E6358" s="1" t="s">
        <v>120</v>
      </c>
      <c r="F6358" s="26">
        <v>27</v>
      </c>
      <c r="G6358" s="25" t="s">
        <v>293</v>
      </c>
      <c r="H6358" s="25"/>
      <c r="BA6358" s="73" t="s">
        <v>355</v>
      </c>
      <c r="BB6358" s="48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357</v>
      </c>
      <c r="E6359" s="1" t="s">
        <v>117</v>
      </c>
      <c r="F6359" s="26">
        <v>6.42</v>
      </c>
      <c r="G6359" s="25" t="s">
        <v>293</v>
      </c>
      <c r="H6359" s="25"/>
      <c r="BA6359" s="73" t="s">
        <v>355</v>
      </c>
      <c r="BB6359" s="48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357</v>
      </c>
      <c r="E6360" s="1" t="s">
        <v>344</v>
      </c>
      <c r="F6360" s="26">
        <v>69</v>
      </c>
      <c r="G6360" s="25" t="s">
        <v>293</v>
      </c>
      <c r="H6360" s="25"/>
      <c r="BA6360" s="73" t="s">
        <v>355</v>
      </c>
      <c r="BB6360" s="48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357</v>
      </c>
      <c r="E6361" s="1" t="s">
        <v>132</v>
      </c>
      <c r="F6361" s="26">
        <v>7.08</v>
      </c>
      <c r="G6361" s="25" t="s">
        <v>293</v>
      </c>
      <c r="H6361" s="25"/>
      <c r="BA6361" s="73" t="s">
        <v>355</v>
      </c>
      <c r="BB6361" s="48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357</v>
      </c>
      <c r="E6362" s="1" t="s">
        <v>111</v>
      </c>
      <c r="F6362" s="26">
        <v>277</v>
      </c>
      <c r="G6362" s="25" t="s">
        <v>293</v>
      </c>
      <c r="H6362" s="25"/>
      <c r="BA6362" s="73" t="s">
        <v>355</v>
      </c>
      <c r="BB6362" s="48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357</v>
      </c>
      <c r="E6363" s="1" t="s">
        <v>345</v>
      </c>
      <c r="F6363" s="26">
        <v>9.6</v>
      </c>
      <c r="G6363" s="25" t="s">
        <v>293</v>
      </c>
      <c r="H6363" s="25"/>
      <c r="BA6363" s="73" t="s">
        <v>355</v>
      </c>
      <c r="BB6363" s="48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357</v>
      </c>
      <c r="E6364" s="1" t="s">
        <v>347</v>
      </c>
      <c r="F6364" s="26">
        <v>4.7</v>
      </c>
      <c r="G6364" s="25" t="s">
        <v>293</v>
      </c>
      <c r="H6364" s="25"/>
      <c r="BA6364" s="73" t="s">
        <v>355</v>
      </c>
      <c r="BB6364" s="48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357</v>
      </c>
      <c r="E6365" s="1" t="s">
        <v>128</v>
      </c>
      <c r="F6365" s="26">
        <v>4.5999999999999996</v>
      </c>
      <c r="G6365" s="25" t="s">
        <v>293</v>
      </c>
      <c r="H6365" s="25"/>
      <c r="BA6365" s="73" t="s">
        <v>355</v>
      </c>
      <c r="BB6365" s="48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357</v>
      </c>
      <c r="E6366" s="1" t="s">
        <v>121</v>
      </c>
      <c r="F6366" s="26">
        <v>81</v>
      </c>
      <c r="G6366" s="25" t="s">
        <v>293</v>
      </c>
      <c r="H6366" s="25"/>
      <c r="BA6366" s="73" t="s">
        <v>355</v>
      </c>
      <c r="BB6366" s="48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357</v>
      </c>
      <c r="E6367" s="1" t="s">
        <v>115</v>
      </c>
      <c r="F6367" s="26">
        <v>98</v>
      </c>
      <c r="G6367" s="25" t="s">
        <v>293</v>
      </c>
      <c r="H6367" s="25"/>
      <c r="BA6367" s="73" t="s">
        <v>355</v>
      </c>
      <c r="BB6367" s="48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357</v>
      </c>
      <c r="E6368" s="1" t="s">
        <v>137</v>
      </c>
      <c r="F6368" s="26">
        <v>487</v>
      </c>
      <c r="G6368" s="25" t="s">
        <v>293</v>
      </c>
      <c r="H6368" s="25"/>
      <c r="BA6368" s="73" t="s">
        <v>355</v>
      </c>
      <c r="BB6368" s="48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357</v>
      </c>
      <c r="E6369" s="1" t="s">
        <v>348</v>
      </c>
      <c r="F6369" s="26">
        <v>410</v>
      </c>
      <c r="G6369" s="25" t="s">
        <v>293</v>
      </c>
      <c r="H6369" s="25"/>
      <c r="BA6369" s="73" t="s">
        <v>355</v>
      </c>
      <c r="BB6369" s="48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357</v>
      </c>
      <c r="E6370" s="1" t="s">
        <v>125</v>
      </c>
      <c r="F6370" s="26">
        <v>420</v>
      </c>
      <c r="G6370" s="25" t="s">
        <v>293</v>
      </c>
      <c r="H6370" s="25"/>
      <c r="BA6370" s="73" t="s">
        <v>355</v>
      </c>
      <c r="BB6370" s="48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357</v>
      </c>
      <c r="E6371" s="1" t="s">
        <v>126</v>
      </c>
      <c r="F6371" s="26">
        <v>153</v>
      </c>
      <c r="G6371" s="25" t="s">
        <v>293</v>
      </c>
      <c r="H6371" s="25"/>
      <c r="BA6371" s="73" t="s">
        <v>355</v>
      </c>
      <c r="BB6371" s="48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357</v>
      </c>
      <c r="E6372" s="1" t="s">
        <v>349</v>
      </c>
      <c r="F6372" s="26">
        <v>360</v>
      </c>
      <c r="G6372" s="25" t="s">
        <v>293</v>
      </c>
      <c r="H6372" s="25"/>
      <c r="BA6372" s="73" t="s">
        <v>355</v>
      </c>
      <c r="BB6372" s="48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357</v>
      </c>
      <c r="E6373" s="1" t="s">
        <v>350</v>
      </c>
      <c r="F6373" s="26">
        <v>84</v>
      </c>
      <c r="G6373" s="25" t="s">
        <v>293</v>
      </c>
      <c r="H6373" s="25"/>
      <c r="BA6373" s="73" t="s">
        <v>355</v>
      </c>
      <c r="BB6373" s="48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357</v>
      </c>
      <c r="E6374" s="1" t="s">
        <v>122</v>
      </c>
      <c r="F6374" s="26">
        <v>214</v>
      </c>
      <c r="G6374" s="25" t="s">
        <v>293</v>
      </c>
      <c r="H6374" s="25"/>
      <c r="BA6374" s="73" t="s">
        <v>355</v>
      </c>
      <c r="BB6374" s="48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357</v>
      </c>
      <c r="E6375" s="1" t="s">
        <v>124</v>
      </c>
      <c r="F6375" s="26">
        <v>104</v>
      </c>
      <c r="G6375" s="25" t="s">
        <v>293</v>
      </c>
      <c r="H6375" s="25"/>
      <c r="BA6375" s="73" t="s">
        <v>355</v>
      </c>
      <c r="BB6375" s="48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357</v>
      </c>
      <c r="E6376" s="1" t="s">
        <v>351</v>
      </c>
      <c r="F6376" s="26">
        <v>3.51</v>
      </c>
      <c r="G6376" s="25" t="s">
        <v>293</v>
      </c>
      <c r="H6376" s="25"/>
      <c r="BA6376" s="73" t="s">
        <v>355</v>
      </c>
      <c r="BB6376" s="48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357</v>
      </c>
      <c r="E6377" s="1" t="s">
        <v>353</v>
      </c>
      <c r="F6377" s="26">
        <v>17.5</v>
      </c>
      <c r="G6377" s="25" t="s">
        <v>293</v>
      </c>
      <c r="H6377" s="25"/>
      <c r="BA6377" s="73" t="s">
        <v>355</v>
      </c>
      <c r="BB6377" s="48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357</v>
      </c>
      <c r="E6378" s="1" t="s">
        <v>133</v>
      </c>
      <c r="F6378" s="26">
        <v>127</v>
      </c>
      <c r="G6378" s="25" t="s">
        <v>293</v>
      </c>
      <c r="H6378" s="25"/>
      <c r="BA6378" s="73" t="s">
        <v>355</v>
      </c>
      <c r="BB6378" s="48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357</v>
      </c>
      <c r="E6379" s="1" t="s">
        <v>135</v>
      </c>
      <c r="F6379" s="26">
        <v>6.4</v>
      </c>
      <c r="G6379" s="25" t="s">
        <v>293</v>
      </c>
      <c r="H6379" s="25"/>
      <c r="BA6379" s="73" t="s">
        <v>355</v>
      </c>
      <c r="BB6379" s="48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357</v>
      </c>
      <c r="E6380" s="1" t="s">
        <v>136</v>
      </c>
      <c r="F6380" s="26">
        <v>93</v>
      </c>
      <c r="G6380" s="25" t="s">
        <v>293</v>
      </c>
      <c r="H6380" s="25"/>
      <c r="BA6380" s="73" t="s">
        <v>355</v>
      </c>
      <c r="BB6380" s="48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357</v>
      </c>
      <c r="E6381" s="1" t="s">
        <v>339</v>
      </c>
      <c r="F6381" s="26">
        <v>1.24</v>
      </c>
      <c r="G6381" s="25" t="s">
        <v>293</v>
      </c>
      <c r="H6381" s="25"/>
      <c r="BA6381" s="73" t="s">
        <v>355</v>
      </c>
      <c r="BB6381" s="48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357</v>
      </c>
      <c r="E6382" s="1" t="s">
        <v>118</v>
      </c>
      <c r="F6382" s="26">
        <v>9.6</v>
      </c>
      <c r="G6382" s="25" t="s">
        <v>293</v>
      </c>
      <c r="H6382" s="25"/>
      <c r="BA6382" s="73" t="s">
        <v>355</v>
      </c>
      <c r="BB6382" s="48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357</v>
      </c>
      <c r="E6383" s="1" t="s">
        <v>130</v>
      </c>
      <c r="F6383" s="26">
        <v>2.46</v>
      </c>
      <c r="G6383" s="25" t="s">
        <v>293</v>
      </c>
      <c r="H6383" s="25"/>
      <c r="BA6383" s="73" t="s">
        <v>355</v>
      </c>
      <c r="BB6383" s="48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357</v>
      </c>
      <c r="E6384" s="1" t="s">
        <v>341</v>
      </c>
      <c r="F6384" s="26">
        <v>1.22</v>
      </c>
      <c r="G6384" s="25" t="s">
        <v>293</v>
      </c>
      <c r="H6384" s="25"/>
      <c r="BA6384" s="73" t="s">
        <v>355</v>
      </c>
      <c r="BB6384" s="48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357</v>
      </c>
      <c r="E6385" s="1" t="s">
        <v>127</v>
      </c>
      <c r="F6385" s="26">
        <v>4.79</v>
      </c>
      <c r="G6385" s="25" t="s">
        <v>293</v>
      </c>
      <c r="H6385" s="25"/>
      <c r="BA6385" s="73" t="s">
        <v>355</v>
      </c>
      <c r="BB6385" s="48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357</v>
      </c>
      <c r="E6386" s="1" t="s">
        <v>131</v>
      </c>
      <c r="F6386" s="26">
        <v>12</v>
      </c>
      <c r="G6386" s="25" t="s">
        <v>293</v>
      </c>
      <c r="H6386" s="25"/>
      <c r="BA6386" s="73" t="s">
        <v>355</v>
      </c>
      <c r="BB6386" s="48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357</v>
      </c>
      <c r="E6387" s="1" t="s">
        <v>342</v>
      </c>
      <c r="F6387" s="26">
        <v>174</v>
      </c>
      <c r="G6387" s="25" t="s">
        <v>293</v>
      </c>
      <c r="H6387" s="25"/>
      <c r="BA6387" s="73" t="s">
        <v>355</v>
      </c>
      <c r="BB6387" s="48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357</v>
      </c>
      <c r="E6388" s="1" t="s">
        <v>119</v>
      </c>
      <c r="F6388" s="26">
        <v>93</v>
      </c>
      <c r="G6388" s="25" t="s">
        <v>293</v>
      </c>
      <c r="H6388" s="25"/>
      <c r="BA6388" s="73" t="s">
        <v>355</v>
      </c>
      <c r="BB6388" s="48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357</v>
      </c>
      <c r="E6389" s="1" t="s">
        <v>120</v>
      </c>
      <c r="F6389" s="26">
        <v>28</v>
      </c>
      <c r="G6389" s="25" t="s">
        <v>293</v>
      </c>
      <c r="H6389" s="25"/>
      <c r="BA6389" s="73" t="s">
        <v>355</v>
      </c>
      <c r="BB6389" s="48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357</v>
      </c>
      <c r="E6390" s="1" t="s">
        <v>117</v>
      </c>
      <c r="F6390" s="26">
        <v>6.43</v>
      </c>
      <c r="G6390" s="25" t="s">
        <v>293</v>
      </c>
      <c r="H6390" s="25"/>
      <c r="BA6390" s="73" t="s">
        <v>355</v>
      </c>
      <c r="BB6390" s="48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357</v>
      </c>
      <c r="E6391" s="1" t="s">
        <v>344</v>
      </c>
      <c r="F6391" s="26">
        <v>71</v>
      </c>
      <c r="G6391" s="25" t="s">
        <v>293</v>
      </c>
      <c r="H6391" s="25"/>
      <c r="BA6391" s="73" t="s">
        <v>355</v>
      </c>
      <c r="BB6391" s="48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357</v>
      </c>
      <c r="E6392" s="1" t="s">
        <v>132</v>
      </c>
      <c r="F6392" s="26">
        <v>7.11</v>
      </c>
      <c r="G6392" s="25" t="s">
        <v>293</v>
      </c>
      <c r="H6392" s="25"/>
      <c r="BA6392" s="73" t="s">
        <v>355</v>
      </c>
      <c r="BB6392" s="48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357</v>
      </c>
      <c r="E6393" s="1" t="s">
        <v>111</v>
      </c>
      <c r="F6393" s="26">
        <v>285</v>
      </c>
      <c r="G6393" s="25" t="s">
        <v>293</v>
      </c>
      <c r="H6393" s="25"/>
      <c r="BA6393" s="73" t="s">
        <v>355</v>
      </c>
      <c r="BB6393" s="48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357</v>
      </c>
      <c r="E6394" s="1" t="s">
        <v>345</v>
      </c>
      <c r="F6394" s="26">
        <v>9.6</v>
      </c>
      <c r="G6394" s="25" t="s">
        <v>293</v>
      </c>
      <c r="H6394" s="25"/>
      <c r="BA6394" s="73" t="s">
        <v>355</v>
      </c>
      <c r="BB6394" s="48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357</v>
      </c>
      <c r="E6395" s="1" t="s">
        <v>347</v>
      </c>
      <c r="F6395" s="26">
        <v>4.7699999999999996</v>
      </c>
      <c r="G6395" s="25" t="s">
        <v>293</v>
      </c>
      <c r="H6395" s="25"/>
      <c r="BA6395" s="73" t="s">
        <v>355</v>
      </c>
      <c r="BB6395" s="48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357</v>
      </c>
      <c r="E6396" s="1" t="s">
        <v>128</v>
      </c>
      <c r="F6396" s="26">
        <v>4.5999999999999996</v>
      </c>
      <c r="G6396" s="25" t="s">
        <v>293</v>
      </c>
      <c r="H6396" s="25"/>
      <c r="BA6396" s="73" t="s">
        <v>355</v>
      </c>
      <c r="BB6396" s="48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357</v>
      </c>
      <c r="E6397" s="1" t="s">
        <v>121</v>
      </c>
      <c r="F6397" s="26">
        <v>80</v>
      </c>
      <c r="G6397" s="25" t="s">
        <v>293</v>
      </c>
      <c r="H6397" s="25"/>
      <c r="BA6397" s="73" t="s">
        <v>355</v>
      </c>
      <c r="BB6397" s="48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357</v>
      </c>
      <c r="E6398" s="1" t="s">
        <v>115</v>
      </c>
      <c r="F6398" s="26">
        <v>99</v>
      </c>
      <c r="G6398" s="25" t="s">
        <v>293</v>
      </c>
      <c r="H6398" s="25"/>
      <c r="BA6398" s="73" t="s">
        <v>355</v>
      </c>
      <c r="BB6398" s="48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357</v>
      </c>
      <c r="E6399" s="1" t="s">
        <v>137</v>
      </c>
      <c r="F6399" s="26">
        <v>485</v>
      </c>
      <c r="G6399" s="25" t="s">
        <v>293</v>
      </c>
      <c r="H6399" s="25"/>
      <c r="BA6399" s="73" t="s">
        <v>355</v>
      </c>
      <c r="BB6399" s="48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357</v>
      </c>
      <c r="E6400" s="1" t="s">
        <v>348</v>
      </c>
      <c r="F6400" s="26">
        <v>405</v>
      </c>
      <c r="G6400" s="25" t="s">
        <v>293</v>
      </c>
      <c r="H6400" s="25"/>
      <c r="BA6400" s="73" t="s">
        <v>355</v>
      </c>
      <c r="BB6400" s="48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357</v>
      </c>
      <c r="E6401" s="1" t="s">
        <v>125</v>
      </c>
      <c r="F6401" s="26">
        <v>419</v>
      </c>
      <c r="G6401" s="25" t="s">
        <v>293</v>
      </c>
      <c r="H6401" s="25"/>
      <c r="BA6401" s="73" t="s">
        <v>355</v>
      </c>
      <c r="BB6401" s="48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357</v>
      </c>
      <c r="E6402" s="1" t="s">
        <v>126</v>
      </c>
      <c r="F6402" s="26">
        <v>156</v>
      </c>
      <c r="G6402" s="25" t="s">
        <v>293</v>
      </c>
      <c r="H6402" s="25"/>
      <c r="BA6402" s="73" t="s">
        <v>355</v>
      </c>
      <c r="BB6402" s="48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357</v>
      </c>
      <c r="E6403" s="1" t="s">
        <v>349</v>
      </c>
      <c r="F6403" s="26">
        <v>341</v>
      </c>
      <c r="G6403" s="25" t="s">
        <v>293</v>
      </c>
      <c r="H6403" s="25"/>
      <c r="BA6403" s="73" t="s">
        <v>355</v>
      </c>
      <c r="BB6403" s="48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357</v>
      </c>
      <c r="E6404" s="1" t="s">
        <v>350</v>
      </c>
      <c r="F6404" s="26">
        <v>89</v>
      </c>
      <c r="G6404" s="25" t="s">
        <v>293</v>
      </c>
      <c r="H6404" s="25"/>
      <c r="BA6404" s="73" t="s">
        <v>355</v>
      </c>
      <c r="BB6404" s="48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357</v>
      </c>
      <c r="E6405" s="1" t="s">
        <v>122</v>
      </c>
      <c r="F6405" s="26">
        <v>216</v>
      </c>
      <c r="G6405" s="25" t="s">
        <v>293</v>
      </c>
      <c r="H6405" s="25"/>
      <c r="BA6405" s="73" t="s">
        <v>355</v>
      </c>
      <c r="BB6405" s="48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357</v>
      </c>
      <c r="E6406" s="1" t="s">
        <v>124</v>
      </c>
      <c r="F6406" s="26">
        <v>103</v>
      </c>
      <c r="G6406" s="25" t="s">
        <v>293</v>
      </c>
      <c r="H6406" s="25"/>
      <c r="BA6406" s="73" t="s">
        <v>355</v>
      </c>
      <c r="BB6406" s="48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357</v>
      </c>
      <c r="E6407" s="1" t="s">
        <v>351</v>
      </c>
      <c r="F6407" s="26">
        <v>3.54</v>
      </c>
      <c r="G6407" s="25" t="s">
        <v>293</v>
      </c>
      <c r="H6407" s="25"/>
      <c r="BA6407" s="73" t="s">
        <v>355</v>
      </c>
      <c r="BB6407" s="48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357</v>
      </c>
      <c r="E6408" s="1" t="s">
        <v>353</v>
      </c>
      <c r="F6408" s="26">
        <v>15.2</v>
      </c>
      <c r="G6408" s="25" t="s">
        <v>293</v>
      </c>
      <c r="H6408" s="25"/>
      <c r="BA6408" s="73" t="s">
        <v>355</v>
      </c>
      <c r="BB6408" s="48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357</v>
      </c>
      <c r="E6409" s="1" t="s">
        <v>133</v>
      </c>
      <c r="F6409" s="26">
        <v>129</v>
      </c>
      <c r="G6409" s="25" t="s">
        <v>293</v>
      </c>
      <c r="H6409" s="25"/>
      <c r="BA6409" s="73" t="s">
        <v>355</v>
      </c>
      <c r="BB6409" s="48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357</v>
      </c>
      <c r="E6410" s="1" t="s">
        <v>135</v>
      </c>
      <c r="F6410" s="26">
        <v>6.5</v>
      </c>
      <c r="G6410" s="25" t="s">
        <v>293</v>
      </c>
      <c r="H6410" s="25"/>
      <c r="BA6410" s="73" t="s">
        <v>355</v>
      </c>
      <c r="BB6410" s="48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357</v>
      </c>
      <c r="E6411" s="1" t="s">
        <v>136</v>
      </c>
      <c r="F6411" s="26">
        <v>94</v>
      </c>
      <c r="G6411" s="25" t="s">
        <v>293</v>
      </c>
      <c r="H6411" s="25"/>
      <c r="BA6411" s="73" t="s">
        <v>355</v>
      </c>
      <c r="BB6411" s="48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357</v>
      </c>
      <c r="E6412" s="1" t="s">
        <v>339</v>
      </c>
      <c r="F6412" s="26">
        <v>1.18</v>
      </c>
      <c r="G6412" s="25" t="s">
        <v>293</v>
      </c>
      <c r="H6412" s="25"/>
      <c r="BA6412" s="73" t="s">
        <v>355</v>
      </c>
      <c r="BB6412" s="48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357</v>
      </c>
      <c r="E6413" s="1" t="s">
        <v>118</v>
      </c>
      <c r="F6413" s="26">
        <v>9.6</v>
      </c>
      <c r="G6413" s="25" t="s">
        <v>293</v>
      </c>
      <c r="H6413" s="25"/>
      <c r="BA6413" s="73" t="s">
        <v>355</v>
      </c>
      <c r="BB6413" s="48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357</v>
      </c>
      <c r="E6414" s="1" t="s">
        <v>130</v>
      </c>
      <c r="F6414" s="26">
        <v>2.42</v>
      </c>
      <c r="G6414" s="25" t="s">
        <v>293</v>
      </c>
      <c r="H6414" s="25"/>
      <c r="BA6414" s="73" t="s">
        <v>355</v>
      </c>
      <c r="BB6414" s="48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357</v>
      </c>
      <c r="E6415" s="1" t="s">
        <v>341</v>
      </c>
      <c r="F6415" s="26">
        <v>1.21</v>
      </c>
      <c r="G6415" s="25" t="s">
        <v>293</v>
      </c>
      <c r="H6415" s="25"/>
      <c r="BA6415" s="73" t="s">
        <v>355</v>
      </c>
      <c r="BB6415" s="48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357</v>
      </c>
      <c r="E6416" s="1" t="s">
        <v>127</v>
      </c>
      <c r="F6416" s="26">
        <v>4.72</v>
      </c>
      <c r="G6416" s="25" t="s">
        <v>293</v>
      </c>
      <c r="H6416" s="25"/>
      <c r="BA6416" s="73" t="s">
        <v>355</v>
      </c>
      <c r="BB6416" s="48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357</v>
      </c>
      <c r="E6417" s="1" t="s">
        <v>131</v>
      </c>
      <c r="F6417" s="26">
        <v>11.8</v>
      </c>
      <c r="G6417" s="25" t="s">
        <v>293</v>
      </c>
      <c r="H6417" s="25"/>
      <c r="BA6417" s="73" t="s">
        <v>355</v>
      </c>
      <c r="BB6417" s="48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357</v>
      </c>
      <c r="E6418" s="1" t="s">
        <v>342</v>
      </c>
      <c r="F6418" s="26">
        <v>181</v>
      </c>
      <c r="G6418" s="25" t="s">
        <v>293</v>
      </c>
      <c r="H6418" s="25"/>
      <c r="BA6418" s="73" t="s">
        <v>355</v>
      </c>
      <c r="BB6418" s="48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357</v>
      </c>
      <c r="E6419" s="1" t="s">
        <v>119</v>
      </c>
      <c r="F6419" s="26">
        <v>92</v>
      </c>
      <c r="G6419" s="25" t="s">
        <v>293</v>
      </c>
      <c r="H6419" s="25"/>
      <c r="BA6419" s="73" t="s">
        <v>355</v>
      </c>
      <c r="BB6419" s="48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357</v>
      </c>
      <c r="E6420" s="1" t="s">
        <v>120</v>
      </c>
      <c r="F6420" s="26">
        <v>27</v>
      </c>
      <c r="G6420" s="25" t="s">
        <v>293</v>
      </c>
      <c r="H6420" s="25"/>
      <c r="BA6420" s="73" t="s">
        <v>355</v>
      </c>
      <c r="BB6420" s="48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357</v>
      </c>
      <c r="E6421" s="1" t="s">
        <v>117</v>
      </c>
      <c r="F6421" s="26">
        <v>6.21</v>
      </c>
      <c r="G6421" s="25" t="s">
        <v>293</v>
      </c>
      <c r="H6421" s="25"/>
      <c r="BA6421" s="73" t="s">
        <v>355</v>
      </c>
      <c r="BB6421" s="48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357</v>
      </c>
      <c r="E6422" s="1" t="s">
        <v>344</v>
      </c>
      <c r="F6422" s="26">
        <v>69</v>
      </c>
      <c r="G6422" s="25" t="s">
        <v>293</v>
      </c>
      <c r="H6422" s="25"/>
      <c r="BA6422" s="73" t="s">
        <v>355</v>
      </c>
      <c r="BB6422" s="48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357</v>
      </c>
      <c r="E6423" s="1" t="s">
        <v>132</v>
      </c>
      <c r="F6423" s="26">
        <v>6.95</v>
      </c>
      <c r="G6423" s="25" t="s">
        <v>293</v>
      </c>
      <c r="H6423" s="25"/>
      <c r="BA6423" s="73" t="s">
        <v>355</v>
      </c>
      <c r="BB6423" s="48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357</v>
      </c>
      <c r="E6424" s="1" t="s">
        <v>111</v>
      </c>
      <c r="F6424" s="26">
        <v>277</v>
      </c>
      <c r="G6424" s="25" t="s">
        <v>293</v>
      </c>
      <c r="H6424" s="25"/>
      <c r="BA6424" s="73" t="s">
        <v>355</v>
      </c>
      <c r="BB6424" s="48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357</v>
      </c>
      <c r="E6425" s="1" t="s">
        <v>345</v>
      </c>
      <c r="F6425" s="26">
        <v>9.8000000000000007</v>
      </c>
      <c r="G6425" s="25" t="s">
        <v>293</v>
      </c>
      <c r="H6425" s="25"/>
      <c r="BA6425" s="73" t="s">
        <v>355</v>
      </c>
      <c r="BB6425" s="48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357</v>
      </c>
      <c r="E6426" s="1" t="s">
        <v>347</v>
      </c>
      <c r="F6426" s="26">
        <v>4.58</v>
      </c>
      <c r="G6426" s="25" t="s">
        <v>293</v>
      </c>
      <c r="H6426" s="25"/>
      <c r="BA6426" s="73" t="s">
        <v>355</v>
      </c>
      <c r="BB6426" s="48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357</v>
      </c>
      <c r="E6427" s="1" t="s">
        <v>128</v>
      </c>
      <c r="F6427" s="26">
        <v>4.5</v>
      </c>
      <c r="G6427" s="25" t="s">
        <v>293</v>
      </c>
      <c r="H6427" s="25"/>
      <c r="BA6427" s="73" t="s">
        <v>355</v>
      </c>
      <c r="BB6427" s="48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357</v>
      </c>
      <c r="E6428" s="1" t="s">
        <v>121</v>
      </c>
      <c r="F6428" s="26">
        <v>78</v>
      </c>
      <c r="G6428" s="25" t="s">
        <v>293</v>
      </c>
      <c r="H6428" s="25"/>
      <c r="BA6428" s="73" t="s">
        <v>355</v>
      </c>
      <c r="BB6428" s="48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357</v>
      </c>
      <c r="E6429" s="1" t="s">
        <v>115</v>
      </c>
      <c r="F6429" s="26">
        <v>97</v>
      </c>
      <c r="G6429" s="25" t="s">
        <v>293</v>
      </c>
      <c r="H6429" s="25"/>
      <c r="BA6429" s="73" t="s">
        <v>355</v>
      </c>
      <c r="BB6429" s="48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357</v>
      </c>
      <c r="E6430" s="1" t="s">
        <v>137</v>
      </c>
      <c r="F6430" s="26">
        <v>485</v>
      </c>
      <c r="G6430" s="25" t="s">
        <v>293</v>
      </c>
      <c r="H6430" s="25"/>
      <c r="BA6430" s="73" t="s">
        <v>355</v>
      </c>
      <c r="BB6430" s="48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357</v>
      </c>
      <c r="E6431" s="1" t="s">
        <v>348</v>
      </c>
      <c r="F6431" s="26">
        <v>403</v>
      </c>
      <c r="G6431" s="25" t="s">
        <v>293</v>
      </c>
      <c r="H6431" s="25"/>
      <c r="BA6431" s="73" t="s">
        <v>355</v>
      </c>
      <c r="BB6431" s="48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357</v>
      </c>
      <c r="E6432" s="1" t="s">
        <v>125</v>
      </c>
      <c r="F6432" s="26">
        <v>410</v>
      </c>
      <c r="G6432" s="25" t="s">
        <v>293</v>
      </c>
      <c r="H6432" s="25"/>
      <c r="BA6432" s="73" t="s">
        <v>355</v>
      </c>
      <c r="BB6432" s="48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357</v>
      </c>
      <c r="E6433" s="1" t="s">
        <v>126</v>
      </c>
      <c r="F6433" s="26">
        <v>153</v>
      </c>
      <c r="G6433" s="25" t="s">
        <v>293</v>
      </c>
      <c r="H6433" s="25"/>
      <c r="BA6433" s="73" t="s">
        <v>355</v>
      </c>
      <c r="BB6433" s="48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357</v>
      </c>
      <c r="E6434" s="1" t="s">
        <v>349</v>
      </c>
      <c r="F6434" s="26">
        <v>355</v>
      </c>
      <c r="G6434" s="25" t="s">
        <v>293</v>
      </c>
      <c r="H6434" s="25"/>
      <c r="BA6434" s="73" t="s">
        <v>355</v>
      </c>
      <c r="BB6434" s="48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357</v>
      </c>
      <c r="E6435" s="1" t="s">
        <v>350</v>
      </c>
      <c r="F6435" s="26">
        <v>85</v>
      </c>
      <c r="G6435" s="25" t="s">
        <v>293</v>
      </c>
      <c r="H6435" s="25"/>
      <c r="BA6435" s="73" t="s">
        <v>355</v>
      </c>
      <c r="BB6435" s="48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357</v>
      </c>
      <c r="E6436" s="1" t="s">
        <v>122</v>
      </c>
      <c r="F6436" s="26">
        <v>214</v>
      </c>
      <c r="G6436" s="25" t="s">
        <v>293</v>
      </c>
      <c r="H6436" s="25"/>
      <c r="BA6436" s="73" t="s">
        <v>355</v>
      </c>
      <c r="BB6436" s="48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357</v>
      </c>
      <c r="E6437" s="1" t="s">
        <v>124</v>
      </c>
      <c r="F6437" s="26">
        <v>104</v>
      </c>
      <c r="G6437" s="25" t="s">
        <v>293</v>
      </c>
      <c r="H6437" s="25"/>
      <c r="BA6437" s="73" t="s">
        <v>355</v>
      </c>
      <c r="BB6437" s="48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357</v>
      </c>
      <c r="E6438" s="1" t="s">
        <v>351</v>
      </c>
      <c r="F6438" s="26">
        <v>3.5</v>
      </c>
      <c r="G6438" s="25" t="s">
        <v>293</v>
      </c>
      <c r="H6438" s="25"/>
      <c r="BA6438" s="73" t="s">
        <v>355</v>
      </c>
      <c r="BB6438" s="48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357</v>
      </c>
      <c r="E6439" s="1" t="s">
        <v>353</v>
      </c>
      <c r="F6439" s="26">
        <v>16.3</v>
      </c>
      <c r="G6439" s="25" t="s">
        <v>293</v>
      </c>
      <c r="H6439" s="25"/>
      <c r="BA6439" s="73" t="s">
        <v>355</v>
      </c>
      <c r="BB6439" s="48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357</v>
      </c>
      <c r="E6440" s="1" t="s">
        <v>133</v>
      </c>
      <c r="F6440" s="26">
        <v>130</v>
      </c>
      <c r="G6440" s="25" t="s">
        <v>293</v>
      </c>
      <c r="H6440" s="25"/>
      <c r="BA6440" s="73" t="s">
        <v>355</v>
      </c>
      <c r="BB6440" s="48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357</v>
      </c>
      <c r="E6441" s="1" t="s">
        <v>135</v>
      </c>
      <c r="F6441" s="26">
        <v>6.7</v>
      </c>
      <c r="G6441" s="25" t="s">
        <v>293</v>
      </c>
      <c r="H6441" s="25"/>
      <c r="BA6441" s="73" t="s">
        <v>355</v>
      </c>
      <c r="BB6441" s="48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357</v>
      </c>
      <c r="E6442" s="1" t="s">
        <v>136</v>
      </c>
      <c r="F6442" s="26">
        <v>93</v>
      </c>
      <c r="G6442" s="25" t="s">
        <v>293</v>
      </c>
      <c r="H6442" s="25"/>
      <c r="BA6442" s="73" t="s">
        <v>355</v>
      </c>
      <c r="BB6442" s="48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357</v>
      </c>
      <c r="E6443" s="1" t="s">
        <v>339</v>
      </c>
      <c r="F6443" s="26">
        <v>1.31</v>
      </c>
      <c r="G6443" s="25" t="s">
        <v>293</v>
      </c>
      <c r="H6443" s="25"/>
      <c r="BA6443" s="73" t="s">
        <v>355</v>
      </c>
      <c r="BB6443" s="48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357</v>
      </c>
      <c r="E6444" s="1" t="s">
        <v>118</v>
      </c>
      <c r="F6444" s="26">
        <v>9.4</v>
      </c>
      <c r="G6444" s="25" t="s">
        <v>293</v>
      </c>
      <c r="H6444" s="25"/>
      <c r="BA6444" s="73" t="s">
        <v>355</v>
      </c>
      <c r="BB6444" s="48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357</v>
      </c>
      <c r="E6445" s="1" t="s">
        <v>130</v>
      </c>
      <c r="F6445" s="26">
        <v>2.39</v>
      </c>
      <c r="G6445" s="25" t="s">
        <v>293</v>
      </c>
      <c r="H6445" s="25"/>
      <c r="BA6445" s="73" t="s">
        <v>355</v>
      </c>
      <c r="BB6445" s="48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357</v>
      </c>
      <c r="E6446" s="1" t="s">
        <v>341</v>
      </c>
      <c r="F6446" s="26">
        <v>1.19</v>
      </c>
      <c r="G6446" s="25" t="s">
        <v>293</v>
      </c>
      <c r="H6446" s="25"/>
      <c r="BA6446" s="73" t="s">
        <v>355</v>
      </c>
      <c r="BB6446" s="48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357</v>
      </c>
      <c r="E6447" s="1" t="s">
        <v>127</v>
      </c>
      <c r="F6447" s="26">
        <v>4.53</v>
      </c>
      <c r="G6447" s="25" t="s">
        <v>293</v>
      </c>
      <c r="H6447" s="25"/>
      <c r="BA6447" s="73" t="s">
        <v>355</v>
      </c>
      <c r="BB6447" s="48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357</v>
      </c>
      <c r="E6448" s="1" t="s">
        <v>131</v>
      </c>
      <c r="F6448" s="26">
        <v>11.9</v>
      </c>
      <c r="G6448" s="25" t="s">
        <v>293</v>
      </c>
      <c r="H6448" s="25"/>
      <c r="BA6448" s="73" t="s">
        <v>355</v>
      </c>
      <c r="BB6448" s="48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357</v>
      </c>
      <c r="E6449" s="1" t="s">
        <v>342</v>
      </c>
      <c r="F6449" s="26">
        <v>179</v>
      </c>
      <c r="G6449" s="25" t="s">
        <v>293</v>
      </c>
      <c r="H6449" s="25"/>
      <c r="BA6449" s="73" t="s">
        <v>355</v>
      </c>
      <c r="BB6449" s="48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357</v>
      </c>
      <c r="E6450" s="1" t="s">
        <v>119</v>
      </c>
      <c r="F6450" s="26">
        <v>91</v>
      </c>
      <c r="G6450" s="25" t="s">
        <v>293</v>
      </c>
      <c r="H6450" s="25"/>
      <c r="BA6450" s="73" t="s">
        <v>355</v>
      </c>
      <c r="BB6450" s="48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357</v>
      </c>
      <c r="E6451" s="1" t="s">
        <v>120</v>
      </c>
      <c r="F6451" s="26">
        <v>27</v>
      </c>
      <c r="G6451" s="25" t="s">
        <v>293</v>
      </c>
      <c r="H6451" s="25"/>
      <c r="BA6451" s="73" t="s">
        <v>355</v>
      </c>
      <c r="BB6451" s="48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357</v>
      </c>
      <c r="E6452" s="1" t="s">
        <v>117</v>
      </c>
      <c r="F6452" s="26">
        <v>6.42</v>
      </c>
      <c r="G6452" s="25" t="s">
        <v>293</v>
      </c>
      <c r="H6452" s="25"/>
      <c r="BA6452" s="73" t="s">
        <v>355</v>
      </c>
      <c r="BB6452" s="48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357</v>
      </c>
      <c r="E6453" s="1" t="s">
        <v>344</v>
      </c>
      <c r="F6453" s="26">
        <v>69</v>
      </c>
      <c r="G6453" s="25" t="s">
        <v>293</v>
      </c>
      <c r="H6453" s="25"/>
      <c r="BA6453" s="73" t="s">
        <v>355</v>
      </c>
      <c r="BB6453" s="48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357</v>
      </c>
      <c r="E6454" s="1" t="s">
        <v>132</v>
      </c>
      <c r="F6454" s="26">
        <v>7.01</v>
      </c>
      <c r="G6454" s="25" t="s">
        <v>293</v>
      </c>
      <c r="H6454" s="25"/>
      <c r="BA6454" s="73" t="s">
        <v>355</v>
      </c>
      <c r="BB6454" s="48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357</v>
      </c>
      <c r="E6455" s="1" t="s">
        <v>111</v>
      </c>
      <c r="F6455" s="26">
        <v>280</v>
      </c>
      <c r="G6455" s="25" t="s">
        <v>293</v>
      </c>
      <c r="H6455" s="25"/>
      <c r="BA6455" s="73" t="s">
        <v>355</v>
      </c>
      <c r="BB6455" s="48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357</v>
      </c>
      <c r="E6456" s="1" t="s">
        <v>345</v>
      </c>
      <c r="F6456" s="26">
        <v>9.7799999999999994</v>
      </c>
      <c r="G6456" s="25" t="s">
        <v>293</v>
      </c>
      <c r="H6456" s="25"/>
      <c r="BA6456" s="73" t="s">
        <v>355</v>
      </c>
      <c r="BB6456" s="48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357</v>
      </c>
      <c r="E6457" s="1" t="s">
        <v>347</v>
      </c>
      <c r="F6457" s="26">
        <v>4.8</v>
      </c>
      <c r="G6457" s="25" t="s">
        <v>293</v>
      </c>
      <c r="H6457" s="25"/>
      <c r="BA6457" s="73" t="s">
        <v>355</v>
      </c>
      <c r="BB6457" s="48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357</v>
      </c>
      <c r="E6458" s="1" t="s">
        <v>128</v>
      </c>
      <c r="F6458" s="26">
        <v>4.5</v>
      </c>
      <c r="G6458" s="25" t="s">
        <v>293</v>
      </c>
      <c r="H6458" s="25"/>
      <c r="BA6458" s="73" t="s">
        <v>355</v>
      </c>
      <c r="BB6458" s="48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357</v>
      </c>
      <c r="E6459" s="1" t="s">
        <v>121</v>
      </c>
      <c r="F6459" s="26">
        <v>80</v>
      </c>
      <c r="G6459" s="25" t="s">
        <v>293</v>
      </c>
      <c r="H6459" s="25"/>
      <c r="BA6459" s="73" t="s">
        <v>355</v>
      </c>
      <c r="BB6459" s="48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357</v>
      </c>
      <c r="E6460" s="1" t="s">
        <v>115</v>
      </c>
      <c r="F6460" s="26">
        <v>94</v>
      </c>
      <c r="G6460" s="25" t="s">
        <v>293</v>
      </c>
      <c r="H6460" s="25"/>
      <c r="BA6460" s="73" t="s">
        <v>355</v>
      </c>
      <c r="BB6460" s="48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357</v>
      </c>
      <c r="E6461" s="1" t="s">
        <v>137</v>
      </c>
      <c r="F6461" s="26">
        <v>477</v>
      </c>
      <c r="G6461" s="25" t="s">
        <v>293</v>
      </c>
      <c r="H6461" s="25"/>
      <c r="BA6461" s="73" t="s">
        <v>355</v>
      </c>
      <c r="BB6461" s="48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357</v>
      </c>
      <c r="E6462" s="1" t="s">
        <v>348</v>
      </c>
      <c r="F6462" s="26">
        <v>404</v>
      </c>
      <c r="G6462" s="25" t="s">
        <v>293</v>
      </c>
      <c r="H6462" s="25"/>
      <c r="BA6462" s="73" t="s">
        <v>355</v>
      </c>
      <c r="BB6462" s="48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357</v>
      </c>
      <c r="E6463" s="1" t="s">
        <v>125</v>
      </c>
      <c r="F6463" s="26">
        <v>422</v>
      </c>
      <c r="G6463" s="25" t="s">
        <v>293</v>
      </c>
      <c r="H6463" s="25"/>
      <c r="BA6463" s="73" t="s">
        <v>355</v>
      </c>
      <c r="BB6463" s="48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357</v>
      </c>
      <c r="E6464" s="1" t="s">
        <v>126</v>
      </c>
      <c r="F6464" s="26">
        <v>150</v>
      </c>
      <c r="G6464" s="25" t="s">
        <v>293</v>
      </c>
      <c r="H6464" s="25"/>
      <c r="BA6464" s="73" t="s">
        <v>355</v>
      </c>
      <c r="BB6464" s="48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357</v>
      </c>
      <c r="E6465" s="1" t="s">
        <v>349</v>
      </c>
      <c r="F6465" s="26">
        <v>347</v>
      </c>
      <c r="G6465" s="25" t="s">
        <v>293</v>
      </c>
      <c r="H6465" s="25"/>
      <c r="BA6465" s="73" t="s">
        <v>355</v>
      </c>
      <c r="BB6465" s="48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357</v>
      </c>
      <c r="E6466" s="1" t="s">
        <v>350</v>
      </c>
      <c r="F6466" s="26">
        <v>86</v>
      </c>
      <c r="G6466" s="25" t="s">
        <v>293</v>
      </c>
      <c r="H6466" s="25"/>
      <c r="BA6466" s="73" t="s">
        <v>355</v>
      </c>
      <c r="BB6466" s="48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357</v>
      </c>
      <c r="E6467" s="1" t="s">
        <v>122</v>
      </c>
      <c r="F6467" s="26">
        <v>210</v>
      </c>
      <c r="G6467" s="25" t="s">
        <v>293</v>
      </c>
      <c r="H6467" s="25"/>
      <c r="BA6467" s="73" t="s">
        <v>355</v>
      </c>
      <c r="BB6467" s="48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357</v>
      </c>
      <c r="E6468" s="1" t="s">
        <v>124</v>
      </c>
      <c r="F6468" s="26">
        <v>98</v>
      </c>
      <c r="G6468" s="25" t="s">
        <v>293</v>
      </c>
      <c r="H6468" s="25"/>
      <c r="BA6468" s="73" t="s">
        <v>355</v>
      </c>
      <c r="BB6468" s="48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357</v>
      </c>
      <c r="E6469" s="1" t="s">
        <v>351</v>
      </c>
      <c r="F6469" s="26">
        <v>3.63</v>
      </c>
      <c r="G6469" s="25" t="s">
        <v>293</v>
      </c>
      <c r="H6469" s="25"/>
      <c r="BA6469" s="73" t="s">
        <v>355</v>
      </c>
      <c r="BB6469" s="48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357</v>
      </c>
      <c r="E6470" s="1" t="s">
        <v>353</v>
      </c>
      <c r="F6470" s="26">
        <v>15.3</v>
      </c>
      <c r="G6470" s="25" t="s">
        <v>293</v>
      </c>
      <c r="H6470" s="25"/>
      <c r="BA6470" s="73" t="s">
        <v>355</v>
      </c>
      <c r="BB6470" s="48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357</v>
      </c>
      <c r="E6471" s="1" t="s">
        <v>133</v>
      </c>
      <c r="F6471" s="26">
        <v>126</v>
      </c>
      <c r="G6471" s="25" t="s">
        <v>293</v>
      </c>
      <c r="H6471" s="25"/>
      <c r="BA6471" s="73" t="s">
        <v>355</v>
      </c>
      <c r="BB6471" s="48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357</v>
      </c>
      <c r="E6472" s="1" t="s">
        <v>135</v>
      </c>
      <c r="F6472" s="26">
        <v>6.4</v>
      </c>
      <c r="G6472" s="25" t="s">
        <v>293</v>
      </c>
      <c r="H6472" s="25"/>
      <c r="BA6472" s="73" t="s">
        <v>355</v>
      </c>
      <c r="BB6472" s="48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357</v>
      </c>
      <c r="E6473" s="1" t="s">
        <v>136</v>
      </c>
      <c r="F6473" s="26">
        <v>89</v>
      </c>
      <c r="G6473" s="25" t="s">
        <v>293</v>
      </c>
      <c r="H6473" s="25"/>
      <c r="BA6473" s="73" t="s">
        <v>355</v>
      </c>
      <c r="BB6473" s="48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357</v>
      </c>
      <c r="E6474" s="1" t="s">
        <v>339</v>
      </c>
      <c r="F6474" s="26">
        <v>1.22</v>
      </c>
      <c r="G6474" s="25" t="s">
        <v>293</v>
      </c>
      <c r="H6474" s="25"/>
      <c r="BA6474" s="73" t="s">
        <v>355</v>
      </c>
      <c r="BB6474" s="48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357</v>
      </c>
      <c r="E6475" s="1" t="s">
        <v>118</v>
      </c>
      <c r="F6475" s="26">
        <v>9.6</v>
      </c>
      <c r="G6475" s="25" t="s">
        <v>293</v>
      </c>
      <c r="H6475" s="25"/>
      <c r="BA6475" s="73" t="s">
        <v>355</v>
      </c>
      <c r="BB6475" s="48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357</v>
      </c>
      <c r="E6476" s="1" t="s">
        <v>130</v>
      </c>
      <c r="F6476" s="26">
        <v>2.33</v>
      </c>
      <c r="G6476" s="25" t="s">
        <v>293</v>
      </c>
      <c r="H6476" s="25"/>
      <c r="BA6476" s="73" t="s">
        <v>355</v>
      </c>
      <c r="BB6476" s="48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357</v>
      </c>
      <c r="E6477" s="1" t="s">
        <v>341</v>
      </c>
      <c r="F6477" s="26">
        <v>1.2</v>
      </c>
      <c r="G6477" s="25" t="s">
        <v>293</v>
      </c>
      <c r="H6477" s="25"/>
      <c r="BA6477" s="73" t="s">
        <v>355</v>
      </c>
      <c r="BB6477" s="48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357</v>
      </c>
      <c r="E6478" s="1" t="s">
        <v>127</v>
      </c>
      <c r="F6478" s="26">
        <v>4.6760000000000002</v>
      </c>
      <c r="G6478" s="25" t="s">
        <v>293</v>
      </c>
      <c r="H6478" s="25"/>
      <c r="BA6478" s="73" t="s">
        <v>355</v>
      </c>
      <c r="BB6478" s="48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357</v>
      </c>
      <c r="E6479" s="1" t="s">
        <v>131</v>
      </c>
      <c r="F6479" s="26">
        <v>11.9</v>
      </c>
      <c r="G6479" s="25" t="s">
        <v>293</v>
      </c>
      <c r="H6479" s="25"/>
      <c r="BA6479" s="73" t="s">
        <v>355</v>
      </c>
      <c r="BB6479" s="48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357</v>
      </c>
      <c r="E6480" s="1" t="s">
        <v>342</v>
      </c>
      <c r="F6480" s="26">
        <v>201</v>
      </c>
      <c r="G6480" s="25" t="s">
        <v>293</v>
      </c>
      <c r="H6480" s="25"/>
      <c r="BA6480" s="73" t="s">
        <v>355</v>
      </c>
      <c r="BB6480" s="48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357</v>
      </c>
      <c r="E6481" s="1" t="s">
        <v>119</v>
      </c>
      <c r="F6481" s="26">
        <v>91</v>
      </c>
      <c r="G6481" s="25" t="s">
        <v>293</v>
      </c>
      <c r="H6481" s="25"/>
      <c r="BA6481" s="73" t="s">
        <v>355</v>
      </c>
      <c r="BB6481" s="48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357</v>
      </c>
      <c r="E6482" s="1" t="s">
        <v>120</v>
      </c>
      <c r="F6482" s="26">
        <v>27</v>
      </c>
      <c r="G6482" s="25" t="s">
        <v>293</v>
      </c>
      <c r="H6482" s="25"/>
      <c r="BA6482" s="73" t="s">
        <v>355</v>
      </c>
      <c r="BB6482" s="48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357</v>
      </c>
      <c r="E6483" s="1" t="s">
        <v>117</v>
      </c>
      <c r="F6483" s="26">
        <v>6.35</v>
      </c>
      <c r="G6483" s="25" t="s">
        <v>293</v>
      </c>
      <c r="H6483" s="25"/>
      <c r="BA6483" s="73" t="s">
        <v>355</v>
      </c>
      <c r="BB6483" s="48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357</v>
      </c>
      <c r="E6484" s="1" t="s">
        <v>344</v>
      </c>
      <c r="F6484" s="26">
        <v>70</v>
      </c>
      <c r="G6484" s="25" t="s">
        <v>293</v>
      </c>
      <c r="H6484" s="25"/>
      <c r="BA6484" s="73" t="s">
        <v>355</v>
      </c>
      <c r="BB6484" s="48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357</v>
      </c>
      <c r="E6485" s="1" t="s">
        <v>132</v>
      </c>
      <c r="F6485" s="26">
        <v>7.11</v>
      </c>
      <c r="G6485" s="25" t="s">
        <v>293</v>
      </c>
      <c r="H6485" s="25"/>
      <c r="BA6485" s="73" t="s">
        <v>355</v>
      </c>
      <c r="BB6485" s="48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357</v>
      </c>
      <c r="E6486" s="1" t="s">
        <v>111</v>
      </c>
      <c r="F6486" s="26">
        <v>277</v>
      </c>
      <c r="G6486" s="25" t="s">
        <v>293</v>
      </c>
      <c r="H6486" s="25"/>
      <c r="BA6486" s="73" t="s">
        <v>355</v>
      </c>
      <c r="BB6486" s="48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357</v>
      </c>
      <c r="E6487" s="1" t="s">
        <v>345</v>
      </c>
      <c r="F6487" s="26">
        <v>9.83</v>
      </c>
      <c r="G6487" s="25" t="s">
        <v>293</v>
      </c>
      <c r="H6487" s="25"/>
      <c r="BA6487" s="73" t="s">
        <v>355</v>
      </c>
      <c r="BB6487" s="48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357</v>
      </c>
      <c r="E6488" s="1" t="s">
        <v>347</v>
      </c>
      <c r="F6488" s="26">
        <v>4.5199999999999996</v>
      </c>
      <c r="G6488" s="25" t="s">
        <v>293</v>
      </c>
      <c r="H6488" s="25"/>
      <c r="BA6488" s="73" t="s">
        <v>355</v>
      </c>
      <c r="BB6488" s="48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357</v>
      </c>
      <c r="E6489" s="1" t="s">
        <v>128</v>
      </c>
      <c r="F6489" s="26">
        <v>4.5999999999999996</v>
      </c>
      <c r="G6489" s="25" t="s">
        <v>293</v>
      </c>
      <c r="H6489" s="25"/>
      <c r="BA6489" s="73" t="s">
        <v>355</v>
      </c>
      <c r="BB6489" s="48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357</v>
      </c>
      <c r="E6490" s="1" t="s">
        <v>121</v>
      </c>
      <c r="F6490" s="26">
        <v>80</v>
      </c>
      <c r="G6490" s="25" t="s">
        <v>293</v>
      </c>
      <c r="H6490" s="25"/>
      <c r="BA6490" s="73" t="s">
        <v>355</v>
      </c>
      <c r="BB6490" s="48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357</v>
      </c>
      <c r="E6491" s="1" t="s">
        <v>115</v>
      </c>
      <c r="F6491" s="26">
        <v>93</v>
      </c>
      <c r="G6491" s="25" t="s">
        <v>293</v>
      </c>
      <c r="H6491" s="25"/>
      <c r="BA6491" s="73" t="s">
        <v>355</v>
      </c>
      <c r="BB6491" s="48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357</v>
      </c>
      <c r="E6492" s="1" t="s">
        <v>137</v>
      </c>
      <c r="F6492" s="26">
        <v>479</v>
      </c>
      <c r="G6492" s="25" t="s">
        <v>293</v>
      </c>
      <c r="H6492" s="25"/>
      <c r="BA6492" s="73" t="s">
        <v>355</v>
      </c>
      <c r="BB6492" s="48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357</v>
      </c>
      <c r="E6493" s="1" t="s">
        <v>348</v>
      </c>
      <c r="F6493" s="26">
        <v>424</v>
      </c>
      <c r="G6493" s="25" t="s">
        <v>293</v>
      </c>
      <c r="H6493" s="25"/>
      <c r="BA6493" s="73" t="s">
        <v>355</v>
      </c>
      <c r="BB6493" s="48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357</v>
      </c>
      <c r="E6494" s="1" t="s">
        <v>125</v>
      </c>
      <c r="F6494" s="26">
        <v>421</v>
      </c>
      <c r="G6494" s="25" t="s">
        <v>293</v>
      </c>
      <c r="H6494" s="25"/>
      <c r="BA6494" s="73" t="s">
        <v>355</v>
      </c>
      <c r="BB6494" s="48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357</v>
      </c>
      <c r="E6495" s="1" t="s">
        <v>126</v>
      </c>
      <c r="F6495" s="26">
        <v>154</v>
      </c>
      <c r="G6495" s="25" t="s">
        <v>293</v>
      </c>
      <c r="H6495" s="25"/>
      <c r="BA6495" s="73" t="s">
        <v>355</v>
      </c>
      <c r="BB6495" s="48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357</v>
      </c>
      <c r="E6496" s="1" t="s">
        <v>349</v>
      </c>
      <c r="F6496" s="26">
        <v>384</v>
      </c>
      <c r="G6496" s="25" t="s">
        <v>293</v>
      </c>
      <c r="H6496" s="25"/>
      <c r="BA6496" s="73" t="s">
        <v>355</v>
      </c>
      <c r="BB6496" s="48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357</v>
      </c>
      <c r="E6497" s="1" t="s">
        <v>350</v>
      </c>
      <c r="F6497" s="26">
        <v>84</v>
      </c>
      <c r="G6497" s="25" t="s">
        <v>293</v>
      </c>
      <c r="H6497" s="25"/>
      <c r="BA6497" s="73" t="s">
        <v>355</v>
      </c>
      <c r="BB6497" s="48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357</v>
      </c>
      <c r="E6498" s="1" t="s">
        <v>122</v>
      </c>
      <c r="F6498" s="26">
        <v>215</v>
      </c>
      <c r="G6498" s="25" t="s">
        <v>293</v>
      </c>
      <c r="H6498" s="25"/>
      <c r="BA6498" s="73" t="s">
        <v>355</v>
      </c>
      <c r="BB6498" s="48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357</v>
      </c>
      <c r="E6499" s="1" t="s">
        <v>124</v>
      </c>
      <c r="F6499" s="26">
        <v>100</v>
      </c>
      <c r="G6499" s="25" t="s">
        <v>293</v>
      </c>
      <c r="H6499" s="25"/>
      <c r="BA6499" s="73" t="s">
        <v>355</v>
      </c>
      <c r="BB6499" s="48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357</v>
      </c>
      <c r="E6500" s="1" t="s">
        <v>351</v>
      </c>
      <c r="F6500" s="26">
        <v>3.57</v>
      </c>
      <c r="G6500" s="25" t="s">
        <v>293</v>
      </c>
      <c r="H6500" s="25"/>
      <c r="BA6500" s="73" t="s">
        <v>355</v>
      </c>
      <c r="BB6500" s="48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357</v>
      </c>
      <c r="E6501" s="1" t="s">
        <v>353</v>
      </c>
      <c r="F6501" s="26">
        <v>15.1</v>
      </c>
      <c r="G6501" s="25" t="s">
        <v>293</v>
      </c>
      <c r="H6501" s="25"/>
      <c r="BA6501" s="73" t="s">
        <v>355</v>
      </c>
      <c r="BB6501" s="48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357</v>
      </c>
      <c r="E6502" s="1" t="s">
        <v>133</v>
      </c>
      <c r="F6502" s="26">
        <v>126</v>
      </c>
      <c r="G6502" s="25" t="s">
        <v>293</v>
      </c>
      <c r="H6502" s="25"/>
      <c r="BA6502" s="73" t="s">
        <v>355</v>
      </c>
      <c r="BB6502" s="48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357</v>
      </c>
      <c r="E6503" s="1" t="s">
        <v>135</v>
      </c>
      <c r="F6503" s="26">
        <v>6.4</v>
      </c>
      <c r="G6503" s="25" t="s">
        <v>293</v>
      </c>
      <c r="H6503" s="25"/>
      <c r="BA6503" s="73" t="s">
        <v>355</v>
      </c>
      <c r="BB6503" s="48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357</v>
      </c>
      <c r="E6504" s="1" t="s">
        <v>136</v>
      </c>
      <c r="F6504" s="26">
        <v>85</v>
      </c>
      <c r="G6504" s="25" t="s">
        <v>293</v>
      </c>
      <c r="H6504" s="25"/>
      <c r="BA6504" s="73" t="s">
        <v>355</v>
      </c>
      <c r="BB6504" s="48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357</v>
      </c>
      <c r="E6505" s="1" t="s">
        <v>339</v>
      </c>
      <c r="F6505" s="26">
        <v>1.23</v>
      </c>
      <c r="G6505" s="25" t="s">
        <v>293</v>
      </c>
      <c r="H6505" s="25"/>
      <c r="BA6505" s="73" t="s">
        <v>355</v>
      </c>
      <c r="BB6505" s="48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357</v>
      </c>
      <c r="E6506" s="1" t="s">
        <v>118</v>
      </c>
      <c r="F6506" s="26">
        <v>9.6999999999999993</v>
      </c>
      <c r="G6506" s="25" t="s">
        <v>293</v>
      </c>
      <c r="H6506" s="25"/>
      <c r="BA6506" s="73" t="s">
        <v>355</v>
      </c>
      <c r="BB6506" s="48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357</v>
      </c>
      <c r="E6507" s="1" t="s">
        <v>130</v>
      </c>
      <c r="F6507" s="26">
        <v>2.39</v>
      </c>
      <c r="G6507" s="25" t="s">
        <v>293</v>
      </c>
      <c r="H6507" s="25"/>
      <c r="BA6507" s="73" t="s">
        <v>355</v>
      </c>
      <c r="BB6507" s="48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357</v>
      </c>
      <c r="E6508" s="1" t="s">
        <v>341</v>
      </c>
      <c r="F6508" s="26">
        <v>1.22</v>
      </c>
      <c r="G6508" s="25" t="s">
        <v>293</v>
      </c>
      <c r="H6508" s="25"/>
      <c r="BA6508" s="73" t="s">
        <v>355</v>
      </c>
      <c r="BB6508" s="48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357</v>
      </c>
      <c r="E6509" s="1" t="s">
        <v>127</v>
      </c>
      <c r="F6509" s="26">
        <v>4.6500000000000004</v>
      </c>
      <c r="G6509" s="25" t="s">
        <v>293</v>
      </c>
      <c r="H6509" s="25"/>
      <c r="BA6509" s="73" t="s">
        <v>355</v>
      </c>
      <c r="BB6509" s="48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357</v>
      </c>
      <c r="E6510" s="1" t="s">
        <v>131</v>
      </c>
      <c r="F6510" s="26">
        <v>11.8</v>
      </c>
      <c r="G6510" s="25" t="s">
        <v>293</v>
      </c>
      <c r="H6510" s="25"/>
      <c r="BA6510" s="73" t="s">
        <v>355</v>
      </c>
      <c r="BB6510" s="48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357</v>
      </c>
      <c r="E6511" s="1" t="s">
        <v>342</v>
      </c>
      <c r="F6511" s="26">
        <v>207</v>
      </c>
      <c r="G6511" s="25" t="s">
        <v>293</v>
      </c>
      <c r="H6511" s="25"/>
      <c r="BA6511" s="73" t="s">
        <v>355</v>
      </c>
      <c r="BB6511" s="48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357</v>
      </c>
      <c r="E6512" s="1" t="s">
        <v>119</v>
      </c>
      <c r="F6512" s="26">
        <v>95</v>
      </c>
      <c r="G6512" s="25" t="s">
        <v>293</v>
      </c>
      <c r="H6512" s="25"/>
      <c r="BA6512" s="73" t="s">
        <v>355</v>
      </c>
      <c r="BB6512" s="48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357</v>
      </c>
      <c r="E6513" s="1" t="s">
        <v>120</v>
      </c>
      <c r="F6513" s="26">
        <v>27</v>
      </c>
      <c r="G6513" s="25" t="s">
        <v>293</v>
      </c>
      <c r="H6513" s="25"/>
      <c r="BA6513" s="73" t="s">
        <v>355</v>
      </c>
      <c r="BB6513" s="48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357</v>
      </c>
      <c r="E6514" s="1" t="s">
        <v>117</v>
      </c>
      <c r="F6514" s="26">
        <v>6.35</v>
      </c>
      <c r="G6514" s="25" t="s">
        <v>293</v>
      </c>
      <c r="H6514" s="25"/>
      <c r="BA6514" s="73" t="s">
        <v>355</v>
      </c>
      <c r="BB6514" s="48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357</v>
      </c>
      <c r="E6515" s="1" t="s">
        <v>344</v>
      </c>
      <c r="F6515" s="26">
        <v>70</v>
      </c>
      <c r="G6515" s="25" t="s">
        <v>293</v>
      </c>
      <c r="H6515" s="25"/>
      <c r="BA6515" s="73" t="s">
        <v>355</v>
      </c>
      <c r="BB6515" s="48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357</v>
      </c>
      <c r="E6516" s="1" t="s">
        <v>132</v>
      </c>
      <c r="F6516" s="26">
        <v>7.15</v>
      </c>
      <c r="G6516" s="25" t="s">
        <v>293</v>
      </c>
      <c r="H6516" s="25"/>
      <c r="BA6516" s="73" t="s">
        <v>355</v>
      </c>
      <c r="BB6516" s="48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357</v>
      </c>
      <c r="E6517" s="1" t="s">
        <v>111</v>
      </c>
      <c r="F6517" s="26">
        <v>280</v>
      </c>
      <c r="G6517" s="25" t="s">
        <v>293</v>
      </c>
      <c r="H6517" s="25"/>
      <c r="BA6517" s="73" t="s">
        <v>355</v>
      </c>
      <c r="BB6517" s="48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357</v>
      </c>
      <c r="E6518" s="1" t="s">
        <v>345</v>
      </c>
      <c r="F6518" s="26">
        <v>9.9</v>
      </c>
      <c r="G6518" s="25" t="s">
        <v>293</v>
      </c>
      <c r="H6518" s="25"/>
      <c r="BA6518" s="73" t="s">
        <v>355</v>
      </c>
      <c r="BB6518" s="48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357</v>
      </c>
      <c r="E6519" s="1" t="s">
        <v>347</v>
      </c>
      <c r="F6519" s="26">
        <v>4.66</v>
      </c>
      <c r="G6519" s="25" t="s">
        <v>293</v>
      </c>
      <c r="H6519" s="25"/>
      <c r="BA6519" s="73" t="s">
        <v>355</v>
      </c>
      <c r="BB6519" s="48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357</v>
      </c>
      <c r="E6520" s="1" t="s">
        <v>128</v>
      </c>
      <c r="F6520" s="26">
        <v>4.5999999999999996</v>
      </c>
      <c r="G6520" s="25" t="s">
        <v>293</v>
      </c>
      <c r="H6520" s="25"/>
      <c r="BA6520" s="73" t="s">
        <v>355</v>
      </c>
      <c r="BB6520" s="48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357</v>
      </c>
      <c r="E6521" s="1" t="s">
        <v>121</v>
      </c>
      <c r="F6521" s="26">
        <v>81</v>
      </c>
      <c r="G6521" s="25" t="s">
        <v>293</v>
      </c>
      <c r="H6521" s="25"/>
      <c r="BA6521" s="73" t="s">
        <v>355</v>
      </c>
      <c r="BB6521" s="48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357</v>
      </c>
      <c r="E6522" s="1" t="s">
        <v>115</v>
      </c>
      <c r="F6522" s="26">
        <v>95</v>
      </c>
      <c r="G6522" s="25" t="s">
        <v>293</v>
      </c>
      <c r="H6522" s="25"/>
      <c r="BA6522" s="73" t="s">
        <v>355</v>
      </c>
      <c r="BB6522" s="48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357</v>
      </c>
      <c r="E6523" s="1" t="s">
        <v>137</v>
      </c>
      <c r="F6523" s="26">
        <v>484</v>
      </c>
      <c r="G6523" s="25" t="s">
        <v>293</v>
      </c>
      <c r="H6523" s="25"/>
      <c r="BA6523" s="73" t="s">
        <v>355</v>
      </c>
      <c r="BB6523" s="48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357</v>
      </c>
      <c r="E6524" s="1" t="s">
        <v>348</v>
      </c>
      <c r="F6524" s="26">
        <v>434</v>
      </c>
      <c r="G6524" s="25" t="s">
        <v>293</v>
      </c>
      <c r="H6524" s="25"/>
      <c r="BA6524" s="73" t="s">
        <v>355</v>
      </c>
      <c r="BB6524" s="48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357</v>
      </c>
      <c r="E6525" s="1" t="s">
        <v>125</v>
      </c>
      <c r="F6525" s="26">
        <v>416</v>
      </c>
      <c r="G6525" s="25" t="s">
        <v>293</v>
      </c>
      <c r="H6525" s="25"/>
      <c r="BA6525" s="73" t="s">
        <v>355</v>
      </c>
      <c r="BB6525" s="48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357</v>
      </c>
      <c r="E6526" s="1" t="s">
        <v>126</v>
      </c>
      <c r="F6526" s="26">
        <v>156</v>
      </c>
      <c r="G6526" s="25" t="s">
        <v>293</v>
      </c>
      <c r="H6526" s="25"/>
      <c r="BA6526" s="73" t="s">
        <v>355</v>
      </c>
      <c r="BB6526" s="48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357</v>
      </c>
      <c r="E6527" s="1" t="s">
        <v>349</v>
      </c>
      <c r="F6527" s="26">
        <v>378</v>
      </c>
      <c r="G6527" s="25" t="s">
        <v>293</v>
      </c>
      <c r="H6527" s="25"/>
      <c r="BA6527" s="73" t="s">
        <v>355</v>
      </c>
      <c r="BB6527" s="48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357</v>
      </c>
      <c r="E6528" s="1" t="s">
        <v>350</v>
      </c>
      <c r="F6528" s="26">
        <v>87</v>
      </c>
      <c r="G6528" s="25" t="s">
        <v>293</v>
      </c>
      <c r="H6528" s="25"/>
      <c r="BA6528" s="73" t="s">
        <v>355</v>
      </c>
      <c r="BB6528" s="48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357</v>
      </c>
      <c r="E6529" s="1" t="s">
        <v>122</v>
      </c>
      <c r="F6529" s="26">
        <v>214</v>
      </c>
      <c r="G6529" s="25" t="s">
        <v>293</v>
      </c>
      <c r="H6529" s="25"/>
      <c r="BA6529" s="73" t="s">
        <v>355</v>
      </c>
      <c r="BB6529" s="48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357</v>
      </c>
      <c r="E6530" s="1" t="s">
        <v>124</v>
      </c>
      <c r="F6530" s="26">
        <v>104</v>
      </c>
      <c r="G6530" s="25" t="s">
        <v>293</v>
      </c>
      <c r="H6530" s="25"/>
      <c r="BA6530" s="73" t="s">
        <v>355</v>
      </c>
      <c r="BB6530" s="48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357</v>
      </c>
      <c r="E6531" s="1" t="s">
        <v>351</v>
      </c>
      <c r="F6531" s="26">
        <v>3.54</v>
      </c>
      <c r="G6531" s="25" t="s">
        <v>293</v>
      </c>
      <c r="H6531" s="25"/>
      <c r="BA6531" s="73" t="s">
        <v>355</v>
      </c>
      <c r="BB6531" s="48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357</v>
      </c>
      <c r="E6532" s="1" t="s">
        <v>353</v>
      </c>
      <c r="F6532" s="26">
        <v>16.100000000000001</v>
      </c>
      <c r="G6532" s="25" t="s">
        <v>293</v>
      </c>
      <c r="H6532" s="25"/>
      <c r="BA6532" s="73" t="s">
        <v>355</v>
      </c>
      <c r="BB6532" s="48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357</v>
      </c>
      <c r="E6533" s="1" t="s">
        <v>133</v>
      </c>
      <c r="F6533" s="26">
        <v>130</v>
      </c>
      <c r="G6533" s="25" t="s">
        <v>293</v>
      </c>
      <c r="H6533" s="25"/>
      <c r="BA6533" s="73" t="s">
        <v>355</v>
      </c>
      <c r="BB6533" s="48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357</v>
      </c>
      <c r="E6534" s="1" t="s">
        <v>135</v>
      </c>
      <c r="F6534" s="26">
        <v>6.7</v>
      </c>
      <c r="G6534" s="25" t="s">
        <v>293</v>
      </c>
      <c r="H6534" s="25"/>
      <c r="BA6534" s="73" t="s">
        <v>355</v>
      </c>
      <c r="BB6534" s="48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357</v>
      </c>
      <c r="E6535" s="1" t="s">
        <v>136</v>
      </c>
      <c r="F6535" s="26">
        <v>88</v>
      </c>
      <c r="G6535" s="25" t="s">
        <v>293</v>
      </c>
      <c r="H6535" s="25"/>
      <c r="BA6535" s="73" t="s">
        <v>355</v>
      </c>
      <c r="BB6535" s="48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357</v>
      </c>
      <c r="E6536" s="1" t="s">
        <v>339</v>
      </c>
      <c r="F6536" s="26">
        <v>1.31</v>
      </c>
      <c r="G6536" s="25" t="s">
        <v>293</v>
      </c>
      <c r="H6536" s="25"/>
      <c r="BA6536" s="73" t="s">
        <v>355</v>
      </c>
      <c r="BB6536" s="48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357</v>
      </c>
      <c r="E6537" s="1" t="s">
        <v>118</v>
      </c>
      <c r="F6537" s="26">
        <v>9.8000000000000007</v>
      </c>
      <c r="G6537" s="25" t="s">
        <v>293</v>
      </c>
      <c r="H6537" s="25"/>
      <c r="BA6537" s="73" t="s">
        <v>355</v>
      </c>
      <c r="BB6537" s="48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357</v>
      </c>
      <c r="E6538" s="1" t="s">
        <v>130</v>
      </c>
      <c r="F6538" s="26">
        <v>2.4</v>
      </c>
      <c r="G6538" s="25" t="s">
        <v>293</v>
      </c>
      <c r="H6538" s="25"/>
      <c r="BA6538" s="73" t="s">
        <v>355</v>
      </c>
      <c r="BB6538" s="48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357</v>
      </c>
      <c r="E6539" s="1" t="s">
        <v>341</v>
      </c>
      <c r="F6539" s="26">
        <v>1.194</v>
      </c>
      <c r="G6539" s="25" t="s">
        <v>293</v>
      </c>
      <c r="H6539" s="25"/>
      <c r="BA6539" s="73" t="s">
        <v>355</v>
      </c>
      <c r="BB6539" s="48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357</v>
      </c>
      <c r="E6540" s="1" t="s">
        <v>127</v>
      </c>
      <c r="F6540" s="26">
        <v>4.8339999999999996</v>
      </c>
      <c r="G6540" s="25" t="s">
        <v>293</v>
      </c>
      <c r="H6540" s="25"/>
      <c r="BA6540" s="73" t="s">
        <v>355</v>
      </c>
      <c r="BB6540" s="48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357</v>
      </c>
      <c r="E6541" s="1" t="s">
        <v>131</v>
      </c>
      <c r="F6541" s="26">
        <v>11.9</v>
      </c>
      <c r="G6541" s="25" t="s">
        <v>293</v>
      </c>
      <c r="H6541" s="25"/>
      <c r="BA6541" s="73" t="s">
        <v>355</v>
      </c>
      <c r="BB6541" s="48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357</v>
      </c>
      <c r="E6542" s="1" t="s">
        <v>342</v>
      </c>
      <c r="F6542" s="26">
        <v>210</v>
      </c>
      <c r="G6542" s="25" t="s">
        <v>293</v>
      </c>
      <c r="H6542" s="25"/>
      <c r="BA6542" s="73" t="s">
        <v>355</v>
      </c>
      <c r="BB6542" s="48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357</v>
      </c>
      <c r="E6543" s="1" t="s">
        <v>119</v>
      </c>
      <c r="F6543" s="26">
        <v>95</v>
      </c>
      <c r="G6543" s="25" t="s">
        <v>293</v>
      </c>
      <c r="H6543" s="25"/>
      <c r="BA6543" s="73" t="s">
        <v>355</v>
      </c>
      <c r="BB6543" s="48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357</v>
      </c>
      <c r="E6544" s="1" t="s">
        <v>120</v>
      </c>
      <c r="F6544" s="26">
        <v>27</v>
      </c>
      <c r="G6544" s="25" t="s">
        <v>293</v>
      </c>
      <c r="H6544" s="25"/>
      <c r="BA6544" s="73" t="s">
        <v>355</v>
      </c>
      <c r="BB6544" s="48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357</v>
      </c>
      <c r="E6545" s="1" t="s">
        <v>117</v>
      </c>
      <c r="F6545" s="26">
        <v>6.34</v>
      </c>
      <c r="G6545" s="25" t="s">
        <v>293</v>
      </c>
      <c r="H6545" s="25"/>
      <c r="BA6545" s="73" t="s">
        <v>355</v>
      </c>
      <c r="BB6545" s="48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357</v>
      </c>
      <c r="E6546" s="1" t="s">
        <v>344</v>
      </c>
      <c r="F6546" s="26">
        <v>71</v>
      </c>
      <c r="G6546" s="25" t="s">
        <v>293</v>
      </c>
      <c r="H6546" s="25"/>
      <c r="BA6546" s="73" t="s">
        <v>355</v>
      </c>
      <c r="BB6546" s="48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357</v>
      </c>
      <c r="E6547" s="1" t="s">
        <v>132</v>
      </c>
      <c r="F6547" s="26">
        <v>7.14</v>
      </c>
      <c r="G6547" s="25" t="s">
        <v>293</v>
      </c>
      <c r="H6547" s="25"/>
      <c r="BA6547" s="73" t="s">
        <v>355</v>
      </c>
      <c r="BB6547" s="48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357</v>
      </c>
      <c r="E6548" s="1" t="s">
        <v>111</v>
      </c>
      <c r="F6548" s="26">
        <v>284</v>
      </c>
      <c r="G6548" s="25" t="s">
        <v>293</v>
      </c>
      <c r="H6548" s="25"/>
      <c r="BA6548" s="73" t="s">
        <v>355</v>
      </c>
      <c r="BB6548" s="48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357</v>
      </c>
      <c r="E6549" s="1" t="s">
        <v>345</v>
      </c>
      <c r="F6549" s="26">
        <v>9.6300000000000008</v>
      </c>
      <c r="G6549" s="25" t="s">
        <v>293</v>
      </c>
      <c r="H6549" s="25"/>
      <c r="BA6549" s="73" t="s">
        <v>355</v>
      </c>
      <c r="BB6549" s="48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357</v>
      </c>
      <c r="E6550" s="1" t="s">
        <v>347</v>
      </c>
      <c r="F6550" s="26">
        <v>4.6399999999999997</v>
      </c>
      <c r="G6550" s="25" t="s">
        <v>293</v>
      </c>
      <c r="H6550" s="25"/>
      <c r="BA6550" s="73" t="s">
        <v>355</v>
      </c>
      <c r="BB6550" s="48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357</v>
      </c>
      <c r="E6551" s="1" t="s">
        <v>128</v>
      </c>
      <c r="F6551" s="26">
        <v>4.5999999999999996</v>
      </c>
      <c r="G6551" s="25" t="s">
        <v>293</v>
      </c>
      <c r="H6551" s="25"/>
      <c r="BA6551" s="73" t="s">
        <v>355</v>
      </c>
      <c r="BB6551" s="48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357</v>
      </c>
      <c r="E6552" s="1" t="s">
        <v>121</v>
      </c>
      <c r="F6552" s="26">
        <v>81</v>
      </c>
      <c r="G6552" s="25" t="s">
        <v>293</v>
      </c>
      <c r="H6552" s="25"/>
      <c r="BA6552" s="73" t="s">
        <v>355</v>
      </c>
      <c r="BB6552" s="48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357</v>
      </c>
      <c r="E6553" s="1" t="s">
        <v>115</v>
      </c>
      <c r="F6553" s="26">
        <v>98</v>
      </c>
      <c r="G6553" s="25" t="s">
        <v>293</v>
      </c>
      <c r="H6553" s="25"/>
      <c r="BA6553" s="73" t="s">
        <v>355</v>
      </c>
      <c r="BB6553" s="48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357</v>
      </c>
      <c r="E6554" s="1" t="s">
        <v>137</v>
      </c>
      <c r="F6554" s="26">
        <v>479</v>
      </c>
      <c r="G6554" s="25" t="s">
        <v>293</v>
      </c>
      <c r="H6554" s="25"/>
      <c r="BA6554" s="73" t="s">
        <v>355</v>
      </c>
      <c r="BB6554" s="48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357</v>
      </c>
      <c r="E6555" s="1" t="s">
        <v>348</v>
      </c>
      <c r="F6555" s="26">
        <v>435</v>
      </c>
      <c r="G6555" s="25" t="s">
        <v>293</v>
      </c>
      <c r="H6555" s="25"/>
      <c r="BA6555" s="73" t="s">
        <v>355</v>
      </c>
      <c r="BB6555" s="48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357</v>
      </c>
      <c r="E6556" s="1" t="s">
        <v>125</v>
      </c>
      <c r="F6556" s="26">
        <v>418</v>
      </c>
      <c r="G6556" s="25" t="s">
        <v>293</v>
      </c>
      <c r="H6556" s="25"/>
      <c r="BA6556" s="73" t="s">
        <v>355</v>
      </c>
      <c r="BB6556" s="48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357</v>
      </c>
      <c r="E6557" s="1" t="s">
        <v>126</v>
      </c>
      <c r="F6557" s="26">
        <v>154</v>
      </c>
      <c r="G6557" s="25" t="s">
        <v>293</v>
      </c>
      <c r="H6557" s="25"/>
      <c r="BA6557" s="73" t="s">
        <v>355</v>
      </c>
      <c r="BB6557" s="48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357</v>
      </c>
      <c r="E6558" s="1" t="s">
        <v>349</v>
      </c>
      <c r="F6558" s="26">
        <v>392</v>
      </c>
      <c r="G6558" s="25" t="s">
        <v>293</v>
      </c>
      <c r="H6558" s="25"/>
      <c r="BA6558" s="73" t="s">
        <v>355</v>
      </c>
      <c r="BB6558" s="48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357</v>
      </c>
      <c r="E6559" s="1" t="s">
        <v>350</v>
      </c>
      <c r="F6559" s="26">
        <v>85</v>
      </c>
      <c r="G6559" s="25" t="s">
        <v>293</v>
      </c>
      <c r="H6559" s="25"/>
      <c r="BA6559" s="73" t="s">
        <v>355</v>
      </c>
      <c r="BB6559" s="48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357</v>
      </c>
      <c r="E6560" s="1" t="s">
        <v>122</v>
      </c>
      <c r="F6560" s="26">
        <v>217</v>
      </c>
      <c r="G6560" s="25" t="s">
        <v>293</v>
      </c>
      <c r="H6560" s="25"/>
      <c r="BA6560" s="73" t="s">
        <v>355</v>
      </c>
      <c r="BB6560" s="48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357</v>
      </c>
      <c r="E6561" s="1" t="s">
        <v>124</v>
      </c>
      <c r="F6561" s="26">
        <v>105</v>
      </c>
      <c r="G6561" s="25" t="s">
        <v>293</v>
      </c>
      <c r="H6561" s="25"/>
      <c r="BA6561" s="73" t="s">
        <v>355</v>
      </c>
      <c r="BB6561" s="48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357</v>
      </c>
      <c r="E6562" s="1" t="s">
        <v>351</v>
      </c>
      <c r="F6562" s="26">
        <v>3.51</v>
      </c>
      <c r="G6562" s="25" t="s">
        <v>293</v>
      </c>
      <c r="H6562" s="25"/>
      <c r="BA6562" s="73" t="s">
        <v>355</v>
      </c>
      <c r="BB6562" s="48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357</v>
      </c>
      <c r="E6563" s="1" t="s">
        <v>353</v>
      </c>
      <c r="F6563" s="26">
        <v>15.5</v>
      </c>
      <c r="G6563" s="25" t="s">
        <v>293</v>
      </c>
      <c r="H6563" s="25"/>
      <c r="BA6563" s="73" t="s">
        <v>355</v>
      </c>
      <c r="BB6563" s="48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357</v>
      </c>
      <c r="E6564" s="1" t="s">
        <v>133</v>
      </c>
      <c r="F6564" s="26">
        <v>131</v>
      </c>
      <c r="G6564" s="25" t="s">
        <v>293</v>
      </c>
      <c r="H6564" s="25"/>
      <c r="BA6564" s="73" t="s">
        <v>355</v>
      </c>
      <c r="BB6564" s="48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357</v>
      </c>
      <c r="E6565" s="1" t="s">
        <v>135</v>
      </c>
      <c r="F6565" s="26">
        <v>6.7</v>
      </c>
      <c r="G6565" s="25" t="s">
        <v>293</v>
      </c>
      <c r="H6565" s="25"/>
      <c r="BA6565" s="73" t="s">
        <v>355</v>
      </c>
      <c r="BB6565" s="48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357</v>
      </c>
      <c r="E6566" s="1" t="s">
        <v>136</v>
      </c>
      <c r="F6566" s="26">
        <v>88</v>
      </c>
      <c r="G6566" s="25" t="s">
        <v>293</v>
      </c>
      <c r="H6566" s="25"/>
      <c r="BA6566" s="73" t="s">
        <v>355</v>
      </c>
      <c r="BB6566" s="48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357</v>
      </c>
      <c r="E6567" s="1" t="s">
        <v>339</v>
      </c>
      <c r="F6567" s="26">
        <v>1.28</v>
      </c>
      <c r="G6567" s="25" t="s">
        <v>293</v>
      </c>
      <c r="H6567" s="25"/>
      <c r="BA6567" s="73" t="s">
        <v>355</v>
      </c>
      <c r="BB6567" s="48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357</v>
      </c>
      <c r="E6568" s="1" t="s">
        <v>118</v>
      </c>
      <c r="F6568" s="26">
        <v>9.6</v>
      </c>
      <c r="G6568" s="25" t="s">
        <v>293</v>
      </c>
      <c r="H6568" s="25"/>
      <c r="BA6568" s="73" t="s">
        <v>355</v>
      </c>
      <c r="BB6568" s="48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357</v>
      </c>
      <c r="E6569" s="1" t="s">
        <v>130</v>
      </c>
      <c r="F6569" s="26">
        <v>2.4</v>
      </c>
      <c r="G6569" s="25" t="s">
        <v>293</v>
      </c>
      <c r="H6569" s="25"/>
      <c r="BA6569" s="73" t="s">
        <v>355</v>
      </c>
      <c r="BB6569" s="48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357</v>
      </c>
      <c r="E6570" s="1" t="s">
        <v>341</v>
      </c>
      <c r="F6570" s="26">
        <v>1.23</v>
      </c>
      <c r="G6570" s="25" t="s">
        <v>293</v>
      </c>
      <c r="H6570" s="25"/>
      <c r="BA6570" s="73" t="s">
        <v>355</v>
      </c>
      <c r="BB6570" s="48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357</v>
      </c>
      <c r="E6571" s="1" t="s">
        <v>127</v>
      </c>
      <c r="F6571" s="26">
        <v>4.79</v>
      </c>
      <c r="G6571" s="25" t="s">
        <v>293</v>
      </c>
      <c r="H6571" s="25"/>
      <c r="BA6571" s="73" t="s">
        <v>355</v>
      </c>
      <c r="BB6571" s="48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357</v>
      </c>
      <c r="E6572" s="1" t="s">
        <v>131</v>
      </c>
      <c r="F6572" s="26">
        <v>11.9</v>
      </c>
      <c r="G6572" s="25" t="s">
        <v>293</v>
      </c>
      <c r="H6572" s="25"/>
      <c r="BA6572" s="73" t="s">
        <v>355</v>
      </c>
      <c r="BB6572" s="48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357</v>
      </c>
      <c r="E6573" s="1" t="s">
        <v>342</v>
      </c>
      <c r="F6573" s="26">
        <v>207</v>
      </c>
      <c r="G6573" s="25" t="s">
        <v>293</v>
      </c>
      <c r="H6573" s="25"/>
      <c r="BA6573" s="73" t="s">
        <v>355</v>
      </c>
      <c r="BB6573" s="48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357</v>
      </c>
      <c r="E6574" s="1" t="s">
        <v>119</v>
      </c>
      <c r="F6574" s="26">
        <v>92</v>
      </c>
      <c r="G6574" s="25" t="s">
        <v>293</v>
      </c>
      <c r="H6574" s="25"/>
      <c r="BA6574" s="73" t="s">
        <v>355</v>
      </c>
      <c r="BB6574" s="48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357</v>
      </c>
      <c r="E6575" s="1" t="s">
        <v>120</v>
      </c>
      <c r="F6575" s="26">
        <v>27</v>
      </c>
      <c r="G6575" s="25" t="s">
        <v>293</v>
      </c>
      <c r="H6575" s="25"/>
      <c r="BA6575" s="73" t="s">
        <v>355</v>
      </c>
      <c r="BB6575" s="48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357</v>
      </c>
      <c r="E6576" s="1" t="s">
        <v>117</v>
      </c>
      <c r="F6576" s="26">
        <v>6.48</v>
      </c>
      <c r="G6576" s="25" t="s">
        <v>293</v>
      </c>
      <c r="H6576" s="25"/>
      <c r="BA6576" s="73" t="s">
        <v>355</v>
      </c>
      <c r="BB6576" s="48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357</v>
      </c>
      <c r="E6577" s="1" t="s">
        <v>344</v>
      </c>
      <c r="F6577" s="26">
        <v>69</v>
      </c>
      <c r="G6577" s="25" t="s">
        <v>293</v>
      </c>
      <c r="H6577" s="25"/>
      <c r="BA6577" s="73" t="s">
        <v>355</v>
      </c>
      <c r="BB6577" s="48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357</v>
      </c>
      <c r="E6578" s="1" t="s">
        <v>132</v>
      </c>
      <c r="F6578" s="26">
        <v>7.09</v>
      </c>
      <c r="G6578" s="25" t="s">
        <v>293</v>
      </c>
      <c r="H6578" s="25"/>
      <c r="BA6578" s="73" t="s">
        <v>355</v>
      </c>
      <c r="BB6578" s="48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357</v>
      </c>
      <c r="E6579" s="1" t="s">
        <v>111</v>
      </c>
      <c r="F6579" s="26">
        <v>276</v>
      </c>
      <c r="G6579" s="25" t="s">
        <v>293</v>
      </c>
      <c r="H6579" s="25"/>
      <c r="BA6579" s="73" t="s">
        <v>355</v>
      </c>
      <c r="BB6579" s="48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357</v>
      </c>
      <c r="E6580" s="1" t="s">
        <v>345</v>
      </c>
      <c r="F6580" s="26">
        <v>9.7200000000000006</v>
      </c>
      <c r="G6580" s="25" t="s">
        <v>293</v>
      </c>
      <c r="H6580" s="25"/>
      <c r="BA6580" s="73" t="s">
        <v>355</v>
      </c>
      <c r="BB6580" s="48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357</v>
      </c>
      <c r="E6581" s="1" t="s">
        <v>347</v>
      </c>
      <c r="F6581" s="26">
        <v>4.58</v>
      </c>
      <c r="G6581" s="25" t="s">
        <v>293</v>
      </c>
      <c r="H6581" s="25"/>
      <c r="BA6581" s="73" t="s">
        <v>355</v>
      </c>
      <c r="BB6581" s="48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357</v>
      </c>
      <c r="E6582" s="1" t="s">
        <v>128</v>
      </c>
      <c r="F6582" s="26">
        <v>4.5</v>
      </c>
      <c r="G6582" s="25" t="s">
        <v>293</v>
      </c>
      <c r="H6582" s="25"/>
      <c r="BA6582" s="73" t="s">
        <v>355</v>
      </c>
      <c r="BB6582" s="48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357</v>
      </c>
      <c r="E6583" s="1" t="s">
        <v>121</v>
      </c>
      <c r="F6583" s="26">
        <v>79</v>
      </c>
      <c r="G6583" s="25" t="s">
        <v>293</v>
      </c>
      <c r="H6583" s="25"/>
      <c r="BA6583" s="73" t="s">
        <v>355</v>
      </c>
      <c r="BB6583" s="48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357</v>
      </c>
      <c r="E6584" s="1" t="s">
        <v>115</v>
      </c>
      <c r="F6584" s="26">
        <v>97</v>
      </c>
      <c r="G6584" s="25" t="s">
        <v>293</v>
      </c>
      <c r="H6584" s="25"/>
      <c r="BA6584" s="73" t="s">
        <v>355</v>
      </c>
      <c r="BB6584" s="48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357</v>
      </c>
      <c r="E6585" s="1" t="s">
        <v>137</v>
      </c>
      <c r="F6585" s="26">
        <v>485</v>
      </c>
      <c r="G6585" s="25" t="s">
        <v>293</v>
      </c>
      <c r="H6585" s="25"/>
      <c r="BA6585" s="73" t="s">
        <v>355</v>
      </c>
      <c r="BB6585" s="48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357</v>
      </c>
      <c r="E6586" s="1" t="s">
        <v>348</v>
      </c>
      <c r="F6586" s="26">
        <v>433</v>
      </c>
      <c r="G6586" s="25" t="s">
        <v>293</v>
      </c>
      <c r="H6586" s="25"/>
      <c r="BA6586" s="73" t="s">
        <v>355</v>
      </c>
      <c r="BB6586" s="48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357</v>
      </c>
      <c r="E6587" s="1" t="s">
        <v>125</v>
      </c>
      <c r="F6587" s="26">
        <v>403</v>
      </c>
      <c r="G6587" s="25" t="s">
        <v>293</v>
      </c>
      <c r="H6587" s="25"/>
      <c r="BA6587" s="73" t="s">
        <v>355</v>
      </c>
      <c r="BB6587" s="48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357</v>
      </c>
      <c r="E6588" s="1" t="s">
        <v>126</v>
      </c>
      <c r="F6588" s="26">
        <v>154</v>
      </c>
      <c r="G6588" s="25" t="s">
        <v>293</v>
      </c>
      <c r="H6588" s="25"/>
      <c r="BA6588" s="73" t="s">
        <v>355</v>
      </c>
      <c r="BB6588" s="48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357</v>
      </c>
      <c r="E6589" s="1" t="s">
        <v>349</v>
      </c>
      <c r="F6589" s="26">
        <v>397</v>
      </c>
      <c r="G6589" s="25" t="s">
        <v>293</v>
      </c>
      <c r="H6589" s="25"/>
      <c r="BA6589" s="73" t="s">
        <v>355</v>
      </c>
      <c r="BB6589" s="48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357</v>
      </c>
      <c r="E6590" s="1" t="s">
        <v>350</v>
      </c>
      <c r="F6590" s="26">
        <v>87</v>
      </c>
      <c r="G6590" s="25" t="s">
        <v>293</v>
      </c>
      <c r="H6590" s="25"/>
      <c r="BA6590" s="73" t="s">
        <v>355</v>
      </c>
      <c r="BB6590" s="48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357</v>
      </c>
      <c r="E6591" s="1" t="s">
        <v>122</v>
      </c>
      <c r="F6591" s="26">
        <v>212</v>
      </c>
      <c r="G6591" s="25" t="s">
        <v>293</v>
      </c>
      <c r="H6591" s="25"/>
      <c r="BA6591" s="73" t="s">
        <v>355</v>
      </c>
      <c r="BB6591" s="48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357</v>
      </c>
      <c r="E6592" s="1" t="s">
        <v>124</v>
      </c>
      <c r="F6592" s="26">
        <v>105</v>
      </c>
      <c r="G6592" s="25" t="s">
        <v>293</v>
      </c>
      <c r="H6592" s="25"/>
      <c r="BA6592" s="73" t="s">
        <v>355</v>
      </c>
      <c r="BB6592" s="48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357</v>
      </c>
      <c r="E6593" s="1" t="s">
        <v>351</v>
      </c>
      <c r="F6593" s="26">
        <v>3.6</v>
      </c>
      <c r="G6593" s="25" t="s">
        <v>293</v>
      </c>
      <c r="H6593" s="25"/>
      <c r="BA6593" s="73" t="s">
        <v>355</v>
      </c>
      <c r="BB6593" s="48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357</v>
      </c>
      <c r="E6594" s="1" t="s">
        <v>353</v>
      </c>
      <c r="F6594" s="26">
        <v>16.100000000000001</v>
      </c>
      <c r="G6594" s="25" t="s">
        <v>293</v>
      </c>
      <c r="H6594" s="25"/>
      <c r="BA6594" s="73" t="s">
        <v>355</v>
      </c>
      <c r="BB6594" s="48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357</v>
      </c>
      <c r="E6595" s="1" t="s">
        <v>133</v>
      </c>
      <c r="F6595" s="26">
        <v>128</v>
      </c>
      <c r="G6595" s="25" t="s">
        <v>293</v>
      </c>
      <c r="H6595" s="25"/>
      <c r="BA6595" s="73" t="s">
        <v>355</v>
      </c>
      <c r="BB6595" s="48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357</v>
      </c>
      <c r="E6596" s="1" t="s">
        <v>135</v>
      </c>
      <c r="F6596" s="26">
        <v>6.5</v>
      </c>
      <c r="G6596" s="25" t="s">
        <v>293</v>
      </c>
      <c r="H6596" s="25"/>
      <c r="BA6596" s="73" t="s">
        <v>355</v>
      </c>
      <c r="BB6596" s="48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357</v>
      </c>
      <c r="E6597" s="1" t="s">
        <v>136</v>
      </c>
      <c r="F6597" s="26">
        <v>86</v>
      </c>
      <c r="G6597" s="25" t="s">
        <v>293</v>
      </c>
      <c r="H6597" s="25"/>
      <c r="BA6597" s="73" t="s">
        <v>355</v>
      </c>
      <c r="BB6597" s="48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357</v>
      </c>
      <c r="E6598" s="1" t="s">
        <v>339</v>
      </c>
      <c r="F6598" s="26">
        <v>1.24</v>
      </c>
      <c r="G6598" s="25" t="s">
        <v>293</v>
      </c>
      <c r="H6598" s="25"/>
      <c r="BA6598" s="73" t="s">
        <v>355</v>
      </c>
      <c r="BB6598" s="48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357</v>
      </c>
      <c r="E6599" s="1" t="s">
        <v>118</v>
      </c>
      <c r="F6599" s="26">
        <v>9.4</v>
      </c>
      <c r="G6599" s="25" t="s">
        <v>293</v>
      </c>
      <c r="H6599" s="25"/>
      <c r="BA6599" s="73" t="s">
        <v>355</v>
      </c>
      <c r="BB6599" s="48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357</v>
      </c>
      <c r="E6600" s="1" t="s">
        <v>130</v>
      </c>
      <c r="F6600" s="26">
        <v>2.46</v>
      </c>
      <c r="G6600" s="25" t="s">
        <v>293</v>
      </c>
      <c r="H6600" s="25"/>
      <c r="BA6600" s="73" t="s">
        <v>355</v>
      </c>
      <c r="BB6600" s="48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357</v>
      </c>
      <c r="E6601" s="1" t="s">
        <v>341</v>
      </c>
      <c r="F6601" s="26">
        <v>1.2</v>
      </c>
      <c r="G6601" s="25" t="s">
        <v>293</v>
      </c>
      <c r="H6601" s="25"/>
      <c r="BA6601" s="73" t="s">
        <v>355</v>
      </c>
      <c r="BB6601" s="48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357</v>
      </c>
      <c r="E6602" s="1" t="s">
        <v>127</v>
      </c>
      <c r="F6602" s="26">
        <v>4.7699999999999996</v>
      </c>
      <c r="G6602" s="25" t="s">
        <v>293</v>
      </c>
      <c r="H6602" s="25"/>
      <c r="BA6602" s="73" t="s">
        <v>355</v>
      </c>
      <c r="BB6602" s="48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357</v>
      </c>
      <c r="E6603" s="1" t="s">
        <v>131</v>
      </c>
      <c r="F6603" s="26">
        <v>11.9</v>
      </c>
      <c r="G6603" s="25" t="s">
        <v>293</v>
      </c>
      <c r="H6603" s="25"/>
      <c r="BA6603" s="73" t="s">
        <v>355</v>
      </c>
      <c r="BB6603" s="48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357</v>
      </c>
      <c r="E6604" s="1" t="s">
        <v>342</v>
      </c>
      <c r="F6604" s="26">
        <v>208</v>
      </c>
      <c r="G6604" s="25" t="s">
        <v>293</v>
      </c>
      <c r="H6604" s="25"/>
      <c r="BA6604" s="73" t="s">
        <v>355</v>
      </c>
      <c r="BB6604" s="48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357</v>
      </c>
      <c r="E6605" s="1" t="s">
        <v>119</v>
      </c>
      <c r="F6605" s="26">
        <v>94</v>
      </c>
      <c r="G6605" s="25" t="s">
        <v>293</v>
      </c>
      <c r="H6605" s="25"/>
      <c r="BA6605" s="73" t="s">
        <v>355</v>
      </c>
      <c r="BB6605" s="48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357</v>
      </c>
      <c r="E6606" s="1" t="s">
        <v>120</v>
      </c>
      <c r="F6606" s="26">
        <v>26</v>
      </c>
      <c r="G6606" s="25" t="s">
        <v>293</v>
      </c>
      <c r="H6606" s="25"/>
      <c r="BA6606" s="73" t="s">
        <v>355</v>
      </c>
      <c r="BB6606" s="48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357</v>
      </c>
      <c r="E6607" s="1" t="s">
        <v>117</v>
      </c>
      <c r="F6607" s="26">
        <v>6.53</v>
      </c>
      <c r="G6607" s="25" t="s">
        <v>293</v>
      </c>
      <c r="H6607" s="25"/>
      <c r="BA6607" s="73" t="s">
        <v>355</v>
      </c>
      <c r="BB6607" s="48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357</v>
      </c>
      <c r="E6608" s="1" t="s">
        <v>344</v>
      </c>
      <c r="F6608" s="26">
        <v>71</v>
      </c>
      <c r="G6608" s="25" t="s">
        <v>293</v>
      </c>
      <c r="H6608" s="25"/>
      <c r="BA6608" s="73" t="s">
        <v>355</v>
      </c>
      <c r="BB6608" s="48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357</v>
      </c>
      <c r="E6609" s="1" t="s">
        <v>132</v>
      </c>
      <c r="F6609" s="26">
        <v>7.04</v>
      </c>
      <c r="G6609" s="25" t="s">
        <v>293</v>
      </c>
      <c r="H6609" s="25"/>
      <c r="BA6609" s="73" t="s">
        <v>355</v>
      </c>
      <c r="BB6609" s="48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357</v>
      </c>
      <c r="E6610" s="1" t="s">
        <v>111</v>
      </c>
      <c r="F6610" s="26">
        <v>278</v>
      </c>
      <c r="G6610" s="25" t="s">
        <v>293</v>
      </c>
      <c r="H6610" s="25"/>
      <c r="BA6610" s="73" t="s">
        <v>355</v>
      </c>
      <c r="BB6610" s="48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357</v>
      </c>
      <c r="E6611" s="1" t="s">
        <v>345</v>
      </c>
      <c r="F6611" s="26">
        <v>9.68</v>
      </c>
      <c r="G6611" s="25" t="s">
        <v>293</v>
      </c>
      <c r="H6611" s="25"/>
      <c r="BA6611" s="73" t="s">
        <v>355</v>
      </c>
      <c r="BB6611" s="48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357</v>
      </c>
      <c r="E6612" s="1" t="s">
        <v>347</v>
      </c>
      <c r="F6612" s="26">
        <v>4.66</v>
      </c>
      <c r="G6612" s="25" t="s">
        <v>293</v>
      </c>
      <c r="H6612" s="25"/>
      <c r="BA6612" s="73" t="s">
        <v>355</v>
      </c>
      <c r="BB6612" s="48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357</v>
      </c>
      <c r="E6613" s="1" t="s">
        <v>128</v>
      </c>
      <c r="F6613" s="26">
        <v>4.5</v>
      </c>
      <c r="G6613" s="25" t="s">
        <v>293</v>
      </c>
      <c r="H6613" s="25"/>
      <c r="BA6613" s="73" t="s">
        <v>355</v>
      </c>
      <c r="BB6613" s="48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357</v>
      </c>
      <c r="E6614" s="1" t="s">
        <v>121</v>
      </c>
      <c r="F6614" s="26">
        <v>83</v>
      </c>
      <c r="G6614" s="25" t="s">
        <v>293</v>
      </c>
      <c r="H6614" s="25"/>
      <c r="BA6614" s="73" t="s">
        <v>355</v>
      </c>
      <c r="BB6614" s="48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357</v>
      </c>
      <c r="E6615" s="1" t="s">
        <v>115</v>
      </c>
      <c r="F6615" s="26">
        <v>95</v>
      </c>
      <c r="G6615" s="25" t="s">
        <v>293</v>
      </c>
      <c r="H6615" s="25"/>
      <c r="BA6615" s="73" t="s">
        <v>355</v>
      </c>
      <c r="BB6615" s="48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357</v>
      </c>
      <c r="E6616" s="1" t="s">
        <v>137</v>
      </c>
      <c r="F6616" s="26">
        <v>480</v>
      </c>
      <c r="G6616" s="25" t="s">
        <v>293</v>
      </c>
      <c r="H6616" s="25"/>
      <c r="BA6616" s="73" t="s">
        <v>355</v>
      </c>
      <c r="BB6616" s="48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357</v>
      </c>
      <c r="E6617" s="1" t="s">
        <v>348</v>
      </c>
      <c r="F6617" s="26">
        <v>435</v>
      </c>
      <c r="G6617" s="25" t="s">
        <v>293</v>
      </c>
      <c r="H6617" s="25"/>
      <c r="BA6617" s="73" t="s">
        <v>355</v>
      </c>
      <c r="BB6617" s="48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357</v>
      </c>
      <c r="E6618" s="1" t="s">
        <v>125</v>
      </c>
      <c r="F6618" s="26">
        <v>426</v>
      </c>
      <c r="G6618" s="25" t="s">
        <v>293</v>
      </c>
      <c r="H6618" s="25"/>
      <c r="BA6618" s="73" t="s">
        <v>355</v>
      </c>
      <c r="BB6618" s="48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357</v>
      </c>
      <c r="E6619" s="1" t="s">
        <v>126</v>
      </c>
      <c r="F6619" s="26">
        <v>155</v>
      </c>
      <c r="G6619" s="25" t="s">
        <v>293</v>
      </c>
      <c r="H6619" s="25"/>
      <c r="BA6619" s="73" t="s">
        <v>355</v>
      </c>
      <c r="BB6619" s="48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357</v>
      </c>
      <c r="E6620" s="1" t="s">
        <v>349</v>
      </c>
      <c r="F6620" s="26">
        <v>393</v>
      </c>
      <c r="G6620" s="25" t="s">
        <v>293</v>
      </c>
      <c r="H6620" s="25"/>
      <c r="BA6620" s="73" t="s">
        <v>355</v>
      </c>
      <c r="BB6620" s="48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357</v>
      </c>
      <c r="E6621" s="1" t="s">
        <v>350</v>
      </c>
      <c r="F6621" s="26">
        <v>85</v>
      </c>
      <c r="G6621" s="25" t="s">
        <v>293</v>
      </c>
      <c r="H6621" s="25"/>
      <c r="BA6621" s="73" t="s">
        <v>355</v>
      </c>
      <c r="BB6621" s="48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357</v>
      </c>
      <c r="E6622" s="1" t="s">
        <v>122</v>
      </c>
      <c r="F6622" s="26">
        <v>215</v>
      </c>
      <c r="G6622" s="25" t="s">
        <v>293</v>
      </c>
      <c r="H6622" s="25"/>
      <c r="BA6622" s="73" t="s">
        <v>355</v>
      </c>
      <c r="BB6622" s="48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357</v>
      </c>
      <c r="E6623" s="1" t="s">
        <v>124</v>
      </c>
      <c r="F6623" s="26">
        <v>102</v>
      </c>
      <c r="G6623" s="25" t="s">
        <v>293</v>
      </c>
      <c r="H6623" s="25"/>
      <c r="BA6623" s="73" t="s">
        <v>355</v>
      </c>
      <c r="BB6623" s="48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357</v>
      </c>
      <c r="E6624" s="1" t="s">
        <v>351</v>
      </c>
      <c r="F6624" s="26">
        <v>3.65</v>
      </c>
      <c r="G6624" s="25" t="s">
        <v>293</v>
      </c>
      <c r="H6624" s="25"/>
      <c r="BA6624" s="73" t="s">
        <v>355</v>
      </c>
      <c r="BB6624" s="48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357</v>
      </c>
      <c r="E6625" s="1" t="s">
        <v>353</v>
      </c>
      <c r="F6625" s="26">
        <v>15.4</v>
      </c>
      <c r="G6625" s="25" t="s">
        <v>293</v>
      </c>
      <c r="H6625" s="25"/>
      <c r="BA6625" s="73" t="s">
        <v>355</v>
      </c>
      <c r="BB6625" s="48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357</v>
      </c>
      <c r="E6626" s="1" t="s">
        <v>133</v>
      </c>
      <c r="F6626" s="26">
        <v>130</v>
      </c>
      <c r="G6626" s="25" t="s">
        <v>293</v>
      </c>
      <c r="H6626" s="25"/>
      <c r="BA6626" s="73" t="s">
        <v>355</v>
      </c>
      <c r="BB6626" s="48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357</v>
      </c>
      <c r="E6627" s="1" t="s">
        <v>135</v>
      </c>
      <c r="F6627" s="26">
        <v>6.6</v>
      </c>
      <c r="G6627" s="25" t="s">
        <v>293</v>
      </c>
      <c r="H6627" s="25"/>
      <c r="BA6627" s="73" t="s">
        <v>355</v>
      </c>
      <c r="BB6627" s="48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357</v>
      </c>
      <c r="E6628" s="1" t="s">
        <v>136</v>
      </c>
      <c r="F6628" s="26">
        <v>87</v>
      </c>
      <c r="G6628" s="25" t="s">
        <v>293</v>
      </c>
      <c r="H6628" s="25"/>
      <c r="BA6628" s="73" t="s">
        <v>355</v>
      </c>
      <c r="BB6628" s="48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357</v>
      </c>
      <c r="E6629" s="1" t="s">
        <v>339</v>
      </c>
      <c r="F6629" s="26">
        <v>1.2</v>
      </c>
      <c r="G6629" s="25" t="s">
        <v>293</v>
      </c>
      <c r="H6629" s="25"/>
      <c r="BA6629" s="73" t="s">
        <v>355</v>
      </c>
      <c r="BB6629" s="48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357</v>
      </c>
      <c r="E6630" s="1" t="s">
        <v>118</v>
      </c>
      <c r="F6630" s="26">
        <v>9.5</v>
      </c>
      <c r="G6630" s="25" t="s">
        <v>293</v>
      </c>
      <c r="H6630" s="25"/>
      <c r="BA6630" s="73" t="s">
        <v>355</v>
      </c>
      <c r="BB6630" s="48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357</v>
      </c>
      <c r="E6631" s="1" t="s">
        <v>130</v>
      </c>
      <c r="F6631" s="26">
        <v>2.44</v>
      </c>
      <c r="G6631" s="25" t="s">
        <v>293</v>
      </c>
      <c r="H6631" s="25"/>
      <c r="BA6631" s="73" t="s">
        <v>355</v>
      </c>
      <c r="BB6631" s="48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357</v>
      </c>
      <c r="E6632" s="1" t="s">
        <v>341</v>
      </c>
      <c r="F6632" s="26">
        <v>1.2</v>
      </c>
      <c r="G6632" s="25" t="s">
        <v>293</v>
      </c>
      <c r="H6632" s="25"/>
      <c r="BA6632" s="73" t="s">
        <v>355</v>
      </c>
      <c r="BB6632" s="48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357</v>
      </c>
      <c r="E6633" s="1" t="s">
        <v>127</v>
      </c>
      <c r="F6633" s="26">
        <v>4.79</v>
      </c>
      <c r="G6633" s="25" t="s">
        <v>293</v>
      </c>
      <c r="H6633" s="25"/>
      <c r="BA6633" s="73" t="s">
        <v>355</v>
      </c>
      <c r="BB6633" s="48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357</v>
      </c>
      <c r="E6634" s="1" t="s">
        <v>131</v>
      </c>
      <c r="F6634" s="26">
        <v>11.7</v>
      </c>
      <c r="G6634" s="25" t="s">
        <v>293</v>
      </c>
      <c r="H6634" s="25"/>
      <c r="BA6634" s="73" t="s">
        <v>355</v>
      </c>
      <c r="BB6634" s="48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357</v>
      </c>
      <c r="E6635" s="1" t="s">
        <v>342</v>
      </c>
      <c r="F6635" s="26">
        <v>207</v>
      </c>
      <c r="G6635" s="25" t="s">
        <v>293</v>
      </c>
      <c r="H6635" s="25"/>
      <c r="BA6635" s="73" t="s">
        <v>355</v>
      </c>
      <c r="BB6635" s="48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357</v>
      </c>
      <c r="E6636" s="1" t="s">
        <v>119</v>
      </c>
      <c r="F6636" s="26">
        <v>90</v>
      </c>
      <c r="G6636" s="25" t="s">
        <v>293</v>
      </c>
      <c r="H6636" s="25"/>
      <c r="BA6636" s="73" t="s">
        <v>355</v>
      </c>
      <c r="BB6636" s="48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357</v>
      </c>
      <c r="E6637" s="1" t="s">
        <v>120</v>
      </c>
      <c r="F6637" s="26">
        <v>27</v>
      </c>
      <c r="G6637" s="25" t="s">
        <v>293</v>
      </c>
      <c r="H6637" s="25"/>
      <c r="BA6637" s="73" t="s">
        <v>355</v>
      </c>
      <c r="BB6637" s="48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357</v>
      </c>
      <c r="E6638" s="1" t="s">
        <v>117</v>
      </c>
      <c r="F6638" s="26">
        <v>6.29</v>
      </c>
      <c r="G6638" s="25" t="s">
        <v>293</v>
      </c>
      <c r="H6638" s="25"/>
      <c r="BA6638" s="73" t="s">
        <v>355</v>
      </c>
      <c r="BB6638" s="48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357</v>
      </c>
      <c r="E6639" s="1" t="s">
        <v>344</v>
      </c>
      <c r="F6639" s="26">
        <v>69</v>
      </c>
      <c r="G6639" s="25" t="s">
        <v>293</v>
      </c>
      <c r="H6639" s="25"/>
      <c r="BA6639" s="73" t="s">
        <v>355</v>
      </c>
      <c r="BB6639" s="48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357</v>
      </c>
      <c r="E6640" s="1" t="s">
        <v>132</v>
      </c>
      <c r="F6640" s="26">
        <v>7.02</v>
      </c>
      <c r="G6640" s="25" t="s">
        <v>293</v>
      </c>
      <c r="H6640" s="25"/>
      <c r="BA6640" s="73" t="s">
        <v>355</v>
      </c>
      <c r="BB6640" s="48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357</v>
      </c>
      <c r="E6641" s="1" t="s">
        <v>111</v>
      </c>
      <c r="F6641" s="26">
        <v>276</v>
      </c>
      <c r="G6641" s="25" t="s">
        <v>293</v>
      </c>
      <c r="H6641" s="25"/>
      <c r="BA6641" s="73" t="s">
        <v>355</v>
      </c>
      <c r="BB6641" s="48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357</v>
      </c>
      <c r="E6642" s="1" t="s">
        <v>345</v>
      </c>
      <c r="F6642" s="26">
        <v>9.8000000000000007</v>
      </c>
      <c r="G6642" s="25" t="s">
        <v>293</v>
      </c>
      <c r="H6642" s="25"/>
      <c r="BA6642" s="73" t="s">
        <v>355</v>
      </c>
      <c r="BB6642" s="48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357</v>
      </c>
      <c r="E6643" s="1" t="s">
        <v>347</v>
      </c>
      <c r="F6643" s="26">
        <v>4.63</v>
      </c>
      <c r="G6643" s="25" t="s">
        <v>293</v>
      </c>
      <c r="H6643" s="25"/>
      <c r="BA6643" s="73" t="s">
        <v>355</v>
      </c>
      <c r="BB6643" s="48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357</v>
      </c>
      <c r="E6644" s="1" t="s">
        <v>128</v>
      </c>
      <c r="F6644" s="26">
        <v>4.5</v>
      </c>
      <c r="G6644" s="25" t="s">
        <v>293</v>
      </c>
      <c r="H6644" s="25"/>
      <c r="BA6644" s="73" t="s">
        <v>355</v>
      </c>
      <c r="BB6644" s="48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357</v>
      </c>
      <c r="E6645" s="1" t="s">
        <v>121</v>
      </c>
      <c r="F6645" s="26">
        <v>80</v>
      </c>
      <c r="G6645" s="25" t="s">
        <v>293</v>
      </c>
      <c r="H6645" s="25"/>
      <c r="BA6645" s="73" t="s">
        <v>355</v>
      </c>
      <c r="BB6645" s="48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357</v>
      </c>
      <c r="E6646" s="1" t="s">
        <v>115</v>
      </c>
      <c r="F6646" s="26">
        <v>96</v>
      </c>
      <c r="G6646" s="25" t="s">
        <v>293</v>
      </c>
      <c r="H6646" s="25"/>
      <c r="BA6646" s="73" t="s">
        <v>355</v>
      </c>
      <c r="BB6646" s="48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357</v>
      </c>
      <c r="E6647" s="1" t="s">
        <v>137</v>
      </c>
      <c r="F6647" s="26">
        <v>484</v>
      </c>
      <c r="G6647" s="25" t="s">
        <v>293</v>
      </c>
      <c r="H6647" s="25"/>
      <c r="BA6647" s="73" t="s">
        <v>355</v>
      </c>
      <c r="BB6647" s="48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357</v>
      </c>
      <c r="E6648" s="1" t="s">
        <v>348</v>
      </c>
      <c r="F6648" s="26">
        <v>434</v>
      </c>
      <c r="G6648" s="25" t="s">
        <v>293</v>
      </c>
      <c r="H6648" s="25"/>
      <c r="BA6648" s="73" t="s">
        <v>355</v>
      </c>
      <c r="BB6648" s="48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357</v>
      </c>
      <c r="E6649" s="1" t="s">
        <v>125</v>
      </c>
      <c r="F6649" s="26">
        <v>413</v>
      </c>
      <c r="G6649" s="25" t="s">
        <v>293</v>
      </c>
      <c r="H6649" s="25"/>
      <c r="BA6649" s="73" t="s">
        <v>355</v>
      </c>
      <c r="BB6649" s="48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357</v>
      </c>
      <c r="E6650" s="1" t="s">
        <v>126</v>
      </c>
      <c r="F6650" s="26">
        <v>152</v>
      </c>
      <c r="G6650" s="25" t="s">
        <v>293</v>
      </c>
      <c r="H6650" s="25"/>
      <c r="BA6650" s="73" t="s">
        <v>355</v>
      </c>
      <c r="BB6650" s="48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357</v>
      </c>
      <c r="E6651" s="1" t="s">
        <v>349</v>
      </c>
      <c r="F6651" s="26">
        <v>397</v>
      </c>
      <c r="G6651" s="25" t="s">
        <v>293</v>
      </c>
      <c r="H6651" s="25"/>
      <c r="BA6651" s="73" t="s">
        <v>355</v>
      </c>
      <c r="BB6651" s="48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357</v>
      </c>
      <c r="E6652" s="1" t="s">
        <v>350</v>
      </c>
      <c r="F6652" s="26">
        <v>85</v>
      </c>
      <c r="G6652" s="25" t="s">
        <v>293</v>
      </c>
      <c r="H6652" s="25"/>
      <c r="BA6652" s="73" t="s">
        <v>355</v>
      </c>
      <c r="BB6652" s="48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357</v>
      </c>
      <c r="E6653" s="1" t="s">
        <v>122</v>
      </c>
      <c r="F6653" s="26">
        <v>214</v>
      </c>
      <c r="G6653" s="25" t="s">
        <v>293</v>
      </c>
      <c r="H6653" s="25"/>
      <c r="BA6653" s="73" t="s">
        <v>355</v>
      </c>
      <c r="BB6653" s="48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357</v>
      </c>
      <c r="E6654" s="1" t="s">
        <v>124</v>
      </c>
      <c r="F6654" s="26">
        <v>103</v>
      </c>
      <c r="G6654" s="25" t="s">
        <v>293</v>
      </c>
      <c r="H6654" s="25"/>
      <c r="BA6654" s="73" t="s">
        <v>355</v>
      </c>
      <c r="BB6654" s="48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357</v>
      </c>
      <c r="E6655" s="1" t="s">
        <v>351</v>
      </c>
      <c r="F6655" s="26">
        <v>3.5</v>
      </c>
      <c r="G6655" s="25" t="s">
        <v>293</v>
      </c>
      <c r="H6655" s="25"/>
      <c r="BA6655" s="73" t="s">
        <v>355</v>
      </c>
      <c r="BB6655" s="48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357</v>
      </c>
      <c r="E6656" s="1" t="s">
        <v>353</v>
      </c>
      <c r="F6656" s="26">
        <v>16.100000000000001</v>
      </c>
      <c r="G6656" s="25" t="s">
        <v>293</v>
      </c>
      <c r="H6656" s="25"/>
      <c r="BA6656" s="73" t="s">
        <v>355</v>
      </c>
      <c r="BB6656" s="48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357</v>
      </c>
      <c r="E6657" s="1" t="s">
        <v>133</v>
      </c>
      <c r="F6657" s="26">
        <v>128</v>
      </c>
      <c r="G6657" s="25" t="s">
        <v>293</v>
      </c>
      <c r="H6657" s="25"/>
      <c r="BA6657" s="73" t="s">
        <v>355</v>
      </c>
      <c r="BB6657" s="48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357</v>
      </c>
      <c r="E6658" s="1" t="s">
        <v>135</v>
      </c>
      <c r="F6658" s="26">
        <v>6.4</v>
      </c>
      <c r="G6658" s="25" t="s">
        <v>293</v>
      </c>
      <c r="H6658" s="25"/>
      <c r="BA6658" s="73" t="s">
        <v>355</v>
      </c>
      <c r="BB6658" s="48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357</v>
      </c>
      <c r="E6659" s="1" t="s">
        <v>136</v>
      </c>
      <c r="F6659" s="26">
        <v>85</v>
      </c>
      <c r="G6659" s="25" t="s">
        <v>293</v>
      </c>
      <c r="H6659" s="25"/>
      <c r="BA6659" s="73" t="s">
        <v>355</v>
      </c>
      <c r="BB6659" s="48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357</v>
      </c>
      <c r="E6660" s="1" t="s">
        <v>339</v>
      </c>
      <c r="F6660" s="26">
        <v>1.24</v>
      </c>
      <c r="G6660" s="25" t="s">
        <v>293</v>
      </c>
      <c r="H6660" s="25"/>
      <c r="BA6660" s="73" t="s">
        <v>355</v>
      </c>
      <c r="BB6660" s="48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357</v>
      </c>
      <c r="E6661" s="1" t="s">
        <v>118</v>
      </c>
      <c r="F6661" s="26">
        <v>9.6</v>
      </c>
      <c r="G6661" s="25" t="s">
        <v>293</v>
      </c>
      <c r="H6661" s="25"/>
      <c r="BA6661" s="73" t="s">
        <v>355</v>
      </c>
      <c r="BB6661" s="48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357</v>
      </c>
      <c r="E6662" s="1" t="s">
        <v>130</v>
      </c>
      <c r="F6662" s="26">
        <v>2.4300000000000002</v>
      </c>
      <c r="G6662" s="25" t="s">
        <v>293</v>
      </c>
      <c r="H6662" s="25"/>
      <c r="BA6662" s="73" t="s">
        <v>355</v>
      </c>
      <c r="BB6662" s="48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357</v>
      </c>
      <c r="E6663" s="1" t="s">
        <v>341</v>
      </c>
      <c r="F6663" s="26">
        <v>1.23</v>
      </c>
      <c r="G6663" s="25" t="s">
        <v>293</v>
      </c>
      <c r="H6663" s="25"/>
      <c r="BA6663" s="73" t="s">
        <v>355</v>
      </c>
      <c r="BB6663" s="48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357</v>
      </c>
      <c r="E6664" s="1" t="s">
        <v>127</v>
      </c>
      <c r="F6664" s="26">
        <v>4.7699999999999996</v>
      </c>
      <c r="G6664" s="25" t="s">
        <v>293</v>
      </c>
      <c r="H6664" s="25"/>
      <c r="BA6664" s="73" t="s">
        <v>355</v>
      </c>
      <c r="BB6664" s="48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357</v>
      </c>
      <c r="E6665" s="1" t="s">
        <v>131</v>
      </c>
      <c r="F6665" s="26">
        <v>12.1</v>
      </c>
      <c r="G6665" s="25" t="s">
        <v>293</v>
      </c>
      <c r="H6665" s="25"/>
      <c r="BA6665" s="73" t="s">
        <v>355</v>
      </c>
      <c r="BB6665" s="48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357</v>
      </c>
      <c r="E6666" s="1" t="s">
        <v>342</v>
      </c>
      <c r="F6666" s="26">
        <v>217</v>
      </c>
      <c r="G6666" s="25" t="s">
        <v>293</v>
      </c>
      <c r="H6666" s="25"/>
      <c r="BA6666" s="73" t="s">
        <v>355</v>
      </c>
      <c r="BB6666" s="48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357</v>
      </c>
      <c r="E6667" s="1" t="s">
        <v>119</v>
      </c>
      <c r="F6667" s="26">
        <v>95</v>
      </c>
      <c r="G6667" s="25" t="s">
        <v>293</v>
      </c>
      <c r="H6667" s="25"/>
      <c r="BA6667" s="73" t="s">
        <v>355</v>
      </c>
      <c r="BB6667" s="48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357</v>
      </c>
      <c r="E6668" s="1" t="s">
        <v>120</v>
      </c>
      <c r="F6668" s="26">
        <v>27</v>
      </c>
      <c r="G6668" s="25" t="s">
        <v>293</v>
      </c>
      <c r="H6668" s="25"/>
      <c r="BA6668" s="73" t="s">
        <v>355</v>
      </c>
      <c r="BB6668" s="48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357</v>
      </c>
      <c r="E6669" s="1" t="s">
        <v>117</v>
      </c>
      <c r="F6669" s="26">
        <v>6.35</v>
      </c>
      <c r="G6669" s="25" t="s">
        <v>293</v>
      </c>
      <c r="H6669" s="25"/>
      <c r="BA6669" s="73" t="s">
        <v>355</v>
      </c>
      <c r="BB6669" s="48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357</v>
      </c>
      <c r="E6670" s="1" t="s">
        <v>344</v>
      </c>
      <c r="F6670" s="26">
        <v>70</v>
      </c>
      <c r="G6670" s="25" t="s">
        <v>293</v>
      </c>
      <c r="H6670" s="25"/>
      <c r="BA6670" s="73" t="s">
        <v>355</v>
      </c>
      <c r="BB6670" s="48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357</v>
      </c>
      <c r="E6671" s="1" t="s">
        <v>132</v>
      </c>
      <c r="F6671" s="26">
        <v>6.94</v>
      </c>
      <c r="G6671" s="25" t="s">
        <v>293</v>
      </c>
      <c r="H6671" s="25"/>
      <c r="BA6671" s="73" t="s">
        <v>355</v>
      </c>
      <c r="BB6671" s="48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357</v>
      </c>
      <c r="E6672" s="1" t="s">
        <v>111</v>
      </c>
      <c r="F6672" s="26">
        <v>276</v>
      </c>
      <c r="G6672" s="25" t="s">
        <v>293</v>
      </c>
      <c r="H6672" s="25"/>
      <c r="BA6672" s="73" t="s">
        <v>355</v>
      </c>
      <c r="BB6672" s="48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357</v>
      </c>
      <c r="E6673" s="1" t="s">
        <v>345</v>
      </c>
      <c r="F6673" s="26">
        <v>9.85</v>
      </c>
      <c r="G6673" s="25" t="s">
        <v>293</v>
      </c>
      <c r="H6673" s="25"/>
      <c r="BA6673" s="73" t="s">
        <v>355</v>
      </c>
      <c r="BB6673" s="48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357</v>
      </c>
      <c r="E6674" s="1" t="s">
        <v>347</v>
      </c>
      <c r="F6674" s="26">
        <v>4.62</v>
      </c>
      <c r="G6674" s="25" t="s">
        <v>293</v>
      </c>
      <c r="H6674" s="25"/>
      <c r="BA6674" s="73" t="s">
        <v>355</v>
      </c>
      <c r="BB6674" s="48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357</v>
      </c>
      <c r="E6675" s="1" t="s">
        <v>128</v>
      </c>
      <c r="F6675" s="26">
        <v>4.5</v>
      </c>
      <c r="G6675" s="25" t="s">
        <v>293</v>
      </c>
      <c r="H6675" s="25"/>
      <c r="BA6675" s="73" t="s">
        <v>355</v>
      </c>
      <c r="BB6675" s="48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357</v>
      </c>
      <c r="E6676" s="1" t="s">
        <v>121</v>
      </c>
      <c r="F6676" s="26">
        <v>80</v>
      </c>
      <c r="G6676" s="25" t="s">
        <v>293</v>
      </c>
      <c r="H6676" s="25"/>
      <c r="BA6676" s="73" t="s">
        <v>355</v>
      </c>
      <c r="BB6676" s="48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357</v>
      </c>
      <c r="E6677" s="1" t="s">
        <v>115</v>
      </c>
      <c r="F6677" s="26">
        <v>97</v>
      </c>
      <c r="G6677" s="25" t="s">
        <v>293</v>
      </c>
      <c r="H6677" s="25"/>
      <c r="BA6677" s="73" t="s">
        <v>355</v>
      </c>
      <c r="BB6677" s="48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357</v>
      </c>
      <c r="E6678" s="1" t="s">
        <v>137</v>
      </c>
      <c r="F6678" s="26">
        <v>484</v>
      </c>
      <c r="G6678" s="25" t="s">
        <v>293</v>
      </c>
      <c r="H6678" s="25"/>
      <c r="BA6678" s="73" t="s">
        <v>355</v>
      </c>
      <c r="BB6678" s="48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357</v>
      </c>
      <c r="E6679" s="1" t="s">
        <v>348</v>
      </c>
      <c r="F6679" s="26">
        <v>433</v>
      </c>
      <c r="G6679" s="25" t="s">
        <v>293</v>
      </c>
      <c r="H6679" s="25"/>
      <c r="BA6679" s="73" t="s">
        <v>355</v>
      </c>
      <c r="BB6679" s="48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357</v>
      </c>
      <c r="E6680" s="1" t="s">
        <v>125</v>
      </c>
      <c r="F6680" s="26">
        <v>413</v>
      </c>
      <c r="G6680" s="25" t="s">
        <v>293</v>
      </c>
      <c r="H6680" s="25"/>
      <c r="BA6680" s="73" t="s">
        <v>355</v>
      </c>
      <c r="BB6680" s="48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357</v>
      </c>
      <c r="E6681" s="1" t="s">
        <v>126</v>
      </c>
      <c r="F6681" s="26">
        <v>155</v>
      </c>
      <c r="G6681" s="25" t="s">
        <v>293</v>
      </c>
      <c r="H6681" s="25"/>
      <c r="BA6681" s="73" t="s">
        <v>355</v>
      </c>
      <c r="BB6681" s="48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357</v>
      </c>
      <c r="E6682" s="1" t="s">
        <v>349</v>
      </c>
      <c r="F6682" s="26">
        <v>392</v>
      </c>
      <c r="G6682" s="25" t="s">
        <v>293</v>
      </c>
      <c r="H6682" s="25"/>
      <c r="BA6682" s="73" t="s">
        <v>355</v>
      </c>
      <c r="BB6682" s="48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357</v>
      </c>
      <c r="E6683" s="1" t="s">
        <v>350</v>
      </c>
      <c r="F6683" s="26">
        <v>85</v>
      </c>
      <c r="G6683" s="25" t="s">
        <v>293</v>
      </c>
      <c r="H6683" s="25"/>
      <c r="BA6683" s="73" t="s">
        <v>355</v>
      </c>
      <c r="BB6683" s="48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357</v>
      </c>
      <c r="E6684" s="1" t="s">
        <v>122</v>
      </c>
      <c r="F6684" s="26">
        <v>220</v>
      </c>
      <c r="G6684" s="25" t="s">
        <v>293</v>
      </c>
      <c r="H6684" s="25"/>
      <c r="BA6684" s="73" t="s">
        <v>355</v>
      </c>
      <c r="BB6684" s="48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357</v>
      </c>
      <c r="E6685" s="1" t="s">
        <v>124</v>
      </c>
      <c r="F6685" s="26">
        <v>106</v>
      </c>
      <c r="G6685" s="25" t="s">
        <v>293</v>
      </c>
      <c r="H6685" s="25"/>
      <c r="BA6685" s="73" t="s">
        <v>355</v>
      </c>
      <c r="BB6685" s="48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357</v>
      </c>
      <c r="E6686" s="1" t="s">
        <v>351</v>
      </c>
      <c r="F6686" s="26">
        <v>3.54</v>
      </c>
      <c r="G6686" s="25" t="s">
        <v>293</v>
      </c>
      <c r="H6686" s="25"/>
      <c r="BA6686" s="73" t="s">
        <v>355</v>
      </c>
      <c r="BB6686" s="48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357</v>
      </c>
      <c r="E6687" s="1" t="s">
        <v>353</v>
      </c>
      <c r="F6687" s="26">
        <v>16.399999999999999</v>
      </c>
      <c r="G6687" s="25" t="s">
        <v>293</v>
      </c>
      <c r="H6687" s="25"/>
      <c r="BA6687" s="73" t="s">
        <v>355</v>
      </c>
      <c r="BB6687" s="48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357</v>
      </c>
      <c r="E6688" s="1" t="s">
        <v>133</v>
      </c>
      <c r="F6688" s="26">
        <v>128</v>
      </c>
      <c r="G6688" s="25" t="s">
        <v>293</v>
      </c>
      <c r="H6688" s="25"/>
      <c r="BA6688" s="73" t="s">
        <v>355</v>
      </c>
      <c r="BB6688" s="48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357</v>
      </c>
      <c r="E6689" s="1" t="s">
        <v>135</v>
      </c>
      <c r="F6689" s="26">
        <v>6.5</v>
      </c>
      <c r="G6689" s="25" t="s">
        <v>293</v>
      </c>
      <c r="H6689" s="25"/>
      <c r="BA6689" s="73" t="s">
        <v>355</v>
      </c>
      <c r="BB6689" s="48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357</v>
      </c>
      <c r="E6690" s="1" t="s">
        <v>136</v>
      </c>
      <c r="F6690" s="26">
        <v>85</v>
      </c>
      <c r="G6690" s="25" t="s">
        <v>293</v>
      </c>
      <c r="H6690" s="25"/>
      <c r="BA6690" s="73" t="s">
        <v>355</v>
      </c>
      <c r="BB6690" s="48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357</v>
      </c>
      <c r="E6691" s="1" t="s">
        <v>339</v>
      </c>
      <c r="F6691" s="26">
        <v>1.29</v>
      </c>
      <c r="G6691" s="25" t="s">
        <v>293</v>
      </c>
      <c r="H6691" s="25"/>
      <c r="BA6691" s="73" t="s">
        <v>355</v>
      </c>
      <c r="BB6691" s="48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357</v>
      </c>
      <c r="E6692" s="1" t="s">
        <v>118</v>
      </c>
      <c r="F6692" s="26">
        <v>9.6</v>
      </c>
      <c r="G6692" s="25" t="s">
        <v>293</v>
      </c>
      <c r="H6692" s="25"/>
      <c r="BA6692" s="73" t="s">
        <v>355</v>
      </c>
      <c r="BB6692" s="48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357</v>
      </c>
      <c r="E6693" s="1" t="s">
        <v>130</v>
      </c>
      <c r="F6693" s="26">
        <v>2.4500000000000002</v>
      </c>
      <c r="G6693" s="25" t="s">
        <v>293</v>
      </c>
      <c r="H6693" s="25"/>
      <c r="BA6693" s="73" t="s">
        <v>355</v>
      </c>
      <c r="BB6693" s="48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357</v>
      </c>
      <c r="E6694" s="1" t="s">
        <v>341</v>
      </c>
      <c r="F6694" s="26">
        <v>1.21</v>
      </c>
      <c r="G6694" s="25" t="s">
        <v>293</v>
      </c>
      <c r="H6694" s="25"/>
      <c r="BA6694" s="73" t="s">
        <v>355</v>
      </c>
      <c r="BB6694" s="48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357</v>
      </c>
      <c r="E6695" s="1" t="s">
        <v>127</v>
      </c>
      <c r="F6695" s="26">
        <v>4.74</v>
      </c>
      <c r="G6695" s="25" t="s">
        <v>293</v>
      </c>
      <c r="H6695" s="25"/>
      <c r="BA6695" s="73" t="s">
        <v>355</v>
      </c>
      <c r="BB6695" s="48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357</v>
      </c>
      <c r="E6696" s="1" t="s">
        <v>131</v>
      </c>
      <c r="F6696" s="26">
        <v>12</v>
      </c>
      <c r="G6696" s="25" t="s">
        <v>293</v>
      </c>
      <c r="H6696" s="25"/>
      <c r="BA6696" s="73" t="s">
        <v>355</v>
      </c>
      <c r="BB6696" s="48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357</v>
      </c>
      <c r="E6697" s="1" t="s">
        <v>342</v>
      </c>
      <c r="F6697" s="26">
        <v>209</v>
      </c>
      <c r="G6697" s="25" t="s">
        <v>293</v>
      </c>
      <c r="H6697" s="25"/>
      <c r="BA6697" s="73" t="s">
        <v>355</v>
      </c>
      <c r="BB6697" s="48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357</v>
      </c>
      <c r="E6698" s="1" t="s">
        <v>119</v>
      </c>
      <c r="F6698" s="26">
        <v>91</v>
      </c>
      <c r="G6698" s="25" t="s">
        <v>293</v>
      </c>
      <c r="H6698" s="25"/>
      <c r="BA6698" s="73" t="s">
        <v>355</v>
      </c>
      <c r="BB6698" s="48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357</v>
      </c>
      <c r="E6699" s="1" t="s">
        <v>120</v>
      </c>
      <c r="F6699" s="26">
        <v>27</v>
      </c>
      <c r="G6699" s="25" t="s">
        <v>293</v>
      </c>
      <c r="H6699" s="25"/>
      <c r="BA6699" s="73" t="s">
        <v>355</v>
      </c>
      <c r="BB6699" s="48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357</v>
      </c>
      <c r="E6700" s="1" t="s">
        <v>117</v>
      </c>
      <c r="F6700" s="26">
        <v>6.32</v>
      </c>
      <c r="G6700" s="25" t="s">
        <v>293</v>
      </c>
      <c r="H6700" s="25"/>
      <c r="BA6700" s="73" t="s">
        <v>355</v>
      </c>
      <c r="BB6700" s="48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357</v>
      </c>
      <c r="E6701" s="1" t="s">
        <v>344</v>
      </c>
      <c r="F6701" s="26">
        <v>70</v>
      </c>
      <c r="G6701" s="25" t="s">
        <v>293</v>
      </c>
      <c r="H6701" s="25"/>
      <c r="BA6701" s="73" t="s">
        <v>355</v>
      </c>
      <c r="BB6701" s="48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357</v>
      </c>
      <c r="E6702" s="1" t="s">
        <v>132</v>
      </c>
      <c r="F6702" s="26">
        <v>6.93</v>
      </c>
      <c r="G6702" s="25" t="s">
        <v>293</v>
      </c>
      <c r="H6702" s="25"/>
      <c r="BA6702" s="73" t="s">
        <v>355</v>
      </c>
      <c r="BB6702" s="48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357</v>
      </c>
      <c r="E6703" s="1" t="s">
        <v>111</v>
      </c>
      <c r="F6703" s="26">
        <v>276</v>
      </c>
      <c r="G6703" s="25" t="s">
        <v>293</v>
      </c>
      <c r="H6703" s="25"/>
      <c r="BA6703" s="73" t="s">
        <v>355</v>
      </c>
      <c r="BB6703" s="48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357</v>
      </c>
      <c r="E6704" s="1" t="s">
        <v>345</v>
      </c>
      <c r="F6704" s="26">
        <v>9.73</v>
      </c>
      <c r="G6704" s="25" t="s">
        <v>293</v>
      </c>
      <c r="H6704" s="25"/>
      <c r="BA6704" s="73" t="s">
        <v>355</v>
      </c>
      <c r="BB6704" s="48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357</v>
      </c>
      <c r="E6705" s="1" t="s">
        <v>347</v>
      </c>
      <c r="F6705" s="26">
        <v>4.6399999999999997</v>
      </c>
      <c r="G6705" s="25" t="s">
        <v>293</v>
      </c>
      <c r="H6705" s="25"/>
      <c r="BA6705" s="73" t="s">
        <v>355</v>
      </c>
      <c r="BB6705" s="48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357</v>
      </c>
      <c r="E6706" s="1" t="s">
        <v>128</v>
      </c>
      <c r="F6706" s="26">
        <v>4.5</v>
      </c>
      <c r="G6706" s="25" t="s">
        <v>293</v>
      </c>
      <c r="H6706" s="25"/>
      <c r="BA6706" s="73" t="s">
        <v>355</v>
      </c>
      <c r="BB6706" s="48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357</v>
      </c>
      <c r="E6707" s="1" t="s">
        <v>121</v>
      </c>
      <c r="F6707" s="26">
        <v>80</v>
      </c>
      <c r="G6707" s="25" t="s">
        <v>293</v>
      </c>
      <c r="H6707" s="25"/>
      <c r="BA6707" s="73" t="s">
        <v>355</v>
      </c>
      <c r="BB6707" s="48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357</v>
      </c>
      <c r="E6708" s="1" t="s">
        <v>115</v>
      </c>
      <c r="F6708" s="26">
        <v>98</v>
      </c>
      <c r="G6708" s="25" t="s">
        <v>293</v>
      </c>
      <c r="H6708" s="25"/>
      <c r="BA6708" s="73" t="s">
        <v>355</v>
      </c>
      <c r="BB6708" s="48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357</v>
      </c>
      <c r="E6709" s="1" t="s">
        <v>137</v>
      </c>
      <c r="F6709" s="26">
        <v>487</v>
      </c>
      <c r="G6709" s="25" t="s">
        <v>293</v>
      </c>
      <c r="H6709" s="25"/>
      <c r="BA6709" s="73" t="s">
        <v>355</v>
      </c>
      <c r="BB6709" s="48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357</v>
      </c>
      <c r="E6710" s="1" t="s">
        <v>348</v>
      </c>
      <c r="F6710" s="26">
        <v>446</v>
      </c>
      <c r="G6710" s="25" t="s">
        <v>293</v>
      </c>
      <c r="H6710" s="25"/>
      <c r="BA6710" s="73" t="s">
        <v>355</v>
      </c>
      <c r="BB6710" s="48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357</v>
      </c>
      <c r="E6711" s="1" t="s">
        <v>125</v>
      </c>
      <c r="F6711" s="26">
        <v>421</v>
      </c>
      <c r="G6711" s="25" t="s">
        <v>293</v>
      </c>
      <c r="H6711" s="25"/>
      <c r="BA6711" s="73" t="s">
        <v>355</v>
      </c>
      <c r="BB6711" s="48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357</v>
      </c>
      <c r="E6712" s="1" t="s">
        <v>126</v>
      </c>
      <c r="F6712" s="26">
        <v>152</v>
      </c>
      <c r="G6712" s="25" t="s">
        <v>293</v>
      </c>
      <c r="H6712" s="25"/>
      <c r="BA6712" s="73" t="s">
        <v>355</v>
      </c>
      <c r="BB6712" s="48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357</v>
      </c>
      <c r="E6713" s="1" t="s">
        <v>349</v>
      </c>
      <c r="F6713" s="26">
        <v>389</v>
      </c>
      <c r="G6713" s="25" t="s">
        <v>293</v>
      </c>
      <c r="H6713" s="25"/>
      <c r="BA6713" s="73" t="s">
        <v>355</v>
      </c>
      <c r="BB6713" s="48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357</v>
      </c>
      <c r="E6714" s="1" t="s">
        <v>350</v>
      </c>
      <c r="F6714" s="26">
        <v>86</v>
      </c>
      <c r="G6714" s="25" t="s">
        <v>293</v>
      </c>
      <c r="H6714" s="25"/>
      <c r="BA6714" s="73" t="s">
        <v>355</v>
      </c>
      <c r="BB6714" s="48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357</v>
      </c>
      <c r="E6715" s="1" t="s">
        <v>122</v>
      </c>
      <c r="F6715" s="26">
        <v>214</v>
      </c>
      <c r="G6715" s="25" t="s">
        <v>293</v>
      </c>
      <c r="H6715" s="25"/>
      <c r="BA6715" s="73" t="s">
        <v>355</v>
      </c>
      <c r="BB6715" s="48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357</v>
      </c>
      <c r="E6716" s="1" t="s">
        <v>124</v>
      </c>
      <c r="F6716" s="26">
        <v>102</v>
      </c>
      <c r="G6716" s="25" t="s">
        <v>293</v>
      </c>
      <c r="H6716" s="25"/>
      <c r="BA6716" s="73" t="s">
        <v>355</v>
      </c>
      <c r="BB6716" s="48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357</v>
      </c>
      <c r="E6717" s="1" t="s">
        <v>351</v>
      </c>
      <c r="F6717" s="26">
        <v>3.43</v>
      </c>
      <c r="G6717" s="25" t="s">
        <v>293</v>
      </c>
      <c r="H6717" s="25"/>
      <c r="BA6717" s="73" t="s">
        <v>355</v>
      </c>
      <c r="BB6717" s="48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357</v>
      </c>
      <c r="E6718" s="1" t="s">
        <v>353</v>
      </c>
      <c r="F6718" s="26">
        <v>14.9</v>
      </c>
      <c r="G6718" s="25" t="s">
        <v>293</v>
      </c>
      <c r="H6718" s="25"/>
      <c r="BA6718" s="73" t="s">
        <v>355</v>
      </c>
      <c r="BB6718" s="48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357</v>
      </c>
      <c r="E6719" s="1" t="s">
        <v>133</v>
      </c>
      <c r="F6719" s="26">
        <v>129</v>
      </c>
      <c r="G6719" s="25" t="s">
        <v>293</v>
      </c>
      <c r="H6719" s="25"/>
      <c r="BA6719" s="73" t="s">
        <v>355</v>
      </c>
      <c r="BB6719" s="48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357</v>
      </c>
      <c r="E6720" s="1" t="s">
        <v>135</v>
      </c>
      <c r="F6720" s="26">
        <v>6.6</v>
      </c>
      <c r="G6720" s="25" t="s">
        <v>293</v>
      </c>
      <c r="H6720" s="25"/>
      <c r="BA6720" s="73" t="s">
        <v>355</v>
      </c>
      <c r="BB6720" s="48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357</v>
      </c>
      <c r="E6721" s="1" t="s">
        <v>136</v>
      </c>
      <c r="F6721" s="26">
        <v>85</v>
      </c>
      <c r="G6721" s="25" t="s">
        <v>293</v>
      </c>
      <c r="H6721" s="25"/>
      <c r="BA6721" s="73" t="s">
        <v>355</v>
      </c>
      <c r="BB6721" s="48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357</v>
      </c>
      <c r="E6722" s="1" t="s">
        <v>339</v>
      </c>
      <c r="F6722" s="26">
        <v>1.18</v>
      </c>
      <c r="G6722" s="25" t="s">
        <v>293</v>
      </c>
      <c r="H6722" s="25"/>
      <c r="BA6722" s="73" t="s">
        <v>355</v>
      </c>
      <c r="BB6722" s="48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357</v>
      </c>
      <c r="E6723" s="1" t="s">
        <v>118</v>
      </c>
      <c r="F6723" s="26">
        <v>9.4</v>
      </c>
      <c r="G6723" s="25" t="s">
        <v>293</v>
      </c>
      <c r="H6723" s="25"/>
      <c r="BA6723" s="73" t="s">
        <v>355</v>
      </c>
      <c r="BB6723" s="48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357</v>
      </c>
      <c r="E6724" s="1" t="s">
        <v>130</v>
      </c>
      <c r="F6724" s="26">
        <v>2.35</v>
      </c>
      <c r="G6724" s="25" t="s">
        <v>293</v>
      </c>
      <c r="H6724" s="25"/>
      <c r="BA6724" s="73" t="s">
        <v>355</v>
      </c>
      <c r="BB6724" s="48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357</v>
      </c>
      <c r="E6725" s="1" t="s">
        <v>341</v>
      </c>
      <c r="F6725" s="26">
        <v>1.23</v>
      </c>
      <c r="G6725" s="25" t="s">
        <v>293</v>
      </c>
      <c r="H6725" s="25"/>
      <c r="BA6725" s="73" t="s">
        <v>355</v>
      </c>
      <c r="BB6725" s="48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357</v>
      </c>
      <c r="E6726" s="1" t="s">
        <v>127</v>
      </c>
      <c r="F6726" s="26">
        <v>4.71</v>
      </c>
      <c r="G6726" s="25" t="s">
        <v>293</v>
      </c>
      <c r="H6726" s="25"/>
      <c r="BA6726" s="73" t="s">
        <v>355</v>
      </c>
      <c r="BB6726" s="48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357</v>
      </c>
      <c r="E6727" s="1" t="s">
        <v>131</v>
      </c>
      <c r="F6727" s="26">
        <v>11.9</v>
      </c>
      <c r="G6727" s="25" t="s">
        <v>293</v>
      </c>
      <c r="H6727" s="25"/>
      <c r="BA6727" s="73" t="s">
        <v>355</v>
      </c>
      <c r="BB6727" s="48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357</v>
      </c>
      <c r="E6728" s="1" t="s">
        <v>342</v>
      </c>
      <c r="F6728" s="26">
        <v>204</v>
      </c>
      <c r="G6728" s="25" t="s">
        <v>293</v>
      </c>
      <c r="H6728" s="25"/>
      <c r="BA6728" s="73" t="s">
        <v>355</v>
      </c>
      <c r="BB6728" s="48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357</v>
      </c>
      <c r="E6729" s="1" t="s">
        <v>119</v>
      </c>
      <c r="F6729" s="26">
        <v>88</v>
      </c>
      <c r="G6729" s="25" t="s">
        <v>293</v>
      </c>
      <c r="H6729" s="25"/>
      <c r="BA6729" s="73" t="s">
        <v>355</v>
      </c>
      <c r="BB6729" s="48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357</v>
      </c>
      <c r="E6730" s="1" t="s">
        <v>120</v>
      </c>
      <c r="F6730" s="26">
        <v>27</v>
      </c>
      <c r="G6730" s="25" t="s">
        <v>293</v>
      </c>
      <c r="H6730" s="25"/>
      <c r="BA6730" s="73" t="s">
        <v>355</v>
      </c>
      <c r="BB6730" s="48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357</v>
      </c>
      <c r="E6731" s="1" t="s">
        <v>117</v>
      </c>
      <c r="F6731" s="26">
        <v>6.33</v>
      </c>
      <c r="G6731" s="25" t="s">
        <v>293</v>
      </c>
      <c r="H6731" s="25"/>
      <c r="BA6731" s="73" t="s">
        <v>355</v>
      </c>
      <c r="BB6731" s="48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357</v>
      </c>
      <c r="E6732" s="1" t="s">
        <v>344</v>
      </c>
      <c r="F6732" s="26">
        <v>68</v>
      </c>
      <c r="G6732" s="25" t="s">
        <v>293</v>
      </c>
      <c r="H6732" s="25"/>
      <c r="BA6732" s="73" t="s">
        <v>355</v>
      </c>
      <c r="BB6732" s="48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357</v>
      </c>
      <c r="E6733" s="1" t="s">
        <v>132</v>
      </c>
      <c r="F6733" s="26">
        <v>6.95</v>
      </c>
      <c r="G6733" s="25" t="s">
        <v>293</v>
      </c>
      <c r="H6733" s="25"/>
      <c r="BA6733" s="73" t="s">
        <v>355</v>
      </c>
      <c r="BB6733" s="48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357</v>
      </c>
      <c r="E6734" s="1" t="s">
        <v>111</v>
      </c>
      <c r="F6734" s="26">
        <v>275</v>
      </c>
      <c r="G6734" s="25" t="s">
        <v>293</v>
      </c>
      <c r="H6734" s="25"/>
      <c r="BA6734" s="73" t="s">
        <v>355</v>
      </c>
      <c r="BB6734" s="48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357</v>
      </c>
      <c r="E6735" s="1" t="s">
        <v>345</v>
      </c>
      <c r="F6735" s="26">
        <v>9.7899999999999991</v>
      </c>
      <c r="G6735" s="25" t="s">
        <v>293</v>
      </c>
      <c r="H6735" s="25"/>
      <c r="BA6735" s="73" t="s">
        <v>355</v>
      </c>
      <c r="BB6735" s="48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357</v>
      </c>
      <c r="E6736" s="1" t="s">
        <v>347</v>
      </c>
      <c r="F6736" s="26">
        <v>4.54</v>
      </c>
      <c r="G6736" s="25" t="s">
        <v>293</v>
      </c>
      <c r="H6736" s="25"/>
      <c r="BA6736" s="73" t="s">
        <v>355</v>
      </c>
      <c r="BB6736" s="48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357</v>
      </c>
      <c r="E6737" s="1" t="s">
        <v>128</v>
      </c>
      <c r="F6737" s="26">
        <v>4.4000000000000004</v>
      </c>
      <c r="G6737" s="25" t="s">
        <v>293</v>
      </c>
      <c r="H6737" s="25"/>
      <c r="BA6737" s="73" t="s">
        <v>355</v>
      </c>
      <c r="BB6737" s="48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357</v>
      </c>
      <c r="E6738" s="1" t="s">
        <v>121</v>
      </c>
      <c r="F6738" s="26">
        <v>79</v>
      </c>
      <c r="G6738" s="25" t="s">
        <v>293</v>
      </c>
      <c r="H6738" s="25"/>
      <c r="BA6738" s="73" t="s">
        <v>355</v>
      </c>
      <c r="BB6738" s="48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357</v>
      </c>
      <c r="E6739" s="1" t="s">
        <v>115</v>
      </c>
      <c r="F6739" s="26">
        <v>96</v>
      </c>
      <c r="G6739" s="25" t="s">
        <v>293</v>
      </c>
      <c r="H6739" s="25"/>
      <c r="BA6739" s="73" t="s">
        <v>355</v>
      </c>
      <c r="BB6739" s="48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357</v>
      </c>
      <c r="E6740" s="1" t="s">
        <v>137</v>
      </c>
      <c r="F6740" s="26">
        <v>480</v>
      </c>
      <c r="G6740" s="25" t="s">
        <v>293</v>
      </c>
      <c r="H6740" s="25"/>
      <c r="BA6740" s="73" t="s">
        <v>355</v>
      </c>
      <c r="BB6740" s="48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357</v>
      </c>
      <c r="E6741" s="1" t="s">
        <v>348</v>
      </c>
      <c r="F6741" s="26">
        <v>421</v>
      </c>
      <c r="G6741" s="25" t="s">
        <v>293</v>
      </c>
      <c r="H6741" s="25"/>
      <c r="BA6741" s="73" t="s">
        <v>355</v>
      </c>
      <c r="BB6741" s="48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357</v>
      </c>
      <c r="E6742" s="1" t="s">
        <v>125</v>
      </c>
      <c r="F6742" s="26">
        <v>411</v>
      </c>
      <c r="G6742" s="25" t="s">
        <v>293</v>
      </c>
      <c r="H6742" s="25"/>
      <c r="BA6742" s="73" t="s">
        <v>355</v>
      </c>
      <c r="BB6742" s="48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357</v>
      </c>
      <c r="E6743" s="1" t="s">
        <v>126</v>
      </c>
      <c r="F6743" s="26">
        <v>153</v>
      </c>
      <c r="G6743" s="25" t="s">
        <v>293</v>
      </c>
      <c r="H6743" s="25"/>
      <c r="BA6743" s="73" t="s">
        <v>355</v>
      </c>
      <c r="BB6743" s="48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357</v>
      </c>
      <c r="E6744" s="1" t="s">
        <v>349</v>
      </c>
      <c r="F6744" s="26">
        <v>380</v>
      </c>
      <c r="G6744" s="25" t="s">
        <v>293</v>
      </c>
      <c r="H6744" s="25"/>
      <c r="BA6744" s="73" t="s">
        <v>355</v>
      </c>
      <c r="BB6744" s="48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357</v>
      </c>
      <c r="E6745" s="1" t="s">
        <v>350</v>
      </c>
      <c r="F6745" s="26">
        <v>84</v>
      </c>
      <c r="G6745" s="25" t="s">
        <v>293</v>
      </c>
      <c r="H6745" s="25"/>
      <c r="BA6745" s="73" t="s">
        <v>355</v>
      </c>
      <c r="BB6745" s="48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357</v>
      </c>
      <c r="E6746" s="1" t="s">
        <v>122</v>
      </c>
      <c r="F6746" s="26">
        <v>210</v>
      </c>
      <c r="G6746" s="25" t="s">
        <v>293</v>
      </c>
      <c r="H6746" s="25"/>
      <c r="BA6746" s="73" t="s">
        <v>355</v>
      </c>
      <c r="BB6746" s="48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357</v>
      </c>
      <c r="E6747" s="1" t="s">
        <v>124</v>
      </c>
      <c r="F6747" s="26">
        <v>104</v>
      </c>
      <c r="G6747" s="25" t="s">
        <v>293</v>
      </c>
      <c r="H6747" s="25"/>
      <c r="BA6747" s="73" t="s">
        <v>355</v>
      </c>
      <c r="BB6747" s="48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357</v>
      </c>
      <c r="E6748" s="1" t="s">
        <v>351</v>
      </c>
      <c r="F6748" s="26">
        <v>3.5</v>
      </c>
      <c r="G6748" s="25" t="s">
        <v>293</v>
      </c>
      <c r="H6748" s="25"/>
      <c r="BA6748" s="73" t="s">
        <v>355</v>
      </c>
      <c r="BB6748" s="48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357</v>
      </c>
      <c r="E6749" s="1" t="s">
        <v>353</v>
      </c>
      <c r="F6749" s="26">
        <v>16.100000000000001</v>
      </c>
      <c r="G6749" s="25" t="s">
        <v>293</v>
      </c>
      <c r="H6749" s="25"/>
      <c r="BA6749" s="73" t="s">
        <v>355</v>
      </c>
      <c r="BB6749" s="48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357</v>
      </c>
      <c r="E6750" s="1" t="s">
        <v>133</v>
      </c>
      <c r="F6750" s="26">
        <v>126</v>
      </c>
      <c r="G6750" s="25" t="s">
        <v>293</v>
      </c>
      <c r="H6750" s="25"/>
      <c r="BA6750" s="73" t="s">
        <v>355</v>
      </c>
      <c r="BB6750" s="48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357</v>
      </c>
      <c r="E6751" s="1" t="s">
        <v>135</v>
      </c>
      <c r="F6751" s="26">
        <v>6.4</v>
      </c>
      <c r="G6751" s="25" t="s">
        <v>293</v>
      </c>
      <c r="H6751" s="25"/>
      <c r="BA6751" s="73" t="s">
        <v>355</v>
      </c>
      <c r="BB6751" s="48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357</v>
      </c>
      <c r="E6752" s="1" t="s">
        <v>136</v>
      </c>
      <c r="F6752" s="26">
        <v>84</v>
      </c>
      <c r="G6752" s="25" t="s">
        <v>293</v>
      </c>
      <c r="H6752" s="25"/>
      <c r="BA6752" s="73" t="s">
        <v>355</v>
      </c>
      <c r="BB6752" s="48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357</v>
      </c>
      <c r="E6753" s="1" t="s">
        <v>339</v>
      </c>
      <c r="F6753" s="26">
        <v>1.29</v>
      </c>
      <c r="G6753" s="25" t="s">
        <v>293</v>
      </c>
      <c r="H6753" s="25"/>
      <c r="BA6753" s="73" t="s">
        <v>355</v>
      </c>
      <c r="BB6753" s="48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357</v>
      </c>
      <c r="E6754" s="1" t="s">
        <v>118</v>
      </c>
      <c r="F6754" s="26">
        <v>9.5</v>
      </c>
      <c r="G6754" s="25" t="s">
        <v>293</v>
      </c>
      <c r="H6754" s="25"/>
      <c r="BA6754" s="73" t="s">
        <v>355</v>
      </c>
      <c r="BB6754" s="48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357</v>
      </c>
      <c r="E6755" s="1" t="s">
        <v>130</v>
      </c>
      <c r="F6755" s="26">
        <v>2.2999999999999998</v>
      </c>
      <c r="G6755" s="25" t="s">
        <v>293</v>
      </c>
      <c r="H6755" s="25"/>
      <c r="BA6755" s="73" t="s">
        <v>355</v>
      </c>
      <c r="BB6755" s="48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357</v>
      </c>
      <c r="E6756" s="1" t="s">
        <v>341</v>
      </c>
      <c r="F6756" s="26">
        <v>1.1599999999999999</v>
      </c>
      <c r="G6756" s="25" t="s">
        <v>293</v>
      </c>
      <c r="H6756" s="25"/>
      <c r="BA6756" s="73" t="s">
        <v>355</v>
      </c>
      <c r="BB6756" s="48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357</v>
      </c>
      <c r="E6757" s="1" t="s">
        <v>127</v>
      </c>
      <c r="F6757" s="26">
        <v>4.72</v>
      </c>
      <c r="G6757" s="25" t="s">
        <v>293</v>
      </c>
      <c r="H6757" s="25"/>
      <c r="BA6757" s="73" t="s">
        <v>355</v>
      </c>
      <c r="BB6757" s="48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357</v>
      </c>
      <c r="E6758" s="1" t="s">
        <v>131</v>
      </c>
      <c r="F6758" s="26">
        <v>12.2</v>
      </c>
      <c r="G6758" s="25" t="s">
        <v>293</v>
      </c>
      <c r="H6758" s="25"/>
      <c r="BA6758" s="73" t="s">
        <v>355</v>
      </c>
      <c r="BB6758" s="48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357</v>
      </c>
      <c r="E6759" s="1" t="s">
        <v>342</v>
      </c>
      <c r="F6759" s="26">
        <v>213</v>
      </c>
      <c r="G6759" s="25" t="s">
        <v>293</v>
      </c>
      <c r="H6759" s="25"/>
      <c r="BA6759" s="73" t="s">
        <v>355</v>
      </c>
      <c r="BB6759" s="48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357</v>
      </c>
      <c r="E6760" s="1" t="s">
        <v>119</v>
      </c>
      <c r="F6760" s="26">
        <v>90</v>
      </c>
      <c r="G6760" s="25" t="s">
        <v>293</v>
      </c>
      <c r="H6760" s="25"/>
      <c r="BA6760" s="73" t="s">
        <v>355</v>
      </c>
      <c r="BB6760" s="48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357</v>
      </c>
      <c r="E6761" s="1" t="s">
        <v>120</v>
      </c>
      <c r="F6761" s="26">
        <v>27</v>
      </c>
      <c r="G6761" s="25" t="s">
        <v>293</v>
      </c>
      <c r="H6761" s="25"/>
      <c r="BA6761" s="73" t="s">
        <v>355</v>
      </c>
      <c r="BB6761" s="48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357</v>
      </c>
      <c r="E6762" s="1" t="s">
        <v>117</v>
      </c>
      <c r="F6762" s="26">
        <v>6.21</v>
      </c>
      <c r="G6762" s="25" t="s">
        <v>293</v>
      </c>
      <c r="H6762" s="25"/>
      <c r="BA6762" s="73" t="s">
        <v>355</v>
      </c>
      <c r="BB6762" s="48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357</v>
      </c>
      <c r="E6763" s="1" t="s">
        <v>344</v>
      </c>
      <c r="F6763" s="26">
        <v>69</v>
      </c>
      <c r="G6763" s="25" t="s">
        <v>293</v>
      </c>
      <c r="H6763" s="25"/>
      <c r="BA6763" s="73" t="s">
        <v>355</v>
      </c>
      <c r="BB6763" s="48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357</v>
      </c>
      <c r="E6764" s="1" t="s">
        <v>132</v>
      </c>
      <c r="F6764" s="26">
        <v>6.95</v>
      </c>
      <c r="G6764" s="25" t="s">
        <v>293</v>
      </c>
      <c r="H6764" s="25"/>
      <c r="BA6764" s="73" t="s">
        <v>355</v>
      </c>
      <c r="BB6764" s="48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357</v>
      </c>
      <c r="E6765" s="1" t="s">
        <v>111</v>
      </c>
      <c r="F6765" s="26">
        <v>275</v>
      </c>
      <c r="G6765" s="25" t="s">
        <v>293</v>
      </c>
      <c r="H6765" s="25"/>
      <c r="BA6765" s="73" t="s">
        <v>355</v>
      </c>
      <c r="BB6765" s="48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357</v>
      </c>
      <c r="E6766" s="1" t="s">
        <v>345</v>
      </c>
      <c r="F6766" s="26">
        <v>9.9499999999999993</v>
      </c>
      <c r="G6766" s="25" t="s">
        <v>293</v>
      </c>
      <c r="H6766" s="25"/>
      <c r="BA6766" s="73" t="s">
        <v>355</v>
      </c>
      <c r="BB6766" s="48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357</v>
      </c>
      <c r="E6767" s="1" t="s">
        <v>347</v>
      </c>
      <c r="F6767" s="26">
        <v>4.59</v>
      </c>
      <c r="G6767" s="25" t="s">
        <v>293</v>
      </c>
      <c r="H6767" s="25"/>
      <c r="BA6767" s="73" t="s">
        <v>355</v>
      </c>
      <c r="BB6767" s="48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357</v>
      </c>
      <c r="E6768" s="1" t="s">
        <v>128</v>
      </c>
      <c r="F6768" s="26">
        <v>4.5999999999999996</v>
      </c>
      <c r="G6768" s="25" t="s">
        <v>293</v>
      </c>
      <c r="H6768" s="25"/>
      <c r="BA6768" s="73" t="s">
        <v>355</v>
      </c>
      <c r="BB6768" s="48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357</v>
      </c>
      <c r="E6769" s="1" t="s">
        <v>121</v>
      </c>
      <c r="F6769" s="26">
        <v>77</v>
      </c>
      <c r="G6769" s="25" t="s">
        <v>293</v>
      </c>
      <c r="H6769" s="25"/>
      <c r="BA6769" s="73" t="s">
        <v>355</v>
      </c>
      <c r="BB6769" s="48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357</v>
      </c>
      <c r="E6770" s="1" t="s">
        <v>115</v>
      </c>
      <c r="F6770" s="26">
        <v>94</v>
      </c>
      <c r="G6770" s="25" t="s">
        <v>293</v>
      </c>
      <c r="H6770" s="25"/>
      <c r="BA6770" s="73" t="s">
        <v>355</v>
      </c>
      <c r="BB6770" s="48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357</v>
      </c>
      <c r="E6771" s="1" t="s">
        <v>137</v>
      </c>
      <c r="F6771" s="26">
        <v>480</v>
      </c>
      <c r="G6771" s="25" t="s">
        <v>293</v>
      </c>
      <c r="H6771" s="25"/>
      <c r="BA6771" s="73" t="s">
        <v>355</v>
      </c>
      <c r="BB6771" s="48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357</v>
      </c>
      <c r="E6772" s="1" t="s">
        <v>348</v>
      </c>
      <c r="F6772" s="26">
        <v>434</v>
      </c>
      <c r="G6772" s="25" t="s">
        <v>293</v>
      </c>
      <c r="H6772" s="25"/>
      <c r="BA6772" s="73" t="s">
        <v>355</v>
      </c>
      <c r="BB6772" s="48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357</v>
      </c>
      <c r="E6773" s="1" t="s">
        <v>125</v>
      </c>
      <c r="F6773" s="26">
        <v>424</v>
      </c>
      <c r="G6773" s="25" t="s">
        <v>293</v>
      </c>
      <c r="H6773" s="25"/>
      <c r="BA6773" s="73" t="s">
        <v>355</v>
      </c>
      <c r="BB6773" s="48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357</v>
      </c>
      <c r="E6774" s="1" t="s">
        <v>126</v>
      </c>
      <c r="F6774" s="26">
        <v>152</v>
      </c>
      <c r="G6774" s="25" t="s">
        <v>293</v>
      </c>
      <c r="H6774" s="25"/>
      <c r="BA6774" s="73" t="s">
        <v>355</v>
      </c>
      <c r="BB6774" s="48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357</v>
      </c>
      <c r="E6775" s="1" t="s">
        <v>349</v>
      </c>
      <c r="F6775" s="26">
        <v>394</v>
      </c>
      <c r="G6775" s="25" t="s">
        <v>293</v>
      </c>
      <c r="H6775" s="25"/>
      <c r="BA6775" s="73" t="s">
        <v>355</v>
      </c>
      <c r="BB6775" s="48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357</v>
      </c>
      <c r="E6776" s="1" t="s">
        <v>350</v>
      </c>
      <c r="F6776" s="26">
        <v>84</v>
      </c>
      <c r="G6776" s="25" t="s">
        <v>293</v>
      </c>
      <c r="H6776" s="25"/>
      <c r="BA6776" s="73" t="s">
        <v>355</v>
      </c>
      <c r="BB6776" s="48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357</v>
      </c>
      <c r="E6777" s="1" t="s">
        <v>122</v>
      </c>
      <c r="F6777" s="26">
        <v>214</v>
      </c>
      <c r="G6777" s="25" t="s">
        <v>293</v>
      </c>
      <c r="H6777" s="25"/>
      <c r="BA6777" s="73" t="s">
        <v>355</v>
      </c>
      <c r="BB6777" s="48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357</v>
      </c>
      <c r="E6778" s="1" t="s">
        <v>124</v>
      </c>
      <c r="F6778" s="26">
        <v>102</v>
      </c>
      <c r="G6778" s="25" t="s">
        <v>293</v>
      </c>
      <c r="H6778" s="25"/>
      <c r="BA6778" s="73" t="s">
        <v>355</v>
      </c>
      <c r="BB6778" s="48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357</v>
      </c>
      <c r="E6779" s="1" t="s">
        <v>351</v>
      </c>
      <c r="F6779" s="26">
        <v>3.65</v>
      </c>
      <c r="G6779" s="25" t="s">
        <v>293</v>
      </c>
      <c r="H6779" s="25"/>
      <c r="BA6779" s="73" t="s">
        <v>355</v>
      </c>
      <c r="BB6779" s="48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357</v>
      </c>
      <c r="E6780" s="1" t="s">
        <v>353</v>
      </c>
      <c r="F6780" s="26">
        <v>15</v>
      </c>
      <c r="G6780" s="25" t="s">
        <v>293</v>
      </c>
      <c r="H6780" s="25"/>
      <c r="BA6780" s="73" t="s">
        <v>355</v>
      </c>
      <c r="BB6780" s="48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357</v>
      </c>
      <c r="E6781" s="1" t="s">
        <v>339</v>
      </c>
      <c r="F6781" s="26">
        <v>1.29</v>
      </c>
      <c r="G6781" s="25" t="s">
        <v>293</v>
      </c>
      <c r="H6781" s="25"/>
      <c r="BA6781" s="73" t="s">
        <v>355</v>
      </c>
      <c r="BB6781" s="48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357</v>
      </c>
      <c r="E6782" s="1" t="s">
        <v>118</v>
      </c>
      <c r="F6782" s="26">
        <v>9.4</v>
      </c>
      <c r="G6782" s="25" t="s">
        <v>293</v>
      </c>
      <c r="H6782" s="25"/>
      <c r="BA6782" s="73" t="s">
        <v>355</v>
      </c>
      <c r="BB6782" s="48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357</v>
      </c>
      <c r="E6783" s="1" t="s">
        <v>130</v>
      </c>
      <c r="F6783" s="26">
        <v>2.36</v>
      </c>
      <c r="G6783" s="25" t="s">
        <v>293</v>
      </c>
      <c r="H6783" s="25"/>
      <c r="BA6783" s="73" t="s">
        <v>355</v>
      </c>
      <c r="BB6783" s="48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357</v>
      </c>
      <c r="E6784" s="1" t="s">
        <v>341</v>
      </c>
      <c r="F6784" s="26">
        <v>1.18</v>
      </c>
      <c r="G6784" s="25" t="s">
        <v>293</v>
      </c>
      <c r="H6784" s="25"/>
      <c r="BA6784" s="73" t="s">
        <v>355</v>
      </c>
      <c r="BB6784" s="48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357</v>
      </c>
      <c r="E6785" s="1" t="s">
        <v>127</v>
      </c>
      <c r="F6785" s="26">
        <v>4.62</v>
      </c>
      <c r="G6785" s="25" t="s">
        <v>293</v>
      </c>
      <c r="H6785" s="25"/>
      <c r="BA6785" s="73" t="s">
        <v>355</v>
      </c>
      <c r="BB6785" s="48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357</v>
      </c>
      <c r="E6786" s="1" t="s">
        <v>131</v>
      </c>
      <c r="F6786" s="26">
        <v>12.2</v>
      </c>
      <c r="G6786" s="25" t="s">
        <v>293</v>
      </c>
      <c r="H6786" s="25"/>
      <c r="BA6786" s="73" t="s">
        <v>355</v>
      </c>
      <c r="BB6786" s="48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357</v>
      </c>
      <c r="E6787" s="1" t="s">
        <v>342</v>
      </c>
      <c r="F6787" s="26">
        <v>202</v>
      </c>
      <c r="G6787" s="25" t="s">
        <v>293</v>
      </c>
      <c r="H6787" s="25"/>
      <c r="BA6787" s="73" t="s">
        <v>355</v>
      </c>
      <c r="BB6787" s="48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357</v>
      </c>
      <c r="E6788" s="1" t="s">
        <v>119</v>
      </c>
      <c r="F6788" s="26">
        <v>92</v>
      </c>
      <c r="G6788" s="25" t="s">
        <v>293</v>
      </c>
      <c r="H6788" s="25"/>
      <c r="BA6788" s="73" t="s">
        <v>355</v>
      </c>
      <c r="BB6788" s="48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357</v>
      </c>
      <c r="E6789" s="1" t="s">
        <v>120</v>
      </c>
      <c r="F6789" s="26">
        <v>27</v>
      </c>
      <c r="G6789" s="25" t="s">
        <v>293</v>
      </c>
      <c r="H6789" s="25"/>
      <c r="BA6789" s="73" t="s">
        <v>355</v>
      </c>
      <c r="BB6789" s="48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357</v>
      </c>
      <c r="E6790" s="1" t="s">
        <v>117</v>
      </c>
      <c r="F6790" s="26">
        <v>6.49</v>
      </c>
      <c r="G6790" s="25" t="s">
        <v>293</v>
      </c>
      <c r="H6790" s="25"/>
      <c r="BA6790" s="73" t="s">
        <v>355</v>
      </c>
      <c r="BB6790" s="48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357</v>
      </c>
      <c r="E6791" s="1" t="s">
        <v>344</v>
      </c>
      <c r="F6791" s="26">
        <v>69</v>
      </c>
      <c r="G6791" s="25" t="s">
        <v>293</v>
      </c>
      <c r="H6791" s="25"/>
      <c r="BA6791" s="73" t="s">
        <v>355</v>
      </c>
      <c r="BB6791" s="48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357</v>
      </c>
      <c r="E6792" s="1" t="s">
        <v>132</v>
      </c>
      <c r="F6792" s="26">
        <v>6.94</v>
      </c>
      <c r="G6792" s="25" t="s">
        <v>293</v>
      </c>
      <c r="H6792" s="25"/>
      <c r="BA6792" s="73" t="s">
        <v>355</v>
      </c>
      <c r="BB6792" s="48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357</v>
      </c>
      <c r="E6793" s="1" t="s">
        <v>111</v>
      </c>
      <c r="F6793" s="26">
        <v>276</v>
      </c>
      <c r="G6793" s="25" t="s">
        <v>293</v>
      </c>
      <c r="H6793" s="25"/>
      <c r="BA6793" s="73" t="s">
        <v>355</v>
      </c>
      <c r="BB6793" s="48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357</v>
      </c>
      <c r="E6794" s="1" t="s">
        <v>345</v>
      </c>
      <c r="F6794" s="26">
        <v>9.99</v>
      </c>
      <c r="G6794" s="25" t="s">
        <v>293</v>
      </c>
      <c r="H6794" s="25"/>
      <c r="BA6794" s="73" t="s">
        <v>355</v>
      </c>
      <c r="BB6794" s="48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357</v>
      </c>
      <c r="E6795" s="1" t="s">
        <v>347</v>
      </c>
      <c r="F6795" s="26">
        <v>4.53</v>
      </c>
      <c r="G6795" s="25" t="s">
        <v>293</v>
      </c>
      <c r="H6795" s="25"/>
      <c r="BA6795" s="73" t="s">
        <v>355</v>
      </c>
      <c r="BB6795" s="48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357</v>
      </c>
      <c r="E6796" s="1" t="s">
        <v>128</v>
      </c>
      <c r="F6796" s="26">
        <v>4.5999999999999996</v>
      </c>
      <c r="G6796" s="25" t="s">
        <v>293</v>
      </c>
      <c r="H6796" s="25"/>
      <c r="BA6796" s="73" t="s">
        <v>355</v>
      </c>
      <c r="BB6796" s="48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357</v>
      </c>
      <c r="E6797" s="1" t="s">
        <v>121</v>
      </c>
      <c r="F6797" s="26">
        <v>78</v>
      </c>
      <c r="G6797" s="25" t="s">
        <v>293</v>
      </c>
      <c r="H6797" s="25"/>
      <c r="BA6797" s="73" t="s">
        <v>355</v>
      </c>
      <c r="BB6797" s="48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357</v>
      </c>
      <c r="E6798" s="1" t="s">
        <v>115</v>
      </c>
      <c r="F6798" s="26">
        <v>95</v>
      </c>
      <c r="G6798" s="25" t="s">
        <v>293</v>
      </c>
      <c r="H6798" s="25"/>
      <c r="BA6798" s="73" t="s">
        <v>355</v>
      </c>
      <c r="BB6798" s="48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357</v>
      </c>
      <c r="E6799" s="1" t="s">
        <v>137</v>
      </c>
      <c r="F6799" s="26">
        <v>481</v>
      </c>
      <c r="G6799" s="25" t="s">
        <v>293</v>
      </c>
      <c r="H6799" s="25"/>
      <c r="BA6799" s="73" t="s">
        <v>355</v>
      </c>
      <c r="BB6799" s="48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357</v>
      </c>
      <c r="E6800" s="1" t="s">
        <v>348</v>
      </c>
      <c r="F6800" s="26">
        <v>425</v>
      </c>
      <c r="G6800" s="25" t="s">
        <v>293</v>
      </c>
      <c r="H6800" s="25"/>
      <c r="BA6800" s="73" t="s">
        <v>355</v>
      </c>
      <c r="BB6800" s="48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357</v>
      </c>
      <c r="E6801" s="1" t="s">
        <v>125</v>
      </c>
      <c r="F6801" s="26">
        <v>420</v>
      </c>
      <c r="G6801" s="25" t="s">
        <v>293</v>
      </c>
      <c r="H6801" s="25"/>
      <c r="BA6801" s="73" t="s">
        <v>355</v>
      </c>
      <c r="BB6801" s="48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357</v>
      </c>
      <c r="E6802" s="1" t="s">
        <v>126</v>
      </c>
      <c r="F6802" s="26">
        <v>152</v>
      </c>
      <c r="G6802" s="25" t="s">
        <v>293</v>
      </c>
      <c r="H6802" s="25"/>
      <c r="BA6802" s="73" t="s">
        <v>355</v>
      </c>
      <c r="BB6802" s="48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357</v>
      </c>
      <c r="E6803" s="1" t="s">
        <v>349</v>
      </c>
      <c r="F6803" s="26">
        <v>395</v>
      </c>
      <c r="G6803" s="25" t="s">
        <v>293</v>
      </c>
      <c r="H6803" s="25"/>
      <c r="BA6803" s="73" t="s">
        <v>355</v>
      </c>
      <c r="BB6803" s="48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357</v>
      </c>
      <c r="E6804" s="1" t="s">
        <v>350</v>
      </c>
      <c r="F6804" s="26">
        <v>85</v>
      </c>
      <c r="G6804" s="25" t="s">
        <v>293</v>
      </c>
      <c r="H6804" s="25"/>
      <c r="BA6804" s="73" t="s">
        <v>355</v>
      </c>
      <c r="BB6804" s="48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357</v>
      </c>
      <c r="E6805" s="1" t="s">
        <v>122</v>
      </c>
      <c r="F6805" s="26">
        <v>212</v>
      </c>
      <c r="G6805" s="25" t="s">
        <v>293</v>
      </c>
      <c r="H6805" s="25"/>
      <c r="BA6805" s="73" t="s">
        <v>355</v>
      </c>
      <c r="BB6805" s="48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357</v>
      </c>
      <c r="E6806" s="1" t="s">
        <v>124</v>
      </c>
      <c r="F6806" s="26">
        <v>98</v>
      </c>
      <c r="G6806" s="25" t="s">
        <v>293</v>
      </c>
      <c r="H6806" s="25"/>
      <c r="BA6806" s="73" t="s">
        <v>355</v>
      </c>
      <c r="BB6806" s="48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357</v>
      </c>
      <c r="E6807" s="1" t="s">
        <v>351</v>
      </c>
      <c r="F6807" s="26">
        <v>3.5</v>
      </c>
      <c r="G6807" s="25" t="s">
        <v>293</v>
      </c>
      <c r="H6807" s="25"/>
      <c r="BA6807" s="73" t="s">
        <v>355</v>
      </c>
      <c r="BB6807" s="48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357</v>
      </c>
      <c r="E6808" s="1" t="s">
        <v>353</v>
      </c>
      <c r="F6808" s="26">
        <v>15.8</v>
      </c>
      <c r="G6808" s="25" t="s">
        <v>293</v>
      </c>
      <c r="H6808" s="25"/>
      <c r="BA6808" s="73" t="s">
        <v>355</v>
      </c>
      <c r="BB6808" s="48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357</v>
      </c>
      <c r="E6809" s="1" t="s">
        <v>133</v>
      </c>
      <c r="F6809" s="26">
        <v>124</v>
      </c>
      <c r="G6809" s="25" t="s">
        <v>293</v>
      </c>
      <c r="H6809" s="25"/>
      <c r="BA6809" s="73" t="s">
        <v>355</v>
      </c>
      <c r="BB6809" s="48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357</v>
      </c>
      <c r="E6810" s="1" t="s">
        <v>135</v>
      </c>
      <c r="F6810" s="26">
        <v>6.4</v>
      </c>
      <c r="G6810" s="25" t="s">
        <v>293</v>
      </c>
      <c r="H6810" s="25"/>
      <c r="BA6810" s="73" t="s">
        <v>355</v>
      </c>
      <c r="BB6810" s="48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357</v>
      </c>
      <c r="E6811" s="1" t="s">
        <v>136</v>
      </c>
      <c r="F6811" s="26">
        <v>84</v>
      </c>
      <c r="G6811" s="25" t="s">
        <v>293</v>
      </c>
      <c r="H6811" s="25"/>
      <c r="BA6811" s="73" t="s">
        <v>355</v>
      </c>
      <c r="BB6811" s="48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sheetProtection algorithmName="SHA-512" hashValue="beJHIg7D+GrDv31UfMo+NhGSk7uYM0UJeDuDEIVuugUDfqEqEtRGrHGZgoWyPkteh0ANBsxq/X2zIx7jILrgtw==" saltValue="co5CksYaYc6ReS4ccb50MA==" spinCount="100000" sheet="1" scenarios="1"/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ColWidth="8.88671875" defaultRowHeight="14.4" x14ac:dyDescent="0.3"/>
  <cols>
    <col min="1" max="16384" width="8.88671875" style="1"/>
  </cols>
  <sheetData>
    <row r="1" spans="1:59" x14ac:dyDescent="0.3">
      <c r="AX1" s="69">
        <f>IFERROR(INDEX(Analitos!$E$4:$E$43,MATCH(selAnalito,Analitos!$A$4:$A$43,0)),"")</f>
        <v>1.0055555555555555</v>
      </c>
      <c r="AY1" s="69">
        <f>IFERROR(INDEX(Analitos!$F$4:$F$43,MATCH(selAnalito,Analitos!$A$4:$A$43,0)),"")</f>
        <v>0.1</v>
      </c>
      <c r="AZ1" s="69">
        <f>IFERROR(INDEX(Analitos!$G$4:$G$43,MATCH(selAnalito,Analitos!$A$4:$A$43,0)),"")</f>
        <v>3.8633333333333328</v>
      </c>
      <c r="BA1" s="69">
        <f>IFERROR(INDEX(Analitos!$H$4:$H$43,MATCH(selAnalito,Analitos!$A$4:$A$43,0)),"")</f>
        <v>0.18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0.67555555555555546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1.3355555555555556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3.269333333333333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4.4573333333333327</v>
      </c>
      <c r="BF1" s="69">
        <f>IF(COUNT($E$3:$E$182)=0,"",_xlfn.AGGREGATE(5,6,$E$3:$E$182)-0.6)</f>
        <v>0.4</v>
      </c>
      <c r="BG1" s="69">
        <f>IF(COUNT($E$3:$E$182)=0,"",_xlfn.AGGREGATE(4,6,$E$3:$E$182)+2.2)</f>
        <v>54.2</v>
      </c>
    </row>
    <row r="2" spans="1:59" x14ac:dyDescent="0.3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1.05</v>
      </c>
      <c r="G3" s="69">
        <f t="shared" ref="G3:G34" si="5">IF(OR($F3="",$AY$1=""),"",($F3-$AX$1)/$AY$1)</f>
        <v>0.44444444444444509</v>
      </c>
      <c r="H3" s="69">
        <f t="shared" ref="H3:H34" si="6">IF(AND($F3&lt;&gt;"",$D3=1),$F3,NA())</f>
        <v>1.05</v>
      </c>
      <c r="I3" s="69">
        <f t="shared" ref="I3:I34" si="7">IF(AND($F3&lt;&gt;"",$D3=1,$P3="OK"),$F3,NA())</f>
        <v>1.05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0.70555555555555549</v>
      </c>
      <c r="R3" s="69">
        <f t="shared" ref="R3:R34" si="13">IF(AND($D3=1,$AX$1&lt;&gt;""),$AX$1+(-2)*$AY$1,NA())</f>
        <v>0.80555555555555558</v>
      </c>
      <c r="S3" s="69">
        <f t="shared" ref="S3:S34" si="14">IF(AND($D3=1,$AX$1&lt;&gt;""),$AX$1+(-1)*$AY$1,NA())</f>
        <v>0.90555555555555556</v>
      </c>
      <c r="T3" s="69">
        <f t="shared" ref="T3:T34" si="15">IF(AND($D3=1,$AX$1&lt;&gt;""),$AX$1,NA())</f>
        <v>1.0055555555555555</v>
      </c>
      <c r="U3" s="69">
        <f t="shared" ref="U3:U34" si="16">IF(AND($D3=1,$AX$1&lt;&gt;""),$AX$1+(1)*$AY$1,NA())</f>
        <v>1.1055555555555556</v>
      </c>
      <c r="V3" s="69">
        <f t="shared" ref="V3:V34" si="17">IF(AND($D3=1,$AX$1&lt;&gt;""),$AX$1+(2)*$AY$1,NA())</f>
        <v>1.2055555555555555</v>
      </c>
      <c r="W3" s="69">
        <f t="shared" ref="W3:W34" si="18">IF(AND($D3=1,$AX$1&lt;&gt;""),$AX$1+(3)*$AY$1,NA())</f>
        <v>1.3055555555555556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3.85</v>
      </c>
      <c r="AC3" s="69">
        <f t="shared" ref="AC3:AC34" si="24">IF(OR($AB3="",$BA$1=""),"",($AB3-$AZ$1)/$BA$1)</f>
        <v>-7.407407407407085E-2</v>
      </c>
      <c r="AD3" s="69">
        <f t="shared" ref="AD3:AD34" si="25">IF(AND($AB3&lt;&gt;"",$D3=1),$AB3,NA())</f>
        <v>3.85</v>
      </c>
      <c r="AE3" s="69">
        <f t="shared" ref="AE3:AE34" si="26">IF(AND($AB3&lt;&gt;"",$D3=1,$AL3="OK"),$AB3,NA())</f>
        <v>3.85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3.3233333333333328</v>
      </c>
      <c r="AN3" s="69">
        <f t="shared" ref="AN3:AN34" si="32">IF(AND($D3=1,$AZ$1&lt;&gt;""),$AZ$1+(-2)*$BA$1,NA())</f>
        <v>3.503333333333333</v>
      </c>
      <c r="AO3" s="69">
        <f t="shared" ref="AO3:AO34" si="33">IF(AND($D3=1,$AZ$1&lt;&gt;""),$AZ$1+(-1)*$BA$1,NA())</f>
        <v>3.6833333333333327</v>
      </c>
      <c r="AP3" s="69">
        <f t="shared" ref="AP3:AP34" si="34">IF(AND($D3=1,$AZ$1&lt;&gt;""),$AZ$1,NA())</f>
        <v>3.8633333333333328</v>
      </c>
      <c r="AQ3" s="69">
        <f t="shared" ref="AQ3:AQ34" si="35">IF(AND($D3=1,$AZ$1&lt;&gt;""),$AZ$1+(1)*$BA$1,NA())</f>
        <v>4.043333333333333</v>
      </c>
      <c r="AR3" s="69">
        <f t="shared" ref="AR3:AR34" si="36">IF(AND($D3=1,$AZ$1&lt;&gt;""),$AZ$1+(2)*$BA$1,NA())</f>
        <v>4.2233333333333327</v>
      </c>
      <c r="AS3" s="69">
        <f t="shared" ref="AS3:AS34" si="37">IF(AND($D3=1,$AZ$1&lt;&gt;""),$AZ$1+(3)*$BA$1,NA())</f>
        <v>4.4033333333333324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0.96</v>
      </c>
      <c r="G4" s="69">
        <f t="shared" si="5"/>
        <v>-0.45555555555555571</v>
      </c>
      <c r="H4" s="69">
        <f t="shared" si="6"/>
        <v>0.96</v>
      </c>
      <c r="I4" s="69">
        <f t="shared" si="7"/>
        <v>0.96</v>
      </c>
      <c r="J4" s="69" t="e">
        <f t="shared" si="8"/>
        <v>#N/A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OK</v>
      </c>
      <c r="Q4" s="69">
        <f t="shared" si="12"/>
        <v>0.70555555555555549</v>
      </c>
      <c r="R4" s="69">
        <f t="shared" si="13"/>
        <v>0.80555555555555558</v>
      </c>
      <c r="S4" s="69">
        <f t="shared" si="14"/>
        <v>0.90555555555555556</v>
      </c>
      <c r="T4" s="69">
        <f t="shared" si="15"/>
        <v>1.0055555555555555</v>
      </c>
      <c r="U4" s="69">
        <f t="shared" si="16"/>
        <v>1.1055555555555556</v>
      </c>
      <c r="V4" s="69">
        <f t="shared" si="17"/>
        <v>1.2055555555555555</v>
      </c>
      <c r="W4" s="69">
        <f t="shared" si="18"/>
        <v>1.3055555555555556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3.51</v>
      </c>
      <c r="AC4" s="69">
        <f t="shared" si="24"/>
        <v>-1.9629629629629615</v>
      </c>
      <c r="AD4" s="69">
        <f t="shared" si="25"/>
        <v>3.51</v>
      </c>
      <c r="AE4" s="69">
        <f t="shared" si="26"/>
        <v>3.51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3.3233333333333328</v>
      </c>
      <c r="AN4" s="69">
        <f t="shared" si="32"/>
        <v>3.503333333333333</v>
      </c>
      <c r="AO4" s="69">
        <f t="shared" si="33"/>
        <v>3.6833333333333327</v>
      </c>
      <c r="AP4" s="69">
        <f t="shared" si="34"/>
        <v>3.8633333333333328</v>
      </c>
      <c r="AQ4" s="69">
        <f t="shared" si="35"/>
        <v>4.043333333333333</v>
      </c>
      <c r="AR4" s="69">
        <f t="shared" si="36"/>
        <v>4.2233333333333327</v>
      </c>
      <c r="AS4" s="69">
        <f t="shared" si="37"/>
        <v>4.4033333333333324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0.98</v>
      </c>
      <c r="G5" s="69">
        <f t="shared" si="5"/>
        <v>-0.25555555555555554</v>
      </c>
      <c r="H5" s="69">
        <f t="shared" si="6"/>
        <v>0.98</v>
      </c>
      <c r="I5" s="69">
        <f t="shared" si="7"/>
        <v>0.98</v>
      </c>
      <c r="J5" s="69" t="e">
        <f t="shared" si="8"/>
        <v>#N/A</v>
      </c>
      <c r="K5" s="69">
        <f t="shared" si="9"/>
        <v>0</v>
      </c>
      <c r="L5" s="69">
        <f t="shared" si="42"/>
        <v>0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OK</v>
      </c>
      <c r="Q5" s="69">
        <f t="shared" si="12"/>
        <v>0.70555555555555549</v>
      </c>
      <c r="R5" s="69">
        <f t="shared" si="13"/>
        <v>0.80555555555555558</v>
      </c>
      <c r="S5" s="69">
        <f t="shared" si="14"/>
        <v>0.90555555555555556</v>
      </c>
      <c r="T5" s="69">
        <f t="shared" si="15"/>
        <v>1.0055555555555555</v>
      </c>
      <c r="U5" s="69">
        <f t="shared" si="16"/>
        <v>1.1055555555555556</v>
      </c>
      <c r="V5" s="69">
        <f t="shared" si="17"/>
        <v>1.2055555555555555</v>
      </c>
      <c r="W5" s="69">
        <f t="shared" si="18"/>
        <v>1.3055555555555556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3.41</v>
      </c>
      <c r="AC5" s="69">
        <f t="shared" si="24"/>
        <v>-2.518518518518515</v>
      </c>
      <c r="AD5" s="69">
        <f t="shared" si="25"/>
        <v>3.41</v>
      </c>
      <c r="AE5" s="69">
        <f t="shared" si="26"/>
        <v>3.41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3.3233333333333328</v>
      </c>
      <c r="AN5" s="69">
        <f t="shared" si="32"/>
        <v>3.503333333333333</v>
      </c>
      <c r="AO5" s="69">
        <f t="shared" si="33"/>
        <v>3.6833333333333327</v>
      </c>
      <c r="AP5" s="69">
        <f t="shared" si="34"/>
        <v>3.8633333333333328</v>
      </c>
      <c r="AQ5" s="69">
        <f t="shared" si="35"/>
        <v>4.043333333333333</v>
      </c>
      <c r="AR5" s="69">
        <f t="shared" si="36"/>
        <v>4.2233333333333327</v>
      </c>
      <c r="AS5" s="69">
        <f t="shared" si="37"/>
        <v>4.4033333333333324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0.99</v>
      </c>
      <c r="G6" s="69">
        <f t="shared" si="5"/>
        <v>-0.15555555555555545</v>
      </c>
      <c r="H6" s="69">
        <f t="shared" si="6"/>
        <v>0.99</v>
      </c>
      <c r="I6" s="69">
        <f t="shared" si="7"/>
        <v>0.99</v>
      </c>
      <c r="J6" s="69" t="e">
        <f t="shared" si="8"/>
        <v>#N/A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OK</v>
      </c>
      <c r="Q6" s="69">
        <f t="shared" si="12"/>
        <v>0.70555555555555549</v>
      </c>
      <c r="R6" s="69">
        <f t="shared" si="13"/>
        <v>0.80555555555555558</v>
      </c>
      <c r="S6" s="69">
        <f t="shared" si="14"/>
        <v>0.90555555555555556</v>
      </c>
      <c r="T6" s="69">
        <f t="shared" si="15"/>
        <v>1.0055555555555555</v>
      </c>
      <c r="U6" s="69">
        <f t="shared" si="16"/>
        <v>1.1055555555555556</v>
      </c>
      <c r="V6" s="69">
        <f t="shared" si="17"/>
        <v>1.2055555555555555</v>
      </c>
      <c r="W6" s="69">
        <f t="shared" si="18"/>
        <v>1.3055555555555556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3.91</v>
      </c>
      <c r="AC6" s="69">
        <f t="shared" si="24"/>
        <v>0.2592592592592628</v>
      </c>
      <c r="AD6" s="69">
        <f t="shared" si="25"/>
        <v>3.91</v>
      </c>
      <c r="AE6" s="69">
        <f t="shared" si="26"/>
        <v>3.91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3.3233333333333328</v>
      </c>
      <c r="AN6" s="69">
        <f t="shared" si="32"/>
        <v>3.503333333333333</v>
      </c>
      <c r="AO6" s="69">
        <f t="shared" si="33"/>
        <v>3.6833333333333327</v>
      </c>
      <c r="AP6" s="69">
        <f t="shared" si="34"/>
        <v>3.8633333333333328</v>
      </c>
      <c r="AQ6" s="69">
        <f t="shared" si="35"/>
        <v>4.043333333333333</v>
      </c>
      <c r="AR6" s="69">
        <f t="shared" si="36"/>
        <v>4.2233333333333327</v>
      </c>
      <c r="AS6" s="69">
        <f t="shared" si="37"/>
        <v>4.4033333333333324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0.96</v>
      </c>
      <c r="G7" s="69">
        <f t="shared" si="5"/>
        <v>-0.45555555555555571</v>
      </c>
      <c r="H7" s="69">
        <f t="shared" si="6"/>
        <v>0.96</v>
      </c>
      <c r="I7" s="69">
        <f t="shared" si="7"/>
        <v>0.96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0.70555555555555549</v>
      </c>
      <c r="R7" s="69">
        <f t="shared" si="13"/>
        <v>0.80555555555555558</v>
      </c>
      <c r="S7" s="69">
        <f t="shared" si="14"/>
        <v>0.90555555555555556</v>
      </c>
      <c r="T7" s="69">
        <f t="shared" si="15"/>
        <v>1.0055555555555555</v>
      </c>
      <c r="U7" s="69">
        <f t="shared" si="16"/>
        <v>1.1055555555555556</v>
      </c>
      <c r="V7" s="69">
        <f t="shared" si="17"/>
        <v>1.2055555555555555</v>
      </c>
      <c r="W7" s="69">
        <f t="shared" si="18"/>
        <v>1.3055555555555556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3.53</v>
      </c>
      <c r="AC7" s="69">
        <f t="shared" si="24"/>
        <v>-1.8518518518518503</v>
      </c>
      <c r="AD7" s="69">
        <f t="shared" si="25"/>
        <v>3.53</v>
      </c>
      <c r="AE7" s="69">
        <f t="shared" si="26"/>
        <v>3.53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3.3233333333333328</v>
      </c>
      <c r="AN7" s="69">
        <f t="shared" si="32"/>
        <v>3.503333333333333</v>
      </c>
      <c r="AO7" s="69">
        <f t="shared" si="33"/>
        <v>3.6833333333333327</v>
      </c>
      <c r="AP7" s="69">
        <f t="shared" si="34"/>
        <v>3.8633333333333328</v>
      </c>
      <c r="AQ7" s="69">
        <f t="shared" si="35"/>
        <v>4.043333333333333</v>
      </c>
      <c r="AR7" s="69">
        <f t="shared" si="36"/>
        <v>4.2233333333333327</v>
      </c>
      <c r="AS7" s="69">
        <f t="shared" si="37"/>
        <v>4.4033333333333324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1.06</v>
      </c>
      <c r="G8" s="69">
        <f t="shared" si="5"/>
        <v>0.54444444444444517</v>
      </c>
      <c r="H8" s="69">
        <f t="shared" si="6"/>
        <v>1.06</v>
      </c>
      <c r="I8" s="69">
        <f t="shared" si="7"/>
        <v>1.06</v>
      </c>
      <c r="J8" s="69" t="e">
        <f t="shared" si="8"/>
        <v>#N/A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69" t="str">
        <f t="shared" si="11"/>
        <v>OK</v>
      </c>
      <c r="Q8" s="69">
        <f t="shared" si="12"/>
        <v>0.70555555555555549</v>
      </c>
      <c r="R8" s="69">
        <f t="shared" si="13"/>
        <v>0.80555555555555558</v>
      </c>
      <c r="S8" s="69">
        <f t="shared" si="14"/>
        <v>0.90555555555555556</v>
      </c>
      <c r="T8" s="69">
        <f t="shared" si="15"/>
        <v>1.0055555555555555</v>
      </c>
      <c r="U8" s="69">
        <f t="shared" si="16"/>
        <v>1.1055555555555556</v>
      </c>
      <c r="V8" s="69">
        <f t="shared" si="17"/>
        <v>1.2055555555555555</v>
      </c>
      <c r="W8" s="69">
        <f t="shared" si="18"/>
        <v>1.3055555555555556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3.65</v>
      </c>
      <c r="AC8" s="69">
        <f t="shared" si="24"/>
        <v>-1.1851851851851829</v>
      </c>
      <c r="AD8" s="69">
        <f t="shared" si="25"/>
        <v>3.65</v>
      </c>
      <c r="AE8" s="69">
        <f t="shared" si="26"/>
        <v>3.65</v>
      </c>
      <c r="AF8" s="69" t="e">
        <f t="shared" si="27"/>
        <v>#N/A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69" t="str">
        <f t="shared" si="30"/>
        <v>OK</v>
      </c>
      <c r="AM8" s="69">
        <f t="shared" si="31"/>
        <v>3.3233333333333328</v>
      </c>
      <c r="AN8" s="69">
        <f t="shared" si="32"/>
        <v>3.503333333333333</v>
      </c>
      <c r="AO8" s="69">
        <f t="shared" si="33"/>
        <v>3.6833333333333327</v>
      </c>
      <c r="AP8" s="69">
        <f t="shared" si="34"/>
        <v>3.8633333333333328</v>
      </c>
      <c r="AQ8" s="69">
        <f t="shared" si="35"/>
        <v>4.043333333333333</v>
      </c>
      <c r="AR8" s="69">
        <f t="shared" si="36"/>
        <v>4.2233333333333327</v>
      </c>
      <c r="AS8" s="69">
        <f t="shared" si="37"/>
        <v>4.4033333333333324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1.05</v>
      </c>
      <c r="G9" s="69">
        <f t="shared" si="5"/>
        <v>0.44444444444444509</v>
      </c>
      <c r="H9" s="69">
        <f t="shared" si="6"/>
        <v>1.05</v>
      </c>
      <c r="I9" s="69">
        <f t="shared" si="7"/>
        <v>1.05</v>
      </c>
      <c r="J9" s="69" t="e">
        <f t="shared" si="8"/>
        <v>#N/A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69" t="str">
        <f t="shared" si="11"/>
        <v>OK</v>
      </c>
      <c r="Q9" s="69">
        <f t="shared" si="12"/>
        <v>0.70555555555555549</v>
      </c>
      <c r="R9" s="69">
        <f t="shared" si="13"/>
        <v>0.80555555555555558</v>
      </c>
      <c r="S9" s="69">
        <f t="shared" si="14"/>
        <v>0.90555555555555556</v>
      </c>
      <c r="T9" s="69">
        <f t="shared" si="15"/>
        <v>1.0055555555555555</v>
      </c>
      <c r="U9" s="69">
        <f t="shared" si="16"/>
        <v>1.1055555555555556</v>
      </c>
      <c r="V9" s="69">
        <f t="shared" si="17"/>
        <v>1.2055555555555555</v>
      </c>
      <c r="W9" s="69">
        <f t="shared" si="18"/>
        <v>1.3055555555555556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3.7</v>
      </c>
      <c r="AC9" s="69">
        <f t="shared" si="24"/>
        <v>-0.90740740740740378</v>
      </c>
      <c r="AD9" s="69">
        <f t="shared" si="25"/>
        <v>3.7</v>
      </c>
      <c r="AE9" s="69">
        <f t="shared" si="26"/>
        <v>3.7</v>
      </c>
      <c r="AF9" s="69" t="e">
        <f t="shared" si="27"/>
        <v>#N/A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69" t="str">
        <f t="shared" si="30"/>
        <v>OK</v>
      </c>
      <c r="AM9" s="69">
        <f t="shared" si="31"/>
        <v>3.3233333333333328</v>
      </c>
      <c r="AN9" s="69">
        <f t="shared" si="32"/>
        <v>3.503333333333333</v>
      </c>
      <c r="AO9" s="69">
        <f t="shared" si="33"/>
        <v>3.6833333333333327</v>
      </c>
      <c r="AP9" s="69">
        <f t="shared" si="34"/>
        <v>3.8633333333333328</v>
      </c>
      <c r="AQ9" s="69">
        <f t="shared" si="35"/>
        <v>4.043333333333333</v>
      </c>
      <c r="AR9" s="69">
        <f t="shared" si="36"/>
        <v>4.2233333333333327</v>
      </c>
      <c r="AS9" s="69">
        <f t="shared" si="37"/>
        <v>4.4033333333333324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1.05</v>
      </c>
      <c r="G10" s="69">
        <f t="shared" si="5"/>
        <v>0.44444444444444509</v>
      </c>
      <c r="H10" s="69">
        <f t="shared" si="6"/>
        <v>1.05</v>
      </c>
      <c r="I10" s="69">
        <f t="shared" si="7"/>
        <v>1.05</v>
      </c>
      <c r="J10" s="69" t="e">
        <f t="shared" si="8"/>
        <v>#N/A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69" t="str">
        <f t="shared" si="11"/>
        <v>OK</v>
      </c>
      <c r="Q10" s="69">
        <f t="shared" si="12"/>
        <v>0.70555555555555549</v>
      </c>
      <c r="R10" s="69">
        <f t="shared" si="13"/>
        <v>0.80555555555555558</v>
      </c>
      <c r="S10" s="69">
        <f t="shared" si="14"/>
        <v>0.90555555555555556</v>
      </c>
      <c r="T10" s="69">
        <f t="shared" si="15"/>
        <v>1.0055555555555555</v>
      </c>
      <c r="U10" s="69">
        <f t="shared" si="16"/>
        <v>1.1055555555555556</v>
      </c>
      <c r="V10" s="69">
        <f t="shared" si="17"/>
        <v>1.2055555555555555</v>
      </c>
      <c r="W10" s="69">
        <f t="shared" si="18"/>
        <v>1.3055555555555556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3.8</v>
      </c>
      <c r="AC10" s="69">
        <f t="shared" si="24"/>
        <v>-0.35185185185185014</v>
      </c>
      <c r="AD10" s="69">
        <f t="shared" si="25"/>
        <v>3.8</v>
      </c>
      <c r="AE10" s="69">
        <f t="shared" si="26"/>
        <v>3.8</v>
      </c>
      <c r="AF10" s="69" t="e">
        <f t="shared" si="27"/>
        <v>#N/A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69" t="str">
        <f t="shared" si="30"/>
        <v>OK</v>
      </c>
      <c r="AM10" s="69">
        <f t="shared" si="31"/>
        <v>3.3233333333333328</v>
      </c>
      <c r="AN10" s="69">
        <f t="shared" si="32"/>
        <v>3.503333333333333</v>
      </c>
      <c r="AO10" s="69">
        <f t="shared" si="33"/>
        <v>3.6833333333333327</v>
      </c>
      <c r="AP10" s="69">
        <f t="shared" si="34"/>
        <v>3.8633333333333328</v>
      </c>
      <c r="AQ10" s="69">
        <f t="shared" si="35"/>
        <v>4.043333333333333</v>
      </c>
      <c r="AR10" s="69">
        <f t="shared" si="36"/>
        <v>4.2233333333333327</v>
      </c>
      <c r="AS10" s="69">
        <f t="shared" si="37"/>
        <v>4.4033333333333324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1.01</v>
      </c>
      <c r="G11" s="69">
        <f t="shared" si="5"/>
        <v>4.4444444444444731E-2</v>
      </c>
      <c r="H11" s="69">
        <f t="shared" si="6"/>
        <v>1.01</v>
      </c>
      <c r="I11" s="69">
        <f t="shared" si="7"/>
        <v>1.01</v>
      </c>
      <c r="J11" s="69" t="e">
        <f t="shared" si="8"/>
        <v>#N/A</v>
      </c>
      <c r="K11" s="69">
        <f t="shared" si="9"/>
        <v>0</v>
      </c>
      <c r="L11" s="69">
        <f t="shared" si="42"/>
        <v>0</v>
      </c>
      <c r="M11" s="69">
        <f t="shared" si="10"/>
        <v>0</v>
      </c>
      <c r="N11" s="69">
        <f t="shared" si="44"/>
        <v>0</v>
      </c>
      <c r="O11" s="69">
        <f t="shared" si="46"/>
        <v>0</v>
      </c>
      <c r="P11" s="69" t="str">
        <f t="shared" si="11"/>
        <v>OK</v>
      </c>
      <c r="Q11" s="69">
        <f t="shared" si="12"/>
        <v>0.70555555555555549</v>
      </c>
      <c r="R11" s="69">
        <f t="shared" si="13"/>
        <v>0.80555555555555558</v>
      </c>
      <c r="S11" s="69">
        <f t="shared" si="14"/>
        <v>0.90555555555555556</v>
      </c>
      <c r="T11" s="69">
        <f t="shared" si="15"/>
        <v>1.0055555555555555</v>
      </c>
      <c r="U11" s="69">
        <f t="shared" si="16"/>
        <v>1.1055555555555556</v>
      </c>
      <c r="V11" s="69">
        <f t="shared" si="17"/>
        <v>1.2055555555555555</v>
      </c>
      <c r="W11" s="69">
        <f t="shared" si="18"/>
        <v>1.3055555555555556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3.84</v>
      </c>
      <c r="AC11" s="69">
        <f t="shared" si="24"/>
        <v>-0.12962962962962771</v>
      </c>
      <c r="AD11" s="69">
        <f t="shared" si="25"/>
        <v>3.84</v>
      </c>
      <c r="AE11" s="69">
        <f t="shared" si="26"/>
        <v>3.84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3.3233333333333328</v>
      </c>
      <c r="AN11" s="69">
        <f t="shared" si="32"/>
        <v>3.503333333333333</v>
      </c>
      <c r="AO11" s="69">
        <f t="shared" si="33"/>
        <v>3.6833333333333327</v>
      </c>
      <c r="AP11" s="69">
        <f t="shared" si="34"/>
        <v>3.8633333333333328</v>
      </c>
      <c r="AQ11" s="69">
        <f t="shared" si="35"/>
        <v>4.043333333333333</v>
      </c>
      <c r="AR11" s="69">
        <f t="shared" si="36"/>
        <v>4.2233333333333327</v>
      </c>
      <c r="AS11" s="69">
        <f t="shared" si="37"/>
        <v>4.4033333333333324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1</v>
      </c>
      <c r="G12" s="69">
        <f t="shared" si="5"/>
        <v>-5.5555555555555358E-2</v>
      </c>
      <c r="H12" s="69">
        <f t="shared" si="6"/>
        <v>1</v>
      </c>
      <c r="I12" s="69">
        <f t="shared" si="7"/>
        <v>1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0.70555555555555549</v>
      </c>
      <c r="R12" s="69">
        <f t="shared" si="13"/>
        <v>0.80555555555555558</v>
      </c>
      <c r="S12" s="69">
        <f t="shared" si="14"/>
        <v>0.90555555555555556</v>
      </c>
      <c r="T12" s="69">
        <f t="shared" si="15"/>
        <v>1.0055555555555555</v>
      </c>
      <c r="U12" s="69">
        <f t="shared" si="16"/>
        <v>1.1055555555555556</v>
      </c>
      <c r="V12" s="69">
        <f t="shared" si="17"/>
        <v>1.2055555555555555</v>
      </c>
      <c r="W12" s="69">
        <f t="shared" si="18"/>
        <v>1.3055555555555556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3.64</v>
      </c>
      <c r="AC12" s="69">
        <f t="shared" si="24"/>
        <v>-1.2407407407407374</v>
      </c>
      <c r="AD12" s="69">
        <f t="shared" si="25"/>
        <v>3.64</v>
      </c>
      <c r="AE12" s="69">
        <f t="shared" si="26"/>
        <v>3.64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3.3233333333333328</v>
      </c>
      <c r="AN12" s="69">
        <f t="shared" si="32"/>
        <v>3.503333333333333</v>
      </c>
      <c r="AO12" s="69">
        <f t="shared" si="33"/>
        <v>3.6833333333333327</v>
      </c>
      <c r="AP12" s="69">
        <f t="shared" si="34"/>
        <v>3.8633333333333328</v>
      </c>
      <c r="AQ12" s="69">
        <f t="shared" si="35"/>
        <v>4.043333333333333</v>
      </c>
      <c r="AR12" s="69">
        <f t="shared" si="36"/>
        <v>4.2233333333333327</v>
      </c>
      <c r="AS12" s="69">
        <f t="shared" si="37"/>
        <v>4.4033333333333324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1</v>
      </c>
      <c r="G13" s="69">
        <f t="shared" si="5"/>
        <v>-5.5555555555555358E-2</v>
      </c>
      <c r="H13" s="69">
        <f t="shared" si="6"/>
        <v>1</v>
      </c>
      <c r="I13" s="69">
        <f t="shared" si="7"/>
        <v>1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0.70555555555555549</v>
      </c>
      <c r="R13" s="69">
        <f t="shared" si="13"/>
        <v>0.80555555555555558</v>
      </c>
      <c r="S13" s="69">
        <f t="shared" si="14"/>
        <v>0.90555555555555556</v>
      </c>
      <c r="T13" s="69">
        <f t="shared" si="15"/>
        <v>1.0055555555555555</v>
      </c>
      <c r="U13" s="69">
        <f t="shared" si="16"/>
        <v>1.1055555555555556</v>
      </c>
      <c r="V13" s="69">
        <f t="shared" si="17"/>
        <v>1.2055555555555555</v>
      </c>
      <c r="W13" s="69">
        <f t="shared" si="18"/>
        <v>1.3055555555555556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3.67</v>
      </c>
      <c r="AC13" s="69">
        <f t="shared" si="24"/>
        <v>-1.0740740740740717</v>
      </c>
      <c r="AD13" s="69">
        <f t="shared" si="25"/>
        <v>3.67</v>
      </c>
      <c r="AE13" s="69">
        <f t="shared" si="26"/>
        <v>3.67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3.3233333333333328</v>
      </c>
      <c r="AN13" s="69">
        <f t="shared" si="32"/>
        <v>3.503333333333333</v>
      </c>
      <c r="AO13" s="69">
        <f t="shared" si="33"/>
        <v>3.6833333333333327</v>
      </c>
      <c r="AP13" s="69">
        <f t="shared" si="34"/>
        <v>3.8633333333333328</v>
      </c>
      <c r="AQ13" s="69">
        <f t="shared" si="35"/>
        <v>4.043333333333333</v>
      </c>
      <c r="AR13" s="69">
        <f t="shared" si="36"/>
        <v>4.2233333333333327</v>
      </c>
      <c r="AS13" s="69">
        <f t="shared" si="37"/>
        <v>4.4033333333333324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1</v>
      </c>
      <c r="G14" s="69">
        <f t="shared" si="5"/>
        <v>-5.5555555555555358E-2</v>
      </c>
      <c r="H14" s="69">
        <f t="shared" si="6"/>
        <v>1</v>
      </c>
      <c r="I14" s="69">
        <f t="shared" si="7"/>
        <v>1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0.70555555555555549</v>
      </c>
      <c r="R14" s="69">
        <f t="shared" si="13"/>
        <v>0.80555555555555558</v>
      </c>
      <c r="S14" s="69">
        <f t="shared" si="14"/>
        <v>0.90555555555555556</v>
      </c>
      <c r="T14" s="69">
        <f t="shared" si="15"/>
        <v>1.0055555555555555</v>
      </c>
      <c r="U14" s="69">
        <f t="shared" si="16"/>
        <v>1.1055555555555556</v>
      </c>
      <c r="V14" s="69">
        <f t="shared" si="17"/>
        <v>1.2055555555555555</v>
      </c>
      <c r="W14" s="69">
        <f t="shared" si="18"/>
        <v>1.3055555555555556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3.58</v>
      </c>
      <c r="AC14" s="69">
        <f t="shared" si="24"/>
        <v>-1.5740740740740711</v>
      </c>
      <c r="AD14" s="69">
        <f t="shared" si="25"/>
        <v>3.58</v>
      </c>
      <c r="AE14" s="69" t="e">
        <f t="shared" si="26"/>
        <v>#N/A</v>
      </c>
      <c r="AF14" s="69">
        <f t="shared" si="27"/>
        <v>3.58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1</v>
      </c>
      <c r="AL14" s="69" t="str">
        <f t="shared" si="30"/>
        <v>REJEITADO</v>
      </c>
      <c r="AM14" s="69">
        <f t="shared" si="31"/>
        <v>3.3233333333333328</v>
      </c>
      <c r="AN14" s="69">
        <f t="shared" si="32"/>
        <v>3.503333333333333</v>
      </c>
      <c r="AO14" s="69">
        <f t="shared" si="33"/>
        <v>3.6833333333333327</v>
      </c>
      <c r="AP14" s="69">
        <f t="shared" si="34"/>
        <v>3.8633333333333328</v>
      </c>
      <c r="AQ14" s="69">
        <f t="shared" si="35"/>
        <v>4.043333333333333</v>
      </c>
      <c r="AR14" s="69">
        <f t="shared" si="36"/>
        <v>4.2233333333333327</v>
      </c>
      <c r="AS14" s="69">
        <f t="shared" si="37"/>
        <v>4.4033333333333324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0.98</v>
      </c>
      <c r="G15" s="69">
        <f t="shared" si="5"/>
        <v>-0.25555555555555554</v>
      </c>
      <c r="H15" s="69">
        <f t="shared" si="6"/>
        <v>0.98</v>
      </c>
      <c r="I15" s="69" t="e">
        <f t="shared" si="7"/>
        <v>#N/A</v>
      </c>
      <c r="J15" s="69">
        <f t="shared" si="8"/>
        <v>0.98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1</v>
      </c>
      <c r="P15" s="69" t="str">
        <f t="shared" si="11"/>
        <v>REJEITADO</v>
      </c>
      <c r="Q15" s="69">
        <f t="shared" si="12"/>
        <v>0.70555555555555549</v>
      </c>
      <c r="R15" s="69">
        <f t="shared" si="13"/>
        <v>0.80555555555555558</v>
      </c>
      <c r="S15" s="69">
        <f t="shared" si="14"/>
        <v>0.90555555555555556</v>
      </c>
      <c r="T15" s="69">
        <f t="shared" si="15"/>
        <v>1.0055555555555555</v>
      </c>
      <c r="U15" s="69">
        <f t="shared" si="16"/>
        <v>1.1055555555555556</v>
      </c>
      <c r="V15" s="69">
        <f t="shared" si="17"/>
        <v>1.2055555555555555</v>
      </c>
      <c r="W15" s="69">
        <f t="shared" si="18"/>
        <v>1.3055555555555556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3.56</v>
      </c>
      <c r="AC15" s="69">
        <f t="shared" si="24"/>
        <v>-1.6851851851851822</v>
      </c>
      <c r="AD15" s="69">
        <f t="shared" si="25"/>
        <v>3.56</v>
      </c>
      <c r="AE15" s="69" t="e">
        <f t="shared" si="26"/>
        <v>#N/A</v>
      </c>
      <c r="AF15" s="69">
        <f t="shared" si="27"/>
        <v>3.56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1</v>
      </c>
      <c r="AK15" s="69">
        <f t="shared" si="47"/>
        <v>1</v>
      </c>
      <c r="AL15" s="69" t="str">
        <f t="shared" si="30"/>
        <v>REJEITADO</v>
      </c>
      <c r="AM15" s="69">
        <f t="shared" si="31"/>
        <v>3.3233333333333328</v>
      </c>
      <c r="AN15" s="69">
        <f t="shared" si="32"/>
        <v>3.503333333333333</v>
      </c>
      <c r="AO15" s="69">
        <f t="shared" si="33"/>
        <v>3.6833333333333327</v>
      </c>
      <c r="AP15" s="69">
        <f t="shared" si="34"/>
        <v>3.8633333333333328</v>
      </c>
      <c r="AQ15" s="69">
        <f t="shared" si="35"/>
        <v>4.043333333333333</v>
      </c>
      <c r="AR15" s="69">
        <f t="shared" si="36"/>
        <v>4.2233333333333327</v>
      </c>
      <c r="AS15" s="69">
        <f t="shared" si="37"/>
        <v>4.4033333333333324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0.98</v>
      </c>
      <c r="G16" s="69">
        <f t="shared" si="5"/>
        <v>-0.25555555555555554</v>
      </c>
      <c r="H16" s="69">
        <f t="shared" si="6"/>
        <v>0.98</v>
      </c>
      <c r="I16" s="69" t="e">
        <f t="shared" si="7"/>
        <v>#N/A</v>
      </c>
      <c r="J16" s="69">
        <f t="shared" si="8"/>
        <v>0.98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1</v>
      </c>
      <c r="P16" s="69" t="str">
        <f t="shared" si="11"/>
        <v>REJEITADO</v>
      </c>
      <c r="Q16" s="69">
        <f t="shared" si="12"/>
        <v>0.70555555555555549</v>
      </c>
      <c r="R16" s="69">
        <f t="shared" si="13"/>
        <v>0.80555555555555558</v>
      </c>
      <c r="S16" s="69">
        <f t="shared" si="14"/>
        <v>0.90555555555555556</v>
      </c>
      <c r="T16" s="69">
        <f t="shared" si="15"/>
        <v>1.0055555555555555</v>
      </c>
      <c r="U16" s="69">
        <f t="shared" si="16"/>
        <v>1.1055555555555556</v>
      </c>
      <c r="V16" s="69">
        <f t="shared" si="17"/>
        <v>1.2055555555555555</v>
      </c>
      <c r="W16" s="69">
        <f t="shared" si="18"/>
        <v>1.3055555555555556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3.62</v>
      </c>
      <c r="AC16" s="69">
        <f t="shared" si="24"/>
        <v>-1.3518518518518485</v>
      </c>
      <c r="AD16" s="69">
        <f t="shared" si="25"/>
        <v>3.62</v>
      </c>
      <c r="AE16" s="69" t="e">
        <f t="shared" si="26"/>
        <v>#N/A</v>
      </c>
      <c r="AF16" s="69">
        <f t="shared" si="27"/>
        <v>3.62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1</v>
      </c>
      <c r="AK16" s="69">
        <f t="shared" si="47"/>
        <v>1</v>
      </c>
      <c r="AL16" s="69" t="str">
        <f t="shared" si="30"/>
        <v>REJEITADO</v>
      </c>
      <c r="AM16" s="69">
        <f t="shared" si="31"/>
        <v>3.3233333333333328</v>
      </c>
      <c r="AN16" s="69">
        <f t="shared" si="32"/>
        <v>3.503333333333333</v>
      </c>
      <c r="AO16" s="69">
        <f t="shared" si="33"/>
        <v>3.6833333333333327</v>
      </c>
      <c r="AP16" s="69">
        <f t="shared" si="34"/>
        <v>3.8633333333333328</v>
      </c>
      <c r="AQ16" s="69">
        <f t="shared" si="35"/>
        <v>4.043333333333333</v>
      </c>
      <c r="AR16" s="69">
        <f t="shared" si="36"/>
        <v>4.2233333333333327</v>
      </c>
      <c r="AS16" s="69">
        <f t="shared" si="37"/>
        <v>4.4033333333333324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0.99</v>
      </c>
      <c r="G17" s="69">
        <f t="shared" si="5"/>
        <v>-0.15555555555555545</v>
      </c>
      <c r="H17" s="69">
        <f t="shared" si="6"/>
        <v>0.99</v>
      </c>
      <c r="I17" s="69" t="e">
        <f t="shared" si="7"/>
        <v>#N/A</v>
      </c>
      <c r="J17" s="69">
        <f t="shared" si="8"/>
        <v>0.99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1</v>
      </c>
      <c r="P17" s="69" t="str">
        <f t="shared" si="11"/>
        <v>REJEITADO</v>
      </c>
      <c r="Q17" s="69">
        <f t="shared" si="12"/>
        <v>0.70555555555555549</v>
      </c>
      <c r="R17" s="69">
        <f t="shared" si="13"/>
        <v>0.80555555555555558</v>
      </c>
      <c r="S17" s="69">
        <f t="shared" si="14"/>
        <v>0.90555555555555556</v>
      </c>
      <c r="T17" s="69">
        <f t="shared" si="15"/>
        <v>1.0055555555555555</v>
      </c>
      <c r="U17" s="69">
        <f t="shared" si="16"/>
        <v>1.1055555555555556</v>
      </c>
      <c r="V17" s="69">
        <f t="shared" si="17"/>
        <v>1.2055555555555555</v>
      </c>
      <c r="W17" s="69">
        <f t="shared" si="18"/>
        <v>1.3055555555555556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3.65</v>
      </c>
      <c r="AC17" s="69">
        <f t="shared" si="24"/>
        <v>-1.1851851851851829</v>
      </c>
      <c r="AD17" s="69">
        <f t="shared" si="25"/>
        <v>3.65</v>
      </c>
      <c r="AE17" s="69" t="e">
        <f t="shared" si="26"/>
        <v>#N/A</v>
      </c>
      <c r="AF17" s="69">
        <f t="shared" si="27"/>
        <v>3.65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1</v>
      </c>
      <c r="AK17" s="69">
        <f t="shared" si="47"/>
        <v>1</v>
      </c>
      <c r="AL17" s="69" t="str">
        <f t="shared" si="30"/>
        <v>REJEITADO</v>
      </c>
      <c r="AM17" s="69">
        <f t="shared" si="31"/>
        <v>3.3233333333333328</v>
      </c>
      <c r="AN17" s="69">
        <f t="shared" si="32"/>
        <v>3.503333333333333</v>
      </c>
      <c r="AO17" s="69">
        <f t="shared" si="33"/>
        <v>3.6833333333333327</v>
      </c>
      <c r="AP17" s="69">
        <f t="shared" si="34"/>
        <v>3.8633333333333328</v>
      </c>
      <c r="AQ17" s="69">
        <f t="shared" si="35"/>
        <v>4.043333333333333</v>
      </c>
      <c r="AR17" s="69">
        <f t="shared" si="36"/>
        <v>4.2233333333333327</v>
      </c>
      <c r="AS17" s="69">
        <f t="shared" si="37"/>
        <v>4.4033333333333324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1.02</v>
      </c>
      <c r="G18" s="69">
        <f t="shared" si="5"/>
        <v>0.14444444444444482</v>
      </c>
      <c r="H18" s="69">
        <f t="shared" si="6"/>
        <v>1.02</v>
      </c>
      <c r="I18" s="69">
        <f t="shared" si="7"/>
        <v>1.02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0.70555555555555549</v>
      </c>
      <c r="R18" s="69">
        <f t="shared" si="13"/>
        <v>0.80555555555555558</v>
      </c>
      <c r="S18" s="69">
        <f t="shared" si="14"/>
        <v>0.90555555555555556</v>
      </c>
      <c r="T18" s="69">
        <f t="shared" si="15"/>
        <v>1.0055555555555555</v>
      </c>
      <c r="U18" s="69">
        <f t="shared" si="16"/>
        <v>1.1055555555555556</v>
      </c>
      <c r="V18" s="69">
        <f t="shared" si="17"/>
        <v>1.2055555555555555</v>
      </c>
      <c r="W18" s="69">
        <f t="shared" si="18"/>
        <v>1.3055555555555556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3.57</v>
      </c>
      <c r="AC18" s="69">
        <f t="shared" si="24"/>
        <v>-1.6296296296296278</v>
      </c>
      <c r="AD18" s="69">
        <f t="shared" si="25"/>
        <v>3.57</v>
      </c>
      <c r="AE18" s="69" t="e">
        <f t="shared" si="26"/>
        <v>#N/A</v>
      </c>
      <c r="AF18" s="69">
        <f t="shared" si="27"/>
        <v>3.57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3.3233333333333328</v>
      </c>
      <c r="AN18" s="69">
        <f t="shared" si="32"/>
        <v>3.503333333333333</v>
      </c>
      <c r="AO18" s="69">
        <f t="shared" si="33"/>
        <v>3.6833333333333327</v>
      </c>
      <c r="AP18" s="69">
        <f t="shared" si="34"/>
        <v>3.8633333333333328</v>
      </c>
      <c r="AQ18" s="69">
        <f t="shared" si="35"/>
        <v>4.043333333333333</v>
      </c>
      <c r="AR18" s="69">
        <f t="shared" si="36"/>
        <v>4.2233333333333327</v>
      </c>
      <c r="AS18" s="69">
        <f t="shared" si="37"/>
        <v>4.4033333333333324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1.1200000000000001</v>
      </c>
      <c r="G19" s="69">
        <f t="shared" si="5"/>
        <v>1.1444444444444457</v>
      </c>
      <c r="H19" s="69">
        <f t="shared" si="6"/>
        <v>1.1200000000000001</v>
      </c>
      <c r="I19" s="69">
        <f t="shared" si="7"/>
        <v>1.1200000000000001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0.70555555555555549</v>
      </c>
      <c r="R19" s="69">
        <f t="shared" si="13"/>
        <v>0.80555555555555558</v>
      </c>
      <c r="S19" s="69">
        <f t="shared" si="14"/>
        <v>0.90555555555555556</v>
      </c>
      <c r="T19" s="69">
        <f t="shared" si="15"/>
        <v>1.0055555555555555</v>
      </c>
      <c r="U19" s="69">
        <f t="shared" si="16"/>
        <v>1.1055555555555556</v>
      </c>
      <c r="V19" s="69">
        <f t="shared" si="17"/>
        <v>1.2055555555555555</v>
      </c>
      <c r="W19" s="69">
        <f t="shared" si="18"/>
        <v>1.3055555555555556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3.58</v>
      </c>
      <c r="AC19" s="69">
        <f t="shared" si="24"/>
        <v>-1.5740740740740711</v>
      </c>
      <c r="AD19" s="69">
        <f t="shared" si="25"/>
        <v>3.58</v>
      </c>
      <c r="AE19" s="69" t="e">
        <f t="shared" si="26"/>
        <v>#N/A</v>
      </c>
      <c r="AF19" s="69">
        <f t="shared" si="27"/>
        <v>3.58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3.3233333333333328</v>
      </c>
      <c r="AN19" s="69">
        <f t="shared" si="32"/>
        <v>3.503333333333333</v>
      </c>
      <c r="AO19" s="69">
        <f t="shared" si="33"/>
        <v>3.6833333333333327</v>
      </c>
      <c r="AP19" s="69">
        <f t="shared" si="34"/>
        <v>3.8633333333333328</v>
      </c>
      <c r="AQ19" s="69">
        <f t="shared" si="35"/>
        <v>4.043333333333333</v>
      </c>
      <c r="AR19" s="69">
        <f t="shared" si="36"/>
        <v>4.2233333333333327</v>
      </c>
      <c r="AS19" s="69">
        <f t="shared" si="37"/>
        <v>4.4033333333333324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1.02</v>
      </c>
      <c r="G20" s="69">
        <f t="shared" si="5"/>
        <v>0.14444444444444482</v>
      </c>
      <c r="H20" s="69">
        <f t="shared" si="6"/>
        <v>1.02</v>
      </c>
      <c r="I20" s="69">
        <f t="shared" si="7"/>
        <v>1.02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0.70555555555555549</v>
      </c>
      <c r="R20" s="69">
        <f t="shared" si="13"/>
        <v>0.80555555555555558</v>
      </c>
      <c r="S20" s="69">
        <f t="shared" si="14"/>
        <v>0.90555555555555556</v>
      </c>
      <c r="T20" s="69">
        <f t="shared" si="15"/>
        <v>1.0055555555555555</v>
      </c>
      <c r="U20" s="69">
        <f t="shared" si="16"/>
        <v>1.1055555555555556</v>
      </c>
      <c r="V20" s="69">
        <f t="shared" si="17"/>
        <v>1.2055555555555555</v>
      </c>
      <c r="W20" s="69">
        <f t="shared" si="18"/>
        <v>1.3055555555555556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3.6</v>
      </c>
      <c r="AC20" s="69">
        <f t="shared" si="24"/>
        <v>-1.4629629629629597</v>
      </c>
      <c r="AD20" s="69">
        <f t="shared" si="25"/>
        <v>3.6</v>
      </c>
      <c r="AE20" s="69" t="e">
        <f t="shared" si="26"/>
        <v>#N/A</v>
      </c>
      <c r="AF20" s="69">
        <f t="shared" si="27"/>
        <v>3.6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3.3233333333333328</v>
      </c>
      <c r="AN20" s="69">
        <f t="shared" si="32"/>
        <v>3.503333333333333</v>
      </c>
      <c r="AO20" s="69">
        <f t="shared" si="33"/>
        <v>3.6833333333333327</v>
      </c>
      <c r="AP20" s="69">
        <f t="shared" si="34"/>
        <v>3.8633333333333328</v>
      </c>
      <c r="AQ20" s="69">
        <f t="shared" si="35"/>
        <v>4.043333333333333</v>
      </c>
      <c r="AR20" s="69">
        <f t="shared" si="36"/>
        <v>4.2233333333333327</v>
      </c>
      <c r="AS20" s="69">
        <f t="shared" si="37"/>
        <v>4.4033333333333324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1.1000000000000001</v>
      </c>
      <c r="G21" s="69">
        <f t="shared" si="5"/>
        <v>0.94444444444444553</v>
      </c>
      <c r="H21" s="69">
        <f t="shared" si="6"/>
        <v>1.1000000000000001</v>
      </c>
      <c r="I21" s="69">
        <f t="shared" si="7"/>
        <v>1.1000000000000001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0.70555555555555549</v>
      </c>
      <c r="R21" s="69">
        <f t="shared" si="13"/>
        <v>0.80555555555555558</v>
      </c>
      <c r="S21" s="69">
        <f t="shared" si="14"/>
        <v>0.90555555555555556</v>
      </c>
      <c r="T21" s="69">
        <f t="shared" si="15"/>
        <v>1.0055555555555555</v>
      </c>
      <c r="U21" s="69">
        <f t="shared" si="16"/>
        <v>1.1055555555555556</v>
      </c>
      <c r="V21" s="69">
        <f t="shared" si="17"/>
        <v>1.2055555555555555</v>
      </c>
      <c r="W21" s="69">
        <f t="shared" si="18"/>
        <v>1.3055555555555556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3.61</v>
      </c>
      <c r="AC21" s="69">
        <f t="shared" si="24"/>
        <v>-1.4074074074074054</v>
      </c>
      <c r="AD21" s="69">
        <f t="shared" si="25"/>
        <v>3.61</v>
      </c>
      <c r="AE21" s="69" t="e">
        <f t="shared" si="26"/>
        <v>#N/A</v>
      </c>
      <c r="AF21" s="69">
        <f t="shared" si="27"/>
        <v>3.61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3.3233333333333328</v>
      </c>
      <c r="AN21" s="69">
        <f t="shared" si="32"/>
        <v>3.503333333333333</v>
      </c>
      <c r="AO21" s="69">
        <f t="shared" si="33"/>
        <v>3.6833333333333327</v>
      </c>
      <c r="AP21" s="69">
        <f t="shared" si="34"/>
        <v>3.8633333333333328</v>
      </c>
      <c r="AQ21" s="69">
        <f t="shared" si="35"/>
        <v>4.043333333333333</v>
      </c>
      <c r="AR21" s="69">
        <f t="shared" si="36"/>
        <v>4.2233333333333327</v>
      </c>
      <c r="AS21" s="69">
        <f t="shared" si="37"/>
        <v>4.4033333333333324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0.96</v>
      </c>
      <c r="G22" s="69">
        <f t="shared" si="5"/>
        <v>-0.45555555555555571</v>
      </c>
      <c r="H22" s="69">
        <f t="shared" si="6"/>
        <v>0.96</v>
      </c>
      <c r="I22" s="69">
        <f t="shared" si="7"/>
        <v>0.96</v>
      </c>
      <c r="J22" s="69" t="e">
        <f t="shared" si="8"/>
        <v>#N/A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0</v>
      </c>
      <c r="O22" s="69">
        <f t="shared" si="46"/>
        <v>0</v>
      </c>
      <c r="P22" s="69" t="str">
        <f t="shared" si="11"/>
        <v>OK</v>
      </c>
      <c r="Q22" s="69">
        <f t="shared" si="12"/>
        <v>0.70555555555555549</v>
      </c>
      <c r="R22" s="69">
        <f t="shared" si="13"/>
        <v>0.80555555555555558</v>
      </c>
      <c r="S22" s="69">
        <f t="shared" si="14"/>
        <v>0.90555555555555556</v>
      </c>
      <c r="T22" s="69">
        <f t="shared" si="15"/>
        <v>1.0055555555555555</v>
      </c>
      <c r="U22" s="69">
        <f t="shared" si="16"/>
        <v>1.1055555555555556</v>
      </c>
      <c r="V22" s="69">
        <f t="shared" si="17"/>
        <v>1.2055555555555555</v>
      </c>
      <c r="W22" s="69">
        <f t="shared" si="18"/>
        <v>1.3055555555555556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3.56</v>
      </c>
      <c r="AC22" s="69">
        <f t="shared" si="24"/>
        <v>-1.6851851851851822</v>
      </c>
      <c r="AD22" s="69">
        <f t="shared" si="25"/>
        <v>3.56</v>
      </c>
      <c r="AE22" s="69" t="e">
        <f t="shared" si="26"/>
        <v>#N/A</v>
      </c>
      <c r="AF22" s="69">
        <f t="shared" si="27"/>
        <v>3.56</v>
      </c>
      <c r="AG22" s="69">
        <f t="shared" si="28"/>
        <v>0</v>
      </c>
      <c r="AH22" s="69">
        <f t="shared" si="43"/>
        <v>0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3.3233333333333328</v>
      </c>
      <c r="AN22" s="69">
        <f t="shared" si="32"/>
        <v>3.503333333333333</v>
      </c>
      <c r="AO22" s="69">
        <f t="shared" si="33"/>
        <v>3.6833333333333327</v>
      </c>
      <c r="AP22" s="69">
        <f t="shared" si="34"/>
        <v>3.8633333333333328</v>
      </c>
      <c r="AQ22" s="69">
        <f t="shared" si="35"/>
        <v>4.043333333333333</v>
      </c>
      <c r="AR22" s="69">
        <f t="shared" si="36"/>
        <v>4.2233333333333327</v>
      </c>
      <c r="AS22" s="69">
        <f t="shared" si="37"/>
        <v>4.4033333333333324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0.99</v>
      </c>
      <c r="G23" s="69">
        <f t="shared" si="5"/>
        <v>-0.15555555555555545</v>
      </c>
      <c r="H23" s="69">
        <f t="shared" si="6"/>
        <v>0.99</v>
      </c>
      <c r="I23" s="69">
        <f t="shared" si="7"/>
        <v>0.99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0.70555555555555549</v>
      </c>
      <c r="R23" s="69">
        <f t="shared" si="13"/>
        <v>0.80555555555555558</v>
      </c>
      <c r="S23" s="69">
        <f t="shared" si="14"/>
        <v>0.90555555555555556</v>
      </c>
      <c r="T23" s="69">
        <f t="shared" si="15"/>
        <v>1.0055555555555555</v>
      </c>
      <c r="U23" s="69">
        <f t="shared" si="16"/>
        <v>1.1055555555555556</v>
      </c>
      <c r="V23" s="69">
        <f t="shared" si="17"/>
        <v>1.2055555555555555</v>
      </c>
      <c r="W23" s="69">
        <f t="shared" si="18"/>
        <v>1.3055555555555556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3.5</v>
      </c>
      <c r="AC23" s="69">
        <f t="shared" si="24"/>
        <v>-2.0185185185185159</v>
      </c>
      <c r="AD23" s="69">
        <f t="shared" si="25"/>
        <v>3.5</v>
      </c>
      <c r="AE23" s="69" t="e">
        <f t="shared" si="26"/>
        <v>#N/A</v>
      </c>
      <c r="AF23" s="69">
        <f t="shared" si="27"/>
        <v>3.5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3.3233333333333328</v>
      </c>
      <c r="AN23" s="69">
        <f t="shared" si="32"/>
        <v>3.503333333333333</v>
      </c>
      <c r="AO23" s="69">
        <f t="shared" si="33"/>
        <v>3.6833333333333327</v>
      </c>
      <c r="AP23" s="69">
        <f t="shared" si="34"/>
        <v>3.8633333333333328</v>
      </c>
      <c r="AQ23" s="69">
        <f t="shared" si="35"/>
        <v>4.043333333333333</v>
      </c>
      <c r="AR23" s="69">
        <f t="shared" si="36"/>
        <v>4.2233333333333327</v>
      </c>
      <c r="AS23" s="69">
        <f t="shared" si="37"/>
        <v>4.4033333333333324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0.97</v>
      </c>
      <c r="G24" s="69">
        <f t="shared" si="5"/>
        <v>-0.35555555555555562</v>
      </c>
      <c r="H24" s="69">
        <f t="shared" si="6"/>
        <v>0.97</v>
      </c>
      <c r="I24" s="69">
        <f t="shared" si="7"/>
        <v>0.97</v>
      </c>
      <c r="J24" s="69" t="e">
        <f t="shared" si="8"/>
        <v>#N/A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0</v>
      </c>
      <c r="P24" s="69" t="str">
        <f t="shared" si="11"/>
        <v>OK</v>
      </c>
      <c r="Q24" s="69">
        <f t="shared" si="12"/>
        <v>0.70555555555555549</v>
      </c>
      <c r="R24" s="69">
        <f t="shared" si="13"/>
        <v>0.80555555555555558</v>
      </c>
      <c r="S24" s="69">
        <f t="shared" si="14"/>
        <v>0.90555555555555556</v>
      </c>
      <c r="T24" s="69">
        <f t="shared" si="15"/>
        <v>1.0055555555555555</v>
      </c>
      <c r="U24" s="69">
        <f t="shared" si="16"/>
        <v>1.1055555555555556</v>
      </c>
      <c r="V24" s="69">
        <f t="shared" si="17"/>
        <v>1.2055555555555555</v>
      </c>
      <c r="W24" s="69">
        <f t="shared" si="18"/>
        <v>1.3055555555555556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3.47</v>
      </c>
      <c r="AC24" s="69">
        <f t="shared" si="24"/>
        <v>-2.1851851851851816</v>
      </c>
      <c r="AD24" s="69">
        <f t="shared" si="25"/>
        <v>3.47</v>
      </c>
      <c r="AE24" s="69" t="e">
        <f t="shared" si="26"/>
        <v>#N/A</v>
      </c>
      <c r="AF24" s="69">
        <f t="shared" si="27"/>
        <v>3.47</v>
      </c>
      <c r="AG24" s="69">
        <f t="shared" si="28"/>
        <v>0</v>
      </c>
      <c r="AH24" s="69">
        <f t="shared" si="43"/>
        <v>1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3.3233333333333328</v>
      </c>
      <c r="AN24" s="69">
        <f t="shared" si="32"/>
        <v>3.503333333333333</v>
      </c>
      <c r="AO24" s="69">
        <f t="shared" si="33"/>
        <v>3.6833333333333327</v>
      </c>
      <c r="AP24" s="69">
        <f t="shared" si="34"/>
        <v>3.8633333333333328</v>
      </c>
      <c r="AQ24" s="69">
        <f t="shared" si="35"/>
        <v>4.043333333333333</v>
      </c>
      <c r="AR24" s="69">
        <f t="shared" si="36"/>
        <v>4.2233333333333327</v>
      </c>
      <c r="AS24" s="69">
        <f t="shared" si="37"/>
        <v>4.4033333333333324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1.01</v>
      </c>
      <c r="G25" s="69">
        <f t="shared" si="5"/>
        <v>4.4444444444444731E-2</v>
      </c>
      <c r="H25" s="69">
        <f t="shared" si="6"/>
        <v>1.01</v>
      </c>
      <c r="I25" s="69">
        <f t="shared" si="7"/>
        <v>1.01</v>
      </c>
      <c r="J25" s="69" t="e">
        <f t="shared" si="8"/>
        <v>#N/A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0</v>
      </c>
      <c r="P25" s="69" t="str">
        <f t="shared" si="11"/>
        <v>OK</v>
      </c>
      <c r="Q25" s="69">
        <f t="shared" si="12"/>
        <v>0.70555555555555549</v>
      </c>
      <c r="R25" s="69">
        <f t="shared" si="13"/>
        <v>0.80555555555555558</v>
      </c>
      <c r="S25" s="69">
        <f t="shared" si="14"/>
        <v>0.90555555555555556</v>
      </c>
      <c r="T25" s="69">
        <f t="shared" si="15"/>
        <v>1.0055555555555555</v>
      </c>
      <c r="U25" s="69">
        <f t="shared" si="16"/>
        <v>1.1055555555555556</v>
      </c>
      <c r="V25" s="69">
        <f t="shared" si="17"/>
        <v>1.2055555555555555</v>
      </c>
      <c r="W25" s="69">
        <f t="shared" si="18"/>
        <v>1.3055555555555556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3.56</v>
      </c>
      <c r="AC25" s="69">
        <f t="shared" si="24"/>
        <v>-1.6851851851851822</v>
      </c>
      <c r="AD25" s="69">
        <f t="shared" si="25"/>
        <v>3.56</v>
      </c>
      <c r="AE25" s="69" t="e">
        <f t="shared" si="26"/>
        <v>#N/A</v>
      </c>
      <c r="AF25" s="69">
        <f t="shared" si="27"/>
        <v>3.56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3.3233333333333328</v>
      </c>
      <c r="AN25" s="69">
        <f t="shared" si="32"/>
        <v>3.503333333333333</v>
      </c>
      <c r="AO25" s="69">
        <f t="shared" si="33"/>
        <v>3.6833333333333327</v>
      </c>
      <c r="AP25" s="69">
        <f t="shared" si="34"/>
        <v>3.8633333333333328</v>
      </c>
      <c r="AQ25" s="69">
        <f t="shared" si="35"/>
        <v>4.043333333333333</v>
      </c>
      <c r="AR25" s="69">
        <f t="shared" si="36"/>
        <v>4.2233333333333327</v>
      </c>
      <c r="AS25" s="69">
        <f t="shared" si="37"/>
        <v>4.4033333333333324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1.1100000000000001</v>
      </c>
      <c r="G26" s="69">
        <f t="shared" si="5"/>
        <v>1.0444444444444456</v>
      </c>
      <c r="H26" s="69">
        <f t="shared" si="6"/>
        <v>1.1100000000000001</v>
      </c>
      <c r="I26" s="69">
        <f t="shared" si="7"/>
        <v>1.1100000000000001</v>
      </c>
      <c r="J26" s="69" t="e">
        <f t="shared" si="8"/>
        <v>#N/A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0</v>
      </c>
      <c r="P26" s="69" t="str">
        <f t="shared" si="11"/>
        <v>OK</v>
      </c>
      <c r="Q26" s="69">
        <f t="shared" si="12"/>
        <v>0.70555555555555549</v>
      </c>
      <c r="R26" s="69">
        <f t="shared" si="13"/>
        <v>0.80555555555555558</v>
      </c>
      <c r="S26" s="69">
        <f t="shared" si="14"/>
        <v>0.90555555555555556</v>
      </c>
      <c r="T26" s="69">
        <f t="shared" si="15"/>
        <v>1.0055555555555555</v>
      </c>
      <c r="U26" s="69">
        <f t="shared" si="16"/>
        <v>1.1055555555555556</v>
      </c>
      <c r="V26" s="69">
        <f t="shared" si="17"/>
        <v>1.2055555555555555</v>
      </c>
      <c r="W26" s="69">
        <f t="shared" si="18"/>
        <v>1.3055555555555556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3.6</v>
      </c>
      <c r="AC26" s="69">
        <f t="shared" si="24"/>
        <v>-1.4629629629629597</v>
      </c>
      <c r="AD26" s="69">
        <f t="shared" si="25"/>
        <v>3.6</v>
      </c>
      <c r="AE26" s="69" t="e">
        <f t="shared" si="26"/>
        <v>#N/A</v>
      </c>
      <c r="AF26" s="69">
        <f t="shared" si="27"/>
        <v>3.6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3.3233333333333328</v>
      </c>
      <c r="AN26" s="69">
        <f t="shared" si="32"/>
        <v>3.503333333333333</v>
      </c>
      <c r="AO26" s="69">
        <f t="shared" si="33"/>
        <v>3.6833333333333327</v>
      </c>
      <c r="AP26" s="69">
        <f t="shared" si="34"/>
        <v>3.8633333333333328</v>
      </c>
      <c r="AQ26" s="69">
        <f t="shared" si="35"/>
        <v>4.043333333333333</v>
      </c>
      <c r="AR26" s="69">
        <f t="shared" si="36"/>
        <v>4.2233333333333327</v>
      </c>
      <c r="AS26" s="69">
        <f t="shared" si="37"/>
        <v>4.4033333333333324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1.05</v>
      </c>
      <c r="G27" s="69">
        <f t="shared" si="5"/>
        <v>0.44444444444444509</v>
      </c>
      <c r="H27" s="69">
        <f t="shared" si="6"/>
        <v>1.05</v>
      </c>
      <c r="I27" s="69">
        <f t="shared" si="7"/>
        <v>1.05</v>
      </c>
      <c r="J27" s="69" t="e">
        <f t="shared" si="8"/>
        <v>#N/A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0</v>
      </c>
      <c r="P27" s="69" t="str">
        <f t="shared" si="11"/>
        <v>OK</v>
      </c>
      <c r="Q27" s="69">
        <f t="shared" si="12"/>
        <v>0.70555555555555549</v>
      </c>
      <c r="R27" s="69">
        <f t="shared" si="13"/>
        <v>0.80555555555555558</v>
      </c>
      <c r="S27" s="69">
        <f t="shared" si="14"/>
        <v>0.90555555555555556</v>
      </c>
      <c r="T27" s="69">
        <f t="shared" si="15"/>
        <v>1.0055555555555555</v>
      </c>
      <c r="U27" s="69">
        <f t="shared" si="16"/>
        <v>1.1055555555555556</v>
      </c>
      <c r="V27" s="69">
        <f t="shared" si="17"/>
        <v>1.2055555555555555</v>
      </c>
      <c r="W27" s="69">
        <f t="shared" si="18"/>
        <v>1.3055555555555556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3.59</v>
      </c>
      <c r="AC27" s="69">
        <f t="shared" si="24"/>
        <v>-1.5185185185185166</v>
      </c>
      <c r="AD27" s="69">
        <f t="shared" si="25"/>
        <v>3.59</v>
      </c>
      <c r="AE27" s="69" t="e">
        <f t="shared" si="26"/>
        <v>#N/A</v>
      </c>
      <c r="AF27" s="69">
        <f t="shared" si="27"/>
        <v>3.59</v>
      </c>
      <c r="AG27" s="69">
        <f t="shared" si="28"/>
        <v>0</v>
      </c>
      <c r="AH27" s="69">
        <f t="shared" si="43"/>
        <v>0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3.3233333333333328</v>
      </c>
      <c r="AN27" s="69">
        <f t="shared" si="32"/>
        <v>3.503333333333333</v>
      </c>
      <c r="AO27" s="69">
        <f t="shared" si="33"/>
        <v>3.6833333333333327</v>
      </c>
      <c r="AP27" s="69">
        <f t="shared" si="34"/>
        <v>3.8633333333333328</v>
      </c>
      <c r="AQ27" s="69">
        <f t="shared" si="35"/>
        <v>4.043333333333333</v>
      </c>
      <c r="AR27" s="69">
        <f t="shared" si="36"/>
        <v>4.2233333333333327</v>
      </c>
      <c r="AS27" s="69">
        <f t="shared" si="37"/>
        <v>4.4033333333333324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0.99</v>
      </c>
      <c r="G28" s="69">
        <f t="shared" si="5"/>
        <v>-0.15555555555555545</v>
      </c>
      <c r="H28" s="69">
        <f t="shared" si="6"/>
        <v>0.99</v>
      </c>
      <c r="I28" s="69">
        <f t="shared" si="7"/>
        <v>0.99</v>
      </c>
      <c r="J28" s="69" t="e">
        <f t="shared" si="8"/>
        <v>#N/A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0</v>
      </c>
      <c r="P28" s="69" t="str">
        <f t="shared" si="11"/>
        <v>OK</v>
      </c>
      <c r="Q28" s="69">
        <f t="shared" si="12"/>
        <v>0.70555555555555549</v>
      </c>
      <c r="R28" s="69">
        <f t="shared" si="13"/>
        <v>0.80555555555555558</v>
      </c>
      <c r="S28" s="69">
        <f t="shared" si="14"/>
        <v>0.90555555555555556</v>
      </c>
      <c r="T28" s="69">
        <f t="shared" si="15"/>
        <v>1.0055555555555555</v>
      </c>
      <c r="U28" s="69">
        <f t="shared" si="16"/>
        <v>1.1055555555555556</v>
      </c>
      <c r="V28" s="69">
        <f t="shared" si="17"/>
        <v>1.2055555555555555</v>
      </c>
      <c r="W28" s="69">
        <f t="shared" si="18"/>
        <v>1.3055555555555556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3.59</v>
      </c>
      <c r="AC28" s="69">
        <f t="shared" si="24"/>
        <v>-1.5185185185185166</v>
      </c>
      <c r="AD28" s="69">
        <f t="shared" si="25"/>
        <v>3.59</v>
      </c>
      <c r="AE28" s="69" t="e">
        <f t="shared" si="26"/>
        <v>#N/A</v>
      </c>
      <c r="AF28" s="69">
        <f t="shared" si="27"/>
        <v>3.59</v>
      </c>
      <c r="AG28" s="69">
        <f t="shared" si="28"/>
        <v>0</v>
      </c>
      <c r="AH28" s="69">
        <f t="shared" si="43"/>
        <v>0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3.3233333333333328</v>
      </c>
      <c r="AN28" s="69">
        <f t="shared" si="32"/>
        <v>3.503333333333333</v>
      </c>
      <c r="AO28" s="69">
        <f t="shared" si="33"/>
        <v>3.6833333333333327</v>
      </c>
      <c r="AP28" s="69">
        <f t="shared" si="34"/>
        <v>3.8633333333333328</v>
      </c>
      <c r="AQ28" s="69">
        <f t="shared" si="35"/>
        <v>4.043333333333333</v>
      </c>
      <c r="AR28" s="69">
        <f t="shared" si="36"/>
        <v>4.2233333333333327</v>
      </c>
      <c r="AS28" s="69">
        <f t="shared" si="37"/>
        <v>4.4033333333333324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0.95</v>
      </c>
      <c r="G29" s="69">
        <f t="shared" si="5"/>
        <v>-0.5555555555555558</v>
      </c>
      <c r="H29" s="69">
        <f t="shared" si="6"/>
        <v>0.95</v>
      </c>
      <c r="I29" s="69">
        <f t="shared" si="7"/>
        <v>0.95</v>
      </c>
      <c r="J29" s="69" t="e">
        <f t="shared" si="8"/>
        <v>#N/A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0</v>
      </c>
      <c r="P29" s="69" t="str">
        <f t="shared" si="11"/>
        <v>OK</v>
      </c>
      <c r="Q29" s="69">
        <f t="shared" si="12"/>
        <v>0.70555555555555549</v>
      </c>
      <c r="R29" s="69">
        <f t="shared" si="13"/>
        <v>0.80555555555555558</v>
      </c>
      <c r="S29" s="69">
        <f t="shared" si="14"/>
        <v>0.90555555555555556</v>
      </c>
      <c r="T29" s="69">
        <f t="shared" si="15"/>
        <v>1.0055555555555555</v>
      </c>
      <c r="U29" s="69">
        <f t="shared" si="16"/>
        <v>1.1055555555555556</v>
      </c>
      <c r="V29" s="69">
        <f t="shared" si="17"/>
        <v>1.2055555555555555</v>
      </c>
      <c r="W29" s="69">
        <f t="shared" si="18"/>
        <v>1.3055555555555556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3.65</v>
      </c>
      <c r="AC29" s="69">
        <f t="shared" si="24"/>
        <v>-1.1851851851851829</v>
      </c>
      <c r="AD29" s="69">
        <f t="shared" si="25"/>
        <v>3.65</v>
      </c>
      <c r="AE29" s="69" t="e">
        <f t="shared" si="26"/>
        <v>#N/A</v>
      </c>
      <c r="AF29" s="69">
        <f t="shared" si="27"/>
        <v>3.65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3.3233333333333328</v>
      </c>
      <c r="AN29" s="69">
        <f t="shared" si="32"/>
        <v>3.503333333333333</v>
      </c>
      <c r="AO29" s="69">
        <f t="shared" si="33"/>
        <v>3.6833333333333327</v>
      </c>
      <c r="AP29" s="69">
        <f t="shared" si="34"/>
        <v>3.8633333333333328</v>
      </c>
      <c r="AQ29" s="69">
        <f t="shared" si="35"/>
        <v>4.043333333333333</v>
      </c>
      <c r="AR29" s="69">
        <f t="shared" si="36"/>
        <v>4.2233333333333327</v>
      </c>
      <c r="AS29" s="69">
        <f t="shared" si="37"/>
        <v>4.4033333333333324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0.97</v>
      </c>
      <c r="G30" s="69">
        <f t="shared" si="5"/>
        <v>-0.35555555555555562</v>
      </c>
      <c r="H30" s="69">
        <f t="shared" si="6"/>
        <v>0.97</v>
      </c>
      <c r="I30" s="69">
        <f t="shared" si="7"/>
        <v>0.97</v>
      </c>
      <c r="J30" s="69" t="e">
        <f t="shared" si="8"/>
        <v>#N/A</v>
      </c>
      <c r="K30" s="69">
        <f t="shared" si="9"/>
        <v>0</v>
      </c>
      <c r="L30" s="69">
        <f t="shared" si="42"/>
        <v>0</v>
      </c>
      <c r="M30" s="69">
        <f t="shared" si="10"/>
        <v>0</v>
      </c>
      <c r="N30" s="69">
        <f t="shared" si="44"/>
        <v>0</v>
      </c>
      <c r="O30" s="69">
        <f t="shared" si="46"/>
        <v>0</v>
      </c>
      <c r="P30" s="69" t="str">
        <f t="shared" si="11"/>
        <v>OK</v>
      </c>
      <c r="Q30" s="69">
        <f t="shared" si="12"/>
        <v>0.70555555555555549</v>
      </c>
      <c r="R30" s="69">
        <f t="shared" si="13"/>
        <v>0.80555555555555558</v>
      </c>
      <c r="S30" s="69">
        <f t="shared" si="14"/>
        <v>0.90555555555555556</v>
      </c>
      <c r="T30" s="69">
        <f t="shared" si="15"/>
        <v>1.0055555555555555</v>
      </c>
      <c r="U30" s="69">
        <f t="shared" si="16"/>
        <v>1.1055555555555556</v>
      </c>
      <c r="V30" s="69">
        <f t="shared" si="17"/>
        <v>1.2055555555555555</v>
      </c>
      <c r="W30" s="69">
        <f t="shared" si="18"/>
        <v>1.3055555555555556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3.61</v>
      </c>
      <c r="AC30" s="69">
        <f t="shared" si="24"/>
        <v>-1.4074074074074054</v>
      </c>
      <c r="AD30" s="69">
        <f t="shared" si="25"/>
        <v>3.61</v>
      </c>
      <c r="AE30" s="69" t="e">
        <f t="shared" si="26"/>
        <v>#N/A</v>
      </c>
      <c r="AF30" s="69">
        <f t="shared" si="27"/>
        <v>3.61</v>
      </c>
      <c r="AG30" s="69">
        <f t="shared" si="28"/>
        <v>0</v>
      </c>
      <c r="AH30" s="69">
        <f t="shared" si="43"/>
        <v>0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3.3233333333333328</v>
      </c>
      <c r="AN30" s="69">
        <f t="shared" si="32"/>
        <v>3.503333333333333</v>
      </c>
      <c r="AO30" s="69">
        <f t="shared" si="33"/>
        <v>3.6833333333333327</v>
      </c>
      <c r="AP30" s="69">
        <f t="shared" si="34"/>
        <v>3.8633333333333328</v>
      </c>
      <c r="AQ30" s="69">
        <f t="shared" si="35"/>
        <v>4.043333333333333</v>
      </c>
      <c r="AR30" s="69">
        <f t="shared" si="36"/>
        <v>4.2233333333333327</v>
      </c>
      <c r="AS30" s="69">
        <f t="shared" si="37"/>
        <v>4.4033333333333324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0.98</v>
      </c>
      <c r="G31" s="69">
        <f t="shared" si="5"/>
        <v>-0.25555555555555554</v>
      </c>
      <c r="H31" s="69">
        <f t="shared" si="6"/>
        <v>0.98</v>
      </c>
      <c r="I31" s="69" t="e">
        <f t="shared" si="7"/>
        <v>#N/A</v>
      </c>
      <c r="J31" s="69">
        <f t="shared" si="8"/>
        <v>0.98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0</v>
      </c>
      <c r="O31" s="69">
        <f t="shared" si="46"/>
        <v>1</v>
      </c>
      <c r="P31" s="69" t="str">
        <f t="shared" si="11"/>
        <v>REJEITADO</v>
      </c>
      <c r="Q31" s="69">
        <f t="shared" si="12"/>
        <v>0.70555555555555549</v>
      </c>
      <c r="R31" s="69">
        <f t="shared" si="13"/>
        <v>0.80555555555555558</v>
      </c>
      <c r="S31" s="69">
        <f t="shared" si="14"/>
        <v>0.90555555555555556</v>
      </c>
      <c r="T31" s="69">
        <f t="shared" si="15"/>
        <v>1.0055555555555555</v>
      </c>
      <c r="U31" s="69">
        <f t="shared" si="16"/>
        <v>1.1055555555555556</v>
      </c>
      <c r="V31" s="69">
        <f t="shared" si="17"/>
        <v>1.2055555555555555</v>
      </c>
      <c r="W31" s="69">
        <f t="shared" si="18"/>
        <v>1.3055555555555556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3.56</v>
      </c>
      <c r="AC31" s="69">
        <f t="shared" si="24"/>
        <v>-1.6851851851851822</v>
      </c>
      <c r="AD31" s="69">
        <f t="shared" si="25"/>
        <v>3.56</v>
      </c>
      <c r="AE31" s="69" t="e">
        <f t="shared" si="26"/>
        <v>#N/A</v>
      </c>
      <c r="AF31" s="69">
        <f t="shared" si="27"/>
        <v>3.56</v>
      </c>
      <c r="AG31" s="69">
        <f t="shared" si="28"/>
        <v>0</v>
      </c>
      <c r="AH31" s="69">
        <f t="shared" si="43"/>
        <v>0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3.3233333333333328</v>
      </c>
      <c r="AN31" s="69">
        <f t="shared" si="32"/>
        <v>3.503333333333333</v>
      </c>
      <c r="AO31" s="69">
        <f t="shared" si="33"/>
        <v>3.6833333333333327</v>
      </c>
      <c r="AP31" s="69">
        <f t="shared" si="34"/>
        <v>3.8633333333333328</v>
      </c>
      <c r="AQ31" s="69">
        <f t="shared" si="35"/>
        <v>4.043333333333333</v>
      </c>
      <c r="AR31" s="69">
        <f t="shared" si="36"/>
        <v>4.2233333333333327</v>
      </c>
      <c r="AS31" s="69">
        <f t="shared" si="37"/>
        <v>4.4033333333333324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0.95</v>
      </c>
      <c r="G32" s="69">
        <f t="shared" si="5"/>
        <v>-0.5555555555555558</v>
      </c>
      <c r="H32" s="69">
        <f t="shared" si="6"/>
        <v>0.95</v>
      </c>
      <c r="I32" s="69" t="e">
        <f t="shared" si="7"/>
        <v>#N/A</v>
      </c>
      <c r="J32" s="69">
        <f t="shared" si="8"/>
        <v>0.95</v>
      </c>
      <c r="K32" s="69">
        <f t="shared" si="9"/>
        <v>0</v>
      </c>
      <c r="L32" s="69">
        <f t="shared" si="42"/>
        <v>0</v>
      </c>
      <c r="M32" s="69">
        <f t="shared" si="10"/>
        <v>0</v>
      </c>
      <c r="N32" s="69">
        <f t="shared" si="44"/>
        <v>0</v>
      </c>
      <c r="O32" s="69">
        <f t="shared" si="46"/>
        <v>1</v>
      </c>
      <c r="P32" s="69" t="str">
        <f t="shared" si="11"/>
        <v>REJEITADO</v>
      </c>
      <c r="Q32" s="69">
        <f t="shared" si="12"/>
        <v>0.70555555555555549</v>
      </c>
      <c r="R32" s="69">
        <f t="shared" si="13"/>
        <v>0.80555555555555558</v>
      </c>
      <c r="S32" s="69">
        <f t="shared" si="14"/>
        <v>0.90555555555555556</v>
      </c>
      <c r="T32" s="69">
        <f t="shared" si="15"/>
        <v>1.0055555555555555</v>
      </c>
      <c r="U32" s="69">
        <f t="shared" si="16"/>
        <v>1.1055555555555556</v>
      </c>
      <c r="V32" s="69">
        <f t="shared" si="17"/>
        <v>1.2055555555555555</v>
      </c>
      <c r="W32" s="69">
        <f t="shared" si="18"/>
        <v>1.3055555555555556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3.6</v>
      </c>
      <c r="AC32" s="69">
        <f t="shared" si="24"/>
        <v>-1.4629629629629597</v>
      </c>
      <c r="AD32" s="69">
        <f t="shared" si="25"/>
        <v>3.6</v>
      </c>
      <c r="AE32" s="69" t="e">
        <f t="shared" si="26"/>
        <v>#N/A</v>
      </c>
      <c r="AF32" s="69">
        <f t="shared" si="27"/>
        <v>3.6</v>
      </c>
      <c r="AG32" s="69">
        <f t="shared" si="28"/>
        <v>0</v>
      </c>
      <c r="AH32" s="69">
        <f t="shared" si="43"/>
        <v>0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3.3233333333333328</v>
      </c>
      <c r="AN32" s="69">
        <f t="shared" si="32"/>
        <v>3.503333333333333</v>
      </c>
      <c r="AO32" s="69">
        <f t="shared" si="33"/>
        <v>3.6833333333333327</v>
      </c>
      <c r="AP32" s="69">
        <f t="shared" si="34"/>
        <v>3.8633333333333328</v>
      </c>
      <c r="AQ32" s="69">
        <f t="shared" si="35"/>
        <v>4.043333333333333</v>
      </c>
      <c r="AR32" s="69">
        <f t="shared" si="36"/>
        <v>4.2233333333333327</v>
      </c>
      <c r="AS32" s="69">
        <f t="shared" si="37"/>
        <v>4.4033333333333324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0.97</v>
      </c>
      <c r="G33" s="69">
        <f t="shared" si="5"/>
        <v>-0.35555555555555562</v>
      </c>
      <c r="H33" s="69">
        <f t="shared" si="6"/>
        <v>0.97</v>
      </c>
      <c r="I33" s="69" t="e">
        <f t="shared" si="7"/>
        <v>#N/A</v>
      </c>
      <c r="J33" s="69">
        <f t="shared" si="8"/>
        <v>0.97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0</v>
      </c>
      <c r="O33" s="69">
        <f t="shared" si="46"/>
        <v>1</v>
      </c>
      <c r="P33" s="69" t="str">
        <f t="shared" si="11"/>
        <v>REJEITADO</v>
      </c>
      <c r="Q33" s="69">
        <f t="shared" si="12"/>
        <v>0.70555555555555549</v>
      </c>
      <c r="R33" s="69">
        <f t="shared" si="13"/>
        <v>0.80555555555555558</v>
      </c>
      <c r="S33" s="69">
        <f t="shared" si="14"/>
        <v>0.90555555555555556</v>
      </c>
      <c r="T33" s="69">
        <f t="shared" si="15"/>
        <v>1.0055555555555555</v>
      </c>
      <c r="U33" s="69">
        <f t="shared" si="16"/>
        <v>1.1055555555555556</v>
      </c>
      <c r="V33" s="69">
        <f t="shared" si="17"/>
        <v>1.2055555555555555</v>
      </c>
      <c r="W33" s="69">
        <f t="shared" si="18"/>
        <v>1.3055555555555556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3.6</v>
      </c>
      <c r="AC33" s="69">
        <f t="shared" si="24"/>
        <v>-1.4629629629629597</v>
      </c>
      <c r="AD33" s="69">
        <f t="shared" si="25"/>
        <v>3.6</v>
      </c>
      <c r="AE33" s="69" t="e">
        <f t="shared" si="26"/>
        <v>#N/A</v>
      </c>
      <c r="AF33" s="69">
        <f t="shared" si="27"/>
        <v>3.6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3.3233333333333328</v>
      </c>
      <c r="AN33" s="69">
        <f t="shared" si="32"/>
        <v>3.503333333333333</v>
      </c>
      <c r="AO33" s="69">
        <f t="shared" si="33"/>
        <v>3.6833333333333327</v>
      </c>
      <c r="AP33" s="69">
        <f t="shared" si="34"/>
        <v>3.8633333333333328</v>
      </c>
      <c r="AQ33" s="69">
        <f t="shared" si="35"/>
        <v>4.043333333333333</v>
      </c>
      <c r="AR33" s="69">
        <f t="shared" si="36"/>
        <v>4.2233333333333327</v>
      </c>
      <c r="AS33" s="69">
        <f t="shared" si="37"/>
        <v>4.4033333333333324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1</v>
      </c>
      <c r="G34" s="69">
        <f t="shared" si="5"/>
        <v>-5.5555555555555358E-2</v>
      </c>
      <c r="H34" s="69">
        <f t="shared" si="6"/>
        <v>1</v>
      </c>
      <c r="I34" s="69" t="e">
        <f t="shared" si="7"/>
        <v>#N/A</v>
      </c>
      <c r="J34" s="69">
        <f t="shared" si="8"/>
        <v>1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0.70555555555555549</v>
      </c>
      <c r="R34" s="69">
        <f t="shared" si="13"/>
        <v>0.80555555555555558</v>
      </c>
      <c r="S34" s="69">
        <f t="shared" si="14"/>
        <v>0.90555555555555556</v>
      </c>
      <c r="T34" s="69">
        <f t="shared" si="15"/>
        <v>1.0055555555555555</v>
      </c>
      <c r="U34" s="69">
        <f t="shared" si="16"/>
        <v>1.1055555555555556</v>
      </c>
      <c r="V34" s="69">
        <f t="shared" si="17"/>
        <v>1.2055555555555555</v>
      </c>
      <c r="W34" s="69">
        <f t="shared" si="18"/>
        <v>1.3055555555555556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3.56</v>
      </c>
      <c r="AC34" s="69">
        <f t="shared" si="24"/>
        <v>-1.6851851851851822</v>
      </c>
      <c r="AD34" s="69">
        <f t="shared" si="25"/>
        <v>3.56</v>
      </c>
      <c r="AE34" s="69" t="e">
        <f t="shared" si="26"/>
        <v>#N/A</v>
      </c>
      <c r="AF34" s="69">
        <f t="shared" si="27"/>
        <v>3.56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3.3233333333333328</v>
      </c>
      <c r="AN34" s="69">
        <f t="shared" si="32"/>
        <v>3.503333333333333</v>
      </c>
      <c r="AO34" s="69">
        <f t="shared" si="33"/>
        <v>3.6833333333333327</v>
      </c>
      <c r="AP34" s="69">
        <f t="shared" si="34"/>
        <v>3.8633333333333328</v>
      </c>
      <c r="AQ34" s="69">
        <f t="shared" si="35"/>
        <v>4.043333333333333</v>
      </c>
      <c r="AR34" s="69">
        <f t="shared" si="36"/>
        <v>4.2233333333333327</v>
      </c>
      <c r="AS34" s="69">
        <f t="shared" si="37"/>
        <v>4.4033333333333324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0.98</v>
      </c>
      <c r="G35" s="69">
        <f t="shared" ref="G35:G66" si="53">IF(OR($F35="",$AY$1=""),"",($F35-$AX$1)/$AY$1)</f>
        <v>-0.25555555555555554</v>
      </c>
      <c r="H35" s="69">
        <f t="shared" ref="H35:H66" si="54">IF(AND($F35&lt;&gt;"",$D35=1),$F35,NA())</f>
        <v>0.98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0.70555555555555549</v>
      </c>
      <c r="R35" s="69">
        <f t="shared" ref="R35:R66" si="61">IF(AND($D35=1,$AX$1&lt;&gt;""),$AX$1+(-2)*$AY$1,NA())</f>
        <v>0.80555555555555558</v>
      </c>
      <c r="S35" s="69">
        <f t="shared" ref="S35:S66" si="62">IF(AND($D35=1,$AX$1&lt;&gt;""),$AX$1+(-1)*$AY$1,NA())</f>
        <v>0.90555555555555556</v>
      </c>
      <c r="T35" s="69">
        <f t="shared" ref="T35:T66" si="63">IF(AND($D35=1,$AX$1&lt;&gt;""),$AX$1,NA())</f>
        <v>1.0055555555555555</v>
      </c>
      <c r="U35" s="69">
        <f t="shared" ref="U35:U66" si="64">IF(AND($D35=1,$AX$1&lt;&gt;""),$AX$1+(1)*$AY$1,NA())</f>
        <v>1.1055555555555556</v>
      </c>
      <c r="V35" s="69">
        <f t="shared" ref="V35:V66" si="65">IF(AND($D35=1,$AX$1&lt;&gt;""),$AX$1+(2)*$AY$1,NA())</f>
        <v>1.2055555555555555</v>
      </c>
      <c r="W35" s="69">
        <f t="shared" ref="W35:W66" si="66">IF(AND($D35=1,$AX$1&lt;&gt;""),$AX$1+(3)*$AY$1,NA())</f>
        <v>1.3055555555555556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3.63</v>
      </c>
      <c r="AC35" s="69">
        <f t="shared" ref="AC35:AC66" si="72">IF(OR($AB35="",$BA$1=""),"",($AB35-$AZ$1)/$BA$1)</f>
        <v>-1.2962962962962943</v>
      </c>
      <c r="AD35" s="69">
        <f t="shared" ref="AD35:AD66" si="73">IF(AND($AB35&lt;&gt;"",$D35=1),$AB35,NA())</f>
        <v>3.63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3.63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3.3233333333333328</v>
      </c>
      <c r="AN35" s="69">
        <f t="shared" ref="AN35:AN66" si="80">IF(AND($D35=1,$AZ$1&lt;&gt;""),$AZ$1+(-2)*$BA$1,NA())</f>
        <v>3.503333333333333</v>
      </c>
      <c r="AO35" s="69">
        <f t="shared" ref="AO35:AO66" si="81">IF(AND($D35=1,$AZ$1&lt;&gt;""),$AZ$1+(-1)*$BA$1,NA())</f>
        <v>3.6833333333333327</v>
      </c>
      <c r="AP35" s="69">
        <f t="shared" ref="AP35:AP66" si="82">IF(AND($D35=1,$AZ$1&lt;&gt;""),$AZ$1,NA())</f>
        <v>3.8633333333333328</v>
      </c>
      <c r="AQ35" s="69">
        <f t="shared" ref="AQ35:AQ66" si="83">IF(AND($D35=1,$AZ$1&lt;&gt;""),$AZ$1+(1)*$BA$1,NA())</f>
        <v>4.043333333333333</v>
      </c>
      <c r="AR35" s="69">
        <f t="shared" ref="AR35:AR66" si="84">IF(AND($D35=1,$AZ$1&lt;&gt;""),$AZ$1+(2)*$BA$1,NA())</f>
        <v>4.2233333333333327</v>
      </c>
      <c r="AS35" s="69">
        <f t="shared" ref="AS35:AS66" si="85">IF(AND($D35=1,$AZ$1&lt;&gt;""),$AZ$1+(3)*$BA$1,NA())</f>
        <v>4.4033333333333324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0.99</v>
      </c>
      <c r="G36" s="69">
        <f t="shared" si="53"/>
        <v>-0.15555555555555545</v>
      </c>
      <c r="H36" s="69">
        <f t="shared" si="54"/>
        <v>0.99</v>
      </c>
      <c r="I36" s="69" t="e">
        <f t="shared" si="55"/>
        <v>#N/A</v>
      </c>
      <c r="J36" s="69">
        <f t="shared" si="56"/>
        <v>0.99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1</v>
      </c>
      <c r="P36" s="69" t="str">
        <f t="shared" si="59"/>
        <v>REJEITADO</v>
      </c>
      <c r="Q36" s="69">
        <f t="shared" si="60"/>
        <v>0.70555555555555549</v>
      </c>
      <c r="R36" s="69">
        <f t="shared" si="61"/>
        <v>0.80555555555555558</v>
      </c>
      <c r="S36" s="69">
        <f t="shared" si="62"/>
        <v>0.90555555555555556</v>
      </c>
      <c r="T36" s="69">
        <f t="shared" si="63"/>
        <v>1.0055555555555555</v>
      </c>
      <c r="U36" s="69">
        <f t="shared" si="64"/>
        <v>1.1055555555555556</v>
      </c>
      <c r="V36" s="69">
        <f t="shared" si="65"/>
        <v>1.2055555555555555</v>
      </c>
      <c r="W36" s="69">
        <f t="shared" si="66"/>
        <v>1.3055555555555556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3.65</v>
      </c>
      <c r="AC36" s="69">
        <f t="shared" si="72"/>
        <v>-1.1851851851851829</v>
      </c>
      <c r="AD36" s="69">
        <f t="shared" si="73"/>
        <v>3.65</v>
      </c>
      <c r="AE36" s="69" t="e">
        <f t="shared" si="74"/>
        <v>#N/A</v>
      </c>
      <c r="AF36" s="69">
        <f t="shared" si="75"/>
        <v>3.65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1</v>
      </c>
      <c r="AK36" s="69">
        <f t="shared" si="47"/>
        <v>1</v>
      </c>
      <c r="AL36" s="69" t="str">
        <f t="shared" si="78"/>
        <v>REJEITADO</v>
      </c>
      <c r="AM36" s="69">
        <f t="shared" si="79"/>
        <v>3.3233333333333328</v>
      </c>
      <c r="AN36" s="69">
        <f t="shared" si="80"/>
        <v>3.503333333333333</v>
      </c>
      <c r="AO36" s="69">
        <f t="shared" si="81"/>
        <v>3.6833333333333327</v>
      </c>
      <c r="AP36" s="69">
        <f t="shared" si="82"/>
        <v>3.8633333333333328</v>
      </c>
      <c r="AQ36" s="69">
        <f t="shared" si="83"/>
        <v>4.043333333333333</v>
      </c>
      <c r="AR36" s="69">
        <f t="shared" si="84"/>
        <v>4.2233333333333327</v>
      </c>
      <c r="AS36" s="69">
        <f t="shared" si="85"/>
        <v>4.4033333333333324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0.98</v>
      </c>
      <c r="G37" s="69">
        <f t="shared" si="53"/>
        <v>-0.25555555555555554</v>
      </c>
      <c r="H37" s="69">
        <f t="shared" si="54"/>
        <v>0.98</v>
      </c>
      <c r="I37" s="69" t="e">
        <f t="shared" si="55"/>
        <v>#N/A</v>
      </c>
      <c r="J37" s="69">
        <f t="shared" si="56"/>
        <v>0.98</v>
      </c>
      <c r="K37" s="69">
        <f t="shared" si="57"/>
        <v>0</v>
      </c>
      <c r="L37" s="69">
        <f t="shared" si="90"/>
        <v>0</v>
      </c>
      <c r="M37" s="69">
        <f t="shared" si="58"/>
        <v>0</v>
      </c>
      <c r="N37" s="69">
        <f t="shared" si="44"/>
        <v>0</v>
      </c>
      <c r="O37" s="69">
        <f t="shared" si="46"/>
        <v>1</v>
      </c>
      <c r="P37" s="69" t="str">
        <f t="shared" si="59"/>
        <v>REJEITADO</v>
      </c>
      <c r="Q37" s="69">
        <f t="shared" si="60"/>
        <v>0.70555555555555549</v>
      </c>
      <c r="R37" s="69">
        <f t="shared" si="61"/>
        <v>0.80555555555555558</v>
      </c>
      <c r="S37" s="69">
        <f t="shared" si="62"/>
        <v>0.90555555555555556</v>
      </c>
      <c r="T37" s="69">
        <f t="shared" si="63"/>
        <v>1.0055555555555555</v>
      </c>
      <c r="U37" s="69">
        <f t="shared" si="64"/>
        <v>1.1055555555555556</v>
      </c>
      <c r="V37" s="69">
        <f t="shared" si="65"/>
        <v>1.2055555555555555</v>
      </c>
      <c r="W37" s="69">
        <f t="shared" si="66"/>
        <v>1.3055555555555556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3.57</v>
      </c>
      <c r="AC37" s="69">
        <f t="shared" si="72"/>
        <v>-1.6296296296296278</v>
      </c>
      <c r="AD37" s="69">
        <f t="shared" si="73"/>
        <v>3.57</v>
      </c>
      <c r="AE37" s="69" t="e">
        <f t="shared" si="74"/>
        <v>#N/A</v>
      </c>
      <c r="AF37" s="69">
        <f t="shared" si="75"/>
        <v>3.57</v>
      </c>
      <c r="AG37" s="69">
        <f t="shared" si="76"/>
        <v>0</v>
      </c>
      <c r="AH37" s="69">
        <f t="shared" si="91"/>
        <v>0</v>
      </c>
      <c r="AI37" s="69">
        <f t="shared" si="77"/>
        <v>0</v>
      </c>
      <c r="AJ37" s="69">
        <f t="shared" si="45"/>
        <v>1</v>
      </c>
      <c r="AK37" s="69">
        <f t="shared" si="47"/>
        <v>1</v>
      </c>
      <c r="AL37" s="69" t="str">
        <f t="shared" si="78"/>
        <v>REJEITADO</v>
      </c>
      <c r="AM37" s="69">
        <f t="shared" si="79"/>
        <v>3.3233333333333328</v>
      </c>
      <c r="AN37" s="69">
        <f t="shared" si="80"/>
        <v>3.503333333333333</v>
      </c>
      <c r="AO37" s="69">
        <f t="shared" si="81"/>
        <v>3.6833333333333327</v>
      </c>
      <c r="AP37" s="69">
        <f t="shared" si="82"/>
        <v>3.8633333333333328</v>
      </c>
      <c r="AQ37" s="69">
        <f t="shared" si="83"/>
        <v>4.043333333333333</v>
      </c>
      <c r="AR37" s="69">
        <f t="shared" si="84"/>
        <v>4.2233333333333327</v>
      </c>
      <c r="AS37" s="69">
        <f t="shared" si="85"/>
        <v>4.4033333333333324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1.01</v>
      </c>
      <c r="G38" s="69">
        <f t="shared" si="53"/>
        <v>4.4444444444444731E-2</v>
      </c>
      <c r="H38" s="69">
        <f t="shared" si="54"/>
        <v>1.01</v>
      </c>
      <c r="I38" s="69">
        <f t="shared" si="55"/>
        <v>1.01</v>
      </c>
      <c r="J38" s="69" t="e">
        <f t="shared" si="56"/>
        <v>#N/A</v>
      </c>
      <c r="K38" s="69">
        <f t="shared" si="57"/>
        <v>0</v>
      </c>
      <c r="L38" s="69">
        <f t="shared" si="90"/>
        <v>0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69">
        <f t="shared" si="46"/>
        <v>0</v>
      </c>
      <c r="P38" s="69" t="str">
        <f t="shared" si="59"/>
        <v>OK</v>
      </c>
      <c r="Q38" s="69">
        <f t="shared" si="60"/>
        <v>0.70555555555555549</v>
      </c>
      <c r="R38" s="69">
        <f t="shared" si="61"/>
        <v>0.80555555555555558</v>
      </c>
      <c r="S38" s="69">
        <f t="shared" si="62"/>
        <v>0.90555555555555556</v>
      </c>
      <c r="T38" s="69">
        <f t="shared" si="63"/>
        <v>1.0055555555555555</v>
      </c>
      <c r="U38" s="69">
        <f t="shared" si="64"/>
        <v>1.1055555555555556</v>
      </c>
      <c r="V38" s="69">
        <f t="shared" si="65"/>
        <v>1.2055555555555555</v>
      </c>
      <c r="W38" s="69">
        <f t="shared" si="66"/>
        <v>1.3055555555555556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3.6</v>
      </c>
      <c r="AC38" s="69">
        <f t="shared" si="72"/>
        <v>-1.4629629629629597</v>
      </c>
      <c r="AD38" s="69">
        <f t="shared" si="73"/>
        <v>3.6</v>
      </c>
      <c r="AE38" s="69" t="e">
        <f t="shared" si="74"/>
        <v>#N/A</v>
      </c>
      <c r="AF38" s="69">
        <f t="shared" si="75"/>
        <v>3.6</v>
      </c>
      <c r="AG38" s="69">
        <f t="shared" si="76"/>
        <v>0</v>
      </c>
      <c r="AH38" s="69">
        <f t="shared" si="91"/>
        <v>0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3.3233333333333328</v>
      </c>
      <c r="AN38" s="69">
        <f t="shared" si="80"/>
        <v>3.503333333333333</v>
      </c>
      <c r="AO38" s="69">
        <f t="shared" si="81"/>
        <v>3.6833333333333327</v>
      </c>
      <c r="AP38" s="69">
        <f t="shared" si="82"/>
        <v>3.8633333333333328</v>
      </c>
      <c r="AQ38" s="69">
        <f t="shared" si="83"/>
        <v>4.043333333333333</v>
      </c>
      <c r="AR38" s="69">
        <f t="shared" si="84"/>
        <v>4.2233333333333327</v>
      </c>
      <c r="AS38" s="69">
        <f t="shared" si="85"/>
        <v>4.4033333333333324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0.94</v>
      </c>
      <c r="G39" s="69">
        <f t="shared" si="53"/>
        <v>-0.65555555555555589</v>
      </c>
      <c r="H39" s="69">
        <f t="shared" si="54"/>
        <v>0.94</v>
      </c>
      <c r="I39" s="69">
        <f t="shared" si="55"/>
        <v>0.94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0.70555555555555549</v>
      </c>
      <c r="R39" s="69">
        <f t="shared" si="61"/>
        <v>0.80555555555555558</v>
      </c>
      <c r="S39" s="69">
        <f t="shared" si="62"/>
        <v>0.90555555555555556</v>
      </c>
      <c r="T39" s="69">
        <f t="shared" si="63"/>
        <v>1.0055555555555555</v>
      </c>
      <c r="U39" s="69">
        <f t="shared" si="64"/>
        <v>1.1055555555555556</v>
      </c>
      <c r="V39" s="69">
        <f t="shared" si="65"/>
        <v>1.2055555555555555</v>
      </c>
      <c r="W39" s="69">
        <f t="shared" si="66"/>
        <v>1.3055555555555556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3.52</v>
      </c>
      <c r="AC39" s="69">
        <f t="shared" si="72"/>
        <v>-1.9074074074074046</v>
      </c>
      <c r="AD39" s="69">
        <f t="shared" si="73"/>
        <v>3.52</v>
      </c>
      <c r="AE39" s="69" t="e">
        <f t="shared" si="74"/>
        <v>#N/A</v>
      </c>
      <c r="AF39" s="69">
        <f t="shared" si="75"/>
        <v>3.52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1</v>
      </c>
      <c r="AK39" s="69">
        <f t="shared" si="47"/>
        <v>1</v>
      </c>
      <c r="AL39" s="69" t="str">
        <f t="shared" si="78"/>
        <v>REJEITADO</v>
      </c>
      <c r="AM39" s="69">
        <f t="shared" si="79"/>
        <v>3.3233333333333328</v>
      </c>
      <c r="AN39" s="69">
        <f t="shared" si="80"/>
        <v>3.503333333333333</v>
      </c>
      <c r="AO39" s="69">
        <f t="shared" si="81"/>
        <v>3.6833333333333327</v>
      </c>
      <c r="AP39" s="69">
        <f t="shared" si="82"/>
        <v>3.8633333333333328</v>
      </c>
      <c r="AQ39" s="69">
        <f t="shared" si="83"/>
        <v>4.043333333333333</v>
      </c>
      <c r="AR39" s="69">
        <f t="shared" si="84"/>
        <v>4.2233333333333327</v>
      </c>
      <c r="AS39" s="69">
        <f t="shared" si="85"/>
        <v>4.4033333333333324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0.99</v>
      </c>
      <c r="G40" s="69">
        <f t="shared" si="53"/>
        <v>-0.15555555555555545</v>
      </c>
      <c r="H40" s="69">
        <f t="shared" si="54"/>
        <v>0.99</v>
      </c>
      <c r="I40" s="69">
        <f t="shared" si="55"/>
        <v>0.99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0.70555555555555549</v>
      </c>
      <c r="R40" s="69">
        <f t="shared" si="61"/>
        <v>0.80555555555555558</v>
      </c>
      <c r="S40" s="69">
        <f t="shared" si="62"/>
        <v>0.90555555555555556</v>
      </c>
      <c r="T40" s="69">
        <f t="shared" si="63"/>
        <v>1.0055555555555555</v>
      </c>
      <c r="U40" s="69">
        <f t="shared" si="64"/>
        <v>1.1055555555555556</v>
      </c>
      <c r="V40" s="69">
        <f t="shared" si="65"/>
        <v>1.2055555555555555</v>
      </c>
      <c r="W40" s="69">
        <f t="shared" si="66"/>
        <v>1.3055555555555556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3.53</v>
      </c>
      <c r="AC40" s="69">
        <f t="shared" si="72"/>
        <v>-1.8518518518518503</v>
      </c>
      <c r="AD40" s="69">
        <f t="shared" si="73"/>
        <v>3.53</v>
      </c>
      <c r="AE40" s="69" t="e">
        <f t="shared" si="74"/>
        <v>#N/A</v>
      </c>
      <c r="AF40" s="69">
        <f t="shared" si="75"/>
        <v>3.53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3.3233333333333328</v>
      </c>
      <c r="AN40" s="69">
        <f t="shared" si="80"/>
        <v>3.503333333333333</v>
      </c>
      <c r="AO40" s="69">
        <f t="shared" si="81"/>
        <v>3.6833333333333327</v>
      </c>
      <c r="AP40" s="69">
        <f t="shared" si="82"/>
        <v>3.8633333333333328</v>
      </c>
      <c r="AQ40" s="69">
        <f t="shared" si="83"/>
        <v>4.043333333333333</v>
      </c>
      <c r="AR40" s="69">
        <f t="shared" si="84"/>
        <v>4.2233333333333327</v>
      </c>
      <c r="AS40" s="69">
        <f t="shared" si="85"/>
        <v>4.4033333333333324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0.93</v>
      </c>
      <c r="G41" s="69">
        <f t="shared" si="53"/>
        <v>-0.75555555555555487</v>
      </c>
      <c r="H41" s="69">
        <f t="shared" si="54"/>
        <v>0.93</v>
      </c>
      <c r="I41" s="69">
        <f t="shared" si="55"/>
        <v>0.93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0.70555555555555549</v>
      </c>
      <c r="R41" s="69">
        <f t="shared" si="61"/>
        <v>0.80555555555555558</v>
      </c>
      <c r="S41" s="69">
        <f t="shared" si="62"/>
        <v>0.90555555555555556</v>
      </c>
      <c r="T41" s="69">
        <f t="shared" si="63"/>
        <v>1.0055555555555555</v>
      </c>
      <c r="U41" s="69">
        <f t="shared" si="64"/>
        <v>1.1055555555555556</v>
      </c>
      <c r="V41" s="69">
        <f t="shared" si="65"/>
        <v>1.2055555555555555</v>
      </c>
      <c r="W41" s="69">
        <f t="shared" si="66"/>
        <v>1.3055555555555556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3.57</v>
      </c>
      <c r="AC41" s="69">
        <f t="shared" si="72"/>
        <v>-1.6296296296296278</v>
      </c>
      <c r="AD41" s="69">
        <f t="shared" si="73"/>
        <v>3.57</v>
      </c>
      <c r="AE41" s="69" t="e">
        <f t="shared" si="74"/>
        <v>#N/A</v>
      </c>
      <c r="AF41" s="69">
        <f t="shared" si="75"/>
        <v>3.57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3.3233333333333328</v>
      </c>
      <c r="AN41" s="69">
        <f t="shared" si="80"/>
        <v>3.503333333333333</v>
      </c>
      <c r="AO41" s="69">
        <f t="shared" si="81"/>
        <v>3.6833333333333327</v>
      </c>
      <c r="AP41" s="69">
        <f t="shared" si="82"/>
        <v>3.8633333333333328</v>
      </c>
      <c r="AQ41" s="69">
        <f t="shared" si="83"/>
        <v>4.043333333333333</v>
      </c>
      <c r="AR41" s="69">
        <f t="shared" si="84"/>
        <v>4.2233333333333327</v>
      </c>
      <c r="AS41" s="69">
        <f t="shared" si="85"/>
        <v>4.4033333333333324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0.95</v>
      </c>
      <c r="G42" s="69">
        <f t="shared" si="53"/>
        <v>-0.5555555555555558</v>
      </c>
      <c r="H42" s="69">
        <f t="shared" si="54"/>
        <v>0.95</v>
      </c>
      <c r="I42" s="69" t="e">
        <f t="shared" si="55"/>
        <v>#N/A</v>
      </c>
      <c r="J42" s="69">
        <f t="shared" si="56"/>
        <v>0.95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1</v>
      </c>
      <c r="P42" s="69" t="str">
        <f t="shared" si="59"/>
        <v>REJEITADO</v>
      </c>
      <c r="Q42" s="69">
        <f t="shared" si="60"/>
        <v>0.70555555555555549</v>
      </c>
      <c r="R42" s="69">
        <f t="shared" si="61"/>
        <v>0.80555555555555558</v>
      </c>
      <c r="S42" s="69">
        <f t="shared" si="62"/>
        <v>0.90555555555555556</v>
      </c>
      <c r="T42" s="69">
        <f t="shared" si="63"/>
        <v>1.0055555555555555</v>
      </c>
      <c r="U42" s="69">
        <f t="shared" si="64"/>
        <v>1.1055555555555556</v>
      </c>
      <c r="V42" s="69">
        <f t="shared" si="65"/>
        <v>1.2055555555555555</v>
      </c>
      <c r="W42" s="69">
        <f t="shared" si="66"/>
        <v>1.3055555555555556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3.49</v>
      </c>
      <c r="AC42" s="69">
        <f t="shared" si="72"/>
        <v>-2.0740740740740704</v>
      </c>
      <c r="AD42" s="69">
        <f t="shared" si="73"/>
        <v>3.49</v>
      </c>
      <c r="AE42" s="69" t="e">
        <f t="shared" si="74"/>
        <v>#N/A</v>
      </c>
      <c r="AF42" s="69">
        <f t="shared" si="75"/>
        <v>3.49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3.3233333333333328</v>
      </c>
      <c r="AN42" s="69">
        <f t="shared" si="80"/>
        <v>3.503333333333333</v>
      </c>
      <c r="AO42" s="69">
        <f t="shared" si="81"/>
        <v>3.6833333333333327</v>
      </c>
      <c r="AP42" s="69">
        <f t="shared" si="82"/>
        <v>3.8633333333333328</v>
      </c>
      <c r="AQ42" s="69">
        <f t="shared" si="83"/>
        <v>4.043333333333333</v>
      </c>
      <c r="AR42" s="69">
        <f t="shared" si="84"/>
        <v>4.2233333333333327</v>
      </c>
      <c r="AS42" s="69">
        <f t="shared" si="85"/>
        <v>4.4033333333333324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0.93</v>
      </c>
      <c r="G43" s="69">
        <f t="shared" si="53"/>
        <v>-0.75555555555555487</v>
      </c>
      <c r="H43" s="69">
        <f t="shared" si="54"/>
        <v>0.93</v>
      </c>
      <c r="I43" s="69" t="e">
        <f t="shared" si="55"/>
        <v>#N/A</v>
      </c>
      <c r="J43" s="69">
        <f t="shared" si="56"/>
        <v>0.93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1</v>
      </c>
      <c r="P43" s="69" t="str">
        <f t="shared" si="59"/>
        <v>REJEITADO</v>
      </c>
      <c r="Q43" s="69">
        <f t="shared" si="60"/>
        <v>0.70555555555555549</v>
      </c>
      <c r="R43" s="69">
        <f t="shared" si="61"/>
        <v>0.80555555555555558</v>
      </c>
      <c r="S43" s="69">
        <f t="shared" si="62"/>
        <v>0.90555555555555556</v>
      </c>
      <c r="T43" s="69">
        <f t="shared" si="63"/>
        <v>1.0055555555555555</v>
      </c>
      <c r="U43" s="69">
        <f t="shared" si="64"/>
        <v>1.1055555555555556</v>
      </c>
      <c r="V43" s="69">
        <f t="shared" si="65"/>
        <v>1.2055555555555555</v>
      </c>
      <c r="W43" s="69">
        <f t="shared" si="66"/>
        <v>1.3055555555555556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3.6</v>
      </c>
      <c r="AC43" s="69">
        <f t="shared" si="72"/>
        <v>-1.4629629629629597</v>
      </c>
      <c r="AD43" s="69">
        <f t="shared" si="73"/>
        <v>3.6</v>
      </c>
      <c r="AE43" s="69" t="e">
        <f t="shared" si="74"/>
        <v>#N/A</v>
      </c>
      <c r="AF43" s="69">
        <f t="shared" si="75"/>
        <v>3.6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3.3233333333333328</v>
      </c>
      <c r="AN43" s="69">
        <f t="shared" si="80"/>
        <v>3.503333333333333</v>
      </c>
      <c r="AO43" s="69">
        <f t="shared" si="81"/>
        <v>3.6833333333333327</v>
      </c>
      <c r="AP43" s="69">
        <f t="shared" si="82"/>
        <v>3.8633333333333328</v>
      </c>
      <c r="AQ43" s="69">
        <f t="shared" si="83"/>
        <v>4.043333333333333</v>
      </c>
      <c r="AR43" s="69">
        <f t="shared" si="84"/>
        <v>4.2233333333333327</v>
      </c>
      <c r="AS43" s="69">
        <f t="shared" si="85"/>
        <v>4.4033333333333324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0.94</v>
      </c>
      <c r="G44" s="69">
        <f t="shared" si="53"/>
        <v>-0.65555555555555589</v>
      </c>
      <c r="H44" s="69">
        <f t="shared" si="54"/>
        <v>0.94</v>
      </c>
      <c r="I44" s="69" t="e">
        <f t="shared" si="55"/>
        <v>#N/A</v>
      </c>
      <c r="J44" s="69">
        <f t="shared" si="56"/>
        <v>0.94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1</v>
      </c>
      <c r="P44" s="69" t="str">
        <f t="shared" si="59"/>
        <v>REJEITADO</v>
      </c>
      <c r="Q44" s="69">
        <f t="shared" si="60"/>
        <v>0.70555555555555549</v>
      </c>
      <c r="R44" s="69">
        <f t="shared" si="61"/>
        <v>0.80555555555555558</v>
      </c>
      <c r="S44" s="69">
        <f t="shared" si="62"/>
        <v>0.90555555555555556</v>
      </c>
      <c r="T44" s="69">
        <f t="shared" si="63"/>
        <v>1.0055555555555555</v>
      </c>
      <c r="U44" s="69">
        <f t="shared" si="64"/>
        <v>1.1055555555555556</v>
      </c>
      <c r="V44" s="69">
        <f t="shared" si="65"/>
        <v>1.2055555555555555</v>
      </c>
      <c r="W44" s="69">
        <f t="shared" si="66"/>
        <v>1.3055555555555556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3.6</v>
      </c>
      <c r="AC44" s="69">
        <f t="shared" si="72"/>
        <v>-1.4629629629629597</v>
      </c>
      <c r="AD44" s="69">
        <f t="shared" si="73"/>
        <v>3.6</v>
      </c>
      <c r="AE44" s="69" t="e">
        <f t="shared" si="74"/>
        <v>#N/A</v>
      </c>
      <c r="AF44" s="69">
        <f t="shared" si="75"/>
        <v>3.6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3.3233333333333328</v>
      </c>
      <c r="AN44" s="69">
        <f t="shared" si="80"/>
        <v>3.503333333333333</v>
      </c>
      <c r="AO44" s="69">
        <f t="shared" si="81"/>
        <v>3.6833333333333327</v>
      </c>
      <c r="AP44" s="69">
        <f t="shared" si="82"/>
        <v>3.8633333333333328</v>
      </c>
      <c r="AQ44" s="69">
        <f t="shared" si="83"/>
        <v>4.043333333333333</v>
      </c>
      <c r="AR44" s="69">
        <f t="shared" si="84"/>
        <v>4.2233333333333327</v>
      </c>
      <c r="AS44" s="69">
        <f t="shared" si="85"/>
        <v>4.4033333333333324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0.99</v>
      </c>
      <c r="G45" s="69">
        <f t="shared" si="53"/>
        <v>-0.15555555555555545</v>
      </c>
      <c r="H45" s="69">
        <f t="shared" si="54"/>
        <v>0.99</v>
      </c>
      <c r="I45" s="69" t="e">
        <f t="shared" si="55"/>
        <v>#N/A</v>
      </c>
      <c r="J45" s="69">
        <f t="shared" si="56"/>
        <v>0.99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1</v>
      </c>
      <c r="P45" s="69" t="str">
        <f t="shared" si="59"/>
        <v>REJEITADO</v>
      </c>
      <c r="Q45" s="69">
        <f t="shared" si="60"/>
        <v>0.70555555555555549</v>
      </c>
      <c r="R45" s="69">
        <f t="shared" si="61"/>
        <v>0.80555555555555558</v>
      </c>
      <c r="S45" s="69">
        <f t="shared" si="62"/>
        <v>0.90555555555555556</v>
      </c>
      <c r="T45" s="69">
        <f t="shared" si="63"/>
        <v>1.0055555555555555</v>
      </c>
      <c r="U45" s="69">
        <f t="shared" si="64"/>
        <v>1.1055555555555556</v>
      </c>
      <c r="V45" s="69">
        <f t="shared" si="65"/>
        <v>1.2055555555555555</v>
      </c>
      <c r="W45" s="69">
        <f t="shared" si="66"/>
        <v>1.3055555555555556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3.52</v>
      </c>
      <c r="AC45" s="69">
        <f t="shared" si="72"/>
        <v>-1.9074074074074046</v>
      </c>
      <c r="AD45" s="69">
        <f t="shared" si="73"/>
        <v>3.52</v>
      </c>
      <c r="AE45" s="69" t="e">
        <f t="shared" si="74"/>
        <v>#N/A</v>
      </c>
      <c r="AF45" s="69">
        <f t="shared" si="75"/>
        <v>3.52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3.3233333333333328</v>
      </c>
      <c r="AN45" s="69">
        <f t="shared" si="80"/>
        <v>3.503333333333333</v>
      </c>
      <c r="AO45" s="69">
        <f t="shared" si="81"/>
        <v>3.6833333333333327</v>
      </c>
      <c r="AP45" s="69">
        <f t="shared" si="82"/>
        <v>3.8633333333333328</v>
      </c>
      <c r="AQ45" s="69">
        <f t="shared" si="83"/>
        <v>4.043333333333333</v>
      </c>
      <c r="AR45" s="69">
        <f t="shared" si="84"/>
        <v>4.2233333333333327</v>
      </c>
      <c r="AS45" s="69">
        <f t="shared" si="85"/>
        <v>4.4033333333333324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0.95</v>
      </c>
      <c r="G46" s="69">
        <f t="shared" si="53"/>
        <v>-0.5555555555555558</v>
      </c>
      <c r="H46" s="69">
        <f t="shared" si="54"/>
        <v>0.95</v>
      </c>
      <c r="I46" s="69" t="e">
        <f t="shared" si="55"/>
        <v>#N/A</v>
      </c>
      <c r="J46" s="69">
        <f t="shared" si="56"/>
        <v>0.95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1</v>
      </c>
      <c r="P46" s="69" t="str">
        <f t="shared" si="59"/>
        <v>REJEITADO</v>
      </c>
      <c r="Q46" s="69">
        <f t="shared" si="60"/>
        <v>0.70555555555555549</v>
      </c>
      <c r="R46" s="69">
        <f t="shared" si="61"/>
        <v>0.80555555555555558</v>
      </c>
      <c r="S46" s="69">
        <f t="shared" si="62"/>
        <v>0.90555555555555556</v>
      </c>
      <c r="T46" s="69">
        <f t="shared" si="63"/>
        <v>1.0055555555555555</v>
      </c>
      <c r="U46" s="69">
        <f t="shared" si="64"/>
        <v>1.1055555555555556</v>
      </c>
      <c r="V46" s="69">
        <f t="shared" si="65"/>
        <v>1.2055555555555555</v>
      </c>
      <c r="W46" s="69">
        <f t="shared" si="66"/>
        <v>1.3055555555555556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3.53</v>
      </c>
      <c r="AC46" s="69">
        <f t="shared" si="72"/>
        <v>-1.8518518518518503</v>
      </c>
      <c r="AD46" s="69">
        <f t="shared" si="73"/>
        <v>3.53</v>
      </c>
      <c r="AE46" s="69" t="e">
        <f t="shared" si="74"/>
        <v>#N/A</v>
      </c>
      <c r="AF46" s="69">
        <f t="shared" si="75"/>
        <v>3.53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3.3233333333333328</v>
      </c>
      <c r="AN46" s="69">
        <f t="shared" si="80"/>
        <v>3.503333333333333</v>
      </c>
      <c r="AO46" s="69">
        <f t="shared" si="81"/>
        <v>3.6833333333333327</v>
      </c>
      <c r="AP46" s="69">
        <f t="shared" si="82"/>
        <v>3.8633333333333328</v>
      </c>
      <c r="AQ46" s="69">
        <f t="shared" si="83"/>
        <v>4.043333333333333</v>
      </c>
      <c r="AR46" s="69">
        <f t="shared" si="84"/>
        <v>4.2233333333333327</v>
      </c>
      <c r="AS46" s="69">
        <f t="shared" si="85"/>
        <v>4.4033333333333324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0.96</v>
      </c>
      <c r="G47" s="69">
        <f t="shared" si="53"/>
        <v>-0.45555555555555571</v>
      </c>
      <c r="H47" s="69">
        <f t="shared" si="54"/>
        <v>0.96</v>
      </c>
      <c r="I47" s="69" t="e">
        <f t="shared" si="55"/>
        <v>#N/A</v>
      </c>
      <c r="J47" s="69">
        <f t="shared" si="56"/>
        <v>0.96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1</v>
      </c>
      <c r="P47" s="69" t="str">
        <f t="shared" si="59"/>
        <v>REJEITADO</v>
      </c>
      <c r="Q47" s="69">
        <f t="shared" si="60"/>
        <v>0.70555555555555549</v>
      </c>
      <c r="R47" s="69">
        <f t="shared" si="61"/>
        <v>0.80555555555555558</v>
      </c>
      <c r="S47" s="69">
        <f t="shared" si="62"/>
        <v>0.90555555555555556</v>
      </c>
      <c r="T47" s="69">
        <f t="shared" si="63"/>
        <v>1.0055555555555555</v>
      </c>
      <c r="U47" s="69">
        <f t="shared" si="64"/>
        <v>1.1055555555555556</v>
      </c>
      <c r="V47" s="69">
        <f t="shared" si="65"/>
        <v>1.2055555555555555</v>
      </c>
      <c r="W47" s="69">
        <f t="shared" si="66"/>
        <v>1.3055555555555556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3.57</v>
      </c>
      <c r="AC47" s="69">
        <f t="shared" si="72"/>
        <v>-1.6296296296296278</v>
      </c>
      <c r="AD47" s="69">
        <f t="shared" si="73"/>
        <v>3.57</v>
      </c>
      <c r="AE47" s="69" t="e">
        <f t="shared" si="74"/>
        <v>#N/A</v>
      </c>
      <c r="AF47" s="69">
        <f t="shared" si="75"/>
        <v>3.57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3.3233333333333328</v>
      </c>
      <c r="AN47" s="69">
        <f t="shared" si="80"/>
        <v>3.503333333333333</v>
      </c>
      <c r="AO47" s="69">
        <f t="shared" si="81"/>
        <v>3.6833333333333327</v>
      </c>
      <c r="AP47" s="69">
        <f t="shared" si="82"/>
        <v>3.8633333333333328</v>
      </c>
      <c r="AQ47" s="69">
        <f t="shared" si="83"/>
        <v>4.043333333333333</v>
      </c>
      <c r="AR47" s="69">
        <f t="shared" si="84"/>
        <v>4.2233333333333327</v>
      </c>
      <c r="AS47" s="69">
        <f t="shared" si="85"/>
        <v>4.4033333333333324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0.95</v>
      </c>
      <c r="G48" s="69">
        <f t="shared" si="53"/>
        <v>-0.5555555555555558</v>
      </c>
      <c r="H48" s="69">
        <f t="shared" si="54"/>
        <v>0.95</v>
      </c>
      <c r="I48" s="69" t="e">
        <f t="shared" si="55"/>
        <v>#N/A</v>
      </c>
      <c r="J48" s="69">
        <f t="shared" si="56"/>
        <v>0.95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1</v>
      </c>
      <c r="P48" s="69" t="str">
        <f t="shared" si="59"/>
        <v>REJEITADO</v>
      </c>
      <c r="Q48" s="69">
        <f t="shared" si="60"/>
        <v>0.70555555555555549</v>
      </c>
      <c r="R48" s="69">
        <f t="shared" si="61"/>
        <v>0.80555555555555558</v>
      </c>
      <c r="S48" s="69">
        <f t="shared" si="62"/>
        <v>0.90555555555555556</v>
      </c>
      <c r="T48" s="69">
        <f t="shared" si="63"/>
        <v>1.0055555555555555</v>
      </c>
      <c r="U48" s="69">
        <f t="shared" si="64"/>
        <v>1.1055555555555556</v>
      </c>
      <c r="V48" s="69">
        <f t="shared" si="65"/>
        <v>1.2055555555555555</v>
      </c>
      <c r="W48" s="69">
        <f t="shared" si="66"/>
        <v>1.3055555555555556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3.57</v>
      </c>
      <c r="AC48" s="69">
        <f t="shared" si="72"/>
        <v>-1.6296296296296278</v>
      </c>
      <c r="AD48" s="69">
        <f t="shared" si="73"/>
        <v>3.57</v>
      </c>
      <c r="AE48" s="69" t="e">
        <f t="shared" si="74"/>
        <v>#N/A</v>
      </c>
      <c r="AF48" s="69">
        <f t="shared" si="75"/>
        <v>3.57</v>
      </c>
      <c r="AG48" s="69">
        <f t="shared" si="76"/>
        <v>0</v>
      </c>
      <c r="AH48" s="69">
        <f t="shared" si="91"/>
        <v>0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3.3233333333333328</v>
      </c>
      <c r="AN48" s="69">
        <f t="shared" si="80"/>
        <v>3.503333333333333</v>
      </c>
      <c r="AO48" s="69">
        <f t="shared" si="81"/>
        <v>3.6833333333333327</v>
      </c>
      <c r="AP48" s="69">
        <f t="shared" si="82"/>
        <v>3.8633333333333328</v>
      </c>
      <c r="AQ48" s="69">
        <f t="shared" si="83"/>
        <v>4.043333333333333</v>
      </c>
      <c r="AR48" s="69">
        <f t="shared" si="84"/>
        <v>4.2233333333333327</v>
      </c>
      <c r="AS48" s="69">
        <f t="shared" si="85"/>
        <v>4.4033333333333324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0.98</v>
      </c>
      <c r="G49" s="69">
        <f t="shared" si="53"/>
        <v>-0.25555555555555554</v>
      </c>
      <c r="H49" s="69">
        <f t="shared" si="54"/>
        <v>0.98</v>
      </c>
      <c r="I49" s="69" t="e">
        <f t="shared" si="55"/>
        <v>#N/A</v>
      </c>
      <c r="J49" s="69">
        <f t="shared" si="56"/>
        <v>0.98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1</v>
      </c>
      <c r="P49" s="69" t="str">
        <f t="shared" si="59"/>
        <v>REJEITADO</v>
      </c>
      <c r="Q49" s="69">
        <f t="shared" si="60"/>
        <v>0.70555555555555549</v>
      </c>
      <c r="R49" s="69">
        <f t="shared" si="61"/>
        <v>0.80555555555555558</v>
      </c>
      <c r="S49" s="69">
        <f t="shared" si="62"/>
        <v>0.90555555555555556</v>
      </c>
      <c r="T49" s="69">
        <f t="shared" si="63"/>
        <v>1.0055555555555555</v>
      </c>
      <c r="U49" s="69">
        <f t="shared" si="64"/>
        <v>1.1055555555555556</v>
      </c>
      <c r="V49" s="69">
        <f t="shared" si="65"/>
        <v>1.2055555555555555</v>
      </c>
      <c r="W49" s="69">
        <f t="shared" si="66"/>
        <v>1.3055555555555556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3.59</v>
      </c>
      <c r="AC49" s="69">
        <f t="shared" si="72"/>
        <v>-1.5185185185185166</v>
      </c>
      <c r="AD49" s="69">
        <f t="shared" si="73"/>
        <v>3.59</v>
      </c>
      <c r="AE49" s="69" t="e">
        <f t="shared" si="74"/>
        <v>#N/A</v>
      </c>
      <c r="AF49" s="69">
        <f t="shared" si="75"/>
        <v>3.59</v>
      </c>
      <c r="AG49" s="69">
        <f t="shared" si="76"/>
        <v>0</v>
      </c>
      <c r="AH49" s="69">
        <f t="shared" si="91"/>
        <v>0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3.3233333333333328</v>
      </c>
      <c r="AN49" s="69">
        <f t="shared" si="80"/>
        <v>3.503333333333333</v>
      </c>
      <c r="AO49" s="69">
        <f t="shared" si="81"/>
        <v>3.6833333333333327</v>
      </c>
      <c r="AP49" s="69">
        <f t="shared" si="82"/>
        <v>3.8633333333333328</v>
      </c>
      <c r="AQ49" s="69">
        <f t="shared" si="83"/>
        <v>4.043333333333333</v>
      </c>
      <c r="AR49" s="69">
        <f t="shared" si="84"/>
        <v>4.2233333333333327</v>
      </c>
      <c r="AS49" s="69">
        <f t="shared" si="85"/>
        <v>4.4033333333333324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0.95</v>
      </c>
      <c r="G50" s="69">
        <f t="shared" si="53"/>
        <v>-0.5555555555555558</v>
      </c>
      <c r="H50" s="69">
        <f t="shared" si="54"/>
        <v>0.95</v>
      </c>
      <c r="I50" s="69" t="e">
        <f t="shared" si="55"/>
        <v>#N/A</v>
      </c>
      <c r="J50" s="69">
        <f t="shared" si="56"/>
        <v>0.95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1</v>
      </c>
      <c r="P50" s="69" t="str">
        <f t="shared" si="59"/>
        <v>REJEITADO</v>
      </c>
      <c r="Q50" s="69">
        <f t="shared" si="60"/>
        <v>0.70555555555555549</v>
      </c>
      <c r="R50" s="69">
        <f t="shared" si="61"/>
        <v>0.80555555555555558</v>
      </c>
      <c r="S50" s="69">
        <f t="shared" si="62"/>
        <v>0.90555555555555556</v>
      </c>
      <c r="T50" s="69">
        <f t="shared" si="63"/>
        <v>1.0055555555555555</v>
      </c>
      <c r="U50" s="69">
        <f t="shared" si="64"/>
        <v>1.1055555555555556</v>
      </c>
      <c r="V50" s="69">
        <f t="shared" si="65"/>
        <v>1.2055555555555555</v>
      </c>
      <c r="W50" s="69">
        <f t="shared" si="66"/>
        <v>1.3055555555555556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3.63</v>
      </c>
      <c r="AC50" s="69">
        <f t="shared" si="72"/>
        <v>-1.2962962962962943</v>
      </c>
      <c r="AD50" s="69">
        <f t="shared" si="73"/>
        <v>3.63</v>
      </c>
      <c r="AE50" s="69" t="e">
        <f t="shared" si="74"/>
        <v>#N/A</v>
      </c>
      <c r="AF50" s="69">
        <f t="shared" si="75"/>
        <v>3.63</v>
      </c>
      <c r="AG50" s="69">
        <f t="shared" si="76"/>
        <v>0</v>
      </c>
      <c r="AH50" s="69">
        <f t="shared" si="91"/>
        <v>0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3.3233333333333328</v>
      </c>
      <c r="AN50" s="69">
        <f t="shared" si="80"/>
        <v>3.503333333333333</v>
      </c>
      <c r="AO50" s="69">
        <f t="shared" si="81"/>
        <v>3.6833333333333327</v>
      </c>
      <c r="AP50" s="69">
        <f t="shared" si="82"/>
        <v>3.8633333333333328</v>
      </c>
      <c r="AQ50" s="69">
        <f t="shared" si="83"/>
        <v>4.043333333333333</v>
      </c>
      <c r="AR50" s="69">
        <f t="shared" si="84"/>
        <v>4.2233333333333327</v>
      </c>
      <c r="AS50" s="69">
        <f t="shared" si="85"/>
        <v>4.4033333333333324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0.97</v>
      </c>
      <c r="G51" s="69">
        <f t="shared" si="53"/>
        <v>-0.35555555555555562</v>
      </c>
      <c r="H51" s="69">
        <f t="shared" si="54"/>
        <v>0.97</v>
      </c>
      <c r="I51" s="69" t="e">
        <f t="shared" si="55"/>
        <v>#N/A</v>
      </c>
      <c r="J51" s="69">
        <f t="shared" si="56"/>
        <v>0.97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1</v>
      </c>
      <c r="P51" s="69" t="str">
        <f t="shared" si="59"/>
        <v>REJEITADO</v>
      </c>
      <c r="Q51" s="69">
        <f t="shared" si="60"/>
        <v>0.70555555555555549</v>
      </c>
      <c r="R51" s="69">
        <f t="shared" si="61"/>
        <v>0.80555555555555558</v>
      </c>
      <c r="S51" s="69">
        <f t="shared" si="62"/>
        <v>0.90555555555555556</v>
      </c>
      <c r="T51" s="69">
        <f t="shared" si="63"/>
        <v>1.0055555555555555</v>
      </c>
      <c r="U51" s="69">
        <f t="shared" si="64"/>
        <v>1.1055555555555556</v>
      </c>
      <c r="V51" s="69">
        <f t="shared" si="65"/>
        <v>1.2055555555555555</v>
      </c>
      <c r="W51" s="69">
        <f t="shared" si="66"/>
        <v>1.3055555555555556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3.58</v>
      </c>
      <c r="AC51" s="69">
        <f t="shared" si="72"/>
        <v>-1.5740740740740711</v>
      </c>
      <c r="AD51" s="69">
        <f t="shared" si="73"/>
        <v>3.58</v>
      </c>
      <c r="AE51" s="69" t="e">
        <f t="shared" si="74"/>
        <v>#N/A</v>
      </c>
      <c r="AF51" s="69">
        <f t="shared" si="75"/>
        <v>3.58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1</v>
      </c>
      <c r="AK51" s="69">
        <f t="shared" si="95"/>
        <v>1</v>
      </c>
      <c r="AL51" s="69" t="str">
        <f t="shared" si="78"/>
        <v>REJEITADO</v>
      </c>
      <c r="AM51" s="69">
        <f t="shared" si="79"/>
        <v>3.3233333333333328</v>
      </c>
      <c r="AN51" s="69">
        <f t="shared" si="80"/>
        <v>3.503333333333333</v>
      </c>
      <c r="AO51" s="69">
        <f t="shared" si="81"/>
        <v>3.6833333333333327</v>
      </c>
      <c r="AP51" s="69">
        <f t="shared" si="82"/>
        <v>3.8633333333333328</v>
      </c>
      <c r="AQ51" s="69">
        <f t="shared" si="83"/>
        <v>4.043333333333333</v>
      </c>
      <c r="AR51" s="69">
        <f t="shared" si="84"/>
        <v>4.2233333333333327</v>
      </c>
      <c r="AS51" s="69">
        <f t="shared" si="85"/>
        <v>4.4033333333333324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1.01</v>
      </c>
      <c r="G52" s="69">
        <f t="shared" si="53"/>
        <v>4.4444444444444731E-2</v>
      </c>
      <c r="H52" s="69">
        <f t="shared" si="54"/>
        <v>1.01</v>
      </c>
      <c r="I52" s="69">
        <f t="shared" si="55"/>
        <v>1.01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0.70555555555555549</v>
      </c>
      <c r="R52" s="69">
        <f t="shared" si="61"/>
        <v>0.80555555555555558</v>
      </c>
      <c r="S52" s="69">
        <f t="shared" si="62"/>
        <v>0.90555555555555556</v>
      </c>
      <c r="T52" s="69">
        <f t="shared" si="63"/>
        <v>1.0055555555555555</v>
      </c>
      <c r="U52" s="69">
        <f t="shared" si="64"/>
        <v>1.1055555555555556</v>
      </c>
      <c r="V52" s="69">
        <f t="shared" si="65"/>
        <v>1.2055555555555555</v>
      </c>
      <c r="W52" s="69">
        <f t="shared" si="66"/>
        <v>1.3055555555555556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3.74</v>
      </c>
      <c r="AC52" s="69">
        <f t="shared" si="72"/>
        <v>-0.68518518518518134</v>
      </c>
      <c r="AD52" s="69">
        <f t="shared" si="73"/>
        <v>3.74</v>
      </c>
      <c r="AE52" s="69" t="e">
        <f t="shared" si="74"/>
        <v>#N/A</v>
      </c>
      <c r="AF52" s="69">
        <f t="shared" si="75"/>
        <v>3.74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3.3233333333333328</v>
      </c>
      <c r="AN52" s="69">
        <f t="shared" si="80"/>
        <v>3.503333333333333</v>
      </c>
      <c r="AO52" s="69">
        <f t="shared" si="81"/>
        <v>3.6833333333333327</v>
      </c>
      <c r="AP52" s="69">
        <f t="shared" si="82"/>
        <v>3.8633333333333328</v>
      </c>
      <c r="AQ52" s="69">
        <f t="shared" si="83"/>
        <v>4.043333333333333</v>
      </c>
      <c r="AR52" s="69">
        <f t="shared" si="84"/>
        <v>4.2233333333333327</v>
      </c>
      <c r="AS52" s="69">
        <f t="shared" si="85"/>
        <v>4.4033333333333324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0.94</v>
      </c>
      <c r="G53" s="69">
        <f t="shared" si="53"/>
        <v>-0.65555555555555589</v>
      </c>
      <c r="H53" s="69">
        <f t="shared" si="54"/>
        <v>0.94</v>
      </c>
      <c r="I53" s="69">
        <f t="shared" si="55"/>
        <v>0.94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0.70555555555555549</v>
      </c>
      <c r="R53" s="69">
        <f t="shared" si="61"/>
        <v>0.80555555555555558</v>
      </c>
      <c r="S53" s="69">
        <f t="shared" si="62"/>
        <v>0.90555555555555556</v>
      </c>
      <c r="T53" s="69">
        <f t="shared" si="63"/>
        <v>1.0055555555555555</v>
      </c>
      <c r="U53" s="69">
        <f t="shared" si="64"/>
        <v>1.1055555555555556</v>
      </c>
      <c r="V53" s="69">
        <f t="shared" si="65"/>
        <v>1.2055555555555555</v>
      </c>
      <c r="W53" s="69">
        <f t="shared" si="66"/>
        <v>1.3055555555555556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3.65</v>
      </c>
      <c r="AC53" s="69">
        <f t="shared" si="72"/>
        <v>-1.1851851851851829</v>
      </c>
      <c r="AD53" s="69">
        <f t="shared" si="73"/>
        <v>3.65</v>
      </c>
      <c r="AE53" s="69" t="e">
        <f t="shared" si="74"/>
        <v>#N/A</v>
      </c>
      <c r="AF53" s="69">
        <f t="shared" si="75"/>
        <v>3.65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3.3233333333333328</v>
      </c>
      <c r="AN53" s="69">
        <f t="shared" si="80"/>
        <v>3.503333333333333</v>
      </c>
      <c r="AO53" s="69">
        <f t="shared" si="81"/>
        <v>3.6833333333333327</v>
      </c>
      <c r="AP53" s="69">
        <f t="shared" si="82"/>
        <v>3.8633333333333328</v>
      </c>
      <c r="AQ53" s="69">
        <f t="shared" si="83"/>
        <v>4.043333333333333</v>
      </c>
      <c r="AR53" s="69">
        <f t="shared" si="84"/>
        <v>4.2233333333333327</v>
      </c>
      <c r="AS53" s="69">
        <f t="shared" si="85"/>
        <v>4.4033333333333324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0.98</v>
      </c>
      <c r="G54" s="69">
        <f t="shared" si="53"/>
        <v>-0.25555555555555554</v>
      </c>
      <c r="H54" s="69">
        <f t="shared" si="54"/>
        <v>0.98</v>
      </c>
      <c r="I54" s="69">
        <f t="shared" si="55"/>
        <v>0.98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0.70555555555555549</v>
      </c>
      <c r="R54" s="69">
        <f t="shared" si="61"/>
        <v>0.80555555555555558</v>
      </c>
      <c r="S54" s="69">
        <f t="shared" si="62"/>
        <v>0.90555555555555556</v>
      </c>
      <c r="T54" s="69">
        <f t="shared" si="63"/>
        <v>1.0055555555555555</v>
      </c>
      <c r="U54" s="69">
        <f t="shared" si="64"/>
        <v>1.1055555555555556</v>
      </c>
      <c r="V54" s="69">
        <f t="shared" si="65"/>
        <v>1.2055555555555555</v>
      </c>
      <c r="W54" s="69">
        <f t="shared" si="66"/>
        <v>1.3055555555555556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3.62</v>
      </c>
      <c r="AC54" s="69">
        <f t="shared" si="72"/>
        <v>-1.3518518518518485</v>
      </c>
      <c r="AD54" s="69">
        <f t="shared" si="73"/>
        <v>3.62</v>
      </c>
      <c r="AE54" s="69" t="e">
        <f t="shared" si="74"/>
        <v>#N/A</v>
      </c>
      <c r="AF54" s="69">
        <f t="shared" si="75"/>
        <v>3.62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3.3233333333333328</v>
      </c>
      <c r="AN54" s="69">
        <f t="shared" si="80"/>
        <v>3.503333333333333</v>
      </c>
      <c r="AO54" s="69">
        <f t="shared" si="81"/>
        <v>3.6833333333333327</v>
      </c>
      <c r="AP54" s="69">
        <f t="shared" si="82"/>
        <v>3.8633333333333328</v>
      </c>
      <c r="AQ54" s="69">
        <f t="shared" si="83"/>
        <v>4.043333333333333</v>
      </c>
      <c r="AR54" s="69">
        <f t="shared" si="84"/>
        <v>4.2233333333333327</v>
      </c>
      <c r="AS54" s="69">
        <f t="shared" si="85"/>
        <v>4.4033333333333324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0</v>
      </c>
      <c r="E55" s="69" t="e">
        <f t="shared" si="51"/>
        <v>#N/A</v>
      </c>
      <c r="F55" s="69">
        <f t="shared" si="52"/>
        <v>0.98</v>
      </c>
      <c r="G55" s="69">
        <f t="shared" si="53"/>
        <v>-0.25555555555555554</v>
      </c>
      <c r="H55" s="69" t="e">
        <f t="shared" si="54"/>
        <v>#N/A</v>
      </c>
      <c r="I55" s="69" t="e">
        <f t="shared" si="55"/>
        <v>#N/A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 t="e">
        <f t="shared" si="60"/>
        <v>#N/A</v>
      </c>
      <c r="R55" s="69" t="e">
        <f t="shared" si="61"/>
        <v>#N/A</v>
      </c>
      <c r="S55" s="69" t="e">
        <f t="shared" si="62"/>
        <v>#N/A</v>
      </c>
      <c r="T55" s="69" t="e">
        <f t="shared" si="63"/>
        <v>#N/A</v>
      </c>
      <c r="U55" s="69" t="e">
        <f t="shared" si="64"/>
        <v>#N/A</v>
      </c>
      <c r="V55" s="69" t="e">
        <f t="shared" si="65"/>
        <v>#N/A</v>
      </c>
      <c r="W55" s="69" t="e">
        <f t="shared" si="66"/>
        <v>#N/A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3.56</v>
      </c>
      <c r="AC55" s="69">
        <f t="shared" si="72"/>
        <v>-1.6851851851851822</v>
      </c>
      <c r="AD55" s="69" t="e">
        <f t="shared" si="73"/>
        <v>#N/A</v>
      </c>
      <c r="AE55" s="69" t="e">
        <f t="shared" si="74"/>
        <v>#N/A</v>
      </c>
      <c r="AF55" s="69" t="e">
        <f t="shared" si="75"/>
        <v>#N/A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 t="e">
        <f t="shared" si="79"/>
        <v>#N/A</v>
      </c>
      <c r="AN55" s="69" t="e">
        <f t="shared" si="80"/>
        <v>#N/A</v>
      </c>
      <c r="AO55" s="69" t="e">
        <f t="shared" si="81"/>
        <v>#N/A</v>
      </c>
      <c r="AP55" s="69" t="e">
        <f t="shared" si="82"/>
        <v>#N/A</v>
      </c>
      <c r="AQ55" s="69" t="e">
        <f t="shared" si="83"/>
        <v>#N/A</v>
      </c>
      <c r="AR55" s="69" t="e">
        <f t="shared" si="84"/>
        <v>#N/A</v>
      </c>
      <c r="AS55" s="69" t="e">
        <f t="shared" si="85"/>
        <v>#N/A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0</v>
      </c>
      <c r="E56" s="69" t="e">
        <f t="shared" si="51"/>
        <v>#N/A</v>
      </c>
      <c r="F56" s="69">
        <f t="shared" si="52"/>
        <v>0.99</v>
      </c>
      <c r="G56" s="69">
        <f t="shared" si="53"/>
        <v>-0.15555555555555545</v>
      </c>
      <c r="H56" s="69" t="e">
        <f t="shared" si="54"/>
        <v>#N/A</v>
      </c>
      <c r="I56" s="69" t="e">
        <f t="shared" si="55"/>
        <v>#N/A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1</v>
      </c>
      <c r="P56" s="69" t="str">
        <f t="shared" si="59"/>
        <v>REJEITADO</v>
      </c>
      <c r="Q56" s="69" t="e">
        <f t="shared" si="60"/>
        <v>#N/A</v>
      </c>
      <c r="R56" s="69" t="e">
        <f t="shared" si="61"/>
        <v>#N/A</v>
      </c>
      <c r="S56" s="69" t="e">
        <f t="shared" si="62"/>
        <v>#N/A</v>
      </c>
      <c r="T56" s="69" t="e">
        <f t="shared" si="63"/>
        <v>#N/A</v>
      </c>
      <c r="U56" s="69" t="e">
        <f t="shared" si="64"/>
        <v>#N/A</v>
      </c>
      <c r="V56" s="69" t="e">
        <f t="shared" si="65"/>
        <v>#N/A</v>
      </c>
      <c r="W56" s="69" t="e">
        <f t="shared" si="66"/>
        <v>#N/A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3.6</v>
      </c>
      <c r="AC56" s="69">
        <f t="shared" si="72"/>
        <v>-1.4629629629629597</v>
      </c>
      <c r="AD56" s="69" t="e">
        <f t="shared" si="73"/>
        <v>#N/A</v>
      </c>
      <c r="AE56" s="69" t="e">
        <f t="shared" si="74"/>
        <v>#N/A</v>
      </c>
      <c r="AF56" s="69" t="e">
        <f t="shared" si="75"/>
        <v>#N/A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1</v>
      </c>
      <c r="AK56" s="69">
        <f t="shared" si="95"/>
        <v>1</v>
      </c>
      <c r="AL56" s="69" t="str">
        <f t="shared" si="78"/>
        <v>REJEITADO</v>
      </c>
      <c r="AM56" s="69" t="e">
        <f t="shared" si="79"/>
        <v>#N/A</v>
      </c>
      <c r="AN56" s="69" t="e">
        <f t="shared" si="80"/>
        <v>#N/A</v>
      </c>
      <c r="AO56" s="69" t="e">
        <f t="shared" si="81"/>
        <v>#N/A</v>
      </c>
      <c r="AP56" s="69" t="e">
        <f t="shared" si="82"/>
        <v>#N/A</v>
      </c>
      <c r="AQ56" s="69" t="e">
        <f t="shared" si="83"/>
        <v>#N/A</v>
      </c>
      <c r="AR56" s="69" t="e">
        <f t="shared" si="84"/>
        <v>#N/A</v>
      </c>
      <c r="AS56" s="69" t="e">
        <f t="shared" si="85"/>
        <v>#N/A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0</v>
      </c>
      <c r="E57" s="69" t="e">
        <f t="shared" si="51"/>
        <v>#N/A</v>
      </c>
      <c r="F57" s="69">
        <f t="shared" si="52"/>
        <v>0.96</v>
      </c>
      <c r="G57" s="69">
        <f t="shared" si="53"/>
        <v>-0.45555555555555571</v>
      </c>
      <c r="H57" s="69" t="e">
        <f t="shared" si="54"/>
        <v>#N/A</v>
      </c>
      <c r="I57" s="69" t="e">
        <f t="shared" si="55"/>
        <v>#N/A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1</v>
      </c>
      <c r="P57" s="69" t="str">
        <f t="shared" si="59"/>
        <v>REJEITADO</v>
      </c>
      <c r="Q57" s="69" t="e">
        <f t="shared" si="60"/>
        <v>#N/A</v>
      </c>
      <c r="R57" s="69" t="e">
        <f t="shared" si="61"/>
        <v>#N/A</v>
      </c>
      <c r="S57" s="69" t="e">
        <f t="shared" si="62"/>
        <v>#N/A</v>
      </c>
      <c r="T57" s="69" t="e">
        <f t="shared" si="63"/>
        <v>#N/A</v>
      </c>
      <c r="U57" s="69" t="e">
        <f t="shared" si="64"/>
        <v>#N/A</v>
      </c>
      <c r="V57" s="69" t="e">
        <f t="shared" si="65"/>
        <v>#N/A</v>
      </c>
      <c r="W57" s="69" t="e">
        <f t="shared" si="66"/>
        <v>#N/A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3.61</v>
      </c>
      <c r="AC57" s="69">
        <f t="shared" si="72"/>
        <v>-1.4074074074074054</v>
      </c>
      <c r="AD57" s="69" t="e">
        <f t="shared" si="73"/>
        <v>#N/A</v>
      </c>
      <c r="AE57" s="69" t="e">
        <f t="shared" si="74"/>
        <v>#N/A</v>
      </c>
      <c r="AF57" s="69" t="e">
        <f t="shared" si="75"/>
        <v>#N/A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1</v>
      </c>
      <c r="AK57" s="69">
        <f t="shared" si="95"/>
        <v>1</v>
      </c>
      <c r="AL57" s="69" t="str">
        <f t="shared" si="78"/>
        <v>REJEITADO</v>
      </c>
      <c r="AM57" s="69" t="e">
        <f t="shared" si="79"/>
        <v>#N/A</v>
      </c>
      <c r="AN57" s="69" t="e">
        <f t="shared" si="80"/>
        <v>#N/A</v>
      </c>
      <c r="AO57" s="69" t="e">
        <f t="shared" si="81"/>
        <v>#N/A</v>
      </c>
      <c r="AP57" s="69" t="e">
        <f t="shared" si="82"/>
        <v>#N/A</v>
      </c>
      <c r="AQ57" s="69" t="e">
        <f t="shared" si="83"/>
        <v>#N/A</v>
      </c>
      <c r="AR57" s="69" t="e">
        <f t="shared" si="84"/>
        <v>#N/A</v>
      </c>
      <c r="AS57" s="69" t="e">
        <f t="shared" si="85"/>
        <v>#N/A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0</v>
      </c>
      <c r="E58" s="69" t="e">
        <f t="shared" si="51"/>
        <v>#N/A</v>
      </c>
      <c r="F58" s="69">
        <f t="shared" si="52"/>
        <v>0.95</v>
      </c>
      <c r="G58" s="69">
        <f t="shared" si="53"/>
        <v>-0.5555555555555558</v>
      </c>
      <c r="H58" s="69" t="e">
        <f t="shared" si="54"/>
        <v>#N/A</v>
      </c>
      <c r="I58" s="69" t="e">
        <f t="shared" si="55"/>
        <v>#N/A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1</v>
      </c>
      <c r="P58" s="69" t="str">
        <f t="shared" si="59"/>
        <v>REJEITADO</v>
      </c>
      <c r="Q58" s="69" t="e">
        <f t="shared" si="60"/>
        <v>#N/A</v>
      </c>
      <c r="R58" s="69" t="e">
        <f t="shared" si="61"/>
        <v>#N/A</v>
      </c>
      <c r="S58" s="69" t="e">
        <f t="shared" si="62"/>
        <v>#N/A</v>
      </c>
      <c r="T58" s="69" t="e">
        <f t="shared" si="63"/>
        <v>#N/A</v>
      </c>
      <c r="U58" s="69" t="e">
        <f t="shared" si="64"/>
        <v>#N/A</v>
      </c>
      <c r="V58" s="69" t="e">
        <f t="shared" si="65"/>
        <v>#N/A</v>
      </c>
      <c r="W58" s="69" t="e">
        <f t="shared" si="66"/>
        <v>#N/A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3.58</v>
      </c>
      <c r="AC58" s="69">
        <f t="shared" si="72"/>
        <v>-1.5740740740740711</v>
      </c>
      <c r="AD58" s="69" t="e">
        <f t="shared" si="73"/>
        <v>#N/A</v>
      </c>
      <c r="AE58" s="69" t="e">
        <f t="shared" si="74"/>
        <v>#N/A</v>
      </c>
      <c r="AF58" s="69" t="e">
        <f t="shared" si="75"/>
        <v>#N/A</v>
      </c>
      <c r="AG58" s="69">
        <f t="shared" si="76"/>
        <v>0</v>
      </c>
      <c r="AH58" s="69">
        <f t="shared" si="91"/>
        <v>0</v>
      </c>
      <c r="AI58" s="69">
        <f t="shared" si="77"/>
        <v>0</v>
      </c>
      <c r="AJ58" s="69">
        <f t="shared" si="93"/>
        <v>1</v>
      </c>
      <c r="AK58" s="69">
        <f t="shared" si="95"/>
        <v>1</v>
      </c>
      <c r="AL58" s="69" t="str">
        <f t="shared" si="78"/>
        <v>REJEITADO</v>
      </c>
      <c r="AM58" s="69" t="e">
        <f t="shared" si="79"/>
        <v>#N/A</v>
      </c>
      <c r="AN58" s="69" t="e">
        <f t="shared" si="80"/>
        <v>#N/A</v>
      </c>
      <c r="AO58" s="69" t="e">
        <f t="shared" si="81"/>
        <v>#N/A</v>
      </c>
      <c r="AP58" s="69" t="e">
        <f t="shared" si="82"/>
        <v>#N/A</v>
      </c>
      <c r="AQ58" s="69" t="e">
        <f t="shared" si="83"/>
        <v>#N/A</v>
      </c>
      <c r="AR58" s="69" t="e">
        <f t="shared" si="84"/>
        <v>#N/A</v>
      </c>
      <c r="AS58" s="69" t="e">
        <f t="shared" si="85"/>
        <v>#N/A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0</v>
      </c>
      <c r="E59" s="69" t="e">
        <f t="shared" si="51"/>
        <v>#N/A</v>
      </c>
      <c r="F59" s="69">
        <f t="shared" si="52"/>
        <v>0.97</v>
      </c>
      <c r="G59" s="69">
        <f t="shared" si="53"/>
        <v>-0.35555555555555562</v>
      </c>
      <c r="H59" s="69" t="e">
        <f t="shared" si="54"/>
        <v>#N/A</v>
      </c>
      <c r="I59" s="69" t="e">
        <f t="shared" si="55"/>
        <v>#N/A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1</v>
      </c>
      <c r="P59" s="69" t="str">
        <f t="shared" si="59"/>
        <v>REJEITADO</v>
      </c>
      <c r="Q59" s="69" t="e">
        <f t="shared" si="60"/>
        <v>#N/A</v>
      </c>
      <c r="R59" s="69" t="e">
        <f t="shared" si="61"/>
        <v>#N/A</v>
      </c>
      <c r="S59" s="69" t="e">
        <f t="shared" si="62"/>
        <v>#N/A</v>
      </c>
      <c r="T59" s="69" t="e">
        <f t="shared" si="63"/>
        <v>#N/A</v>
      </c>
      <c r="U59" s="69" t="e">
        <f t="shared" si="64"/>
        <v>#N/A</v>
      </c>
      <c r="V59" s="69" t="e">
        <f t="shared" si="65"/>
        <v>#N/A</v>
      </c>
      <c r="W59" s="69" t="e">
        <f t="shared" si="66"/>
        <v>#N/A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3.62</v>
      </c>
      <c r="AC59" s="69">
        <f t="shared" si="72"/>
        <v>-1.3518518518518485</v>
      </c>
      <c r="AD59" s="69" t="e">
        <f t="shared" si="73"/>
        <v>#N/A</v>
      </c>
      <c r="AE59" s="69" t="e">
        <f t="shared" si="74"/>
        <v>#N/A</v>
      </c>
      <c r="AF59" s="69" t="e">
        <f t="shared" si="75"/>
        <v>#N/A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1</v>
      </c>
      <c r="AK59" s="69">
        <f t="shared" si="95"/>
        <v>1</v>
      </c>
      <c r="AL59" s="69" t="str">
        <f t="shared" si="78"/>
        <v>REJEITADO</v>
      </c>
      <c r="AM59" s="69" t="e">
        <f t="shared" si="79"/>
        <v>#N/A</v>
      </c>
      <c r="AN59" s="69" t="e">
        <f t="shared" si="80"/>
        <v>#N/A</v>
      </c>
      <c r="AO59" s="69" t="e">
        <f t="shared" si="81"/>
        <v>#N/A</v>
      </c>
      <c r="AP59" s="69" t="e">
        <f t="shared" si="82"/>
        <v>#N/A</v>
      </c>
      <c r="AQ59" s="69" t="e">
        <f t="shared" si="83"/>
        <v>#N/A</v>
      </c>
      <c r="AR59" s="69" t="e">
        <f t="shared" si="84"/>
        <v>#N/A</v>
      </c>
      <c r="AS59" s="69" t="e">
        <f t="shared" si="85"/>
        <v>#N/A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0</v>
      </c>
      <c r="E60" s="69" t="e">
        <f t="shared" si="51"/>
        <v>#N/A</v>
      </c>
      <c r="F60" s="69">
        <f t="shared" si="52"/>
        <v>0.99</v>
      </c>
      <c r="G60" s="69">
        <f t="shared" si="53"/>
        <v>-0.15555555555555545</v>
      </c>
      <c r="H60" s="69" t="e">
        <f t="shared" si="54"/>
        <v>#N/A</v>
      </c>
      <c r="I60" s="69" t="e">
        <f t="shared" si="55"/>
        <v>#N/A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1</v>
      </c>
      <c r="P60" s="69" t="str">
        <f t="shared" si="59"/>
        <v>REJEITADO</v>
      </c>
      <c r="Q60" s="69" t="e">
        <f t="shared" si="60"/>
        <v>#N/A</v>
      </c>
      <c r="R60" s="69" t="e">
        <f t="shared" si="61"/>
        <v>#N/A</v>
      </c>
      <c r="S60" s="69" t="e">
        <f t="shared" si="62"/>
        <v>#N/A</v>
      </c>
      <c r="T60" s="69" t="e">
        <f t="shared" si="63"/>
        <v>#N/A</v>
      </c>
      <c r="U60" s="69" t="e">
        <f t="shared" si="64"/>
        <v>#N/A</v>
      </c>
      <c r="V60" s="69" t="e">
        <f t="shared" si="65"/>
        <v>#N/A</v>
      </c>
      <c r="W60" s="69" t="e">
        <f t="shared" si="66"/>
        <v>#N/A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3.55</v>
      </c>
      <c r="AC60" s="69">
        <f t="shared" si="72"/>
        <v>-1.7407407407407391</v>
      </c>
      <c r="AD60" s="69" t="e">
        <f t="shared" si="73"/>
        <v>#N/A</v>
      </c>
      <c r="AE60" s="69" t="e">
        <f t="shared" si="74"/>
        <v>#N/A</v>
      </c>
      <c r="AF60" s="69" t="e">
        <f t="shared" si="75"/>
        <v>#N/A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 t="e">
        <f t="shared" si="79"/>
        <v>#N/A</v>
      </c>
      <c r="AN60" s="69" t="e">
        <f t="shared" si="80"/>
        <v>#N/A</v>
      </c>
      <c r="AO60" s="69" t="e">
        <f t="shared" si="81"/>
        <v>#N/A</v>
      </c>
      <c r="AP60" s="69" t="e">
        <f t="shared" si="82"/>
        <v>#N/A</v>
      </c>
      <c r="AQ60" s="69" t="e">
        <f t="shared" si="83"/>
        <v>#N/A</v>
      </c>
      <c r="AR60" s="69" t="e">
        <f t="shared" si="84"/>
        <v>#N/A</v>
      </c>
      <c r="AS60" s="69" t="e">
        <f t="shared" si="85"/>
        <v>#N/A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0</v>
      </c>
      <c r="E61" s="69" t="e">
        <f t="shared" si="51"/>
        <v>#N/A</v>
      </c>
      <c r="F61" s="69">
        <f t="shared" si="52"/>
        <v>0.92</v>
      </c>
      <c r="G61" s="69">
        <f t="shared" si="53"/>
        <v>-0.85555555555555496</v>
      </c>
      <c r="H61" s="69" t="e">
        <f t="shared" si="54"/>
        <v>#N/A</v>
      </c>
      <c r="I61" s="69" t="e">
        <f t="shared" si="55"/>
        <v>#N/A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1</v>
      </c>
      <c r="P61" s="69" t="str">
        <f t="shared" si="59"/>
        <v>REJEITADO</v>
      </c>
      <c r="Q61" s="69" t="e">
        <f t="shared" si="60"/>
        <v>#N/A</v>
      </c>
      <c r="R61" s="69" t="e">
        <f t="shared" si="61"/>
        <v>#N/A</v>
      </c>
      <c r="S61" s="69" t="e">
        <f t="shared" si="62"/>
        <v>#N/A</v>
      </c>
      <c r="T61" s="69" t="e">
        <f t="shared" si="63"/>
        <v>#N/A</v>
      </c>
      <c r="U61" s="69" t="e">
        <f t="shared" si="64"/>
        <v>#N/A</v>
      </c>
      <c r="V61" s="69" t="e">
        <f t="shared" si="65"/>
        <v>#N/A</v>
      </c>
      <c r="W61" s="69" t="e">
        <f t="shared" si="66"/>
        <v>#N/A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3.52</v>
      </c>
      <c r="AC61" s="69">
        <f t="shared" si="72"/>
        <v>-1.9074074074074046</v>
      </c>
      <c r="AD61" s="69" t="e">
        <f t="shared" si="73"/>
        <v>#N/A</v>
      </c>
      <c r="AE61" s="69" t="e">
        <f t="shared" si="74"/>
        <v>#N/A</v>
      </c>
      <c r="AF61" s="69" t="e">
        <f t="shared" si="75"/>
        <v>#N/A</v>
      </c>
      <c r="AG61" s="69">
        <f t="shared" si="76"/>
        <v>0</v>
      </c>
      <c r="AH61" s="69">
        <f t="shared" si="91"/>
        <v>0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 t="e">
        <f t="shared" si="79"/>
        <v>#N/A</v>
      </c>
      <c r="AN61" s="69" t="e">
        <f t="shared" si="80"/>
        <v>#N/A</v>
      </c>
      <c r="AO61" s="69" t="e">
        <f t="shared" si="81"/>
        <v>#N/A</v>
      </c>
      <c r="AP61" s="69" t="e">
        <f t="shared" si="82"/>
        <v>#N/A</v>
      </c>
      <c r="AQ61" s="69" t="e">
        <f t="shared" si="83"/>
        <v>#N/A</v>
      </c>
      <c r="AR61" s="69" t="e">
        <f t="shared" si="84"/>
        <v>#N/A</v>
      </c>
      <c r="AS61" s="69" t="e">
        <f t="shared" si="85"/>
        <v>#N/A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0</v>
      </c>
      <c r="E62" s="69" t="e">
        <f t="shared" si="51"/>
        <v>#N/A</v>
      </c>
      <c r="F62" s="69">
        <f t="shared" si="52"/>
        <v>0.94</v>
      </c>
      <c r="G62" s="69">
        <f t="shared" si="53"/>
        <v>-0.65555555555555589</v>
      </c>
      <c r="H62" s="69" t="e">
        <f t="shared" si="54"/>
        <v>#N/A</v>
      </c>
      <c r="I62" s="69" t="e">
        <f t="shared" si="55"/>
        <v>#N/A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1</v>
      </c>
      <c r="P62" s="69" t="str">
        <f t="shared" si="59"/>
        <v>REJEITADO</v>
      </c>
      <c r="Q62" s="69" t="e">
        <f t="shared" si="60"/>
        <v>#N/A</v>
      </c>
      <c r="R62" s="69" t="e">
        <f t="shared" si="61"/>
        <v>#N/A</v>
      </c>
      <c r="S62" s="69" t="e">
        <f t="shared" si="62"/>
        <v>#N/A</v>
      </c>
      <c r="T62" s="69" t="e">
        <f t="shared" si="63"/>
        <v>#N/A</v>
      </c>
      <c r="U62" s="69" t="e">
        <f t="shared" si="64"/>
        <v>#N/A</v>
      </c>
      <c r="V62" s="69" t="e">
        <f t="shared" si="65"/>
        <v>#N/A</v>
      </c>
      <c r="W62" s="69" t="e">
        <f t="shared" si="66"/>
        <v>#N/A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3.6</v>
      </c>
      <c r="AC62" s="69">
        <f t="shared" si="72"/>
        <v>-1.4629629629629597</v>
      </c>
      <c r="AD62" s="69" t="e">
        <f t="shared" si="73"/>
        <v>#N/A</v>
      </c>
      <c r="AE62" s="69" t="e">
        <f t="shared" si="74"/>
        <v>#N/A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1</v>
      </c>
      <c r="AK62" s="69">
        <f t="shared" si="95"/>
        <v>1</v>
      </c>
      <c r="AL62" s="69" t="str">
        <f t="shared" si="78"/>
        <v>REJEITADO</v>
      </c>
      <c r="AM62" s="69" t="e">
        <f t="shared" si="79"/>
        <v>#N/A</v>
      </c>
      <c r="AN62" s="69" t="e">
        <f t="shared" si="80"/>
        <v>#N/A</v>
      </c>
      <c r="AO62" s="69" t="e">
        <f t="shared" si="81"/>
        <v>#N/A</v>
      </c>
      <c r="AP62" s="69" t="e">
        <f t="shared" si="82"/>
        <v>#N/A</v>
      </c>
      <c r="AQ62" s="69" t="e">
        <f t="shared" si="83"/>
        <v>#N/A</v>
      </c>
      <c r="AR62" s="69" t="e">
        <f t="shared" si="84"/>
        <v>#N/A</v>
      </c>
      <c r="AS62" s="69" t="e">
        <f t="shared" si="85"/>
        <v>#N/A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0</v>
      </c>
      <c r="E63" s="69" t="e">
        <f t="shared" si="51"/>
        <v>#N/A</v>
      </c>
      <c r="F63" s="69">
        <f t="shared" si="52"/>
        <v>0.95</v>
      </c>
      <c r="G63" s="69">
        <f t="shared" si="53"/>
        <v>-0.5555555555555558</v>
      </c>
      <c r="H63" s="69" t="e">
        <f t="shared" si="54"/>
        <v>#N/A</v>
      </c>
      <c r="I63" s="69" t="e">
        <f t="shared" si="55"/>
        <v>#N/A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1</v>
      </c>
      <c r="P63" s="69" t="str">
        <f t="shared" si="59"/>
        <v>REJEITADO</v>
      </c>
      <c r="Q63" s="69" t="e">
        <f t="shared" si="60"/>
        <v>#N/A</v>
      </c>
      <c r="R63" s="69" t="e">
        <f t="shared" si="61"/>
        <v>#N/A</v>
      </c>
      <c r="S63" s="69" t="e">
        <f t="shared" si="62"/>
        <v>#N/A</v>
      </c>
      <c r="T63" s="69" t="e">
        <f t="shared" si="63"/>
        <v>#N/A</v>
      </c>
      <c r="U63" s="69" t="e">
        <f t="shared" si="64"/>
        <v>#N/A</v>
      </c>
      <c r="V63" s="69" t="e">
        <f t="shared" si="65"/>
        <v>#N/A</v>
      </c>
      <c r="W63" s="69" t="e">
        <f t="shared" si="66"/>
        <v>#N/A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3.6</v>
      </c>
      <c r="AC63" s="69">
        <f t="shared" si="72"/>
        <v>-1.4629629629629597</v>
      </c>
      <c r="AD63" s="69" t="e">
        <f t="shared" si="73"/>
        <v>#N/A</v>
      </c>
      <c r="AE63" s="69" t="e">
        <f t="shared" si="74"/>
        <v>#N/A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1</v>
      </c>
      <c r="AK63" s="69">
        <f t="shared" si="95"/>
        <v>1</v>
      </c>
      <c r="AL63" s="69" t="str">
        <f t="shared" si="78"/>
        <v>REJEITADO</v>
      </c>
      <c r="AM63" s="69" t="e">
        <f t="shared" si="79"/>
        <v>#N/A</v>
      </c>
      <c r="AN63" s="69" t="e">
        <f t="shared" si="80"/>
        <v>#N/A</v>
      </c>
      <c r="AO63" s="69" t="e">
        <f t="shared" si="81"/>
        <v>#N/A</v>
      </c>
      <c r="AP63" s="69" t="e">
        <f t="shared" si="82"/>
        <v>#N/A</v>
      </c>
      <c r="AQ63" s="69" t="e">
        <f t="shared" si="83"/>
        <v>#N/A</v>
      </c>
      <c r="AR63" s="69" t="e">
        <f t="shared" si="84"/>
        <v>#N/A</v>
      </c>
      <c r="AS63" s="69" t="e">
        <f t="shared" si="85"/>
        <v>#N/A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0</v>
      </c>
      <c r="E64" s="69" t="e">
        <f t="shared" si="51"/>
        <v>#N/A</v>
      </c>
      <c r="F64" s="69">
        <f t="shared" si="52"/>
        <v>0.97</v>
      </c>
      <c r="G64" s="69">
        <f t="shared" si="53"/>
        <v>-0.35555555555555562</v>
      </c>
      <c r="H64" s="69" t="e">
        <f t="shared" si="54"/>
        <v>#N/A</v>
      </c>
      <c r="I64" s="69" t="e">
        <f t="shared" si="55"/>
        <v>#N/A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1</v>
      </c>
      <c r="P64" s="69" t="str">
        <f t="shared" si="59"/>
        <v>REJEITADO</v>
      </c>
      <c r="Q64" s="69" t="e">
        <f t="shared" si="60"/>
        <v>#N/A</v>
      </c>
      <c r="R64" s="69" t="e">
        <f t="shared" si="61"/>
        <v>#N/A</v>
      </c>
      <c r="S64" s="69" t="e">
        <f t="shared" si="62"/>
        <v>#N/A</v>
      </c>
      <c r="T64" s="69" t="e">
        <f t="shared" si="63"/>
        <v>#N/A</v>
      </c>
      <c r="U64" s="69" t="e">
        <f t="shared" si="64"/>
        <v>#N/A</v>
      </c>
      <c r="V64" s="69" t="e">
        <f t="shared" si="65"/>
        <v>#N/A</v>
      </c>
      <c r="W64" s="69" t="e">
        <f t="shared" si="66"/>
        <v>#N/A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3.56</v>
      </c>
      <c r="AC64" s="69">
        <f t="shared" si="72"/>
        <v>-1.6851851851851822</v>
      </c>
      <c r="AD64" s="69" t="e">
        <f t="shared" si="73"/>
        <v>#N/A</v>
      </c>
      <c r="AE64" s="69" t="e">
        <f t="shared" si="74"/>
        <v>#N/A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1</v>
      </c>
      <c r="AK64" s="69">
        <f t="shared" si="95"/>
        <v>1</v>
      </c>
      <c r="AL64" s="69" t="str">
        <f t="shared" si="78"/>
        <v>REJEITADO</v>
      </c>
      <c r="AM64" s="69" t="e">
        <f t="shared" si="79"/>
        <v>#N/A</v>
      </c>
      <c r="AN64" s="69" t="e">
        <f t="shared" si="80"/>
        <v>#N/A</v>
      </c>
      <c r="AO64" s="69" t="e">
        <f t="shared" si="81"/>
        <v>#N/A</v>
      </c>
      <c r="AP64" s="69" t="e">
        <f t="shared" si="82"/>
        <v>#N/A</v>
      </c>
      <c r="AQ64" s="69" t="e">
        <f t="shared" si="83"/>
        <v>#N/A</v>
      </c>
      <c r="AR64" s="69" t="e">
        <f t="shared" si="84"/>
        <v>#N/A</v>
      </c>
      <c r="AS64" s="69" t="e">
        <f t="shared" si="85"/>
        <v>#N/A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0</v>
      </c>
      <c r="E65" s="69" t="e">
        <f t="shared" si="51"/>
        <v>#N/A</v>
      </c>
      <c r="F65" s="69">
        <f t="shared" si="52"/>
        <v>0.95</v>
      </c>
      <c r="G65" s="69">
        <f t="shared" si="53"/>
        <v>-0.5555555555555558</v>
      </c>
      <c r="H65" s="69" t="e">
        <f t="shared" si="54"/>
        <v>#N/A</v>
      </c>
      <c r="I65" s="69" t="e">
        <f t="shared" si="55"/>
        <v>#N/A</v>
      </c>
      <c r="J65" s="69" t="e">
        <f t="shared" si="56"/>
        <v>#N/A</v>
      </c>
      <c r="K65" s="69">
        <f t="shared" si="57"/>
        <v>0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1</v>
      </c>
      <c r="P65" s="69" t="str">
        <f t="shared" si="59"/>
        <v>REJEITADO</v>
      </c>
      <c r="Q65" s="69" t="e">
        <f t="shared" si="60"/>
        <v>#N/A</v>
      </c>
      <c r="R65" s="69" t="e">
        <f t="shared" si="61"/>
        <v>#N/A</v>
      </c>
      <c r="S65" s="69" t="e">
        <f t="shared" si="62"/>
        <v>#N/A</v>
      </c>
      <c r="T65" s="69" t="e">
        <f t="shared" si="63"/>
        <v>#N/A</v>
      </c>
      <c r="U65" s="69" t="e">
        <f t="shared" si="64"/>
        <v>#N/A</v>
      </c>
      <c r="V65" s="69" t="e">
        <f t="shared" si="65"/>
        <v>#N/A</v>
      </c>
      <c r="W65" s="69" t="e">
        <f t="shared" si="66"/>
        <v>#N/A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3.6</v>
      </c>
      <c r="AC65" s="69">
        <f t="shared" si="72"/>
        <v>-1.4629629629629597</v>
      </c>
      <c r="AD65" s="69" t="e">
        <f t="shared" si="73"/>
        <v>#N/A</v>
      </c>
      <c r="AE65" s="69" t="e">
        <f t="shared" si="74"/>
        <v>#N/A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1</v>
      </c>
      <c r="AK65" s="69">
        <f t="shared" si="95"/>
        <v>1</v>
      </c>
      <c r="AL65" s="69" t="str">
        <f t="shared" si="78"/>
        <v>REJEITADO</v>
      </c>
      <c r="AM65" s="69" t="e">
        <f t="shared" si="79"/>
        <v>#N/A</v>
      </c>
      <c r="AN65" s="69" t="e">
        <f t="shared" si="80"/>
        <v>#N/A</v>
      </c>
      <c r="AO65" s="69" t="e">
        <f t="shared" si="81"/>
        <v>#N/A</v>
      </c>
      <c r="AP65" s="69" t="e">
        <f t="shared" si="82"/>
        <v>#N/A</v>
      </c>
      <c r="AQ65" s="69" t="e">
        <f t="shared" si="83"/>
        <v>#N/A</v>
      </c>
      <c r="AR65" s="69" t="e">
        <f t="shared" si="84"/>
        <v>#N/A</v>
      </c>
      <c r="AS65" s="69" t="e">
        <f t="shared" si="85"/>
        <v>#N/A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0</v>
      </c>
      <c r="E66" s="69" t="e">
        <f t="shared" si="51"/>
        <v>#N/A</v>
      </c>
      <c r="F66" s="69">
        <f t="shared" si="52"/>
        <v>0.93</v>
      </c>
      <c r="G66" s="69">
        <f t="shared" si="53"/>
        <v>-0.75555555555555487</v>
      </c>
      <c r="H66" s="69" t="e">
        <f t="shared" si="54"/>
        <v>#N/A</v>
      </c>
      <c r="I66" s="69" t="e">
        <f t="shared" si="55"/>
        <v>#N/A</v>
      </c>
      <c r="J66" s="69" t="e">
        <f t="shared" si="56"/>
        <v>#N/A</v>
      </c>
      <c r="K66" s="69">
        <f t="shared" si="57"/>
        <v>0</v>
      </c>
      <c r="L66" s="69">
        <f t="shared" si="90"/>
        <v>0</v>
      </c>
      <c r="M66" s="69">
        <f t="shared" si="58"/>
        <v>0</v>
      </c>
      <c r="N66" s="69">
        <f t="shared" si="92"/>
        <v>0</v>
      </c>
      <c r="O66" s="69">
        <f t="shared" si="94"/>
        <v>1</v>
      </c>
      <c r="P66" s="69" t="str">
        <f t="shared" si="59"/>
        <v>REJEITADO</v>
      </c>
      <c r="Q66" s="69" t="e">
        <f t="shared" si="60"/>
        <v>#N/A</v>
      </c>
      <c r="R66" s="69" t="e">
        <f t="shared" si="61"/>
        <v>#N/A</v>
      </c>
      <c r="S66" s="69" t="e">
        <f t="shared" si="62"/>
        <v>#N/A</v>
      </c>
      <c r="T66" s="69" t="e">
        <f t="shared" si="63"/>
        <v>#N/A</v>
      </c>
      <c r="U66" s="69" t="e">
        <f t="shared" si="64"/>
        <v>#N/A</v>
      </c>
      <c r="V66" s="69" t="e">
        <f t="shared" si="65"/>
        <v>#N/A</v>
      </c>
      <c r="W66" s="69" t="e">
        <f t="shared" si="66"/>
        <v>#N/A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3.56</v>
      </c>
      <c r="AC66" s="69">
        <f t="shared" si="72"/>
        <v>-1.6851851851851822</v>
      </c>
      <c r="AD66" s="69" t="e">
        <f t="shared" si="73"/>
        <v>#N/A</v>
      </c>
      <c r="AE66" s="69" t="e">
        <f t="shared" si="74"/>
        <v>#N/A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1</v>
      </c>
      <c r="AK66" s="69">
        <f t="shared" si="95"/>
        <v>1</v>
      </c>
      <c r="AL66" s="69" t="str">
        <f t="shared" si="78"/>
        <v>REJEITADO</v>
      </c>
      <c r="AM66" s="69" t="e">
        <f t="shared" si="79"/>
        <v>#N/A</v>
      </c>
      <c r="AN66" s="69" t="e">
        <f t="shared" si="80"/>
        <v>#N/A</v>
      </c>
      <c r="AO66" s="69" t="e">
        <f t="shared" si="81"/>
        <v>#N/A</v>
      </c>
      <c r="AP66" s="69" t="e">
        <f t="shared" si="82"/>
        <v>#N/A</v>
      </c>
      <c r="AQ66" s="69" t="e">
        <f t="shared" si="83"/>
        <v>#N/A</v>
      </c>
      <c r="AR66" s="69" t="e">
        <f t="shared" si="84"/>
        <v>#N/A</v>
      </c>
      <c r="AS66" s="69" t="e">
        <f t="shared" si="85"/>
        <v>#N/A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69" t="e">
        <f t="shared" ref="E67:E98" si="99">IF(OR($B67="",$D67=0),NA(),$A67)</f>
        <v>#N/A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0.95</v>
      </c>
      <c r="G67" s="69">
        <f t="shared" ref="G67:G98" si="101">IF(OR($F67="",$AY$1=""),"",($F67-$AX$1)/$AY$1)</f>
        <v>-0.5555555555555558</v>
      </c>
      <c r="H67" s="69" t="e">
        <f t="shared" ref="H67:H98" si="102">IF(AND($F67&lt;&gt;"",$D67=1),$F67,NA())</f>
        <v>#N/A</v>
      </c>
      <c r="I67" s="69" t="e">
        <f t="shared" ref="I67:I98" si="103">IF(AND($F67&lt;&gt;"",$D67=1,$P67="OK"),$F67,NA())</f>
        <v>#N/A</v>
      </c>
      <c r="J67" s="69" t="e">
        <f t="shared" ref="J67:J98" si="104">IF(AND($F67&lt;&gt;"",$D67=1,$P67&lt;&gt;"OK",$P67&lt;&gt;""),$F67,NA())</f>
        <v>#N/A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0</v>
      </c>
      <c r="O67" s="69">
        <f t="shared" si="94"/>
        <v>1</v>
      </c>
      <c r="P67" s="69" t="str">
        <f t="shared" ref="P67:P98" si="107">IF($F67="","",IF(SUM($K67,$L67,$M67,$N67,$O67)&gt;0,"REJEITADO","OK"))</f>
        <v>REJEITADO</v>
      </c>
      <c r="Q67" s="69" t="e">
        <f t="shared" ref="Q67:Q98" si="108">IF(AND($D67=1,$AX$1&lt;&gt;""),$AX$1+(-3)*$AY$1,NA())</f>
        <v>#N/A</v>
      </c>
      <c r="R67" s="69" t="e">
        <f t="shared" ref="R67:R98" si="109">IF(AND($D67=1,$AX$1&lt;&gt;""),$AX$1+(-2)*$AY$1,NA())</f>
        <v>#N/A</v>
      </c>
      <c r="S67" s="69" t="e">
        <f t="shared" ref="S67:S98" si="110">IF(AND($D67=1,$AX$1&lt;&gt;""),$AX$1+(-1)*$AY$1,NA())</f>
        <v>#N/A</v>
      </c>
      <c r="T67" s="69" t="e">
        <f t="shared" ref="T67:T98" si="111">IF(AND($D67=1,$AX$1&lt;&gt;""),$AX$1,NA())</f>
        <v>#N/A</v>
      </c>
      <c r="U67" s="69" t="e">
        <f t="shared" ref="U67:U98" si="112">IF(AND($D67=1,$AX$1&lt;&gt;""),$AX$1+(1)*$AY$1,NA())</f>
        <v>#N/A</v>
      </c>
      <c r="V67" s="69" t="e">
        <f t="shared" ref="V67:V98" si="113">IF(AND($D67=1,$AX$1&lt;&gt;""),$AX$1+(2)*$AY$1,NA())</f>
        <v>#N/A</v>
      </c>
      <c r="W67" s="69" t="e">
        <f t="shared" ref="W67:W98" si="114">IF(AND($D67=1,$AX$1&lt;&gt;""),$AX$1+(3)*$AY$1,NA())</f>
        <v>#N/A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3.54</v>
      </c>
      <c r="AC67" s="69">
        <f t="shared" ref="AC67:AC98" si="120">IF(OR($AB67="",$BA$1=""),"",($AB67-$AZ$1)/$BA$1)</f>
        <v>-1.7962962962962934</v>
      </c>
      <c r="AD67" s="69" t="e">
        <f t="shared" ref="AD67:AD98" si="121">IF(AND($AB67&lt;&gt;"",$D67=1),$AB67,NA())</f>
        <v>#N/A</v>
      </c>
      <c r="AE67" s="69" t="e">
        <f t="shared" ref="AE67:AE98" si="122">IF(AND($AB67&lt;&gt;"",$D67=1,$AL67="OK"),$AB67,NA())</f>
        <v>#N/A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1</v>
      </c>
      <c r="AK67" s="69">
        <f t="shared" si="95"/>
        <v>1</v>
      </c>
      <c r="AL67" s="69" t="str">
        <f t="shared" ref="AL67:AL98" si="126">IF($AB67="","",IF(SUM($AG67,$AH67,$AI67,$AJ67,$AK67)&gt;0,"REJEITADO","OK"))</f>
        <v>REJEITADO</v>
      </c>
      <c r="AM67" s="69" t="e">
        <f t="shared" ref="AM67:AM98" si="127">IF(AND($D67=1,$AZ$1&lt;&gt;""),$AZ$1+(-3)*$BA$1,NA())</f>
        <v>#N/A</v>
      </c>
      <c r="AN67" s="69" t="e">
        <f t="shared" ref="AN67:AN98" si="128">IF(AND($D67=1,$AZ$1&lt;&gt;""),$AZ$1+(-2)*$BA$1,NA())</f>
        <v>#N/A</v>
      </c>
      <c r="AO67" s="69" t="e">
        <f t="shared" ref="AO67:AO98" si="129">IF(AND($D67=1,$AZ$1&lt;&gt;""),$AZ$1+(-1)*$BA$1,NA())</f>
        <v>#N/A</v>
      </c>
      <c r="AP67" s="69" t="e">
        <f t="shared" ref="AP67:AP98" si="130">IF(AND($D67=1,$AZ$1&lt;&gt;""),$AZ$1,NA())</f>
        <v>#N/A</v>
      </c>
      <c r="AQ67" s="69" t="e">
        <f t="shared" ref="AQ67:AQ98" si="131">IF(AND($D67=1,$AZ$1&lt;&gt;""),$AZ$1+(1)*$BA$1,NA())</f>
        <v>#N/A</v>
      </c>
      <c r="AR67" s="69" t="e">
        <f t="shared" ref="AR67:AR98" si="132">IF(AND($D67=1,$AZ$1&lt;&gt;""),$AZ$1+(2)*$BA$1,NA())</f>
        <v>#N/A</v>
      </c>
      <c r="AS67" s="69" t="e">
        <f t="shared" ref="AS67:AS98" si="133">IF(AND($D67=1,$AZ$1&lt;&gt;""),$AZ$1+(3)*$BA$1,NA())</f>
        <v>#N/A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0</v>
      </c>
      <c r="E68" s="69" t="e">
        <f t="shared" si="99"/>
        <v>#N/A</v>
      </c>
      <c r="F68" s="69">
        <f t="shared" si="100"/>
        <v>0.95</v>
      </c>
      <c r="G68" s="69">
        <f t="shared" si="101"/>
        <v>-0.5555555555555558</v>
      </c>
      <c r="H68" s="69" t="e">
        <f t="shared" si="102"/>
        <v>#N/A</v>
      </c>
      <c r="I68" s="69" t="e">
        <f t="shared" si="103"/>
        <v>#N/A</v>
      </c>
      <c r="J68" s="69" t="e">
        <f t="shared" si="104"/>
        <v>#N/A</v>
      </c>
      <c r="K68" s="69">
        <f t="shared" si="105"/>
        <v>0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0</v>
      </c>
      <c r="O68" s="69">
        <f t="shared" si="94"/>
        <v>1</v>
      </c>
      <c r="P68" s="69" t="str">
        <f t="shared" si="107"/>
        <v>REJEITADO</v>
      </c>
      <c r="Q68" s="69" t="e">
        <f t="shared" si="108"/>
        <v>#N/A</v>
      </c>
      <c r="R68" s="69" t="e">
        <f t="shared" si="109"/>
        <v>#N/A</v>
      </c>
      <c r="S68" s="69" t="e">
        <f t="shared" si="110"/>
        <v>#N/A</v>
      </c>
      <c r="T68" s="69" t="e">
        <f t="shared" si="111"/>
        <v>#N/A</v>
      </c>
      <c r="U68" s="69" t="e">
        <f t="shared" si="112"/>
        <v>#N/A</v>
      </c>
      <c r="V68" s="69" t="e">
        <f t="shared" si="113"/>
        <v>#N/A</v>
      </c>
      <c r="W68" s="69" t="e">
        <f t="shared" si="114"/>
        <v>#N/A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3.63</v>
      </c>
      <c r="AC68" s="69">
        <f t="shared" si="120"/>
        <v>-1.2962962962962943</v>
      </c>
      <c r="AD68" s="69" t="e">
        <f t="shared" si="121"/>
        <v>#N/A</v>
      </c>
      <c r="AE68" s="69" t="e">
        <f t="shared" si="122"/>
        <v>#N/A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1</v>
      </c>
      <c r="AK68" s="69">
        <f t="shared" si="95"/>
        <v>1</v>
      </c>
      <c r="AL68" s="69" t="str">
        <f t="shared" si="126"/>
        <v>REJEITADO</v>
      </c>
      <c r="AM68" s="69" t="e">
        <f t="shared" si="127"/>
        <v>#N/A</v>
      </c>
      <c r="AN68" s="69" t="e">
        <f t="shared" si="128"/>
        <v>#N/A</v>
      </c>
      <c r="AO68" s="69" t="e">
        <f t="shared" si="129"/>
        <v>#N/A</v>
      </c>
      <c r="AP68" s="69" t="e">
        <f t="shared" si="130"/>
        <v>#N/A</v>
      </c>
      <c r="AQ68" s="69" t="e">
        <f t="shared" si="131"/>
        <v>#N/A</v>
      </c>
      <c r="AR68" s="69" t="e">
        <f t="shared" si="132"/>
        <v>#N/A</v>
      </c>
      <c r="AS68" s="69" t="e">
        <f t="shared" si="133"/>
        <v>#N/A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0</v>
      </c>
      <c r="E69" s="69" t="e">
        <f t="shared" si="99"/>
        <v>#N/A</v>
      </c>
      <c r="F69" s="69">
        <f t="shared" si="100"/>
        <v>0.94</v>
      </c>
      <c r="G69" s="69">
        <f t="shared" si="101"/>
        <v>-0.65555555555555589</v>
      </c>
      <c r="H69" s="69" t="e">
        <f t="shared" si="102"/>
        <v>#N/A</v>
      </c>
      <c r="I69" s="69" t="e">
        <f t="shared" si="103"/>
        <v>#N/A</v>
      </c>
      <c r="J69" s="69" t="e">
        <f t="shared" si="104"/>
        <v>#N/A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0</v>
      </c>
      <c r="O69" s="69">
        <f t="shared" si="94"/>
        <v>1</v>
      </c>
      <c r="P69" s="69" t="str">
        <f t="shared" si="107"/>
        <v>REJEITADO</v>
      </c>
      <c r="Q69" s="69" t="e">
        <f t="shared" si="108"/>
        <v>#N/A</v>
      </c>
      <c r="R69" s="69" t="e">
        <f t="shared" si="109"/>
        <v>#N/A</v>
      </c>
      <c r="S69" s="69" t="e">
        <f t="shared" si="110"/>
        <v>#N/A</v>
      </c>
      <c r="T69" s="69" t="e">
        <f t="shared" si="111"/>
        <v>#N/A</v>
      </c>
      <c r="U69" s="69" t="e">
        <f t="shared" si="112"/>
        <v>#N/A</v>
      </c>
      <c r="V69" s="69" t="e">
        <f t="shared" si="113"/>
        <v>#N/A</v>
      </c>
      <c r="W69" s="69" t="e">
        <f t="shared" si="114"/>
        <v>#N/A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3.6</v>
      </c>
      <c r="AC69" s="69">
        <f t="shared" si="120"/>
        <v>-1.4629629629629597</v>
      </c>
      <c r="AD69" s="69" t="e">
        <f t="shared" si="121"/>
        <v>#N/A</v>
      </c>
      <c r="AE69" s="69" t="e">
        <f t="shared" si="122"/>
        <v>#N/A</v>
      </c>
      <c r="AF69" s="69" t="e">
        <f t="shared" si="123"/>
        <v>#N/A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1</v>
      </c>
      <c r="AK69" s="69">
        <f t="shared" si="95"/>
        <v>1</v>
      </c>
      <c r="AL69" s="69" t="str">
        <f t="shared" si="126"/>
        <v>REJEITADO</v>
      </c>
      <c r="AM69" s="69" t="e">
        <f t="shared" si="127"/>
        <v>#N/A</v>
      </c>
      <c r="AN69" s="69" t="e">
        <f t="shared" si="128"/>
        <v>#N/A</v>
      </c>
      <c r="AO69" s="69" t="e">
        <f t="shared" si="129"/>
        <v>#N/A</v>
      </c>
      <c r="AP69" s="69" t="e">
        <f t="shared" si="130"/>
        <v>#N/A</v>
      </c>
      <c r="AQ69" s="69" t="e">
        <f t="shared" si="131"/>
        <v>#N/A</v>
      </c>
      <c r="AR69" s="69" t="e">
        <f t="shared" si="132"/>
        <v>#N/A</v>
      </c>
      <c r="AS69" s="69" t="e">
        <f t="shared" si="133"/>
        <v>#N/A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0</v>
      </c>
      <c r="E70" s="69" t="e">
        <f t="shared" si="99"/>
        <v>#N/A</v>
      </c>
      <c r="F70" s="69">
        <f t="shared" si="100"/>
        <v>0.95</v>
      </c>
      <c r="G70" s="69">
        <f t="shared" si="101"/>
        <v>-0.5555555555555558</v>
      </c>
      <c r="H70" s="69" t="e">
        <f t="shared" si="102"/>
        <v>#N/A</v>
      </c>
      <c r="I70" s="69" t="e">
        <f t="shared" si="103"/>
        <v>#N/A</v>
      </c>
      <c r="J70" s="69" t="e">
        <f t="shared" si="104"/>
        <v>#N/A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69">
        <f t="shared" si="94"/>
        <v>1</v>
      </c>
      <c r="P70" s="69" t="str">
        <f t="shared" si="107"/>
        <v>REJEITADO</v>
      </c>
      <c r="Q70" s="69" t="e">
        <f t="shared" si="108"/>
        <v>#N/A</v>
      </c>
      <c r="R70" s="69" t="e">
        <f t="shared" si="109"/>
        <v>#N/A</v>
      </c>
      <c r="S70" s="69" t="e">
        <f t="shared" si="110"/>
        <v>#N/A</v>
      </c>
      <c r="T70" s="69" t="e">
        <f t="shared" si="111"/>
        <v>#N/A</v>
      </c>
      <c r="U70" s="69" t="e">
        <f t="shared" si="112"/>
        <v>#N/A</v>
      </c>
      <c r="V70" s="69" t="e">
        <f t="shared" si="113"/>
        <v>#N/A</v>
      </c>
      <c r="W70" s="69" t="e">
        <f t="shared" si="114"/>
        <v>#N/A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3.59</v>
      </c>
      <c r="AC70" s="69">
        <f t="shared" si="120"/>
        <v>-1.5185185185185166</v>
      </c>
      <c r="AD70" s="69" t="e">
        <f t="shared" si="121"/>
        <v>#N/A</v>
      </c>
      <c r="AE70" s="69" t="e">
        <f t="shared" si="122"/>
        <v>#N/A</v>
      </c>
      <c r="AF70" s="69" t="e">
        <f t="shared" si="123"/>
        <v>#N/A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1</v>
      </c>
      <c r="AK70" s="69">
        <f t="shared" si="95"/>
        <v>1</v>
      </c>
      <c r="AL70" s="69" t="str">
        <f t="shared" si="126"/>
        <v>REJEITADO</v>
      </c>
      <c r="AM70" s="69" t="e">
        <f t="shared" si="127"/>
        <v>#N/A</v>
      </c>
      <c r="AN70" s="69" t="e">
        <f t="shared" si="128"/>
        <v>#N/A</v>
      </c>
      <c r="AO70" s="69" t="e">
        <f t="shared" si="129"/>
        <v>#N/A</v>
      </c>
      <c r="AP70" s="69" t="e">
        <f t="shared" si="130"/>
        <v>#N/A</v>
      </c>
      <c r="AQ70" s="69" t="e">
        <f t="shared" si="131"/>
        <v>#N/A</v>
      </c>
      <c r="AR70" s="69" t="e">
        <f t="shared" si="132"/>
        <v>#N/A</v>
      </c>
      <c r="AS70" s="69" t="e">
        <f t="shared" si="133"/>
        <v>#N/A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0</v>
      </c>
      <c r="E71" s="69" t="e">
        <f t="shared" si="99"/>
        <v>#N/A</v>
      </c>
      <c r="F71" s="69">
        <f t="shared" si="100"/>
        <v>0.96</v>
      </c>
      <c r="G71" s="69">
        <f t="shared" si="101"/>
        <v>-0.45555555555555571</v>
      </c>
      <c r="H71" s="69" t="e">
        <f t="shared" si="102"/>
        <v>#N/A</v>
      </c>
      <c r="I71" s="69" t="e">
        <f t="shared" si="103"/>
        <v>#N/A</v>
      </c>
      <c r="J71" s="69" t="e">
        <f t="shared" si="104"/>
        <v>#N/A</v>
      </c>
      <c r="K71" s="69">
        <f t="shared" si="105"/>
        <v>0</v>
      </c>
      <c r="L71" s="69">
        <f t="shared" si="138"/>
        <v>0</v>
      </c>
      <c r="M71" s="69">
        <f t="shared" si="106"/>
        <v>0</v>
      </c>
      <c r="N71" s="69">
        <f t="shared" si="140"/>
        <v>0</v>
      </c>
      <c r="O71" s="69">
        <f t="shared" si="94"/>
        <v>1</v>
      </c>
      <c r="P71" s="69" t="str">
        <f t="shared" si="107"/>
        <v>REJEITADO</v>
      </c>
      <c r="Q71" s="69" t="e">
        <f t="shared" si="108"/>
        <v>#N/A</v>
      </c>
      <c r="R71" s="69" t="e">
        <f t="shared" si="109"/>
        <v>#N/A</v>
      </c>
      <c r="S71" s="69" t="e">
        <f t="shared" si="110"/>
        <v>#N/A</v>
      </c>
      <c r="T71" s="69" t="e">
        <f t="shared" si="111"/>
        <v>#N/A</v>
      </c>
      <c r="U71" s="69" t="e">
        <f t="shared" si="112"/>
        <v>#N/A</v>
      </c>
      <c r="V71" s="69" t="e">
        <f t="shared" si="113"/>
        <v>#N/A</v>
      </c>
      <c r="W71" s="69" t="e">
        <f t="shared" si="114"/>
        <v>#N/A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3.6</v>
      </c>
      <c r="AC71" s="69">
        <f t="shared" si="120"/>
        <v>-1.4629629629629597</v>
      </c>
      <c r="AD71" s="69" t="e">
        <f t="shared" si="121"/>
        <v>#N/A</v>
      </c>
      <c r="AE71" s="69" t="e">
        <f t="shared" si="122"/>
        <v>#N/A</v>
      </c>
      <c r="AF71" s="69" t="e">
        <f t="shared" si="123"/>
        <v>#N/A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1</v>
      </c>
      <c r="AK71" s="69">
        <f t="shared" si="95"/>
        <v>1</v>
      </c>
      <c r="AL71" s="69" t="str">
        <f t="shared" si="126"/>
        <v>REJEITADO</v>
      </c>
      <c r="AM71" s="69" t="e">
        <f t="shared" si="127"/>
        <v>#N/A</v>
      </c>
      <c r="AN71" s="69" t="e">
        <f t="shared" si="128"/>
        <v>#N/A</v>
      </c>
      <c r="AO71" s="69" t="e">
        <f t="shared" si="129"/>
        <v>#N/A</v>
      </c>
      <c r="AP71" s="69" t="e">
        <f t="shared" si="130"/>
        <v>#N/A</v>
      </c>
      <c r="AQ71" s="69" t="e">
        <f t="shared" si="131"/>
        <v>#N/A</v>
      </c>
      <c r="AR71" s="69" t="e">
        <f t="shared" si="132"/>
        <v>#N/A</v>
      </c>
      <c r="AS71" s="69" t="e">
        <f t="shared" si="133"/>
        <v>#N/A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0</v>
      </c>
      <c r="E72" s="69" t="e">
        <f t="shared" si="99"/>
        <v>#N/A</v>
      </c>
      <c r="F72" s="69">
        <f t="shared" si="100"/>
        <v>0.94</v>
      </c>
      <c r="G72" s="69">
        <f t="shared" si="101"/>
        <v>-0.65555555555555589</v>
      </c>
      <c r="H72" s="69" t="e">
        <f t="shared" si="102"/>
        <v>#N/A</v>
      </c>
      <c r="I72" s="69" t="e">
        <f t="shared" si="103"/>
        <v>#N/A</v>
      </c>
      <c r="J72" s="69" t="e">
        <f t="shared" si="104"/>
        <v>#N/A</v>
      </c>
      <c r="K72" s="69">
        <f t="shared" si="105"/>
        <v>0</v>
      </c>
      <c r="L72" s="69">
        <f t="shared" si="138"/>
        <v>0</v>
      </c>
      <c r="M72" s="69">
        <f t="shared" si="106"/>
        <v>0</v>
      </c>
      <c r="N72" s="69">
        <f t="shared" si="140"/>
        <v>0</v>
      </c>
      <c r="O72" s="69">
        <f t="shared" si="94"/>
        <v>1</v>
      </c>
      <c r="P72" s="69" t="str">
        <f t="shared" si="107"/>
        <v>REJEITADO</v>
      </c>
      <c r="Q72" s="69" t="e">
        <f t="shared" si="108"/>
        <v>#N/A</v>
      </c>
      <c r="R72" s="69" t="e">
        <f t="shared" si="109"/>
        <v>#N/A</v>
      </c>
      <c r="S72" s="69" t="e">
        <f t="shared" si="110"/>
        <v>#N/A</v>
      </c>
      <c r="T72" s="69" t="e">
        <f t="shared" si="111"/>
        <v>#N/A</v>
      </c>
      <c r="U72" s="69" t="e">
        <f t="shared" si="112"/>
        <v>#N/A</v>
      </c>
      <c r="V72" s="69" t="e">
        <f t="shared" si="113"/>
        <v>#N/A</v>
      </c>
      <c r="W72" s="69" t="e">
        <f t="shared" si="114"/>
        <v>#N/A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3.36</v>
      </c>
      <c r="AC72" s="69">
        <f t="shared" si="120"/>
        <v>-2.7962962962962945</v>
      </c>
      <c r="AD72" s="69" t="e">
        <f t="shared" si="121"/>
        <v>#N/A</v>
      </c>
      <c r="AE72" s="69" t="e">
        <f t="shared" si="122"/>
        <v>#N/A</v>
      </c>
      <c r="AF72" s="69" t="e">
        <f t="shared" si="123"/>
        <v>#N/A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 t="e">
        <f t="shared" si="127"/>
        <v>#N/A</v>
      </c>
      <c r="AN72" s="69" t="e">
        <f t="shared" si="128"/>
        <v>#N/A</v>
      </c>
      <c r="AO72" s="69" t="e">
        <f t="shared" si="129"/>
        <v>#N/A</v>
      </c>
      <c r="AP72" s="69" t="e">
        <f t="shared" si="130"/>
        <v>#N/A</v>
      </c>
      <c r="AQ72" s="69" t="e">
        <f t="shared" si="131"/>
        <v>#N/A</v>
      </c>
      <c r="AR72" s="69" t="e">
        <f t="shared" si="132"/>
        <v>#N/A</v>
      </c>
      <c r="AS72" s="69" t="e">
        <f t="shared" si="133"/>
        <v>#N/A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0</v>
      </c>
      <c r="E73" s="69" t="e">
        <f t="shared" si="99"/>
        <v>#N/A</v>
      </c>
      <c r="F73" s="69">
        <f t="shared" si="100"/>
        <v>0.99</v>
      </c>
      <c r="G73" s="69">
        <f t="shared" si="101"/>
        <v>-0.15555555555555545</v>
      </c>
      <c r="H73" s="69" t="e">
        <f t="shared" si="102"/>
        <v>#N/A</v>
      </c>
      <c r="I73" s="69" t="e">
        <f t="shared" si="103"/>
        <v>#N/A</v>
      </c>
      <c r="J73" s="69" t="e">
        <f t="shared" si="104"/>
        <v>#N/A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0</v>
      </c>
      <c r="O73" s="69">
        <f t="shared" si="94"/>
        <v>1</v>
      </c>
      <c r="P73" s="69" t="str">
        <f t="shared" si="107"/>
        <v>REJEITADO</v>
      </c>
      <c r="Q73" s="69" t="e">
        <f t="shared" si="108"/>
        <v>#N/A</v>
      </c>
      <c r="R73" s="69" t="e">
        <f t="shared" si="109"/>
        <v>#N/A</v>
      </c>
      <c r="S73" s="69" t="e">
        <f t="shared" si="110"/>
        <v>#N/A</v>
      </c>
      <c r="T73" s="69" t="e">
        <f t="shared" si="111"/>
        <v>#N/A</v>
      </c>
      <c r="U73" s="69" t="e">
        <f t="shared" si="112"/>
        <v>#N/A</v>
      </c>
      <c r="V73" s="69" t="e">
        <f t="shared" si="113"/>
        <v>#N/A</v>
      </c>
      <c r="W73" s="69" t="e">
        <f t="shared" si="114"/>
        <v>#N/A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3.31</v>
      </c>
      <c r="AC73" s="69">
        <f t="shared" si="120"/>
        <v>-3.0740740740740713</v>
      </c>
      <c r="AD73" s="69" t="e">
        <f t="shared" si="121"/>
        <v>#N/A</v>
      </c>
      <c r="AE73" s="69" t="e">
        <f t="shared" si="122"/>
        <v>#N/A</v>
      </c>
      <c r="AF73" s="69" t="e">
        <f t="shared" si="123"/>
        <v>#N/A</v>
      </c>
      <c r="AG73" s="69">
        <f t="shared" si="124"/>
        <v>1</v>
      </c>
      <c r="AH73" s="69">
        <f t="shared" si="139"/>
        <v>1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 t="e">
        <f t="shared" si="127"/>
        <v>#N/A</v>
      </c>
      <c r="AN73" s="69" t="e">
        <f t="shared" si="128"/>
        <v>#N/A</v>
      </c>
      <c r="AO73" s="69" t="e">
        <f t="shared" si="129"/>
        <v>#N/A</v>
      </c>
      <c r="AP73" s="69" t="e">
        <f t="shared" si="130"/>
        <v>#N/A</v>
      </c>
      <c r="AQ73" s="69" t="e">
        <f t="shared" si="131"/>
        <v>#N/A</v>
      </c>
      <c r="AR73" s="69" t="e">
        <f t="shared" si="132"/>
        <v>#N/A</v>
      </c>
      <c r="AS73" s="69" t="e">
        <f t="shared" si="133"/>
        <v>#N/A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0</v>
      </c>
      <c r="E74" s="69" t="e">
        <f t="shared" si="99"/>
        <v>#N/A</v>
      </c>
      <c r="F74" s="69">
        <f t="shared" si="100"/>
        <v>0.93</v>
      </c>
      <c r="G74" s="69">
        <f t="shared" si="101"/>
        <v>-0.75555555555555487</v>
      </c>
      <c r="H74" s="69" t="e">
        <f t="shared" si="102"/>
        <v>#N/A</v>
      </c>
      <c r="I74" s="69" t="e">
        <f t="shared" si="103"/>
        <v>#N/A</v>
      </c>
      <c r="J74" s="69" t="e">
        <f t="shared" si="104"/>
        <v>#N/A</v>
      </c>
      <c r="K74" s="69">
        <f t="shared" si="105"/>
        <v>0</v>
      </c>
      <c r="L74" s="69">
        <f t="shared" si="138"/>
        <v>0</v>
      </c>
      <c r="M74" s="69">
        <f t="shared" si="106"/>
        <v>0</v>
      </c>
      <c r="N74" s="69">
        <f t="shared" si="140"/>
        <v>0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 t="e">
        <f t="shared" si="108"/>
        <v>#N/A</v>
      </c>
      <c r="R74" s="69" t="e">
        <f t="shared" si="109"/>
        <v>#N/A</v>
      </c>
      <c r="S74" s="69" t="e">
        <f t="shared" si="110"/>
        <v>#N/A</v>
      </c>
      <c r="T74" s="69" t="e">
        <f t="shared" si="111"/>
        <v>#N/A</v>
      </c>
      <c r="U74" s="69" t="e">
        <f t="shared" si="112"/>
        <v>#N/A</v>
      </c>
      <c r="V74" s="69" t="e">
        <f t="shared" si="113"/>
        <v>#N/A</v>
      </c>
      <c r="W74" s="69" t="e">
        <f t="shared" si="114"/>
        <v>#N/A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3.44</v>
      </c>
      <c r="AC74" s="69">
        <f t="shared" si="120"/>
        <v>-2.3518518518518494</v>
      </c>
      <c r="AD74" s="69" t="e">
        <f t="shared" si="121"/>
        <v>#N/A</v>
      </c>
      <c r="AE74" s="69" t="e">
        <f t="shared" si="122"/>
        <v>#N/A</v>
      </c>
      <c r="AF74" s="69" t="e">
        <f t="shared" si="123"/>
        <v>#N/A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 t="e">
        <f t="shared" si="127"/>
        <v>#N/A</v>
      </c>
      <c r="AN74" s="69" t="e">
        <f t="shared" si="128"/>
        <v>#N/A</v>
      </c>
      <c r="AO74" s="69" t="e">
        <f t="shared" si="129"/>
        <v>#N/A</v>
      </c>
      <c r="AP74" s="69" t="e">
        <f t="shared" si="130"/>
        <v>#N/A</v>
      </c>
      <c r="AQ74" s="69" t="e">
        <f t="shared" si="131"/>
        <v>#N/A</v>
      </c>
      <c r="AR74" s="69" t="e">
        <f t="shared" si="132"/>
        <v>#N/A</v>
      </c>
      <c r="AS74" s="69" t="e">
        <f t="shared" si="133"/>
        <v>#N/A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0</v>
      </c>
      <c r="E75" s="69" t="e">
        <f t="shared" si="99"/>
        <v>#N/A</v>
      </c>
      <c r="F75" s="69">
        <f t="shared" si="100"/>
        <v>0.96</v>
      </c>
      <c r="G75" s="69">
        <f t="shared" si="101"/>
        <v>-0.45555555555555571</v>
      </c>
      <c r="H75" s="69" t="e">
        <f t="shared" si="102"/>
        <v>#N/A</v>
      </c>
      <c r="I75" s="69" t="e">
        <f t="shared" si="103"/>
        <v>#N/A</v>
      </c>
      <c r="J75" s="69" t="e">
        <f t="shared" si="104"/>
        <v>#N/A</v>
      </c>
      <c r="K75" s="69">
        <f t="shared" si="105"/>
        <v>0</v>
      </c>
      <c r="L75" s="69">
        <f t="shared" si="138"/>
        <v>0</v>
      </c>
      <c r="M75" s="69">
        <f t="shared" si="106"/>
        <v>0</v>
      </c>
      <c r="N75" s="69">
        <f t="shared" si="140"/>
        <v>0</v>
      </c>
      <c r="O75" s="69">
        <f t="shared" si="142"/>
        <v>1</v>
      </c>
      <c r="P75" s="69" t="str">
        <f t="shared" si="107"/>
        <v>REJEITADO</v>
      </c>
      <c r="Q75" s="69" t="e">
        <f t="shared" si="108"/>
        <v>#N/A</v>
      </c>
      <c r="R75" s="69" t="e">
        <f t="shared" si="109"/>
        <v>#N/A</v>
      </c>
      <c r="S75" s="69" t="e">
        <f t="shared" si="110"/>
        <v>#N/A</v>
      </c>
      <c r="T75" s="69" t="e">
        <f t="shared" si="111"/>
        <v>#N/A</v>
      </c>
      <c r="U75" s="69" t="e">
        <f t="shared" si="112"/>
        <v>#N/A</v>
      </c>
      <c r="V75" s="69" t="e">
        <f t="shared" si="113"/>
        <v>#N/A</v>
      </c>
      <c r="W75" s="69" t="e">
        <f t="shared" si="114"/>
        <v>#N/A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3.54</v>
      </c>
      <c r="AC75" s="69">
        <f t="shared" si="120"/>
        <v>-1.7962962962962934</v>
      </c>
      <c r="AD75" s="69" t="e">
        <f t="shared" si="121"/>
        <v>#N/A</v>
      </c>
      <c r="AE75" s="69" t="e">
        <f t="shared" si="122"/>
        <v>#N/A</v>
      </c>
      <c r="AF75" s="69" t="e">
        <f t="shared" si="123"/>
        <v>#N/A</v>
      </c>
      <c r="AG75" s="69">
        <f t="shared" si="124"/>
        <v>0</v>
      </c>
      <c r="AH75" s="69">
        <f t="shared" si="139"/>
        <v>0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 t="e">
        <f t="shared" si="127"/>
        <v>#N/A</v>
      </c>
      <c r="AN75" s="69" t="e">
        <f t="shared" si="128"/>
        <v>#N/A</v>
      </c>
      <c r="AO75" s="69" t="e">
        <f t="shared" si="129"/>
        <v>#N/A</v>
      </c>
      <c r="AP75" s="69" t="e">
        <f t="shared" si="130"/>
        <v>#N/A</v>
      </c>
      <c r="AQ75" s="69" t="e">
        <f t="shared" si="131"/>
        <v>#N/A</v>
      </c>
      <c r="AR75" s="69" t="e">
        <f t="shared" si="132"/>
        <v>#N/A</v>
      </c>
      <c r="AS75" s="69" t="e">
        <f t="shared" si="133"/>
        <v>#N/A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0</v>
      </c>
      <c r="E76" s="69" t="e">
        <f t="shared" si="99"/>
        <v>#N/A</v>
      </c>
      <c r="F76" s="69">
        <f t="shared" si="100"/>
        <v>0.97</v>
      </c>
      <c r="G76" s="69">
        <f t="shared" si="101"/>
        <v>-0.35555555555555562</v>
      </c>
      <c r="H76" s="69" t="e">
        <f t="shared" si="102"/>
        <v>#N/A</v>
      </c>
      <c r="I76" s="69" t="e">
        <f t="shared" si="103"/>
        <v>#N/A</v>
      </c>
      <c r="J76" s="69" t="e">
        <f t="shared" si="104"/>
        <v>#N/A</v>
      </c>
      <c r="K76" s="69">
        <f t="shared" si="105"/>
        <v>0</v>
      </c>
      <c r="L76" s="69">
        <f t="shared" si="138"/>
        <v>0</v>
      </c>
      <c r="M76" s="69">
        <f t="shared" si="106"/>
        <v>0</v>
      </c>
      <c r="N76" s="69">
        <f t="shared" si="140"/>
        <v>0</v>
      </c>
      <c r="O76" s="69">
        <f t="shared" si="142"/>
        <v>1</v>
      </c>
      <c r="P76" s="69" t="str">
        <f t="shared" si="107"/>
        <v>REJEITADO</v>
      </c>
      <c r="Q76" s="69" t="e">
        <f t="shared" si="108"/>
        <v>#N/A</v>
      </c>
      <c r="R76" s="69" t="e">
        <f t="shared" si="109"/>
        <v>#N/A</v>
      </c>
      <c r="S76" s="69" t="e">
        <f t="shared" si="110"/>
        <v>#N/A</v>
      </c>
      <c r="T76" s="69" t="e">
        <f t="shared" si="111"/>
        <v>#N/A</v>
      </c>
      <c r="U76" s="69" t="e">
        <f t="shared" si="112"/>
        <v>#N/A</v>
      </c>
      <c r="V76" s="69" t="e">
        <f t="shared" si="113"/>
        <v>#N/A</v>
      </c>
      <c r="W76" s="69" t="e">
        <f t="shared" si="114"/>
        <v>#N/A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3.46</v>
      </c>
      <c r="AC76" s="69">
        <f t="shared" si="120"/>
        <v>-2.2407407407407383</v>
      </c>
      <c r="AD76" s="69" t="e">
        <f t="shared" si="121"/>
        <v>#N/A</v>
      </c>
      <c r="AE76" s="69" t="e">
        <f t="shared" si="122"/>
        <v>#N/A</v>
      </c>
      <c r="AF76" s="69" t="e">
        <f t="shared" si="123"/>
        <v>#N/A</v>
      </c>
      <c r="AG76" s="69">
        <f t="shared" si="124"/>
        <v>0</v>
      </c>
      <c r="AH76" s="69">
        <f t="shared" si="139"/>
        <v>0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 t="e">
        <f t="shared" si="127"/>
        <v>#N/A</v>
      </c>
      <c r="AN76" s="69" t="e">
        <f t="shared" si="128"/>
        <v>#N/A</v>
      </c>
      <c r="AO76" s="69" t="e">
        <f t="shared" si="129"/>
        <v>#N/A</v>
      </c>
      <c r="AP76" s="69" t="e">
        <f t="shared" si="130"/>
        <v>#N/A</v>
      </c>
      <c r="AQ76" s="69" t="e">
        <f t="shared" si="131"/>
        <v>#N/A</v>
      </c>
      <c r="AR76" s="69" t="e">
        <f t="shared" si="132"/>
        <v>#N/A</v>
      </c>
      <c r="AS76" s="69" t="e">
        <f t="shared" si="133"/>
        <v>#N/A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0</v>
      </c>
      <c r="E77" s="69" t="e">
        <f t="shared" si="99"/>
        <v>#N/A</v>
      </c>
      <c r="F77" s="69">
        <f t="shared" si="100"/>
        <v>0.96</v>
      </c>
      <c r="G77" s="69">
        <f t="shared" si="101"/>
        <v>-0.45555555555555571</v>
      </c>
      <c r="H77" s="69" t="e">
        <f t="shared" si="102"/>
        <v>#N/A</v>
      </c>
      <c r="I77" s="69" t="e">
        <f t="shared" si="103"/>
        <v>#N/A</v>
      </c>
      <c r="J77" s="69" t="e">
        <f t="shared" si="104"/>
        <v>#N/A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0</v>
      </c>
      <c r="O77" s="69">
        <f t="shared" si="142"/>
        <v>1</v>
      </c>
      <c r="P77" s="69" t="str">
        <f t="shared" si="107"/>
        <v>REJEITADO</v>
      </c>
      <c r="Q77" s="69" t="e">
        <f t="shared" si="108"/>
        <v>#N/A</v>
      </c>
      <c r="R77" s="69" t="e">
        <f t="shared" si="109"/>
        <v>#N/A</v>
      </c>
      <c r="S77" s="69" t="e">
        <f t="shared" si="110"/>
        <v>#N/A</v>
      </c>
      <c r="T77" s="69" t="e">
        <f t="shared" si="111"/>
        <v>#N/A</v>
      </c>
      <c r="U77" s="69" t="e">
        <f t="shared" si="112"/>
        <v>#N/A</v>
      </c>
      <c r="V77" s="69" t="e">
        <f t="shared" si="113"/>
        <v>#N/A</v>
      </c>
      <c r="W77" s="69" t="e">
        <f t="shared" si="114"/>
        <v>#N/A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3.51</v>
      </c>
      <c r="AC77" s="69">
        <f t="shared" si="120"/>
        <v>-1.9629629629629615</v>
      </c>
      <c r="AD77" s="69" t="e">
        <f t="shared" si="121"/>
        <v>#N/A</v>
      </c>
      <c r="AE77" s="69" t="e">
        <f t="shared" si="122"/>
        <v>#N/A</v>
      </c>
      <c r="AF77" s="69" t="e">
        <f t="shared" si="123"/>
        <v>#N/A</v>
      </c>
      <c r="AG77" s="69">
        <f t="shared" si="124"/>
        <v>0</v>
      </c>
      <c r="AH77" s="69">
        <f t="shared" si="139"/>
        <v>0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 t="e">
        <f t="shared" si="127"/>
        <v>#N/A</v>
      </c>
      <c r="AN77" s="69" t="e">
        <f t="shared" si="128"/>
        <v>#N/A</v>
      </c>
      <c r="AO77" s="69" t="e">
        <f t="shared" si="129"/>
        <v>#N/A</v>
      </c>
      <c r="AP77" s="69" t="e">
        <f t="shared" si="130"/>
        <v>#N/A</v>
      </c>
      <c r="AQ77" s="69" t="e">
        <f t="shared" si="131"/>
        <v>#N/A</v>
      </c>
      <c r="AR77" s="69" t="e">
        <f t="shared" si="132"/>
        <v>#N/A</v>
      </c>
      <c r="AS77" s="69" t="e">
        <f t="shared" si="133"/>
        <v>#N/A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0</v>
      </c>
      <c r="E78" s="69" t="e">
        <f t="shared" si="99"/>
        <v>#N/A</v>
      </c>
      <c r="F78" s="69">
        <f t="shared" si="100"/>
        <v>0.93</v>
      </c>
      <c r="G78" s="69">
        <f t="shared" si="101"/>
        <v>-0.75555555555555487</v>
      </c>
      <c r="H78" s="69" t="e">
        <f t="shared" si="102"/>
        <v>#N/A</v>
      </c>
      <c r="I78" s="69" t="e">
        <f t="shared" si="103"/>
        <v>#N/A</v>
      </c>
      <c r="J78" s="69" t="e">
        <f t="shared" si="104"/>
        <v>#N/A</v>
      </c>
      <c r="K78" s="69">
        <f t="shared" si="105"/>
        <v>0</v>
      </c>
      <c r="L78" s="69">
        <f t="shared" si="138"/>
        <v>0</v>
      </c>
      <c r="M78" s="69">
        <f t="shared" si="106"/>
        <v>0</v>
      </c>
      <c r="N78" s="69">
        <f t="shared" si="140"/>
        <v>0</v>
      </c>
      <c r="O78" s="69">
        <f t="shared" si="142"/>
        <v>1</v>
      </c>
      <c r="P78" s="69" t="str">
        <f t="shared" si="107"/>
        <v>REJEITADO</v>
      </c>
      <c r="Q78" s="69" t="e">
        <f t="shared" si="108"/>
        <v>#N/A</v>
      </c>
      <c r="R78" s="69" t="e">
        <f t="shared" si="109"/>
        <v>#N/A</v>
      </c>
      <c r="S78" s="69" t="e">
        <f t="shared" si="110"/>
        <v>#N/A</v>
      </c>
      <c r="T78" s="69" t="e">
        <f t="shared" si="111"/>
        <v>#N/A</v>
      </c>
      <c r="U78" s="69" t="e">
        <f t="shared" si="112"/>
        <v>#N/A</v>
      </c>
      <c r="V78" s="69" t="e">
        <f t="shared" si="113"/>
        <v>#N/A</v>
      </c>
      <c r="W78" s="69" t="e">
        <f t="shared" si="114"/>
        <v>#N/A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3.4</v>
      </c>
      <c r="AC78" s="69">
        <f t="shared" si="120"/>
        <v>-2.5740740740740717</v>
      </c>
      <c r="AD78" s="69" t="e">
        <f t="shared" si="121"/>
        <v>#N/A</v>
      </c>
      <c r="AE78" s="69" t="e">
        <f t="shared" si="122"/>
        <v>#N/A</v>
      </c>
      <c r="AF78" s="69" t="e">
        <f t="shared" si="123"/>
        <v>#N/A</v>
      </c>
      <c r="AG78" s="69">
        <f t="shared" si="124"/>
        <v>0</v>
      </c>
      <c r="AH78" s="69">
        <f t="shared" si="139"/>
        <v>0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 t="e">
        <f t="shared" si="127"/>
        <v>#N/A</v>
      </c>
      <c r="AN78" s="69" t="e">
        <f t="shared" si="128"/>
        <v>#N/A</v>
      </c>
      <c r="AO78" s="69" t="e">
        <f t="shared" si="129"/>
        <v>#N/A</v>
      </c>
      <c r="AP78" s="69" t="e">
        <f t="shared" si="130"/>
        <v>#N/A</v>
      </c>
      <c r="AQ78" s="69" t="e">
        <f t="shared" si="131"/>
        <v>#N/A</v>
      </c>
      <c r="AR78" s="69" t="e">
        <f t="shared" si="132"/>
        <v>#N/A</v>
      </c>
      <c r="AS78" s="69" t="e">
        <f t="shared" si="133"/>
        <v>#N/A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0</v>
      </c>
      <c r="E79" s="69" t="e">
        <f t="shared" si="99"/>
        <v>#N/A</v>
      </c>
      <c r="F79" s="69">
        <f t="shared" si="100"/>
        <v>0.96</v>
      </c>
      <c r="G79" s="69">
        <f t="shared" si="101"/>
        <v>-0.45555555555555571</v>
      </c>
      <c r="H79" s="69" t="e">
        <f t="shared" si="102"/>
        <v>#N/A</v>
      </c>
      <c r="I79" s="69" t="e">
        <f t="shared" si="103"/>
        <v>#N/A</v>
      </c>
      <c r="J79" s="69" t="e">
        <f t="shared" si="104"/>
        <v>#N/A</v>
      </c>
      <c r="K79" s="69">
        <f t="shared" si="105"/>
        <v>0</v>
      </c>
      <c r="L79" s="69">
        <f t="shared" si="138"/>
        <v>0</v>
      </c>
      <c r="M79" s="69">
        <f t="shared" si="106"/>
        <v>0</v>
      </c>
      <c r="N79" s="69">
        <f t="shared" si="140"/>
        <v>0</v>
      </c>
      <c r="O79" s="69">
        <f t="shared" si="142"/>
        <v>1</v>
      </c>
      <c r="P79" s="69" t="str">
        <f t="shared" si="107"/>
        <v>REJEITADO</v>
      </c>
      <c r="Q79" s="69" t="e">
        <f t="shared" si="108"/>
        <v>#N/A</v>
      </c>
      <c r="R79" s="69" t="e">
        <f t="shared" si="109"/>
        <v>#N/A</v>
      </c>
      <c r="S79" s="69" t="e">
        <f t="shared" si="110"/>
        <v>#N/A</v>
      </c>
      <c r="T79" s="69" t="e">
        <f t="shared" si="111"/>
        <v>#N/A</v>
      </c>
      <c r="U79" s="69" t="e">
        <f t="shared" si="112"/>
        <v>#N/A</v>
      </c>
      <c r="V79" s="69" t="e">
        <f t="shared" si="113"/>
        <v>#N/A</v>
      </c>
      <c r="W79" s="69" t="e">
        <f t="shared" si="114"/>
        <v>#N/A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3.48</v>
      </c>
      <c r="AC79" s="69">
        <f t="shared" si="120"/>
        <v>-2.1296296296296271</v>
      </c>
      <c r="AD79" s="69" t="e">
        <f t="shared" si="121"/>
        <v>#N/A</v>
      </c>
      <c r="AE79" s="69" t="e">
        <f t="shared" si="122"/>
        <v>#N/A</v>
      </c>
      <c r="AF79" s="69" t="e">
        <f t="shared" si="123"/>
        <v>#N/A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 t="e">
        <f t="shared" si="127"/>
        <v>#N/A</v>
      </c>
      <c r="AN79" s="69" t="e">
        <f t="shared" si="128"/>
        <v>#N/A</v>
      </c>
      <c r="AO79" s="69" t="e">
        <f t="shared" si="129"/>
        <v>#N/A</v>
      </c>
      <c r="AP79" s="69" t="e">
        <f t="shared" si="130"/>
        <v>#N/A</v>
      </c>
      <c r="AQ79" s="69" t="e">
        <f t="shared" si="131"/>
        <v>#N/A</v>
      </c>
      <c r="AR79" s="69" t="e">
        <f t="shared" si="132"/>
        <v>#N/A</v>
      </c>
      <c r="AS79" s="69" t="e">
        <f t="shared" si="133"/>
        <v>#N/A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0</v>
      </c>
      <c r="E80" s="69" t="e">
        <f t="shared" si="99"/>
        <v>#N/A</v>
      </c>
      <c r="F80" s="69">
        <f t="shared" si="100"/>
        <v>0.89</v>
      </c>
      <c r="G80" s="69">
        <f t="shared" si="101"/>
        <v>-1.1555555555555552</v>
      </c>
      <c r="H80" s="69" t="e">
        <f t="shared" si="102"/>
        <v>#N/A</v>
      </c>
      <c r="I80" s="69" t="e">
        <f t="shared" si="103"/>
        <v>#N/A</v>
      </c>
      <c r="J80" s="69" t="e">
        <f t="shared" si="104"/>
        <v>#N/A</v>
      </c>
      <c r="K80" s="69">
        <f t="shared" si="105"/>
        <v>0</v>
      </c>
      <c r="L80" s="69">
        <f t="shared" si="138"/>
        <v>0</v>
      </c>
      <c r="M80" s="69">
        <f t="shared" si="106"/>
        <v>0</v>
      </c>
      <c r="N80" s="69">
        <f t="shared" si="140"/>
        <v>0</v>
      </c>
      <c r="O80" s="69">
        <f t="shared" si="142"/>
        <v>1</v>
      </c>
      <c r="P80" s="69" t="str">
        <f t="shared" si="107"/>
        <v>REJEITADO</v>
      </c>
      <c r="Q80" s="69" t="e">
        <f t="shared" si="108"/>
        <v>#N/A</v>
      </c>
      <c r="R80" s="69" t="e">
        <f t="shared" si="109"/>
        <v>#N/A</v>
      </c>
      <c r="S80" s="69" t="e">
        <f t="shared" si="110"/>
        <v>#N/A</v>
      </c>
      <c r="T80" s="69" t="e">
        <f t="shared" si="111"/>
        <v>#N/A</v>
      </c>
      <c r="U80" s="69" t="e">
        <f t="shared" si="112"/>
        <v>#N/A</v>
      </c>
      <c r="V80" s="69" t="e">
        <f t="shared" si="113"/>
        <v>#N/A</v>
      </c>
      <c r="W80" s="69" t="e">
        <f t="shared" si="114"/>
        <v>#N/A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3.41</v>
      </c>
      <c r="AC80" s="69">
        <f t="shared" si="120"/>
        <v>-2.518518518518515</v>
      </c>
      <c r="AD80" s="69" t="e">
        <f t="shared" si="121"/>
        <v>#N/A</v>
      </c>
      <c r="AE80" s="69" t="e">
        <f t="shared" si="122"/>
        <v>#N/A</v>
      </c>
      <c r="AF80" s="69" t="e">
        <f t="shared" si="123"/>
        <v>#N/A</v>
      </c>
      <c r="AG80" s="69">
        <f t="shared" si="124"/>
        <v>0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 t="e">
        <f t="shared" si="127"/>
        <v>#N/A</v>
      </c>
      <c r="AN80" s="69" t="e">
        <f t="shared" si="128"/>
        <v>#N/A</v>
      </c>
      <c r="AO80" s="69" t="e">
        <f t="shared" si="129"/>
        <v>#N/A</v>
      </c>
      <c r="AP80" s="69" t="e">
        <f t="shared" si="130"/>
        <v>#N/A</v>
      </c>
      <c r="AQ80" s="69" t="e">
        <f t="shared" si="131"/>
        <v>#N/A</v>
      </c>
      <c r="AR80" s="69" t="e">
        <f t="shared" si="132"/>
        <v>#N/A</v>
      </c>
      <c r="AS80" s="69" t="e">
        <f t="shared" si="133"/>
        <v>#N/A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0</v>
      </c>
      <c r="E81" s="69" t="e">
        <f t="shared" si="99"/>
        <v>#N/A</v>
      </c>
      <c r="F81" s="69">
        <f t="shared" si="100"/>
        <v>0.91</v>
      </c>
      <c r="G81" s="69">
        <f t="shared" si="101"/>
        <v>-0.95555555555555505</v>
      </c>
      <c r="H81" s="69" t="e">
        <f t="shared" si="102"/>
        <v>#N/A</v>
      </c>
      <c r="I81" s="69" t="e">
        <f t="shared" si="103"/>
        <v>#N/A</v>
      </c>
      <c r="J81" s="69" t="e">
        <f t="shared" si="104"/>
        <v>#N/A</v>
      </c>
      <c r="K81" s="69">
        <f t="shared" si="105"/>
        <v>0</v>
      </c>
      <c r="L81" s="69">
        <f t="shared" si="138"/>
        <v>0</v>
      </c>
      <c r="M81" s="69">
        <f t="shared" si="106"/>
        <v>0</v>
      </c>
      <c r="N81" s="69">
        <f t="shared" si="140"/>
        <v>0</v>
      </c>
      <c r="O81" s="69">
        <f t="shared" si="142"/>
        <v>1</v>
      </c>
      <c r="P81" s="69" t="str">
        <f t="shared" si="107"/>
        <v>REJEITADO</v>
      </c>
      <c r="Q81" s="69" t="e">
        <f t="shared" si="108"/>
        <v>#N/A</v>
      </c>
      <c r="R81" s="69" t="e">
        <f t="shared" si="109"/>
        <v>#N/A</v>
      </c>
      <c r="S81" s="69" t="e">
        <f t="shared" si="110"/>
        <v>#N/A</v>
      </c>
      <c r="T81" s="69" t="e">
        <f t="shared" si="111"/>
        <v>#N/A</v>
      </c>
      <c r="U81" s="69" t="e">
        <f t="shared" si="112"/>
        <v>#N/A</v>
      </c>
      <c r="V81" s="69" t="e">
        <f t="shared" si="113"/>
        <v>#N/A</v>
      </c>
      <c r="W81" s="69" t="e">
        <f t="shared" si="114"/>
        <v>#N/A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3.44</v>
      </c>
      <c r="AC81" s="69">
        <f t="shared" si="120"/>
        <v>-2.3518518518518494</v>
      </c>
      <c r="AD81" s="69" t="e">
        <f t="shared" si="121"/>
        <v>#N/A</v>
      </c>
      <c r="AE81" s="69" t="e">
        <f t="shared" si="122"/>
        <v>#N/A</v>
      </c>
      <c r="AF81" s="69" t="e">
        <f t="shared" si="123"/>
        <v>#N/A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 t="e">
        <f t="shared" si="127"/>
        <v>#N/A</v>
      </c>
      <c r="AN81" s="69" t="e">
        <f t="shared" si="128"/>
        <v>#N/A</v>
      </c>
      <c r="AO81" s="69" t="e">
        <f t="shared" si="129"/>
        <v>#N/A</v>
      </c>
      <c r="AP81" s="69" t="e">
        <f t="shared" si="130"/>
        <v>#N/A</v>
      </c>
      <c r="AQ81" s="69" t="e">
        <f t="shared" si="131"/>
        <v>#N/A</v>
      </c>
      <c r="AR81" s="69" t="e">
        <f t="shared" si="132"/>
        <v>#N/A</v>
      </c>
      <c r="AS81" s="69" t="e">
        <f t="shared" si="133"/>
        <v>#N/A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0</v>
      </c>
      <c r="E82" s="69" t="e">
        <f t="shared" si="99"/>
        <v>#N/A</v>
      </c>
      <c r="F82" s="69">
        <f t="shared" si="100"/>
        <v>0.88</v>
      </c>
      <c r="G82" s="69">
        <f t="shared" si="101"/>
        <v>-1.2555555555555553</v>
      </c>
      <c r="H82" s="69" t="e">
        <f t="shared" si="102"/>
        <v>#N/A</v>
      </c>
      <c r="I82" s="69" t="e">
        <f t="shared" si="103"/>
        <v>#N/A</v>
      </c>
      <c r="J82" s="69" t="e">
        <f t="shared" si="104"/>
        <v>#N/A</v>
      </c>
      <c r="K82" s="69">
        <f t="shared" si="105"/>
        <v>0</v>
      </c>
      <c r="L82" s="69">
        <f t="shared" si="138"/>
        <v>0</v>
      </c>
      <c r="M82" s="69">
        <f t="shared" si="106"/>
        <v>0</v>
      </c>
      <c r="N82" s="69">
        <f t="shared" si="140"/>
        <v>0</v>
      </c>
      <c r="O82" s="69">
        <f t="shared" si="142"/>
        <v>1</v>
      </c>
      <c r="P82" s="69" t="str">
        <f t="shared" si="107"/>
        <v>REJEITADO</v>
      </c>
      <c r="Q82" s="69" t="e">
        <f t="shared" si="108"/>
        <v>#N/A</v>
      </c>
      <c r="R82" s="69" t="e">
        <f t="shared" si="109"/>
        <v>#N/A</v>
      </c>
      <c r="S82" s="69" t="e">
        <f t="shared" si="110"/>
        <v>#N/A</v>
      </c>
      <c r="T82" s="69" t="e">
        <f t="shared" si="111"/>
        <v>#N/A</v>
      </c>
      <c r="U82" s="69" t="e">
        <f t="shared" si="112"/>
        <v>#N/A</v>
      </c>
      <c r="V82" s="69" t="e">
        <f t="shared" si="113"/>
        <v>#N/A</v>
      </c>
      <c r="W82" s="69" t="e">
        <f t="shared" si="114"/>
        <v>#N/A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3.37</v>
      </c>
      <c r="AC82" s="69">
        <f t="shared" si="120"/>
        <v>-2.7407407407407374</v>
      </c>
      <c r="AD82" s="69" t="e">
        <f t="shared" si="121"/>
        <v>#N/A</v>
      </c>
      <c r="AE82" s="69" t="e">
        <f t="shared" si="122"/>
        <v>#N/A</v>
      </c>
      <c r="AF82" s="69" t="e">
        <f t="shared" si="123"/>
        <v>#N/A</v>
      </c>
      <c r="AG82" s="69">
        <f t="shared" si="124"/>
        <v>0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 t="e">
        <f t="shared" si="127"/>
        <v>#N/A</v>
      </c>
      <c r="AN82" s="69" t="e">
        <f t="shared" si="128"/>
        <v>#N/A</v>
      </c>
      <c r="AO82" s="69" t="e">
        <f t="shared" si="129"/>
        <v>#N/A</v>
      </c>
      <c r="AP82" s="69" t="e">
        <f t="shared" si="130"/>
        <v>#N/A</v>
      </c>
      <c r="AQ82" s="69" t="e">
        <f t="shared" si="131"/>
        <v>#N/A</v>
      </c>
      <c r="AR82" s="69" t="e">
        <f t="shared" si="132"/>
        <v>#N/A</v>
      </c>
      <c r="AS82" s="69" t="e">
        <f t="shared" si="133"/>
        <v>#N/A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0</v>
      </c>
      <c r="E83" s="69" t="e">
        <f t="shared" si="99"/>
        <v>#N/A</v>
      </c>
      <c r="F83" s="69">
        <f t="shared" si="100"/>
        <v>0.84</v>
      </c>
      <c r="G83" s="69">
        <f t="shared" si="101"/>
        <v>-1.6555555555555557</v>
      </c>
      <c r="H83" s="69" t="e">
        <f t="shared" si="102"/>
        <v>#N/A</v>
      </c>
      <c r="I83" s="69" t="e">
        <f t="shared" si="103"/>
        <v>#N/A</v>
      </c>
      <c r="J83" s="69" t="e">
        <f t="shared" si="104"/>
        <v>#N/A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 t="e">
        <f t="shared" si="108"/>
        <v>#N/A</v>
      </c>
      <c r="R83" s="69" t="e">
        <f t="shared" si="109"/>
        <v>#N/A</v>
      </c>
      <c r="S83" s="69" t="e">
        <f t="shared" si="110"/>
        <v>#N/A</v>
      </c>
      <c r="T83" s="69" t="e">
        <f t="shared" si="111"/>
        <v>#N/A</v>
      </c>
      <c r="U83" s="69" t="e">
        <f t="shared" si="112"/>
        <v>#N/A</v>
      </c>
      <c r="V83" s="69" t="e">
        <f t="shared" si="113"/>
        <v>#N/A</v>
      </c>
      <c r="W83" s="69" t="e">
        <f t="shared" si="114"/>
        <v>#N/A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3.38</v>
      </c>
      <c r="AC83" s="69">
        <f t="shared" si="120"/>
        <v>-2.6851851851851833</v>
      </c>
      <c r="AD83" s="69" t="e">
        <f t="shared" si="121"/>
        <v>#N/A</v>
      </c>
      <c r="AE83" s="69" t="e">
        <f t="shared" si="122"/>
        <v>#N/A</v>
      </c>
      <c r="AF83" s="69" t="e">
        <f t="shared" si="123"/>
        <v>#N/A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 t="e">
        <f t="shared" si="127"/>
        <v>#N/A</v>
      </c>
      <c r="AN83" s="69" t="e">
        <f t="shared" si="128"/>
        <v>#N/A</v>
      </c>
      <c r="AO83" s="69" t="e">
        <f t="shared" si="129"/>
        <v>#N/A</v>
      </c>
      <c r="AP83" s="69" t="e">
        <f t="shared" si="130"/>
        <v>#N/A</v>
      </c>
      <c r="AQ83" s="69" t="e">
        <f t="shared" si="131"/>
        <v>#N/A</v>
      </c>
      <c r="AR83" s="69" t="e">
        <f t="shared" si="132"/>
        <v>#N/A</v>
      </c>
      <c r="AS83" s="69" t="e">
        <f t="shared" si="133"/>
        <v>#N/A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0</v>
      </c>
      <c r="E84" s="69" t="e">
        <f t="shared" si="99"/>
        <v>#N/A</v>
      </c>
      <c r="F84" s="69">
        <f t="shared" si="100"/>
        <v>1.01</v>
      </c>
      <c r="G84" s="69">
        <f t="shared" si="101"/>
        <v>4.4444444444444731E-2</v>
      </c>
      <c r="H84" s="69" t="e">
        <f t="shared" si="102"/>
        <v>#N/A</v>
      </c>
      <c r="I84" s="69" t="e">
        <f t="shared" si="103"/>
        <v>#N/A</v>
      </c>
      <c r="J84" s="69" t="e">
        <f t="shared" si="104"/>
        <v>#N/A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0</v>
      </c>
      <c r="O84" s="69">
        <f t="shared" si="142"/>
        <v>0</v>
      </c>
      <c r="P84" s="69" t="str">
        <f t="shared" si="107"/>
        <v>OK</v>
      </c>
      <c r="Q84" s="69" t="e">
        <f t="shared" si="108"/>
        <v>#N/A</v>
      </c>
      <c r="R84" s="69" t="e">
        <f t="shared" si="109"/>
        <v>#N/A</v>
      </c>
      <c r="S84" s="69" t="e">
        <f t="shared" si="110"/>
        <v>#N/A</v>
      </c>
      <c r="T84" s="69" t="e">
        <f t="shared" si="111"/>
        <v>#N/A</v>
      </c>
      <c r="U84" s="69" t="e">
        <f t="shared" si="112"/>
        <v>#N/A</v>
      </c>
      <c r="V84" s="69" t="e">
        <f t="shared" si="113"/>
        <v>#N/A</v>
      </c>
      <c r="W84" s="69" t="e">
        <f t="shared" si="114"/>
        <v>#N/A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3.71</v>
      </c>
      <c r="AC84" s="69">
        <f t="shared" si="120"/>
        <v>-0.85185185185184931</v>
      </c>
      <c r="AD84" s="69" t="e">
        <f t="shared" si="121"/>
        <v>#N/A</v>
      </c>
      <c r="AE84" s="69" t="e">
        <f t="shared" si="122"/>
        <v>#N/A</v>
      </c>
      <c r="AF84" s="69" t="e">
        <f t="shared" si="123"/>
        <v>#N/A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0</v>
      </c>
      <c r="AK84" s="69">
        <f t="shared" si="143"/>
        <v>1</v>
      </c>
      <c r="AL84" s="69" t="str">
        <f t="shared" si="126"/>
        <v>REJEITADO</v>
      </c>
      <c r="AM84" s="69" t="e">
        <f t="shared" si="127"/>
        <v>#N/A</v>
      </c>
      <c r="AN84" s="69" t="e">
        <f t="shared" si="128"/>
        <v>#N/A</v>
      </c>
      <c r="AO84" s="69" t="e">
        <f t="shared" si="129"/>
        <v>#N/A</v>
      </c>
      <c r="AP84" s="69" t="e">
        <f t="shared" si="130"/>
        <v>#N/A</v>
      </c>
      <c r="AQ84" s="69" t="e">
        <f t="shared" si="131"/>
        <v>#N/A</v>
      </c>
      <c r="AR84" s="69" t="e">
        <f t="shared" si="132"/>
        <v>#N/A</v>
      </c>
      <c r="AS84" s="69" t="e">
        <f t="shared" si="133"/>
        <v>#N/A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0</v>
      </c>
      <c r="E85" s="69" t="e">
        <f t="shared" si="99"/>
        <v>#N/A</v>
      </c>
      <c r="F85" s="69">
        <f t="shared" si="100"/>
        <v>0.99</v>
      </c>
      <c r="G85" s="69">
        <f t="shared" si="101"/>
        <v>-0.15555555555555545</v>
      </c>
      <c r="H85" s="69" t="e">
        <f t="shared" si="102"/>
        <v>#N/A</v>
      </c>
      <c r="I85" s="69" t="e">
        <f t="shared" si="103"/>
        <v>#N/A</v>
      </c>
      <c r="J85" s="69" t="e">
        <f t="shared" si="104"/>
        <v>#N/A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0</v>
      </c>
      <c r="O85" s="69">
        <f t="shared" si="142"/>
        <v>0</v>
      </c>
      <c r="P85" s="69" t="str">
        <f t="shared" si="107"/>
        <v>OK</v>
      </c>
      <c r="Q85" s="69" t="e">
        <f t="shared" si="108"/>
        <v>#N/A</v>
      </c>
      <c r="R85" s="69" t="e">
        <f t="shared" si="109"/>
        <v>#N/A</v>
      </c>
      <c r="S85" s="69" t="e">
        <f t="shared" si="110"/>
        <v>#N/A</v>
      </c>
      <c r="T85" s="69" t="e">
        <f t="shared" si="111"/>
        <v>#N/A</v>
      </c>
      <c r="U85" s="69" t="e">
        <f t="shared" si="112"/>
        <v>#N/A</v>
      </c>
      <c r="V85" s="69" t="e">
        <f t="shared" si="113"/>
        <v>#N/A</v>
      </c>
      <c r="W85" s="69" t="e">
        <f t="shared" si="114"/>
        <v>#N/A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3.77</v>
      </c>
      <c r="AC85" s="69">
        <f t="shared" si="120"/>
        <v>-0.51851851851851571</v>
      </c>
      <c r="AD85" s="69" t="e">
        <f t="shared" si="121"/>
        <v>#N/A</v>
      </c>
      <c r="AE85" s="69" t="e">
        <f t="shared" si="122"/>
        <v>#N/A</v>
      </c>
      <c r="AF85" s="69" t="e">
        <f t="shared" si="123"/>
        <v>#N/A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0</v>
      </c>
      <c r="AK85" s="69">
        <f t="shared" si="143"/>
        <v>1</v>
      </c>
      <c r="AL85" s="69" t="str">
        <f t="shared" si="126"/>
        <v>REJEITADO</v>
      </c>
      <c r="AM85" s="69" t="e">
        <f t="shared" si="127"/>
        <v>#N/A</v>
      </c>
      <c r="AN85" s="69" t="e">
        <f t="shared" si="128"/>
        <v>#N/A</v>
      </c>
      <c r="AO85" s="69" t="e">
        <f t="shared" si="129"/>
        <v>#N/A</v>
      </c>
      <c r="AP85" s="69" t="e">
        <f t="shared" si="130"/>
        <v>#N/A</v>
      </c>
      <c r="AQ85" s="69" t="e">
        <f t="shared" si="131"/>
        <v>#N/A</v>
      </c>
      <c r="AR85" s="69" t="e">
        <f t="shared" si="132"/>
        <v>#N/A</v>
      </c>
      <c r="AS85" s="69" t="e">
        <f t="shared" si="133"/>
        <v>#N/A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0</v>
      </c>
      <c r="E86" s="69" t="e">
        <f t="shared" si="99"/>
        <v>#N/A</v>
      </c>
      <c r="F86" s="69">
        <f t="shared" si="100"/>
        <v>0.99</v>
      </c>
      <c r="G86" s="69">
        <f t="shared" si="101"/>
        <v>-0.15555555555555545</v>
      </c>
      <c r="H86" s="69" t="e">
        <f t="shared" si="102"/>
        <v>#N/A</v>
      </c>
      <c r="I86" s="69" t="e">
        <f t="shared" si="103"/>
        <v>#N/A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 t="e">
        <f t="shared" si="108"/>
        <v>#N/A</v>
      </c>
      <c r="R86" s="69" t="e">
        <f t="shared" si="109"/>
        <v>#N/A</v>
      </c>
      <c r="S86" s="69" t="e">
        <f t="shared" si="110"/>
        <v>#N/A</v>
      </c>
      <c r="T86" s="69" t="e">
        <f t="shared" si="111"/>
        <v>#N/A</v>
      </c>
      <c r="U86" s="69" t="e">
        <f t="shared" si="112"/>
        <v>#N/A</v>
      </c>
      <c r="V86" s="69" t="e">
        <f t="shared" si="113"/>
        <v>#N/A</v>
      </c>
      <c r="W86" s="69" t="e">
        <f t="shared" si="114"/>
        <v>#N/A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3.63</v>
      </c>
      <c r="AC86" s="69">
        <f t="shared" si="120"/>
        <v>-1.2962962962962943</v>
      </c>
      <c r="AD86" s="69" t="e">
        <f t="shared" si="121"/>
        <v>#N/A</v>
      </c>
      <c r="AE86" s="69" t="e">
        <f t="shared" si="122"/>
        <v>#N/A</v>
      </c>
      <c r="AF86" s="69" t="e">
        <f t="shared" si="123"/>
        <v>#N/A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0</v>
      </c>
      <c r="AK86" s="69">
        <f t="shared" si="143"/>
        <v>1</v>
      </c>
      <c r="AL86" s="69" t="str">
        <f t="shared" si="126"/>
        <v>REJEITADO</v>
      </c>
      <c r="AM86" s="69" t="e">
        <f t="shared" si="127"/>
        <v>#N/A</v>
      </c>
      <c r="AN86" s="69" t="e">
        <f t="shared" si="128"/>
        <v>#N/A</v>
      </c>
      <c r="AO86" s="69" t="e">
        <f t="shared" si="129"/>
        <v>#N/A</v>
      </c>
      <c r="AP86" s="69" t="e">
        <f t="shared" si="130"/>
        <v>#N/A</v>
      </c>
      <c r="AQ86" s="69" t="e">
        <f t="shared" si="131"/>
        <v>#N/A</v>
      </c>
      <c r="AR86" s="69" t="e">
        <f t="shared" si="132"/>
        <v>#N/A</v>
      </c>
      <c r="AS86" s="69" t="e">
        <f t="shared" si="133"/>
        <v>#N/A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0</v>
      </c>
      <c r="E87" s="69" t="e">
        <f t="shared" si="99"/>
        <v>#N/A</v>
      </c>
      <c r="F87" s="69">
        <f t="shared" si="100"/>
        <v>0.94</v>
      </c>
      <c r="G87" s="69">
        <f t="shared" si="101"/>
        <v>-0.65555555555555589</v>
      </c>
      <c r="H87" s="69" t="e">
        <f t="shared" si="102"/>
        <v>#N/A</v>
      </c>
      <c r="I87" s="69" t="e">
        <f t="shared" si="103"/>
        <v>#N/A</v>
      </c>
      <c r="J87" s="69" t="e">
        <f t="shared" si="104"/>
        <v>#N/A</v>
      </c>
      <c r="K87" s="69">
        <f t="shared" si="105"/>
        <v>0</v>
      </c>
      <c r="L87" s="69">
        <f t="shared" si="138"/>
        <v>0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OK</v>
      </c>
      <c r="Q87" s="69" t="e">
        <f t="shared" si="108"/>
        <v>#N/A</v>
      </c>
      <c r="R87" s="69" t="e">
        <f t="shared" si="109"/>
        <v>#N/A</v>
      </c>
      <c r="S87" s="69" t="e">
        <f t="shared" si="110"/>
        <v>#N/A</v>
      </c>
      <c r="T87" s="69" t="e">
        <f t="shared" si="111"/>
        <v>#N/A</v>
      </c>
      <c r="U87" s="69" t="e">
        <f t="shared" si="112"/>
        <v>#N/A</v>
      </c>
      <c r="V87" s="69" t="e">
        <f t="shared" si="113"/>
        <v>#N/A</v>
      </c>
      <c r="W87" s="69" t="e">
        <f t="shared" si="114"/>
        <v>#N/A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3.58</v>
      </c>
      <c r="AC87" s="69">
        <f t="shared" si="120"/>
        <v>-1.5740740740740711</v>
      </c>
      <c r="AD87" s="69" t="e">
        <f t="shared" si="121"/>
        <v>#N/A</v>
      </c>
      <c r="AE87" s="69" t="e">
        <f t="shared" si="122"/>
        <v>#N/A</v>
      </c>
      <c r="AF87" s="69" t="e">
        <f t="shared" si="123"/>
        <v>#N/A</v>
      </c>
      <c r="AG87" s="69">
        <f t="shared" si="124"/>
        <v>0</v>
      </c>
      <c r="AH87" s="69">
        <f t="shared" si="139"/>
        <v>0</v>
      </c>
      <c r="AI87" s="69">
        <f t="shared" si="125"/>
        <v>0</v>
      </c>
      <c r="AJ87" s="69">
        <f t="shared" si="141"/>
        <v>0</v>
      </c>
      <c r="AK87" s="69">
        <f t="shared" si="143"/>
        <v>1</v>
      </c>
      <c r="AL87" s="69" t="str">
        <f t="shared" si="126"/>
        <v>REJEITADO</v>
      </c>
      <c r="AM87" s="69" t="e">
        <f t="shared" si="127"/>
        <v>#N/A</v>
      </c>
      <c r="AN87" s="69" t="e">
        <f t="shared" si="128"/>
        <v>#N/A</v>
      </c>
      <c r="AO87" s="69" t="e">
        <f t="shared" si="129"/>
        <v>#N/A</v>
      </c>
      <c r="AP87" s="69" t="e">
        <f t="shared" si="130"/>
        <v>#N/A</v>
      </c>
      <c r="AQ87" s="69" t="e">
        <f t="shared" si="131"/>
        <v>#N/A</v>
      </c>
      <c r="AR87" s="69" t="e">
        <f t="shared" si="132"/>
        <v>#N/A</v>
      </c>
      <c r="AS87" s="69" t="e">
        <f t="shared" si="133"/>
        <v>#N/A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0</v>
      </c>
      <c r="E88" s="69" t="e">
        <f t="shared" si="99"/>
        <v>#N/A</v>
      </c>
      <c r="F88" s="69">
        <f t="shared" si="100"/>
        <v>0.97</v>
      </c>
      <c r="G88" s="69">
        <f t="shared" si="101"/>
        <v>-0.35555555555555562</v>
      </c>
      <c r="H88" s="69" t="e">
        <f t="shared" si="102"/>
        <v>#N/A</v>
      </c>
      <c r="I88" s="69" t="e">
        <f t="shared" si="103"/>
        <v>#N/A</v>
      </c>
      <c r="J88" s="69" t="e">
        <f t="shared" si="104"/>
        <v>#N/A</v>
      </c>
      <c r="K88" s="69">
        <f t="shared" si="105"/>
        <v>0</v>
      </c>
      <c r="L88" s="69">
        <f t="shared" si="138"/>
        <v>0</v>
      </c>
      <c r="M88" s="69">
        <f t="shared" si="106"/>
        <v>0</v>
      </c>
      <c r="N88" s="69">
        <f t="shared" si="140"/>
        <v>0</v>
      </c>
      <c r="O88" s="69">
        <f t="shared" si="142"/>
        <v>1</v>
      </c>
      <c r="P88" s="69" t="str">
        <f t="shared" si="107"/>
        <v>REJEITADO</v>
      </c>
      <c r="Q88" s="69" t="e">
        <f t="shared" si="108"/>
        <v>#N/A</v>
      </c>
      <c r="R88" s="69" t="e">
        <f t="shared" si="109"/>
        <v>#N/A</v>
      </c>
      <c r="S88" s="69" t="e">
        <f t="shared" si="110"/>
        <v>#N/A</v>
      </c>
      <c r="T88" s="69" t="e">
        <f t="shared" si="111"/>
        <v>#N/A</v>
      </c>
      <c r="U88" s="69" t="e">
        <f t="shared" si="112"/>
        <v>#N/A</v>
      </c>
      <c r="V88" s="69" t="e">
        <f t="shared" si="113"/>
        <v>#N/A</v>
      </c>
      <c r="W88" s="69" t="e">
        <f t="shared" si="114"/>
        <v>#N/A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3.66</v>
      </c>
      <c r="AC88" s="69">
        <f t="shared" si="120"/>
        <v>-1.1296296296296262</v>
      </c>
      <c r="AD88" s="69" t="e">
        <f t="shared" si="121"/>
        <v>#N/A</v>
      </c>
      <c r="AE88" s="69" t="e">
        <f t="shared" si="122"/>
        <v>#N/A</v>
      </c>
      <c r="AF88" s="69" t="e">
        <f t="shared" si="123"/>
        <v>#N/A</v>
      </c>
      <c r="AG88" s="69">
        <f t="shared" si="124"/>
        <v>0</v>
      </c>
      <c r="AH88" s="69">
        <f t="shared" si="139"/>
        <v>0</v>
      </c>
      <c r="AI88" s="69">
        <f t="shared" si="125"/>
        <v>0</v>
      </c>
      <c r="AJ88" s="69">
        <f t="shared" si="141"/>
        <v>0</v>
      </c>
      <c r="AK88" s="69">
        <f t="shared" si="143"/>
        <v>1</v>
      </c>
      <c r="AL88" s="69" t="str">
        <f t="shared" si="126"/>
        <v>REJEITADO</v>
      </c>
      <c r="AM88" s="69" t="e">
        <f t="shared" si="127"/>
        <v>#N/A</v>
      </c>
      <c r="AN88" s="69" t="e">
        <f t="shared" si="128"/>
        <v>#N/A</v>
      </c>
      <c r="AO88" s="69" t="e">
        <f t="shared" si="129"/>
        <v>#N/A</v>
      </c>
      <c r="AP88" s="69" t="e">
        <f t="shared" si="130"/>
        <v>#N/A</v>
      </c>
      <c r="AQ88" s="69" t="e">
        <f t="shared" si="131"/>
        <v>#N/A</v>
      </c>
      <c r="AR88" s="69" t="e">
        <f t="shared" si="132"/>
        <v>#N/A</v>
      </c>
      <c r="AS88" s="69" t="e">
        <f t="shared" si="133"/>
        <v>#N/A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0</v>
      </c>
      <c r="E89" s="69" t="e">
        <f t="shared" si="99"/>
        <v>#N/A</v>
      </c>
      <c r="F89" s="69">
        <f t="shared" si="100"/>
        <v>0.93</v>
      </c>
      <c r="G89" s="69">
        <f t="shared" si="101"/>
        <v>-0.75555555555555487</v>
      </c>
      <c r="H89" s="69" t="e">
        <f t="shared" si="102"/>
        <v>#N/A</v>
      </c>
      <c r="I89" s="69" t="e">
        <f t="shared" si="103"/>
        <v>#N/A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1</v>
      </c>
      <c r="P89" s="69" t="str">
        <f t="shared" si="107"/>
        <v>REJEITADO</v>
      </c>
      <c r="Q89" s="69" t="e">
        <f t="shared" si="108"/>
        <v>#N/A</v>
      </c>
      <c r="R89" s="69" t="e">
        <f t="shared" si="109"/>
        <v>#N/A</v>
      </c>
      <c r="S89" s="69" t="e">
        <f t="shared" si="110"/>
        <v>#N/A</v>
      </c>
      <c r="T89" s="69" t="e">
        <f t="shared" si="111"/>
        <v>#N/A</v>
      </c>
      <c r="U89" s="69" t="e">
        <f t="shared" si="112"/>
        <v>#N/A</v>
      </c>
      <c r="V89" s="69" t="e">
        <f t="shared" si="113"/>
        <v>#N/A</v>
      </c>
      <c r="W89" s="69" t="e">
        <f t="shared" si="114"/>
        <v>#N/A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3.35</v>
      </c>
      <c r="AC89" s="69">
        <f t="shared" si="120"/>
        <v>-2.8518518518518485</v>
      </c>
      <c r="AD89" s="69" t="e">
        <f t="shared" si="121"/>
        <v>#N/A</v>
      </c>
      <c r="AE89" s="69" t="e">
        <f t="shared" si="122"/>
        <v>#N/A</v>
      </c>
      <c r="AF89" s="69" t="e">
        <f t="shared" si="123"/>
        <v>#N/A</v>
      </c>
      <c r="AG89" s="69">
        <f t="shared" si="124"/>
        <v>0</v>
      </c>
      <c r="AH89" s="69">
        <f t="shared" si="139"/>
        <v>0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 t="e">
        <f t="shared" si="127"/>
        <v>#N/A</v>
      </c>
      <c r="AN89" s="69" t="e">
        <f t="shared" si="128"/>
        <v>#N/A</v>
      </c>
      <c r="AO89" s="69" t="e">
        <f t="shared" si="129"/>
        <v>#N/A</v>
      </c>
      <c r="AP89" s="69" t="e">
        <f t="shared" si="130"/>
        <v>#N/A</v>
      </c>
      <c r="AQ89" s="69" t="e">
        <f t="shared" si="131"/>
        <v>#N/A</v>
      </c>
      <c r="AR89" s="69" t="e">
        <f t="shared" si="132"/>
        <v>#N/A</v>
      </c>
      <c r="AS89" s="69" t="e">
        <f t="shared" si="133"/>
        <v>#N/A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0</v>
      </c>
      <c r="E90" s="69" t="e">
        <f t="shared" si="99"/>
        <v>#N/A</v>
      </c>
      <c r="F90" s="69">
        <f t="shared" si="100"/>
        <v>0.93</v>
      </c>
      <c r="G90" s="69">
        <f t="shared" si="101"/>
        <v>-0.75555555555555487</v>
      </c>
      <c r="H90" s="69" t="e">
        <f t="shared" si="102"/>
        <v>#N/A</v>
      </c>
      <c r="I90" s="69" t="e">
        <f t="shared" si="103"/>
        <v>#N/A</v>
      </c>
      <c r="J90" s="69" t="e">
        <f t="shared" si="104"/>
        <v>#N/A</v>
      </c>
      <c r="K90" s="69">
        <f t="shared" si="105"/>
        <v>0</v>
      </c>
      <c r="L90" s="69">
        <f t="shared" si="138"/>
        <v>0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 t="e">
        <f t="shared" si="108"/>
        <v>#N/A</v>
      </c>
      <c r="R90" s="69" t="e">
        <f t="shared" si="109"/>
        <v>#N/A</v>
      </c>
      <c r="S90" s="69" t="e">
        <f t="shared" si="110"/>
        <v>#N/A</v>
      </c>
      <c r="T90" s="69" t="e">
        <f t="shared" si="111"/>
        <v>#N/A</v>
      </c>
      <c r="U90" s="69" t="e">
        <f t="shared" si="112"/>
        <v>#N/A</v>
      </c>
      <c r="V90" s="69" t="e">
        <f t="shared" si="113"/>
        <v>#N/A</v>
      </c>
      <c r="W90" s="69" t="e">
        <f t="shared" si="114"/>
        <v>#N/A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3.34</v>
      </c>
      <c r="AC90" s="69">
        <f t="shared" si="120"/>
        <v>-2.9074074074074057</v>
      </c>
      <c r="AD90" s="69" t="e">
        <f t="shared" si="121"/>
        <v>#N/A</v>
      </c>
      <c r="AE90" s="69" t="e">
        <f t="shared" si="122"/>
        <v>#N/A</v>
      </c>
      <c r="AF90" s="69" t="e">
        <f t="shared" si="123"/>
        <v>#N/A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 t="e">
        <f t="shared" si="127"/>
        <v>#N/A</v>
      </c>
      <c r="AN90" s="69" t="e">
        <f t="shared" si="128"/>
        <v>#N/A</v>
      </c>
      <c r="AO90" s="69" t="e">
        <f t="shared" si="129"/>
        <v>#N/A</v>
      </c>
      <c r="AP90" s="69" t="e">
        <f t="shared" si="130"/>
        <v>#N/A</v>
      </c>
      <c r="AQ90" s="69" t="e">
        <f t="shared" si="131"/>
        <v>#N/A</v>
      </c>
      <c r="AR90" s="69" t="e">
        <f t="shared" si="132"/>
        <v>#N/A</v>
      </c>
      <c r="AS90" s="69" t="e">
        <f t="shared" si="133"/>
        <v>#N/A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0</v>
      </c>
      <c r="E91" s="69" t="e">
        <f t="shared" si="99"/>
        <v>#N/A</v>
      </c>
      <c r="F91" s="69">
        <f t="shared" si="100"/>
        <v>0.92</v>
      </c>
      <c r="G91" s="69">
        <f t="shared" si="101"/>
        <v>-0.85555555555555496</v>
      </c>
      <c r="H91" s="69" t="e">
        <f t="shared" si="102"/>
        <v>#N/A</v>
      </c>
      <c r="I91" s="69" t="e">
        <f t="shared" si="103"/>
        <v>#N/A</v>
      </c>
      <c r="J91" s="69" t="e">
        <f t="shared" si="104"/>
        <v>#N/A</v>
      </c>
      <c r="K91" s="69">
        <f t="shared" si="105"/>
        <v>0</v>
      </c>
      <c r="L91" s="69">
        <f t="shared" si="138"/>
        <v>0</v>
      </c>
      <c r="M91" s="69">
        <f t="shared" si="106"/>
        <v>0</v>
      </c>
      <c r="N91" s="69">
        <f t="shared" si="140"/>
        <v>0</v>
      </c>
      <c r="O91" s="69">
        <f t="shared" si="142"/>
        <v>1</v>
      </c>
      <c r="P91" s="69" t="str">
        <f t="shared" si="107"/>
        <v>REJEITADO</v>
      </c>
      <c r="Q91" s="69" t="e">
        <f t="shared" si="108"/>
        <v>#N/A</v>
      </c>
      <c r="R91" s="69" t="e">
        <f t="shared" si="109"/>
        <v>#N/A</v>
      </c>
      <c r="S91" s="69" t="e">
        <f t="shared" si="110"/>
        <v>#N/A</v>
      </c>
      <c r="T91" s="69" t="e">
        <f t="shared" si="111"/>
        <v>#N/A</v>
      </c>
      <c r="U91" s="69" t="e">
        <f t="shared" si="112"/>
        <v>#N/A</v>
      </c>
      <c r="V91" s="69" t="e">
        <f t="shared" si="113"/>
        <v>#N/A</v>
      </c>
      <c r="W91" s="69" t="e">
        <f t="shared" si="114"/>
        <v>#N/A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3.33</v>
      </c>
      <c r="AC91" s="69">
        <f t="shared" si="120"/>
        <v>-2.9629629629629601</v>
      </c>
      <c r="AD91" s="69" t="e">
        <f t="shared" si="121"/>
        <v>#N/A</v>
      </c>
      <c r="AE91" s="69" t="e">
        <f t="shared" si="122"/>
        <v>#N/A</v>
      </c>
      <c r="AF91" s="69" t="e">
        <f t="shared" si="123"/>
        <v>#N/A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 t="e">
        <f t="shared" si="127"/>
        <v>#N/A</v>
      </c>
      <c r="AN91" s="69" t="e">
        <f t="shared" si="128"/>
        <v>#N/A</v>
      </c>
      <c r="AO91" s="69" t="e">
        <f t="shared" si="129"/>
        <v>#N/A</v>
      </c>
      <c r="AP91" s="69" t="e">
        <f t="shared" si="130"/>
        <v>#N/A</v>
      </c>
      <c r="AQ91" s="69" t="e">
        <f t="shared" si="131"/>
        <v>#N/A</v>
      </c>
      <c r="AR91" s="69" t="e">
        <f t="shared" si="132"/>
        <v>#N/A</v>
      </c>
      <c r="AS91" s="69" t="e">
        <f t="shared" si="133"/>
        <v>#N/A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0</v>
      </c>
      <c r="E92" s="69" t="e">
        <f t="shared" si="99"/>
        <v>#N/A</v>
      </c>
      <c r="F92" s="69">
        <f t="shared" si="100"/>
        <v>0.9</v>
      </c>
      <c r="G92" s="69">
        <f t="shared" si="101"/>
        <v>-1.0555555555555551</v>
      </c>
      <c r="H92" s="69" t="e">
        <f t="shared" si="102"/>
        <v>#N/A</v>
      </c>
      <c r="I92" s="69" t="e">
        <f t="shared" si="103"/>
        <v>#N/A</v>
      </c>
      <c r="J92" s="69" t="e">
        <f t="shared" si="104"/>
        <v>#N/A</v>
      </c>
      <c r="K92" s="69">
        <f t="shared" si="105"/>
        <v>0</v>
      </c>
      <c r="L92" s="69">
        <f t="shared" si="138"/>
        <v>0</v>
      </c>
      <c r="M92" s="69">
        <f t="shared" si="106"/>
        <v>0</v>
      </c>
      <c r="N92" s="69">
        <f t="shared" si="140"/>
        <v>0</v>
      </c>
      <c r="O92" s="69">
        <f t="shared" si="142"/>
        <v>1</v>
      </c>
      <c r="P92" s="69" t="str">
        <f t="shared" si="107"/>
        <v>REJEITADO</v>
      </c>
      <c r="Q92" s="69" t="e">
        <f t="shared" si="108"/>
        <v>#N/A</v>
      </c>
      <c r="R92" s="69" t="e">
        <f t="shared" si="109"/>
        <v>#N/A</v>
      </c>
      <c r="S92" s="69" t="e">
        <f t="shared" si="110"/>
        <v>#N/A</v>
      </c>
      <c r="T92" s="69" t="e">
        <f t="shared" si="111"/>
        <v>#N/A</v>
      </c>
      <c r="U92" s="69" t="e">
        <f t="shared" si="112"/>
        <v>#N/A</v>
      </c>
      <c r="V92" s="69" t="e">
        <f t="shared" si="113"/>
        <v>#N/A</v>
      </c>
      <c r="W92" s="69" t="e">
        <f t="shared" si="114"/>
        <v>#N/A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3.36</v>
      </c>
      <c r="AC92" s="69">
        <f t="shared" si="120"/>
        <v>-2.7962962962962945</v>
      </c>
      <c r="AD92" s="69" t="e">
        <f t="shared" si="121"/>
        <v>#N/A</v>
      </c>
      <c r="AE92" s="69" t="e">
        <f t="shared" si="122"/>
        <v>#N/A</v>
      </c>
      <c r="AF92" s="69" t="e">
        <f t="shared" si="123"/>
        <v>#N/A</v>
      </c>
      <c r="AG92" s="69">
        <f t="shared" si="124"/>
        <v>0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 t="e">
        <f t="shared" si="127"/>
        <v>#N/A</v>
      </c>
      <c r="AN92" s="69" t="e">
        <f t="shared" si="128"/>
        <v>#N/A</v>
      </c>
      <c r="AO92" s="69" t="e">
        <f t="shared" si="129"/>
        <v>#N/A</v>
      </c>
      <c r="AP92" s="69" t="e">
        <f t="shared" si="130"/>
        <v>#N/A</v>
      </c>
      <c r="AQ92" s="69" t="e">
        <f t="shared" si="131"/>
        <v>#N/A</v>
      </c>
      <c r="AR92" s="69" t="e">
        <f t="shared" si="132"/>
        <v>#N/A</v>
      </c>
      <c r="AS92" s="69" t="e">
        <f t="shared" si="133"/>
        <v>#N/A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0</v>
      </c>
      <c r="E93" s="69" t="e">
        <f t="shared" si="99"/>
        <v>#N/A</v>
      </c>
      <c r="F93" s="69">
        <f t="shared" si="100"/>
        <v>0.95</v>
      </c>
      <c r="G93" s="69">
        <f t="shared" si="101"/>
        <v>-0.5555555555555558</v>
      </c>
      <c r="H93" s="69" t="e">
        <f t="shared" si="102"/>
        <v>#N/A</v>
      </c>
      <c r="I93" s="69" t="e">
        <f t="shared" si="103"/>
        <v>#N/A</v>
      </c>
      <c r="J93" s="69" t="e">
        <f t="shared" si="104"/>
        <v>#N/A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0</v>
      </c>
      <c r="O93" s="69">
        <f t="shared" si="142"/>
        <v>1</v>
      </c>
      <c r="P93" s="69" t="str">
        <f t="shared" si="107"/>
        <v>REJEITADO</v>
      </c>
      <c r="Q93" s="69" t="e">
        <f t="shared" si="108"/>
        <v>#N/A</v>
      </c>
      <c r="R93" s="69" t="e">
        <f t="shared" si="109"/>
        <v>#N/A</v>
      </c>
      <c r="S93" s="69" t="e">
        <f t="shared" si="110"/>
        <v>#N/A</v>
      </c>
      <c r="T93" s="69" t="e">
        <f t="shared" si="111"/>
        <v>#N/A</v>
      </c>
      <c r="U93" s="69" t="e">
        <f t="shared" si="112"/>
        <v>#N/A</v>
      </c>
      <c r="V93" s="69" t="e">
        <f t="shared" si="113"/>
        <v>#N/A</v>
      </c>
      <c r="W93" s="69" t="e">
        <f t="shared" si="114"/>
        <v>#N/A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3.46</v>
      </c>
      <c r="AC93" s="69">
        <f t="shared" si="120"/>
        <v>-2.2407407407407383</v>
      </c>
      <c r="AD93" s="69" t="e">
        <f t="shared" si="121"/>
        <v>#N/A</v>
      </c>
      <c r="AE93" s="69" t="e">
        <f t="shared" si="122"/>
        <v>#N/A</v>
      </c>
      <c r="AF93" s="69" t="e">
        <f t="shared" si="123"/>
        <v>#N/A</v>
      </c>
      <c r="AG93" s="69">
        <f t="shared" si="124"/>
        <v>0</v>
      </c>
      <c r="AH93" s="69">
        <f t="shared" si="139"/>
        <v>1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 t="e">
        <f t="shared" si="127"/>
        <v>#N/A</v>
      </c>
      <c r="AN93" s="69" t="e">
        <f t="shared" si="128"/>
        <v>#N/A</v>
      </c>
      <c r="AO93" s="69" t="e">
        <f t="shared" si="129"/>
        <v>#N/A</v>
      </c>
      <c r="AP93" s="69" t="e">
        <f t="shared" si="130"/>
        <v>#N/A</v>
      </c>
      <c r="AQ93" s="69" t="e">
        <f t="shared" si="131"/>
        <v>#N/A</v>
      </c>
      <c r="AR93" s="69" t="e">
        <f t="shared" si="132"/>
        <v>#N/A</v>
      </c>
      <c r="AS93" s="69" t="e">
        <f t="shared" si="133"/>
        <v>#N/A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0</v>
      </c>
      <c r="E94" s="69" t="e">
        <f t="shared" si="99"/>
        <v>#N/A</v>
      </c>
      <c r="F94" s="69">
        <f t="shared" si="100"/>
        <v>0.94</v>
      </c>
      <c r="G94" s="69">
        <f t="shared" si="101"/>
        <v>-0.65555555555555589</v>
      </c>
      <c r="H94" s="69" t="e">
        <f t="shared" si="102"/>
        <v>#N/A</v>
      </c>
      <c r="I94" s="69" t="e">
        <f t="shared" si="103"/>
        <v>#N/A</v>
      </c>
      <c r="J94" s="69" t="e">
        <f t="shared" si="104"/>
        <v>#N/A</v>
      </c>
      <c r="K94" s="69">
        <f t="shared" si="105"/>
        <v>0</v>
      </c>
      <c r="L94" s="69">
        <f t="shared" si="138"/>
        <v>0</v>
      </c>
      <c r="M94" s="69">
        <f t="shared" si="106"/>
        <v>0</v>
      </c>
      <c r="N94" s="69">
        <f t="shared" si="140"/>
        <v>0</v>
      </c>
      <c r="O94" s="69">
        <f t="shared" si="142"/>
        <v>1</v>
      </c>
      <c r="P94" s="69" t="str">
        <f t="shared" si="107"/>
        <v>REJEITADO</v>
      </c>
      <c r="Q94" s="69" t="e">
        <f t="shared" si="108"/>
        <v>#N/A</v>
      </c>
      <c r="R94" s="69" t="e">
        <f t="shared" si="109"/>
        <v>#N/A</v>
      </c>
      <c r="S94" s="69" t="e">
        <f t="shared" si="110"/>
        <v>#N/A</v>
      </c>
      <c r="T94" s="69" t="e">
        <f t="shared" si="111"/>
        <v>#N/A</v>
      </c>
      <c r="U94" s="69" t="e">
        <f t="shared" si="112"/>
        <v>#N/A</v>
      </c>
      <c r="V94" s="69" t="e">
        <f t="shared" si="113"/>
        <v>#N/A</v>
      </c>
      <c r="W94" s="69" t="e">
        <f t="shared" si="114"/>
        <v>#N/A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3.45</v>
      </c>
      <c r="AC94" s="69">
        <f t="shared" si="120"/>
        <v>-2.2962962962962927</v>
      </c>
      <c r="AD94" s="69" t="e">
        <f t="shared" si="121"/>
        <v>#N/A</v>
      </c>
      <c r="AE94" s="69" t="e">
        <f t="shared" si="122"/>
        <v>#N/A</v>
      </c>
      <c r="AF94" s="69" t="e">
        <f t="shared" si="123"/>
        <v>#N/A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 t="e">
        <f t="shared" si="127"/>
        <v>#N/A</v>
      </c>
      <c r="AN94" s="69" t="e">
        <f t="shared" si="128"/>
        <v>#N/A</v>
      </c>
      <c r="AO94" s="69" t="e">
        <f t="shared" si="129"/>
        <v>#N/A</v>
      </c>
      <c r="AP94" s="69" t="e">
        <f t="shared" si="130"/>
        <v>#N/A</v>
      </c>
      <c r="AQ94" s="69" t="e">
        <f t="shared" si="131"/>
        <v>#N/A</v>
      </c>
      <c r="AR94" s="69" t="e">
        <f t="shared" si="132"/>
        <v>#N/A</v>
      </c>
      <c r="AS94" s="69" t="e">
        <f t="shared" si="133"/>
        <v>#N/A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0</v>
      </c>
      <c r="E95" s="69" t="e">
        <f t="shared" si="99"/>
        <v>#N/A</v>
      </c>
      <c r="F95" s="69">
        <f t="shared" si="100"/>
        <v>0.93</v>
      </c>
      <c r="G95" s="69">
        <f t="shared" si="101"/>
        <v>-0.75555555555555487</v>
      </c>
      <c r="H95" s="69" t="e">
        <f t="shared" si="102"/>
        <v>#N/A</v>
      </c>
      <c r="I95" s="69" t="e">
        <f t="shared" si="103"/>
        <v>#N/A</v>
      </c>
      <c r="J95" s="69" t="e">
        <f t="shared" si="104"/>
        <v>#N/A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0</v>
      </c>
      <c r="O95" s="69">
        <f t="shared" si="142"/>
        <v>1</v>
      </c>
      <c r="P95" s="69" t="str">
        <f t="shared" si="107"/>
        <v>REJEITADO</v>
      </c>
      <c r="Q95" s="69" t="e">
        <f t="shared" si="108"/>
        <v>#N/A</v>
      </c>
      <c r="R95" s="69" t="e">
        <f t="shared" si="109"/>
        <v>#N/A</v>
      </c>
      <c r="S95" s="69" t="e">
        <f t="shared" si="110"/>
        <v>#N/A</v>
      </c>
      <c r="T95" s="69" t="e">
        <f t="shared" si="111"/>
        <v>#N/A</v>
      </c>
      <c r="U95" s="69" t="e">
        <f t="shared" si="112"/>
        <v>#N/A</v>
      </c>
      <c r="V95" s="69" t="e">
        <f t="shared" si="113"/>
        <v>#N/A</v>
      </c>
      <c r="W95" s="69" t="e">
        <f t="shared" si="114"/>
        <v>#N/A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 t="e">
        <f t="shared" si="127"/>
        <v>#N/A</v>
      </c>
      <c r="AN95" s="69" t="e">
        <f t="shared" si="128"/>
        <v>#N/A</v>
      </c>
      <c r="AO95" s="69" t="e">
        <f t="shared" si="129"/>
        <v>#N/A</v>
      </c>
      <c r="AP95" s="69" t="e">
        <f t="shared" si="130"/>
        <v>#N/A</v>
      </c>
      <c r="AQ95" s="69" t="e">
        <f t="shared" si="131"/>
        <v>#N/A</v>
      </c>
      <c r="AR95" s="69" t="e">
        <f t="shared" si="132"/>
        <v>#N/A</v>
      </c>
      <c r="AS95" s="69" t="e">
        <f t="shared" si="133"/>
        <v>#N/A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0</v>
      </c>
      <c r="E96" s="69" t="e">
        <f t="shared" si="99"/>
        <v>#N/A</v>
      </c>
      <c r="F96" s="69">
        <f t="shared" si="100"/>
        <v>0.95</v>
      </c>
      <c r="G96" s="69">
        <f t="shared" si="101"/>
        <v>-0.5555555555555558</v>
      </c>
      <c r="H96" s="69" t="e">
        <f t="shared" si="102"/>
        <v>#N/A</v>
      </c>
      <c r="I96" s="69" t="e">
        <f t="shared" si="103"/>
        <v>#N/A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1</v>
      </c>
      <c r="P96" s="69" t="str">
        <f t="shared" si="107"/>
        <v>REJEITADO</v>
      </c>
      <c r="Q96" s="69" t="e">
        <f t="shared" si="108"/>
        <v>#N/A</v>
      </c>
      <c r="R96" s="69" t="e">
        <f t="shared" si="109"/>
        <v>#N/A</v>
      </c>
      <c r="S96" s="69" t="e">
        <f t="shared" si="110"/>
        <v>#N/A</v>
      </c>
      <c r="T96" s="69" t="e">
        <f t="shared" si="111"/>
        <v>#N/A</v>
      </c>
      <c r="U96" s="69" t="e">
        <f t="shared" si="112"/>
        <v>#N/A</v>
      </c>
      <c r="V96" s="69" t="e">
        <f t="shared" si="113"/>
        <v>#N/A</v>
      </c>
      <c r="W96" s="69" t="e">
        <f t="shared" si="114"/>
        <v>#N/A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3.53</v>
      </c>
      <c r="AC96" s="69">
        <f t="shared" si="120"/>
        <v>-1.8518518518518503</v>
      </c>
      <c r="AD96" s="69" t="e">
        <f t="shared" si="121"/>
        <v>#N/A</v>
      </c>
      <c r="AE96" s="69" t="e">
        <f t="shared" si="122"/>
        <v>#N/A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 t="e">
        <f t="shared" si="127"/>
        <v>#N/A</v>
      </c>
      <c r="AN96" s="69" t="e">
        <f t="shared" si="128"/>
        <v>#N/A</v>
      </c>
      <c r="AO96" s="69" t="e">
        <f t="shared" si="129"/>
        <v>#N/A</v>
      </c>
      <c r="AP96" s="69" t="e">
        <f t="shared" si="130"/>
        <v>#N/A</v>
      </c>
      <c r="AQ96" s="69" t="e">
        <f t="shared" si="131"/>
        <v>#N/A</v>
      </c>
      <c r="AR96" s="69" t="e">
        <f t="shared" si="132"/>
        <v>#N/A</v>
      </c>
      <c r="AS96" s="69" t="e">
        <f t="shared" si="133"/>
        <v>#N/A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0</v>
      </c>
      <c r="E97" s="69" t="e">
        <f t="shared" si="99"/>
        <v>#N/A</v>
      </c>
      <c r="F97" s="69">
        <f t="shared" si="100"/>
        <v>0.96</v>
      </c>
      <c r="G97" s="69">
        <f t="shared" si="101"/>
        <v>-0.45555555555555571</v>
      </c>
      <c r="H97" s="69" t="e">
        <f t="shared" si="102"/>
        <v>#N/A</v>
      </c>
      <c r="I97" s="69" t="e">
        <f t="shared" si="103"/>
        <v>#N/A</v>
      </c>
      <c r="J97" s="69" t="e">
        <f t="shared" si="104"/>
        <v>#N/A</v>
      </c>
      <c r="K97" s="69">
        <f t="shared" si="105"/>
        <v>0</v>
      </c>
      <c r="L97" s="69">
        <f t="shared" si="138"/>
        <v>0</v>
      </c>
      <c r="M97" s="69">
        <f t="shared" si="106"/>
        <v>0</v>
      </c>
      <c r="N97" s="69">
        <f t="shared" si="140"/>
        <v>0</v>
      </c>
      <c r="O97" s="69">
        <f t="shared" si="142"/>
        <v>1</v>
      </c>
      <c r="P97" s="69" t="str">
        <f t="shared" si="107"/>
        <v>REJEITADO</v>
      </c>
      <c r="Q97" s="69" t="e">
        <f t="shared" si="108"/>
        <v>#N/A</v>
      </c>
      <c r="R97" s="69" t="e">
        <f t="shared" si="109"/>
        <v>#N/A</v>
      </c>
      <c r="S97" s="69" t="e">
        <f t="shared" si="110"/>
        <v>#N/A</v>
      </c>
      <c r="T97" s="69" t="e">
        <f t="shared" si="111"/>
        <v>#N/A</v>
      </c>
      <c r="U97" s="69" t="e">
        <f t="shared" si="112"/>
        <v>#N/A</v>
      </c>
      <c r="V97" s="69" t="e">
        <f t="shared" si="113"/>
        <v>#N/A</v>
      </c>
      <c r="W97" s="69" t="e">
        <f t="shared" si="114"/>
        <v>#N/A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3.6</v>
      </c>
      <c r="AC97" s="69">
        <f t="shared" si="120"/>
        <v>-1.4629629629629597</v>
      </c>
      <c r="AD97" s="69" t="e">
        <f t="shared" si="121"/>
        <v>#N/A</v>
      </c>
      <c r="AE97" s="69" t="e">
        <f t="shared" si="122"/>
        <v>#N/A</v>
      </c>
      <c r="AF97" s="69" t="e">
        <f t="shared" si="123"/>
        <v>#N/A</v>
      </c>
      <c r="AG97" s="69">
        <f t="shared" si="124"/>
        <v>0</v>
      </c>
      <c r="AH97" s="69">
        <f t="shared" si="139"/>
        <v>0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OK</v>
      </c>
      <c r="AM97" s="69" t="e">
        <f t="shared" si="127"/>
        <v>#N/A</v>
      </c>
      <c r="AN97" s="69" t="e">
        <f t="shared" si="128"/>
        <v>#N/A</v>
      </c>
      <c r="AO97" s="69" t="e">
        <f t="shared" si="129"/>
        <v>#N/A</v>
      </c>
      <c r="AP97" s="69" t="e">
        <f t="shared" si="130"/>
        <v>#N/A</v>
      </c>
      <c r="AQ97" s="69" t="e">
        <f t="shared" si="131"/>
        <v>#N/A</v>
      </c>
      <c r="AR97" s="69" t="e">
        <f t="shared" si="132"/>
        <v>#N/A</v>
      </c>
      <c r="AS97" s="69" t="e">
        <f t="shared" si="133"/>
        <v>#N/A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0</v>
      </c>
      <c r="E98" s="69" t="e">
        <f t="shared" si="99"/>
        <v>#N/A</v>
      </c>
      <c r="F98" s="69">
        <f t="shared" si="100"/>
        <v>0.97</v>
      </c>
      <c r="G98" s="69">
        <f t="shared" si="101"/>
        <v>-0.35555555555555562</v>
      </c>
      <c r="H98" s="69" t="e">
        <f t="shared" si="102"/>
        <v>#N/A</v>
      </c>
      <c r="I98" s="69" t="e">
        <f t="shared" si="103"/>
        <v>#N/A</v>
      </c>
      <c r="J98" s="69" t="e">
        <f t="shared" si="104"/>
        <v>#N/A</v>
      </c>
      <c r="K98" s="69">
        <f t="shared" si="105"/>
        <v>0</v>
      </c>
      <c r="L98" s="69">
        <f t="shared" si="138"/>
        <v>0</v>
      </c>
      <c r="M98" s="69">
        <f t="shared" si="106"/>
        <v>0</v>
      </c>
      <c r="N98" s="69">
        <f t="shared" si="140"/>
        <v>0</v>
      </c>
      <c r="O98" s="69">
        <f t="shared" si="142"/>
        <v>1</v>
      </c>
      <c r="P98" s="69" t="str">
        <f t="shared" si="107"/>
        <v>REJEITADO</v>
      </c>
      <c r="Q98" s="69" t="e">
        <f t="shared" si="108"/>
        <v>#N/A</v>
      </c>
      <c r="R98" s="69" t="e">
        <f t="shared" si="109"/>
        <v>#N/A</v>
      </c>
      <c r="S98" s="69" t="e">
        <f t="shared" si="110"/>
        <v>#N/A</v>
      </c>
      <c r="T98" s="69" t="e">
        <f t="shared" si="111"/>
        <v>#N/A</v>
      </c>
      <c r="U98" s="69" t="e">
        <f t="shared" si="112"/>
        <v>#N/A</v>
      </c>
      <c r="V98" s="69" t="e">
        <f t="shared" si="113"/>
        <v>#N/A</v>
      </c>
      <c r="W98" s="69" t="e">
        <f t="shared" si="114"/>
        <v>#N/A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3.51</v>
      </c>
      <c r="AC98" s="69">
        <f t="shared" si="120"/>
        <v>-1.9629629629629615</v>
      </c>
      <c r="AD98" s="69" t="e">
        <f t="shared" si="121"/>
        <v>#N/A</v>
      </c>
      <c r="AE98" s="69" t="e">
        <f t="shared" si="122"/>
        <v>#N/A</v>
      </c>
      <c r="AF98" s="69" t="e">
        <f t="shared" si="123"/>
        <v>#N/A</v>
      </c>
      <c r="AG98" s="69">
        <f t="shared" si="124"/>
        <v>0</v>
      </c>
      <c r="AH98" s="69">
        <f t="shared" si="139"/>
        <v>0</v>
      </c>
      <c r="AI98" s="69">
        <f t="shared" si="125"/>
        <v>0</v>
      </c>
      <c r="AJ98" s="69">
        <f t="shared" si="141"/>
        <v>0</v>
      </c>
      <c r="AK98" s="69">
        <f t="shared" si="143"/>
        <v>0</v>
      </c>
      <c r="AL98" s="69" t="str">
        <f t="shared" si="126"/>
        <v>OK</v>
      </c>
      <c r="AM98" s="69" t="e">
        <f t="shared" si="127"/>
        <v>#N/A</v>
      </c>
      <c r="AN98" s="69" t="e">
        <f t="shared" si="128"/>
        <v>#N/A</v>
      </c>
      <c r="AO98" s="69" t="e">
        <f t="shared" si="129"/>
        <v>#N/A</v>
      </c>
      <c r="AP98" s="69" t="e">
        <f t="shared" si="130"/>
        <v>#N/A</v>
      </c>
      <c r="AQ98" s="69" t="e">
        <f t="shared" si="131"/>
        <v>#N/A</v>
      </c>
      <c r="AR98" s="69" t="e">
        <f t="shared" si="132"/>
        <v>#N/A</v>
      </c>
      <c r="AS98" s="69" t="e">
        <f t="shared" si="133"/>
        <v>#N/A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69" t="e">
        <f t="shared" ref="E99:E130" si="147">IF(OR($B99="",$D99=0),NA(),$A99)</f>
        <v>#N/A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0.96</v>
      </c>
      <c r="G99" s="69">
        <f t="shared" ref="G99:G130" si="149">IF(OR($F99="",$AY$1=""),"",($F99-$AX$1)/$AY$1)</f>
        <v>-0.45555555555555571</v>
      </c>
      <c r="H99" s="69" t="e">
        <f t="shared" ref="H99:H130" si="150">IF(AND($F99&lt;&gt;"",$D99=1),$F99,NA())</f>
        <v>#N/A</v>
      </c>
      <c r="I99" s="69" t="e">
        <f t="shared" ref="I99:I130" si="151">IF(AND($F99&lt;&gt;"",$D99=1,$P99="OK"),$F99,NA())</f>
        <v>#N/A</v>
      </c>
      <c r="J99" s="69" t="e">
        <f t="shared" ref="J99:J130" si="152">IF(AND($F99&lt;&gt;"",$D99=1,$P99&lt;&gt;"OK",$P99&lt;&gt;""),$F99,NA())</f>
        <v>#N/A</v>
      </c>
      <c r="K99" s="69">
        <f t="shared" ref="K99:K130" si="153">IF($F99="",0,IF(ABS($G99)&gt;3,1,0))</f>
        <v>0</v>
      </c>
      <c r="L99" s="69">
        <f t="shared" si="138"/>
        <v>0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0</v>
      </c>
      <c r="O99" s="69">
        <f t="shared" si="142"/>
        <v>1</v>
      </c>
      <c r="P99" s="69" t="str">
        <f t="shared" ref="P99:P130" si="155">IF($F99="","",IF(SUM($K99,$L99,$M99,$N99,$O99)&gt;0,"REJEITADO","OK"))</f>
        <v>REJEITADO</v>
      </c>
      <c r="Q99" s="69" t="e">
        <f t="shared" ref="Q99:Q130" si="156">IF(AND($D99=1,$AX$1&lt;&gt;""),$AX$1+(-3)*$AY$1,NA())</f>
        <v>#N/A</v>
      </c>
      <c r="R99" s="69" t="e">
        <f t="shared" ref="R99:R130" si="157">IF(AND($D99=1,$AX$1&lt;&gt;""),$AX$1+(-2)*$AY$1,NA())</f>
        <v>#N/A</v>
      </c>
      <c r="S99" s="69" t="e">
        <f t="shared" ref="S99:S130" si="158">IF(AND($D99=1,$AX$1&lt;&gt;""),$AX$1+(-1)*$AY$1,NA())</f>
        <v>#N/A</v>
      </c>
      <c r="T99" s="69" t="e">
        <f t="shared" ref="T99:T130" si="159">IF(AND($D99=1,$AX$1&lt;&gt;""),$AX$1,NA())</f>
        <v>#N/A</v>
      </c>
      <c r="U99" s="69" t="e">
        <f t="shared" ref="U99:U130" si="160">IF(AND($D99=1,$AX$1&lt;&gt;""),$AX$1+(1)*$AY$1,NA())</f>
        <v>#N/A</v>
      </c>
      <c r="V99" s="69" t="e">
        <f t="shared" ref="V99:V130" si="161">IF(AND($D99=1,$AX$1&lt;&gt;""),$AX$1+(2)*$AY$1,NA())</f>
        <v>#N/A</v>
      </c>
      <c r="W99" s="69" t="e">
        <f t="shared" ref="W99:W130" si="162">IF(AND($D99=1,$AX$1&lt;&gt;""),$AX$1+(3)*$AY$1,NA())</f>
        <v>#N/A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3.54</v>
      </c>
      <c r="AC99" s="69">
        <f t="shared" ref="AC99:AC130" si="168">IF(OR($AB99="",$BA$1=""),"",($AB99-$AZ$1)/$BA$1)</f>
        <v>-1.7962962962962934</v>
      </c>
      <c r="AD99" s="69" t="e">
        <f t="shared" ref="AD99:AD130" si="169">IF(AND($AB99&lt;&gt;"",$D99=1),$AB99,NA())</f>
        <v>#N/A</v>
      </c>
      <c r="AE99" s="69" t="e">
        <f t="shared" ref="AE99:AE130" si="170">IF(AND($AB99&lt;&gt;"",$D99=1,$AL99="OK"),$AB99,NA())</f>
        <v>#N/A</v>
      </c>
      <c r="AF99" s="69" t="e">
        <f t="shared" ref="AF99:AF130" si="171">IF(AND($AB99&lt;&gt;"",$D99=1,$AL99&lt;&gt;"OK",$AL99&lt;&gt;""),$AB99,NA())</f>
        <v>#N/A</v>
      </c>
      <c r="AG99" s="69">
        <f t="shared" ref="AG99:AG130" si="172">IF($AB99="",0,IF(ABS($AC99)&gt;3,1,0))</f>
        <v>0</v>
      </c>
      <c r="AH99" s="69">
        <f t="shared" si="139"/>
        <v>0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1</v>
      </c>
      <c r="AL99" s="69" t="str">
        <f t="shared" ref="AL99:AL130" si="174">IF($AB99="","",IF(SUM($AG99,$AH99,$AI99,$AJ99,$AK99)&gt;0,"REJEITADO","OK"))</f>
        <v>REJEITADO</v>
      </c>
      <c r="AM99" s="69" t="e">
        <f t="shared" ref="AM99:AM130" si="175">IF(AND($D99=1,$AZ$1&lt;&gt;""),$AZ$1+(-3)*$BA$1,NA())</f>
        <v>#N/A</v>
      </c>
      <c r="AN99" s="69" t="e">
        <f t="shared" ref="AN99:AN130" si="176">IF(AND($D99=1,$AZ$1&lt;&gt;""),$AZ$1+(-2)*$BA$1,NA())</f>
        <v>#N/A</v>
      </c>
      <c r="AO99" s="69" t="e">
        <f t="shared" ref="AO99:AO130" si="177">IF(AND($D99=1,$AZ$1&lt;&gt;""),$AZ$1+(-1)*$BA$1,NA())</f>
        <v>#N/A</v>
      </c>
      <c r="AP99" s="69" t="e">
        <f t="shared" ref="AP99:AP130" si="178">IF(AND($D99=1,$AZ$1&lt;&gt;""),$AZ$1,NA())</f>
        <v>#N/A</v>
      </c>
      <c r="AQ99" s="69" t="e">
        <f t="shared" ref="AQ99:AQ130" si="179">IF(AND($D99=1,$AZ$1&lt;&gt;""),$AZ$1+(1)*$BA$1,NA())</f>
        <v>#N/A</v>
      </c>
      <c r="AR99" s="69" t="e">
        <f t="shared" ref="AR99:AR130" si="180">IF(AND($D99=1,$AZ$1&lt;&gt;""),$AZ$1+(2)*$BA$1,NA())</f>
        <v>#N/A</v>
      </c>
      <c r="AS99" s="69" t="e">
        <f t="shared" ref="AS99:AS130" si="181">IF(AND($D99=1,$AZ$1&lt;&gt;""),$AZ$1+(3)*$BA$1,NA())</f>
        <v>#N/A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0</v>
      </c>
      <c r="E100" s="69" t="e">
        <f t="shared" si="147"/>
        <v>#N/A</v>
      </c>
      <c r="F100" s="69">
        <f t="shared" si="148"/>
        <v>0.95</v>
      </c>
      <c r="G100" s="69">
        <f t="shared" si="149"/>
        <v>-0.5555555555555558</v>
      </c>
      <c r="H100" s="69" t="e">
        <f t="shared" si="150"/>
        <v>#N/A</v>
      </c>
      <c r="I100" s="69" t="e">
        <f t="shared" si="151"/>
        <v>#N/A</v>
      </c>
      <c r="J100" s="69" t="e">
        <f t="shared" si="152"/>
        <v>#N/A</v>
      </c>
      <c r="K100" s="69">
        <f t="shared" si="153"/>
        <v>0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69">
        <f t="shared" si="154"/>
        <v>0</v>
      </c>
      <c r="N100" s="69">
        <f t="shared" si="140"/>
        <v>0</v>
      </c>
      <c r="O100" s="69">
        <f t="shared" si="142"/>
        <v>1</v>
      </c>
      <c r="P100" s="69" t="str">
        <f t="shared" si="155"/>
        <v>REJEITADO</v>
      </c>
      <c r="Q100" s="69" t="e">
        <f t="shared" si="156"/>
        <v>#N/A</v>
      </c>
      <c r="R100" s="69" t="e">
        <f t="shared" si="157"/>
        <v>#N/A</v>
      </c>
      <c r="S100" s="69" t="e">
        <f t="shared" si="158"/>
        <v>#N/A</v>
      </c>
      <c r="T100" s="69" t="e">
        <f t="shared" si="159"/>
        <v>#N/A</v>
      </c>
      <c r="U100" s="69" t="e">
        <f t="shared" si="160"/>
        <v>#N/A</v>
      </c>
      <c r="V100" s="69" t="e">
        <f t="shared" si="161"/>
        <v>#N/A</v>
      </c>
      <c r="W100" s="69" t="e">
        <f t="shared" si="162"/>
        <v>#N/A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3.5</v>
      </c>
      <c r="AC100" s="69">
        <f t="shared" si="168"/>
        <v>-2.0185185185185159</v>
      </c>
      <c r="AD100" s="69" t="e">
        <f t="shared" si="169"/>
        <v>#N/A</v>
      </c>
      <c r="AE100" s="69" t="e">
        <f t="shared" si="170"/>
        <v>#N/A</v>
      </c>
      <c r="AF100" s="69" t="e">
        <f t="shared" si="171"/>
        <v>#N/A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 t="e">
        <f t="shared" si="175"/>
        <v>#N/A</v>
      </c>
      <c r="AN100" s="69" t="e">
        <f t="shared" si="176"/>
        <v>#N/A</v>
      </c>
      <c r="AO100" s="69" t="e">
        <f t="shared" si="177"/>
        <v>#N/A</v>
      </c>
      <c r="AP100" s="69" t="e">
        <f t="shared" si="178"/>
        <v>#N/A</v>
      </c>
      <c r="AQ100" s="69" t="e">
        <f t="shared" si="179"/>
        <v>#N/A</v>
      </c>
      <c r="AR100" s="69" t="e">
        <f t="shared" si="180"/>
        <v>#N/A</v>
      </c>
      <c r="AS100" s="69" t="e">
        <f t="shared" si="181"/>
        <v>#N/A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0</v>
      </c>
      <c r="E101" s="69" t="e">
        <f t="shared" si="147"/>
        <v>#N/A</v>
      </c>
      <c r="F101" s="69">
        <f t="shared" si="148"/>
        <v>0.9</v>
      </c>
      <c r="G101" s="69">
        <f t="shared" si="149"/>
        <v>-1.0555555555555551</v>
      </c>
      <c r="H101" s="69" t="e">
        <f t="shared" si="150"/>
        <v>#N/A</v>
      </c>
      <c r="I101" s="69" t="e">
        <f t="shared" si="151"/>
        <v>#N/A</v>
      </c>
      <c r="J101" s="69" t="e">
        <f t="shared" si="152"/>
        <v>#N/A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0</v>
      </c>
      <c r="O101" s="69">
        <f t="shared" si="142"/>
        <v>1</v>
      </c>
      <c r="P101" s="69" t="str">
        <f t="shared" si="155"/>
        <v>REJEITADO</v>
      </c>
      <c r="Q101" s="69" t="e">
        <f t="shared" si="156"/>
        <v>#N/A</v>
      </c>
      <c r="R101" s="69" t="e">
        <f t="shared" si="157"/>
        <v>#N/A</v>
      </c>
      <c r="S101" s="69" t="e">
        <f t="shared" si="158"/>
        <v>#N/A</v>
      </c>
      <c r="T101" s="69" t="e">
        <f t="shared" si="159"/>
        <v>#N/A</v>
      </c>
      <c r="U101" s="69" t="e">
        <f t="shared" si="160"/>
        <v>#N/A</v>
      </c>
      <c r="V101" s="69" t="e">
        <f t="shared" si="161"/>
        <v>#N/A</v>
      </c>
      <c r="W101" s="69" t="e">
        <f t="shared" si="162"/>
        <v>#N/A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3.63</v>
      </c>
      <c r="AC101" s="69">
        <f t="shared" si="168"/>
        <v>-1.2962962962962943</v>
      </c>
      <c r="AD101" s="69" t="e">
        <f t="shared" si="169"/>
        <v>#N/A</v>
      </c>
      <c r="AE101" s="69" t="e">
        <f t="shared" si="170"/>
        <v>#N/A</v>
      </c>
      <c r="AF101" s="69" t="e">
        <f t="shared" si="171"/>
        <v>#N/A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 t="e">
        <f t="shared" si="175"/>
        <v>#N/A</v>
      </c>
      <c r="AN101" s="69" t="e">
        <f t="shared" si="176"/>
        <v>#N/A</v>
      </c>
      <c r="AO101" s="69" t="e">
        <f t="shared" si="177"/>
        <v>#N/A</v>
      </c>
      <c r="AP101" s="69" t="e">
        <f t="shared" si="178"/>
        <v>#N/A</v>
      </c>
      <c r="AQ101" s="69" t="e">
        <f t="shared" si="179"/>
        <v>#N/A</v>
      </c>
      <c r="AR101" s="69" t="e">
        <f t="shared" si="180"/>
        <v>#N/A</v>
      </c>
      <c r="AS101" s="69" t="e">
        <f t="shared" si="181"/>
        <v>#N/A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0</v>
      </c>
      <c r="E102" s="69" t="e">
        <f t="shared" si="147"/>
        <v>#N/A</v>
      </c>
      <c r="F102" s="69">
        <f t="shared" si="148"/>
        <v>0.94</v>
      </c>
      <c r="G102" s="69">
        <f t="shared" si="149"/>
        <v>-0.65555555555555589</v>
      </c>
      <c r="H102" s="69" t="e">
        <f t="shared" si="150"/>
        <v>#N/A</v>
      </c>
      <c r="I102" s="69" t="e">
        <f t="shared" si="151"/>
        <v>#N/A</v>
      </c>
      <c r="J102" s="69" t="e">
        <f t="shared" si="152"/>
        <v>#N/A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69">
        <f t="shared" si="142"/>
        <v>1</v>
      </c>
      <c r="P102" s="69" t="str">
        <f t="shared" si="155"/>
        <v>REJEITADO</v>
      </c>
      <c r="Q102" s="69" t="e">
        <f t="shared" si="156"/>
        <v>#N/A</v>
      </c>
      <c r="R102" s="69" t="e">
        <f t="shared" si="157"/>
        <v>#N/A</v>
      </c>
      <c r="S102" s="69" t="e">
        <f t="shared" si="158"/>
        <v>#N/A</v>
      </c>
      <c r="T102" s="69" t="e">
        <f t="shared" si="159"/>
        <v>#N/A</v>
      </c>
      <c r="U102" s="69" t="e">
        <f t="shared" si="160"/>
        <v>#N/A</v>
      </c>
      <c r="V102" s="69" t="e">
        <f t="shared" si="161"/>
        <v>#N/A</v>
      </c>
      <c r="W102" s="69" t="e">
        <f t="shared" si="162"/>
        <v>#N/A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3.57</v>
      </c>
      <c r="AC102" s="69">
        <f t="shared" si="168"/>
        <v>-1.6296296296296278</v>
      </c>
      <c r="AD102" s="69" t="e">
        <f t="shared" si="169"/>
        <v>#N/A</v>
      </c>
      <c r="AE102" s="69" t="e">
        <f t="shared" si="170"/>
        <v>#N/A</v>
      </c>
      <c r="AF102" s="69" t="e">
        <f t="shared" si="171"/>
        <v>#N/A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 t="e">
        <f t="shared" si="175"/>
        <v>#N/A</v>
      </c>
      <c r="AN102" s="69" t="e">
        <f t="shared" si="176"/>
        <v>#N/A</v>
      </c>
      <c r="AO102" s="69" t="e">
        <f t="shared" si="177"/>
        <v>#N/A</v>
      </c>
      <c r="AP102" s="69" t="e">
        <f t="shared" si="178"/>
        <v>#N/A</v>
      </c>
      <c r="AQ102" s="69" t="e">
        <f t="shared" si="179"/>
        <v>#N/A</v>
      </c>
      <c r="AR102" s="69" t="e">
        <f t="shared" si="180"/>
        <v>#N/A</v>
      </c>
      <c r="AS102" s="69" t="e">
        <f t="shared" si="181"/>
        <v>#N/A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0</v>
      </c>
      <c r="E103" s="69" t="e">
        <f t="shared" si="147"/>
        <v>#N/A</v>
      </c>
      <c r="F103" s="69">
        <f t="shared" si="148"/>
        <v>0.95</v>
      </c>
      <c r="G103" s="69">
        <f t="shared" si="149"/>
        <v>-0.5555555555555558</v>
      </c>
      <c r="H103" s="69" t="e">
        <f t="shared" si="150"/>
        <v>#N/A</v>
      </c>
      <c r="I103" s="69" t="e">
        <f t="shared" si="151"/>
        <v>#N/A</v>
      </c>
      <c r="J103" s="69" t="e">
        <f t="shared" si="152"/>
        <v>#N/A</v>
      </c>
      <c r="K103" s="69">
        <f t="shared" si="153"/>
        <v>0</v>
      </c>
      <c r="L103" s="69">
        <f t="shared" si="186"/>
        <v>0</v>
      </c>
      <c r="M103" s="69">
        <f t="shared" si="154"/>
        <v>0</v>
      </c>
      <c r="N103" s="69">
        <f t="shared" si="188"/>
        <v>0</v>
      </c>
      <c r="O103" s="69">
        <f t="shared" si="142"/>
        <v>1</v>
      </c>
      <c r="P103" s="69" t="str">
        <f t="shared" si="155"/>
        <v>REJEITADO</v>
      </c>
      <c r="Q103" s="69" t="e">
        <f t="shared" si="156"/>
        <v>#N/A</v>
      </c>
      <c r="R103" s="69" t="e">
        <f t="shared" si="157"/>
        <v>#N/A</v>
      </c>
      <c r="S103" s="69" t="e">
        <f t="shared" si="158"/>
        <v>#N/A</v>
      </c>
      <c r="T103" s="69" t="e">
        <f t="shared" si="159"/>
        <v>#N/A</v>
      </c>
      <c r="U103" s="69" t="e">
        <f t="shared" si="160"/>
        <v>#N/A</v>
      </c>
      <c r="V103" s="69" t="e">
        <f t="shared" si="161"/>
        <v>#N/A</v>
      </c>
      <c r="W103" s="69" t="e">
        <f t="shared" si="162"/>
        <v>#N/A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3.54</v>
      </c>
      <c r="AC103" s="69">
        <f t="shared" si="168"/>
        <v>-1.7962962962962934</v>
      </c>
      <c r="AD103" s="69" t="e">
        <f t="shared" si="169"/>
        <v>#N/A</v>
      </c>
      <c r="AE103" s="69" t="e">
        <f t="shared" si="170"/>
        <v>#N/A</v>
      </c>
      <c r="AF103" s="69" t="e">
        <f t="shared" si="171"/>
        <v>#N/A</v>
      </c>
      <c r="AG103" s="69">
        <f t="shared" si="172"/>
        <v>0</v>
      </c>
      <c r="AH103" s="69">
        <f t="shared" si="187"/>
        <v>0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 t="e">
        <f t="shared" si="175"/>
        <v>#N/A</v>
      </c>
      <c r="AN103" s="69" t="e">
        <f t="shared" si="176"/>
        <v>#N/A</v>
      </c>
      <c r="AO103" s="69" t="e">
        <f t="shared" si="177"/>
        <v>#N/A</v>
      </c>
      <c r="AP103" s="69" t="e">
        <f t="shared" si="178"/>
        <v>#N/A</v>
      </c>
      <c r="AQ103" s="69" t="e">
        <f t="shared" si="179"/>
        <v>#N/A</v>
      </c>
      <c r="AR103" s="69" t="e">
        <f t="shared" si="180"/>
        <v>#N/A</v>
      </c>
      <c r="AS103" s="69" t="e">
        <f t="shared" si="181"/>
        <v>#N/A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0</v>
      </c>
      <c r="E104" s="69" t="e">
        <f t="shared" si="147"/>
        <v>#N/A</v>
      </c>
      <c r="F104" s="69">
        <f t="shared" si="148"/>
        <v>0.94</v>
      </c>
      <c r="G104" s="69">
        <f t="shared" si="149"/>
        <v>-0.65555555555555589</v>
      </c>
      <c r="H104" s="69" t="e">
        <f t="shared" si="150"/>
        <v>#N/A</v>
      </c>
      <c r="I104" s="69" t="e">
        <f t="shared" si="151"/>
        <v>#N/A</v>
      </c>
      <c r="J104" s="69" t="e">
        <f t="shared" si="152"/>
        <v>#N/A</v>
      </c>
      <c r="K104" s="69">
        <f t="shared" si="153"/>
        <v>0</v>
      </c>
      <c r="L104" s="69">
        <f t="shared" si="186"/>
        <v>0</v>
      </c>
      <c r="M104" s="69">
        <f t="shared" si="154"/>
        <v>0</v>
      </c>
      <c r="N104" s="69">
        <f t="shared" si="188"/>
        <v>0</v>
      </c>
      <c r="O104" s="69">
        <f t="shared" si="142"/>
        <v>1</v>
      </c>
      <c r="P104" s="69" t="str">
        <f t="shared" si="155"/>
        <v>REJEITADO</v>
      </c>
      <c r="Q104" s="69" t="e">
        <f t="shared" si="156"/>
        <v>#N/A</v>
      </c>
      <c r="R104" s="69" t="e">
        <f t="shared" si="157"/>
        <v>#N/A</v>
      </c>
      <c r="S104" s="69" t="e">
        <f t="shared" si="158"/>
        <v>#N/A</v>
      </c>
      <c r="T104" s="69" t="e">
        <f t="shared" si="159"/>
        <v>#N/A</v>
      </c>
      <c r="U104" s="69" t="e">
        <f t="shared" si="160"/>
        <v>#N/A</v>
      </c>
      <c r="V104" s="69" t="e">
        <f t="shared" si="161"/>
        <v>#N/A</v>
      </c>
      <c r="W104" s="69" t="e">
        <f t="shared" si="162"/>
        <v>#N/A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3.51</v>
      </c>
      <c r="AC104" s="69">
        <f t="shared" si="168"/>
        <v>-1.9629629629629615</v>
      </c>
      <c r="AD104" s="69" t="e">
        <f t="shared" si="169"/>
        <v>#N/A</v>
      </c>
      <c r="AE104" s="69" t="e">
        <f t="shared" si="170"/>
        <v>#N/A</v>
      </c>
      <c r="AF104" s="69" t="e">
        <f t="shared" si="171"/>
        <v>#N/A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 t="e">
        <f t="shared" si="175"/>
        <v>#N/A</v>
      </c>
      <c r="AN104" s="69" t="e">
        <f t="shared" si="176"/>
        <v>#N/A</v>
      </c>
      <c r="AO104" s="69" t="e">
        <f t="shared" si="177"/>
        <v>#N/A</v>
      </c>
      <c r="AP104" s="69" t="e">
        <f t="shared" si="178"/>
        <v>#N/A</v>
      </c>
      <c r="AQ104" s="69" t="e">
        <f t="shared" si="179"/>
        <v>#N/A</v>
      </c>
      <c r="AR104" s="69" t="e">
        <f t="shared" si="180"/>
        <v>#N/A</v>
      </c>
      <c r="AS104" s="69" t="e">
        <f t="shared" si="181"/>
        <v>#N/A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0</v>
      </c>
      <c r="E105" s="69" t="e">
        <f t="shared" si="147"/>
        <v>#N/A</v>
      </c>
      <c r="F105" s="69">
        <f t="shared" si="148"/>
        <v>0.95</v>
      </c>
      <c r="G105" s="69">
        <f t="shared" si="149"/>
        <v>-0.5555555555555558</v>
      </c>
      <c r="H105" s="69" t="e">
        <f t="shared" si="150"/>
        <v>#N/A</v>
      </c>
      <c r="I105" s="69" t="e">
        <f t="shared" si="151"/>
        <v>#N/A</v>
      </c>
      <c r="J105" s="69" t="e">
        <f t="shared" si="152"/>
        <v>#N/A</v>
      </c>
      <c r="K105" s="69">
        <f t="shared" si="153"/>
        <v>0</v>
      </c>
      <c r="L105" s="69">
        <f t="shared" si="186"/>
        <v>0</v>
      </c>
      <c r="M105" s="69">
        <f t="shared" si="154"/>
        <v>0</v>
      </c>
      <c r="N105" s="69">
        <f t="shared" si="188"/>
        <v>0</v>
      </c>
      <c r="O105" s="69">
        <f t="shared" si="142"/>
        <v>1</v>
      </c>
      <c r="P105" s="69" t="str">
        <f t="shared" si="155"/>
        <v>REJEITADO</v>
      </c>
      <c r="Q105" s="69" t="e">
        <f t="shared" si="156"/>
        <v>#N/A</v>
      </c>
      <c r="R105" s="69" t="e">
        <f t="shared" si="157"/>
        <v>#N/A</v>
      </c>
      <c r="S105" s="69" t="e">
        <f t="shared" si="158"/>
        <v>#N/A</v>
      </c>
      <c r="T105" s="69" t="e">
        <f t="shared" si="159"/>
        <v>#N/A</v>
      </c>
      <c r="U105" s="69" t="e">
        <f t="shared" si="160"/>
        <v>#N/A</v>
      </c>
      <c r="V105" s="69" t="e">
        <f t="shared" si="161"/>
        <v>#N/A</v>
      </c>
      <c r="W105" s="69" t="e">
        <f t="shared" si="162"/>
        <v>#N/A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3.6</v>
      </c>
      <c r="AC105" s="69">
        <f t="shared" si="168"/>
        <v>-1.4629629629629597</v>
      </c>
      <c r="AD105" s="69" t="e">
        <f t="shared" si="169"/>
        <v>#N/A</v>
      </c>
      <c r="AE105" s="69" t="e">
        <f t="shared" si="170"/>
        <v>#N/A</v>
      </c>
      <c r="AF105" s="69" t="e">
        <f t="shared" si="171"/>
        <v>#N/A</v>
      </c>
      <c r="AG105" s="69">
        <f t="shared" si="172"/>
        <v>0</v>
      </c>
      <c r="AH105" s="69">
        <f t="shared" si="187"/>
        <v>0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 t="e">
        <f t="shared" si="175"/>
        <v>#N/A</v>
      </c>
      <c r="AN105" s="69" t="e">
        <f t="shared" si="176"/>
        <v>#N/A</v>
      </c>
      <c r="AO105" s="69" t="e">
        <f t="shared" si="177"/>
        <v>#N/A</v>
      </c>
      <c r="AP105" s="69" t="e">
        <f t="shared" si="178"/>
        <v>#N/A</v>
      </c>
      <c r="AQ105" s="69" t="e">
        <f t="shared" si="179"/>
        <v>#N/A</v>
      </c>
      <c r="AR105" s="69" t="e">
        <f t="shared" si="180"/>
        <v>#N/A</v>
      </c>
      <c r="AS105" s="69" t="e">
        <f t="shared" si="181"/>
        <v>#N/A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0</v>
      </c>
      <c r="E106" s="69" t="e">
        <f t="shared" si="147"/>
        <v>#N/A</v>
      </c>
      <c r="F106" s="69">
        <f t="shared" si="148"/>
        <v>0.97</v>
      </c>
      <c r="G106" s="69">
        <f t="shared" si="149"/>
        <v>-0.35555555555555562</v>
      </c>
      <c r="H106" s="69" t="e">
        <f t="shared" si="150"/>
        <v>#N/A</v>
      </c>
      <c r="I106" s="69" t="e">
        <f t="shared" si="151"/>
        <v>#N/A</v>
      </c>
      <c r="J106" s="69" t="e">
        <f t="shared" si="152"/>
        <v>#N/A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0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 t="e">
        <f t="shared" si="156"/>
        <v>#N/A</v>
      </c>
      <c r="R106" s="69" t="e">
        <f t="shared" si="157"/>
        <v>#N/A</v>
      </c>
      <c r="S106" s="69" t="e">
        <f t="shared" si="158"/>
        <v>#N/A</v>
      </c>
      <c r="T106" s="69" t="e">
        <f t="shared" si="159"/>
        <v>#N/A</v>
      </c>
      <c r="U106" s="69" t="e">
        <f t="shared" si="160"/>
        <v>#N/A</v>
      </c>
      <c r="V106" s="69" t="e">
        <f t="shared" si="161"/>
        <v>#N/A</v>
      </c>
      <c r="W106" s="69" t="e">
        <f t="shared" si="162"/>
        <v>#N/A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3.65</v>
      </c>
      <c r="AC106" s="69">
        <f t="shared" si="168"/>
        <v>-1.1851851851851829</v>
      </c>
      <c r="AD106" s="69" t="e">
        <f t="shared" si="169"/>
        <v>#N/A</v>
      </c>
      <c r="AE106" s="69" t="e">
        <f t="shared" si="170"/>
        <v>#N/A</v>
      </c>
      <c r="AF106" s="69" t="e">
        <f t="shared" si="171"/>
        <v>#N/A</v>
      </c>
      <c r="AG106" s="69">
        <f t="shared" si="172"/>
        <v>0</v>
      </c>
      <c r="AH106" s="69">
        <f t="shared" si="187"/>
        <v>0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 t="e">
        <f t="shared" si="175"/>
        <v>#N/A</v>
      </c>
      <c r="AN106" s="69" t="e">
        <f t="shared" si="176"/>
        <v>#N/A</v>
      </c>
      <c r="AO106" s="69" t="e">
        <f t="shared" si="177"/>
        <v>#N/A</v>
      </c>
      <c r="AP106" s="69" t="e">
        <f t="shared" si="178"/>
        <v>#N/A</v>
      </c>
      <c r="AQ106" s="69" t="e">
        <f t="shared" si="179"/>
        <v>#N/A</v>
      </c>
      <c r="AR106" s="69" t="e">
        <f t="shared" si="180"/>
        <v>#N/A</v>
      </c>
      <c r="AS106" s="69" t="e">
        <f t="shared" si="181"/>
        <v>#N/A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0</v>
      </c>
      <c r="E107" s="69" t="e">
        <f t="shared" si="147"/>
        <v>#N/A</v>
      </c>
      <c r="F107" s="69">
        <f t="shared" si="148"/>
        <v>0.96</v>
      </c>
      <c r="G107" s="69">
        <f t="shared" si="149"/>
        <v>-0.45555555555555571</v>
      </c>
      <c r="H107" s="69" t="e">
        <f t="shared" si="150"/>
        <v>#N/A</v>
      </c>
      <c r="I107" s="69" t="e">
        <f t="shared" si="151"/>
        <v>#N/A</v>
      </c>
      <c r="J107" s="69" t="e">
        <f t="shared" si="152"/>
        <v>#N/A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 t="e">
        <f t="shared" si="156"/>
        <v>#N/A</v>
      </c>
      <c r="R107" s="69" t="e">
        <f t="shared" si="157"/>
        <v>#N/A</v>
      </c>
      <c r="S107" s="69" t="e">
        <f t="shared" si="158"/>
        <v>#N/A</v>
      </c>
      <c r="T107" s="69" t="e">
        <f t="shared" si="159"/>
        <v>#N/A</v>
      </c>
      <c r="U107" s="69" t="e">
        <f t="shared" si="160"/>
        <v>#N/A</v>
      </c>
      <c r="V107" s="69" t="e">
        <f t="shared" si="161"/>
        <v>#N/A</v>
      </c>
      <c r="W107" s="69" t="e">
        <f t="shared" si="162"/>
        <v>#N/A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3.5</v>
      </c>
      <c r="AC107" s="69">
        <f t="shared" si="168"/>
        <v>-2.0185185185185159</v>
      </c>
      <c r="AD107" s="69" t="e">
        <f t="shared" si="169"/>
        <v>#N/A</v>
      </c>
      <c r="AE107" s="69" t="e">
        <f t="shared" si="170"/>
        <v>#N/A</v>
      </c>
      <c r="AF107" s="69" t="e">
        <f t="shared" si="171"/>
        <v>#N/A</v>
      </c>
      <c r="AG107" s="69">
        <f t="shared" si="172"/>
        <v>0</v>
      </c>
      <c r="AH107" s="69">
        <f t="shared" si="187"/>
        <v>0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 t="e">
        <f t="shared" si="175"/>
        <v>#N/A</v>
      </c>
      <c r="AN107" s="69" t="e">
        <f t="shared" si="176"/>
        <v>#N/A</v>
      </c>
      <c r="AO107" s="69" t="e">
        <f t="shared" si="177"/>
        <v>#N/A</v>
      </c>
      <c r="AP107" s="69" t="e">
        <f t="shared" si="178"/>
        <v>#N/A</v>
      </c>
      <c r="AQ107" s="69" t="e">
        <f t="shared" si="179"/>
        <v>#N/A</v>
      </c>
      <c r="AR107" s="69" t="e">
        <f t="shared" si="180"/>
        <v>#N/A</v>
      </c>
      <c r="AS107" s="69" t="e">
        <f t="shared" si="181"/>
        <v>#N/A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0</v>
      </c>
      <c r="E108" s="69" t="e">
        <f t="shared" si="147"/>
        <v>#N/A</v>
      </c>
      <c r="F108" s="69">
        <f t="shared" si="148"/>
        <v>0.95</v>
      </c>
      <c r="G108" s="69">
        <f t="shared" si="149"/>
        <v>-0.5555555555555558</v>
      </c>
      <c r="H108" s="69" t="e">
        <f t="shared" si="150"/>
        <v>#N/A</v>
      </c>
      <c r="I108" s="69" t="e">
        <f t="shared" si="151"/>
        <v>#N/A</v>
      </c>
      <c r="J108" s="69" t="e">
        <f t="shared" si="152"/>
        <v>#N/A</v>
      </c>
      <c r="K108" s="69">
        <f t="shared" si="153"/>
        <v>0</v>
      </c>
      <c r="L108" s="69">
        <f t="shared" si="186"/>
        <v>0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 t="e">
        <f t="shared" si="156"/>
        <v>#N/A</v>
      </c>
      <c r="R108" s="69" t="e">
        <f t="shared" si="157"/>
        <v>#N/A</v>
      </c>
      <c r="S108" s="69" t="e">
        <f t="shared" si="158"/>
        <v>#N/A</v>
      </c>
      <c r="T108" s="69" t="e">
        <f t="shared" si="159"/>
        <v>#N/A</v>
      </c>
      <c r="U108" s="69" t="e">
        <f t="shared" si="160"/>
        <v>#N/A</v>
      </c>
      <c r="V108" s="69" t="e">
        <f t="shared" si="161"/>
        <v>#N/A</v>
      </c>
      <c r="W108" s="69" t="e">
        <f t="shared" si="162"/>
        <v>#N/A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3.54</v>
      </c>
      <c r="AC108" s="69">
        <f t="shared" si="168"/>
        <v>-1.7962962962962934</v>
      </c>
      <c r="AD108" s="69" t="e">
        <f t="shared" si="169"/>
        <v>#N/A</v>
      </c>
      <c r="AE108" s="69" t="e">
        <f t="shared" si="170"/>
        <v>#N/A</v>
      </c>
      <c r="AF108" s="69" t="e">
        <f t="shared" si="171"/>
        <v>#N/A</v>
      </c>
      <c r="AG108" s="69">
        <f t="shared" si="172"/>
        <v>0</v>
      </c>
      <c r="AH108" s="69">
        <f t="shared" si="187"/>
        <v>0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 t="e">
        <f t="shared" si="175"/>
        <v>#N/A</v>
      </c>
      <c r="AN108" s="69" t="e">
        <f t="shared" si="176"/>
        <v>#N/A</v>
      </c>
      <c r="AO108" s="69" t="e">
        <f t="shared" si="177"/>
        <v>#N/A</v>
      </c>
      <c r="AP108" s="69" t="e">
        <f t="shared" si="178"/>
        <v>#N/A</v>
      </c>
      <c r="AQ108" s="69" t="e">
        <f t="shared" si="179"/>
        <v>#N/A</v>
      </c>
      <c r="AR108" s="69" t="e">
        <f t="shared" si="180"/>
        <v>#N/A</v>
      </c>
      <c r="AS108" s="69" t="e">
        <f t="shared" si="181"/>
        <v>#N/A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0</v>
      </c>
      <c r="E109" s="69" t="e">
        <f t="shared" si="147"/>
        <v>#N/A</v>
      </c>
      <c r="F109" s="69">
        <f t="shared" si="148"/>
        <v>0.92</v>
      </c>
      <c r="G109" s="69">
        <f t="shared" si="149"/>
        <v>-0.85555555555555496</v>
      </c>
      <c r="H109" s="69" t="e">
        <f t="shared" si="150"/>
        <v>#N/A</v>
      </c>
      <c r="I109" s="69" t="e">
        <f t="shared" si="151"/>
        <v>#N/A</v>
      </c>
      <c r="J109" s="69" t="e">
        <f t="shared" si="152"/>
        <v>#N/A</v>
      </c>
      <c r="K109" s="69">
        <f t="shared" si="153"/>
        <v>0</v>
      </c>
      <c r="L109" s="69">
        <f t="shared" si="186"/>
        <v>0</v>
      </c>
      <c r="M109" s="69">
        <f t="shared" si="154"/>
        <v>0</v>
      </c>
      <c r="N109" s="69">
        <f t="shared" si="188"/>
        <v>0</v>
      </c>
      <c r="O109" s="69">
        <f t="shared" si="190"/>
        <v>1</v>
      </c>
      <c r="P109" s="69" t="str">
        <f t="shared" si="155"/>
        <v>REJEITADO</v>
      </c>
      <c r="Q109" s="69" t="e">
        <f t="shared" si="156"/>
        <v>#N/A</v>
      </c>
      <c r="R109" s="69" t="e">
        <f t="shared" si="157"/>
        <v>#N/A</v>
      </c>
      <c r="S109" s="69" t="e">
        <f t="shared" si="158"/>
        <v>#N/A</v>
      </c>
      <c r="T109" s="69" t="e">
        <f t="shared" si="159"/>
        <v>#N/A</v>
      </c>
      <c r="U109" s="69" t="e">
        <f t="shared" si="160"/>
        <v>#N/A</v>
      </c>
      <c r="V109" s="69" t="e">
        <f t="shared" si="161"/>
        <v>#N/A</v>
      </c>
      <c r="W109" s="69" t="e">
        <f t="shared" si="162"/>
        <v>#N/A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3.43</v>
      </c>
      <c r="AC109" s="69">
        <f t="shared" si="168"/>
        <v>-2.4074074074074039</v>
      </c>
      <c r="AD109" s="69" t="e">
        <f t="shared" si="169"/>
        <v>#N/A</v>
      </c>
      <c r="AE109" s="69" t="e">
        <f t="shared" si="170"/>
        <v>#N/A</v>
      </c>
      <c r="AF109" s="69" t="e">
        <f t="shared" si="171"/>
        <v>#N/A</v>
      </c>
      <c r="AG109" s="69">
        <f t="shared" si="172"/>
        <v>0</v>
      </c>
      <c r="AH109" s="69">
        <f t="shared" si="187"/>
        <v>0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 t="e">
        <f t="shared" si="175"/>
        <v>#N/A</v>
      </c>
      <c r="AN109" s="69" t="e">
        <f t="shared" si="176"/>
        <v>#N/A</v>
      </c>
      <c r="AO109" s="69" t="e">
        <f t="shared" si="177"/>
        <v>#N/A</v>
      </c>
      <c r="AP109" s="69" t="e">
        <f t="shared" si="178"/>
        <v>#N/A</v>
      </c>
      <c r="AQ109" s="69" t="e">
        <f t="shared" si="179"/>
        <v>#N/A</v>
      </c>
      <c r="AR109" s="69" t="e">
        <f t="shared" si="180"/>
        <v>#N/A</v>
      </c>
      <c r="AS109" s="69" t="e">
        <f t="shared" si="181"/>
        <v>#N/A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0</v>
      </c>
      <c r="E110" s="69" t="e">
        <f t="shared" si="147"/>
        <v>#N/A</v>
      </c>
      <c r="F110" s="69">
        <f t="shared" si="148"/>
        <v>0.98</v>
      </c>
      <c r="G110" s="69">
        <f t="shared" si="149"/>
        <v>-0.25555555555555554</v>
      </c>
      <c r="H110" s="69" t="e">
        <f t="shared" si="150"/>
        <v>#N/A</v>
      </c>
      <c r="I110" s="69" t="e">
        <f t="shared" si="151"/>
        <v>#N/A</v>
      </c>
      <c r="J110" s="69" t="e">
        <f t="shared" si="152"/>
        <v>#N/A</v>
      </c>
      <c r="K110" s="69">
        <f t="shared" si="153"/>
        <v>0</v>
      </c>
      <c r="L110" s="69">
        <f t="shared" si="186"/>
        <v>0</v>
      </c>
      <c r="M110" s="69">
        <f t="shared" si="154"/>
        <v>0</v>
      </c>
      <c r="N110" s="69">
        <f t="shared" si="188"/>
        <v>0</v>
      </c>
      <c r="O110" s="69">
        <f t="shared" si="190"/>
        <v>1</v>
      </c>
      <c r="P110" s="69" t="str">
        <f t="shared" si="155"/>
        <v>REJEITADO</v>
      </c>
      <c r="Q110" s="69" t="e">
        <f t="shared" si="156"/>
        <v>#N/A</v>
      </c>
      <c r="R110" s="69" t="e">
        <f t="shared" si="157"/>
        <v>#N/A</v>
      </c>
      <c r="S110" s="69" t="e">
        <f t="shared" si="158"/>
        <v>#N/A</v>
      </c>
      <c r="T110" s="69" t="e">
        <f t="shared" si="159"/>
        <v>#N/A</v>
      </c>
      <c r="U110" s="69" t="e">
        <f t="shared" si="160"/>
        <v>#N/A</v>
      </c>
      <c r="V110" s="69" t="e">
        <f t="shared" si="161"/>
        <v>#N/A</v>
      </c>
      <c r="W110" s="69" t="e">
        <f t="shared" si="162"/>
        <v>#N/A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3.5</v>
      </c>
      <c r="AC110" s="69">
        <f t="shared" si="168"/>
        <v>-2.0185185185185159</v>
      </c>
      <c r="AD110" s="69" t="e">
        <f t="shared" si="169"/>
        <v>#N/A</v>
      </c>
      <c r="AE110" s="69" t="e">
        <f t="shared" si="170"/>
        <v>#N/A</v>
      </c>
      <c r="AF110" s="69" t="e">
        <f t="shared" si="171"/>
        <v>#N/A</v>
      </c>
      <c r="AG110" s="69">
        <f t="shared" si="172"/>
        <v>0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 t="e">
        <f t="shared" si="175"/>
        <v>#N/A</v>
      </c>
      <c r="AN110" s="69" t="e">
        <f t="shared" si="176"/>
        <v>#N/A</v>
      </c>
      <c r="AO110" s="69" t="e">
        <f t="shared" si="177"/>
        <v>#N/A</v>
      </c>
      <c r="AP110" s="69" t="e">
        <f t="shared" si="178"/>
        <v>#N/A</v>
      </c>
      <c r="AQ110" s="69" t="e">
        <f t="shared" si="179"/>
        <v>#N/A</v>
      </c>
      <c r="AR110" s="69" t="e">
        <f t="shared" si="180"/>
        <v>#N/A</v>
      </c>
      <c r="AS110" s="69" t="e">
        <f t="shared" si="181"/>
        <v>#N/A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0</v>
      </c>
      <c r="E111" s="69" t="e">
        <f t="shared" si="147"/>
        <v>#N/A</v>
      </c>
      <c r="F111" s="69">
        <f t="shared" si="148"/>
        <v>0.97</v>
      </c>
      <c r="G111" s="69">
        <f t="shared" si="149"/>
        <v>-0.35555555555555562</v>
      </c>
      <c r="H111" s="69" t="e">
        <f t="shared" si="150"/>
        <v>#N/A</v>
      </c>
      <c r="I111" s="69" t="e">
        <f t="shared" si="151"/>
        <v>#N/A</v>
      </c>
      <c r="J111" s="69" t="e">
        <f t="shared" si="152"/>
        <v>#N/A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0</v>
      </c>
      <c r="O111" s="69">
        <f t="shared" si="190"/>
        <v>1</v>
      </c>
      <c r="P111" s="69" t="str">
        <f t="shared" si="155"/>
        <v>REJEITADO</v>
      </c>
      <c r="Q111" s="69" t="e">
        <f t="shared" si="156"/>
        <v>#N/A</v>
      </c>
      <c r="R111" s="69" t="e">
        <f t="shared" si="157"/>
        <v>#N/A</v>
      </c>
      <c r="S111" s="69" t="e">
        <f t="shared" si="158"/>
        <v>#N/A</v>
      </c>
      <c r="T111" s="69" t="e">
        <f t="shared" si="159"/>
        <v>#N/A</v>
      </c>
      <c r="U111" s="69" t="e">
        <f t="shared" si="160"/>
        <v>#N/A</v>
      </c>
      <c r="V111" s="69" t="e">
        <f t="shared" si="161"/>
        <v>#N/A</v>
      </c>
      <c r="W111" s="69" t="e">
        <f t="shared" si="162"/>
        <v>#N/A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3.65</v>
      </c>
      <c r="AC111" s="69">
        <f t="shared" si="168"/>
        <v>-1.1851851851851829</v>
      </c>
      <c r="AD111" s="69" t="e">
        <f t="shared" si="169"/>
        <v>#N/A</v>
      </c>
      <c r="AE111" s="69" t="e">
        <f t="shared" si="170"/>
        <v>#N/A</v>
      </c>
      <c r="AF111" s="69" t="e">
        <f t="shared" si="171"/>
        <v>#N/A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1</v>
      </c>
      <c r="AK111" s="69">
        <f t="shared" si="191"/>
        <v>1</v>
      </c>
      <c r="AL111" s="69" t="str">
        <f t="shared" si="174"/>
        <v>REJEITADO</v>
      </c>
      <c r="AM111" s="69" t="e">
        <f t="shared" si="175"/>
        <v>#N/A</v>
      </c>
      <c r="AN111" s="69" t="e">
        <f t="shared" si="176"/>
        <v>#N/A</v>
      </c>
      <c r="AO111" s="69" t="e">
        <f t="shared" si="177"/>
        <v>#N/A</v>
      </c>
      <c r="AP111" s="69" t="e">
        <f t="shared" si="178"/>
        <v>#N/A</v>
      </c>
      <c r="AQ111" s="69" t="e">
        <f t="shared" si="179"/>
        <v>#N/A</v>
      </c>
      <c r="AR111" s="69" t="e">
        <f t="shared" si="180"/>
        <v>#N/A</v>
      </c>
      <c r="AS111" s="69" t="e">
        <f t="shared" si="181"/>
        <v>#N/A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0</v>
      </c>
      <c r="E112" s="69" t="e">
        <f t="shared" si="147"/>
        <v>#N/A</v>
      </c>
      <c r="F112" s="69">
        <f t="shared" si="148"/>
        <v>0.99</v>
      </c>
      <c r="G112" s="69">
        <f t="shared" si="149"/>
        <v>-0.15555555555555545</v>
      </c>
      <c r="H112" s="69" t="e">
        <f t="shared" si="150"/>
        <v>#N/A</v>
      </c>
      <c r="I112" s="69" t="e">
        <f t="shared" si="151"/>
        <v>#N/A</v>
      </c>
      <c r="J112" s="69" t="e">
        <f t="shared" si="152"/>
        <v>#N/A</v>
      </c>
      <c r="K112" s="69">
        <f t="shared" si="153"/>
        <v>0</v>
      </c>
      <c r="L112" s="69">
        <f t="shared" si="186"/>
        <v>0</v>
      </c>
      <c r="M112" s="69">
        <f t="shared" si="154"/>
        <v>0</v>
      </c>
      <c r="N112" s="69">
        <f t="shared" si="188"/>
        <v>0</v>
      </c>
      <c r="O112" s="69">
        <f t="shared" si="190"/>
        <v>1</v>
      </c>
      <c r="P112" s="69" t="str">
        <f t="shared" si="155"/>
        <v>REJEITADO</v>
      </c>
      <c r="Q112" s="69" t="e">
        <f t="shared" si="156"/>
        <v>#N/A</v>
      </c>
      <c r="R112" s="69" t="e">
        <f t="shared" si="157"/>
        <v>#N/A</v>
      </c>
      <c r="S112" s="69" t="e">
        <f t="shared" si="158"/>
        <v>#N/A</v>
      </c>
      <c r="T112" s="69" t="e">
        <f t="shared" si="159"/>
        <v>#N/A</v>
      </c>
      <c r="U112" s="69" t="e">
        <f t="shared" si="160"/>
        <v>#N/A</v>
      </c>
      <c r="V112" s="69" t="e">
        <f t="shared" si="161"/>
        <v>#N/A</v>
      </c>
      <c r="W112" s="69" t="e">
        <f t="shared" si="162"/>
        <v>#N/A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3.5</v>
      </c>
      <c r="AC112" s="69">
        <f t="shared" si="168"/>
        <v>-2.0185185185185159</v>
      </c>
      <c r="AD112" s="69" t="e">
        <f t="shared" si="169"/>
        <v>#N/A</v>
      </c>
      <c r="AE112" s="69" t="e">
        <f t="shared" si="170"/>
        <v>#N/A</v>
      </c>
      <c r="AF112" s="69" t="e">
        <f t="shared" si="171"/>
        <v>#N/A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1</v>
      </c>
      <c r="AK112" s="69">
        <f t="shared" si="191"/>
        <v>1</v>
      </c>
      <c r="AL112" s="69" t="str">
        <f t="shared" si="174"/>
        <v>REJEITADO</v>
      </c>
      <c r="AM112" s="69" t="e">
        <f t="shared" si="175"/>
        <v>#N/A</v>
      </c>
      <c r="AN112" s="69" t="e">
        <f t="shared" si="176"/>
        <v>#N/A</v>
      </c>
      <c r="AO112" s="69" t="e">
        <f t="shared" si="177"/>
        <v>#N/A</v>
      </c>
      <c r="AP112" s="69" t="e">
        <f t="shared" si="178"/>
        <v>#N/A</v>
      </c>
      <c r="AQ112" s="69" t="e">
        <f t="shared" si="179"/>
        <v>#N/A</v>
      </c>
      <c r="AR112" s="69" t="e">
        <f t="shared" si="180"/>
        <v>#N/A</v>
      </c>
      <c r="AS112" s="69" t="e">
        <f t="shared" si="181"/>
        <v>#N/A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0</v>
      </c>
      <c r="E113" s="69" t="e">
        <f t="shared" si="147"/>
        <v>#N/A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 t="e">
        <f t="shared" si="156"/>
        <v>#N/A</v>
      </c>
      <c r="R113" s="69" t="e">
        <f t="shared" si="157"/>
        <v>#N/A</v>
      </c>
      <c r="S113" s="69" t="e">
        <f t="shared" si="158"/>
        <v>#N/A</v>
      </c>
      <c r="T113" s="69" t="e">
        <f t="shared" si="159"/>
        <v>#N/A</v>
      </c>
      <c r="U113" s="69" t="e">
        <f t="shared" si="160"/>
        <v>#N/A</v>
      </c>
      <c r="V113" s="69" t="e">
        <f t="shared" si="161"/>
        <v>#N/A</v>
      </c>
      <c r="W113" s="69" t="e">
        <f t="shared" si="162"/>
        <v>#N/A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3.51</v>
      </c>
      <c r="AC113" s="69">
        <f t="shared" si="168"/>
        <v>-1.9629629629629615</v>
      </c>
      <c r="AD113" s="69" t="e">
        <f t="shared" si="169"/>
        <v>#N/A</v>
      </c>
      <c r="AE113" s="69" t="e">
        <f t="shared" si="170"/>
        <v>#N/A</v>
      </c>
      <c r="AF113" s="69" t="e">
        <f t="shared" si="171"/>
        <v>#N/A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1</v>
      </c>
      <c r="AK113" s="69">
        <f t="shared" si="191"/>
        <v>1</v>
      </c>
      <c r="AL113" s="69" t="str">
        <f t="shared" si="174"/>
        <v>REJEITADO</v>
      </c>
      <c r="AM113" s="69" t="e">
        <f t="shared" si="175"/>
        <v>#N/A</v>
      </c>
      <c r="AN113" s="69" t="e">
        <f t="shared" si="176"/>
        <v>#N/A</v>
      </c>
      <c r="AO113" s="69" t="e">
        <f t="shared" si="177"/>
        <v>#N/A</v>
      </c>
      <c r="AP113" s="69" t="e">
        <f t="shared" si="178"/>
        <v>#N/A</v>
      </c>
      <c r="AQ113" s="69" t="e">
        <f t="shared" si="179"/>
        <v>#N/A</v>
      </c>
      <c r="AR113" s="69" t="e">
        <f t="shared" si="180"/>
        <v>#N/A</v>
      </c>
      <c r="AS113" s="69" t="e">
        <f t="shared" si="181"/>
        <v>#N/A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sheetProtection algorithmName="SHA-512" hashValue="lVxIENHDqkEDoX/fhDWLYXcagNZIQ+sCarqo4llwL8yk4kvT2b28pPcZy+79/JlUT5J8PD9cT7QVDx6SBxWXoQ==" saltValue="TVnW24vcuJ5v4fb4YOyGKA==" spinCount="100000" sheet="1" scenarios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G121"/>
  <sheetViews>
    <sheetView showGridLines="0" tabSelected="1" zoomScale="70" zoomScaleNormal="70" workbookViewId="0">
      <selection activeCell="K6" sqref="K6"/>
    </sheetView>
  </sheetViews>
  <sheetFormatPr defaultColWidth="8.88671875" defaultRowHeight="15.6" x14ac:dyDescent="0.3"/>
  <cols>
    <col min="1" max="1" width="9" style="1" customWidth="1"/>
    <col min="2" max="2" width="6" style="1" customWidth="1"/>
    <col min="3" max="17" width="14.77734375" style="1" customWidth="1"/>
    <col min="18" max="25" width="15.77734375" style="160" customWidth="1"/>
    <col min="26" max="28" width="8.88671875" style="159"/>
    <col min="29" max="16384" width="8.88671875" style="1"/>
  </cols>
  <sheetData>
    <row r="1" spans="1:28" s="177" customFormat="1" ht="40.200000000000003" customHeight="1" thickBot="1" x14ac:dyDescent="0.6">
      <c r="A1" s="184" t="s">
        <v>207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5"/>
      <c r="P1" s="185"/>
      <c r="Q1" s="185"/>
      <c r="R1" s="185"/>
      <c r="S1" s="185"/>
      <c r="T1" s="185"/>
      <c r="U1" s="185"/>
      <c r="V1" s="185"/>
      <c r="W1" s="185"/>
      <c r="X1" s="185"/>
      <c r="Y1" s="185"/>
      <c r="Z1" s="176"/>
      <c r="AA1" s="176"/>
      <c r="AB1" s="176"/>
    </row>
    <row r="2" spans="1:28" s="78" customFormat="1" ht="19.95" customHeight="1" thickBot="1" x14ac:dyDescent="0.35">
      <c r="A2" s="181" t="s">
        <v>208</v>
      </c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  <c r="Q2" s="182"/>
      <c r="R2" s="182"/>
      <c r="S2" s="182"/>
      <c r="T2" s="182"/>
      <c r="U2" s="182"/>
      <c r="V2" s="182"/>
      <c r="W2" s="182"/>
      <c r="X2" s="182"/>
      <c r="Y2" s="183"/>
      <c r="Z2" s="160"/>
      <c r="AA2" s="160"/>
      <c r="AB2" s="160"/>
    </row>
    <row r="3" spans="1:28" s="78" customFormat="1" ht="14.4" customHeight="1" x14ac:dyDescent="0.3">
      <c r="A3" s="77" t="s">
        <v>209</v>
      </c>
      <c r="B3" s="32">
        <v>27</v>
      </c>
      <c r="C3" s="198" t="str">
        <f>IFERROR(INDEX(Analitos!$A$4:$A$43,$B$3),"")</f>
        <v>Proteína C-reativa</v>
      </c>
      <c r="D3" s="195"/>
      <c r="F3" s="79" t="s">
        <v>210</v>
      </c>
      <c r="G3" s="33"/>
      <c r="H3" s="80" t="s">
        <v>241</v>
      </c>
      <c r="I3" s="34">
        <v>2026</v>
      </c>
      <c r="M3" s="35" t="b">
        <v>1</v>
      </c>
      <c r="N3" s="35" t="b">
        <v>0</v>
      </c>
      <c r="O3" s="197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97"/>
      <c r="Q3" s="197"/>
      <c r="R3" s="197"/>
      <c r="S3" s="197"/>
      <c r="T3" s="197"/>
      <c r="U3" s="197"/>
      <c r="V3" s="197"/>
      <c r="W3" s="197"/>
      <c r="X3" s="197"/>
      <c r="Y3" s="160"/>
      <c r="Z3" s="160"/>
      <c r="AA3" s="160"/>
      <c r="AB3" s="160"/>
    </row>
    <row r="4" spans="1:28" s="78" customFormat="1" ht="14.4" customHeight="1" x14ac:dyDescent="0.3">
      <c r="A4" s="199" t="s">
        <v>211</v>
      </c>
      <c r="B4" s="195"/>
      <c r="C4" s="196" t="str" cm="1">
        <f t="array" ref="C4">"Analito "&amp;$B$3&amp;" de "&amp;SUMPRODUCT(--(Analitos!$A$4:$A$43&lt;&gt;""))&amp;"    ·    Lote em uso: "&amp;loteAtivo</f>
        <v>Analito 27 de 31    ·    Lote em uso: 8974</v>
      </c>
      <c r="D4" s="195"/>
      <c r="E4" s="195"/>
      <c r="F4" s="81" t="s">
        <v>212</v>
      </c>
      <c r="G4" s="36"/>
      <c r="H4" s="82" t="s">
        <v>372</v>
      </c>
      <c r="I4" s="37" t="s">
        <v>374</v>
      </c>
      <c r="M4" s="35" t="b">
        <v>0</v>
      </c>
      <c r="N4" s="38" t="b">
        <v>0</v>
      </c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60"/>
      <c r="Z4" s="160"/>
      <c r="AA4" s="160"/>
      <c r="AB4" s="160"/>
    </row>
    <row r="5" spans="1:28" s="78" customFormat="1" ht="14.4" customHeight="1" x14ac:dyDescent="0.3">
      <c r="A5" s="192" t="s">
        <v>430</v>
      </c>
      <c r="B5" s="193"/>
      <c r="C5" s="193"/>
      <c r="D5" s="193"/>
      <c r="E5" s="193"/>
      <c r="F5" s="193"/>
      <c r="G5" s="193"/>
      <c r="H5" s="193"/>
      <c r="I5" s="193"/>
      <c r="J5" s="193"/>
      <c r="L5" s="194" t="s">
        <v>431</v>
      </c>
      <c r="M5" s="195"/>
      <c r="N5" s="195"/>
      <c r="O5" s="195"/>
      <c r="P5" s="195"/>
      <c r="Q5" s="195"/>
      <c r="R5" s="195"/>
      <c r="S5" s="160"/>
      <c r="T5" s="160"/>
      <c r="U5" s="160"/>
      <c r="V5" s="160"/>
      <c r="W5" s="160"/>
      <c r="X5" s="160"/>
      <c r="Y5" s="160"/>
      <c r="Z5" s="160"/>
      <c r="AA5" s="160"/>
      <c r="AB5" s="160"/>
    </row>
    <row r="6" spans="1:28" s="78" customFormat="1" ht="14.4" customHeight="1" x14ac:dyDescent="0.3">
      <c r="A6" s="171" t="s">
        <v>157</v>
      </c>
      <c r="B6" s="171" t="s">
        <v>213</v>
      </c>
      <c r="C6" s="171" t="s">
        <v>214</v>
      </c>
      <c r="D6" s="171" t="s">
        <v>215</v>
      </c>
      <c r="E6" s="171" t="s">
        <v>216</v>
      </c>
      <c r="F6" s="171" t="s">
        <v>157</v>
      </c>
      <c r="G6" s="171" t="s">
        <v>222</v>
      </c>
      <c r="H6" s="171" t="s">
        <v>223</v>
      </c>
      <c r="I6" s="171" t="s">
        <v>224</v>
      </c>
      <c r="J6" s="171" t="s">
        <v>225</v>
      </c>
      <c r="K6" s="171" t="s">
        <v>226</v>
      </c>
      <c r="L6" s="171" t="s">
        <v>227</v>
      </c>
      <c r="M6" s="171" t="s">
        <v>221</v>
      </c>
      <c r="N6" s="172"/>
      <c r="O6" s="186" t="s">
        <v>378</v>
      </c>
      <c r="P6" s="187"/>
      <c r="Q6" s="172"/>
      <c r="R6" s="157" t="s">
        <v>1138</v>
      </c>
      <c r="S6" s="161"/>
      <c r="T6" s="161"/>
      <c r="U6" s="161"/>
      <c r="V6" s="161"/>
      <c r="W6" s="161"/>
      <c r="X6" s="161"/>
      <c r="Y6" s="161"/>
      <c r="Z6" s="161"/>
      <c r="AA6" s="160"/>
      <c r="AB6" s="160"/>
    </row>
    <row r="7" spans="1:28" s="78" customFormat="1" ht="14.4" customHeight="1" x14ac:dyDescent="0.3">
      <c r="A7" s="81" t="s">
        <v>228</v>
      </c>
      <c r="B7" s="173">
        <f>_xlfn.AGGREGATE(2,6,Calc!$H$3:$H$182)</f>
        <v>52</v>
      </c>
      <c r="C7" s="174">
        <f>IFERROR(_xlfn.AGGREGATE(1,6,Calc!$H$3:$H$182),"")</f>
        <v>0.99115384615384605</v>
      </c>
      <c r="D7" s="174">
        <f>IFERROR(_xlfn.AGGREGATE(7,6,Calc!$H$3:$H$182),"")</f>
        <v>4.3550909859874684E-2</v>
      </c>
      <c r="E7" s="175">
        <f>IF(OR($C7="",$C7=0,$D7=""),"",$D7/$C7*100)</f>
        <v>4.3939606377832439</v>
      </c>
      <c r="F7" s="81" t="s">
        <v>228</v>
      </c>
      <c r="G7" s="173">
        <f>SUMPRODUCT(Calc!$K$3:$K$182,Calc!$D$3:$D$182)</f>
        <v>0</v>
      </c>
      <c r="H7" s="173">
        <f>SUMPRODUCT(Calc!$L$3:$L$182,Calc!$D$3:$D$182)</f>
        <v>0</v>
      </c>
      <c r="I7" s="173">
        <f>SUMPRODUCT(Calc!$M$3:$M$182,Calc!$D$3:$D$182)</f>
        <v>0</v>
      </c>
      <c r="J7" s="173">
        <f>SUMPRODUCT(Calc!$N$3:$N$182,Calc!$D$3:$D$182)</f>
        <v>0</v>
      </c>
      <c r="K7" s="173">
        <f>SUMPRODUCT(Calc!$O$3:$O$182,Calc!$D$3:$D$182)</f>
        <v>20</v>
      </c>
      <c r="L7" s="173">
        <f>SUM(G7:K7)</f>
        <v>20</v>
      </c>
      <c r="M7" s="173" t="str">
        <f>IF(OR(NOT(ISNUMBER($B7)),$B7=0),"sem dados no período",IF($L7&gt;0,"REPROVA — "&amp;$L7&amp;" violação(ões)","Sem violação"))</f>
        <v>REPROVA — 20 violação(ões)</v>
      </c>
      <c r="N7" s="172"/>
      <c r="O7" s="188" t="str">
        <f>_xlfn.XLOOKUP(selAnalito,Analitos!A4:A43,Analitos!S4:S43)</f>
        <v>VB</v>
      </c>
      <c r="P7" s="189"/>
      <c r="Q7" s="172"/>
      <c r="R7" s="180" t="s">
        <v>1139</v>
      </c>
      <c r="S7" s="180"/>
      <c r="T7" s="180"/>
      <c r="U7" s="180"/>
      <c r="V7" s="180"/>
      <c r="W7" s="180"/>
      <c r="X7" s="180"/>
      <c r="Y7" s="180"/>
      <c r="Z7" s="161"/>
      <c r="AA7" s="160"/>
      <c r="AB7" s="160"/>
    </row>
    <row r="8" spans="1:28" s="78" customFormat="1" ht="14.4" customHeight="1" x14ac:dyDescent="0.3">
      <c r="A8" s="81" t="s">
        <v>229</v>
      </c>
      <c r="B8" s="173">
        <f>_xlfn.AGGREGATE(2,6,Calc!$AD$3:$AD$182)</f>
        <v>52</v>
      </c>
      <c r="C8" s="174">
        <f>IFERROR(_xlfn.AGGREGATE(1,6,Calc!$AD$3:$AD$182),"")</f>
        <v>3.6055769230769239</v>
      </c>
      <c r="D8" s="174">
        <f>IFERROR(_xlfn.AGGREGATE(7,6,Calc!$AD$3:$AD$182),"")</f>
        <v>9.1895368069886144E-2</v>
      </c>
      <c r="E8" s="175">
        <f>IF(OR($C8="",$C8=0,$D8=""),"",$D8/$C8*100)</f>
        <v>2.5487008051811184</v>
      </c>
      <c r="F8" s="81" t="s">
        <v>229</v>
      </c>
      <c r="G8" s="173">
        <f>SUMPRODUCT(Calc!$AG$3:$AG$182,Calc!$D$3:$D$182)</f>
        <v>0</v>
      </c>
      <c r="H8" s="173">
        <f>SUMPRODUCT(Calc!$AH$3:$AH$182,Calc!$D$3:$D$182)</f>
        <v>1</v>
      </c>
      <c r="I8" s="173">
        <f>SUMPRODUCT(Calc!$AI$3:$AI$182,Calc!$D$3:$D$182)</f>
        <v>0</v>
      </c>
      <c r="J8" s="173">
        <f>SUMPRODUCT(Calc!$AJ$3:$AJ$182,Calc!$D$3:$D$182)</f>
        <v>37</v>
      </c>
      <c r="K8" s="173">
        <f>SUMPRODUCT(Calc!$AK$3:$AK$182,Calc!$D$3:$D$182)</f>
        <v>41</v>
      </c>
      <c r="L8" s="173">
        <f>SUM(G8:K8)</f>
        <v>79</v>
      </c>
      <c r="M8" s="173" t="str">
        <f>IF(OR(NOT(ISNUMBER($B8)),$B8=0),"sem dados no período",IF($L8&gt;0,"REPROVA — "&amp;$L8&amp;" violação(ões)","Sem violação"))</f>
        <v>REPROVA — 79 violação(ões)</v>
      </c>
      <c r="N8" s="172"/>
      <c r="O8" s="190"/>
      <c r="P8" s="191"/>
      <c r="Q8" s="172"/>
      <c r="R8" s="180"/>
      <c r="S8" s="180"/>
      <c r="T8" s="180"/>
      <c r="U8" s="180"/>
      <c r="V8" s="180"/>
      <c r="W8" s="180"/>
      <c r="X8" s="180"/>
      <c r="Y8" s="180"/>
      <c r="Z8" s="161"/>
      <c r="AA8" s="160"/>
      <c r="AB8" s="160"/>
    </row>
    <row r="9" spans="1:28" ht="14.4" customHeight="1" x14ac:dyDescent="0.3">
      <c r="A9" s="153"/>
      <c r="B9" s="154"/>
      <c r="C9" s="155"/>
      <c r="D9" s="155"/>
      <c r="E9" s="156"/>
      <c r="F9" s="153"/>
      <c r="G9" s="154"/>
      <c r="H9" s="154"/>
      <c r="I9" s="154"/>
      <c r="J9" s="154"/>
      <c r="K9" s="154"/>
      <c r="L9" s="154"/>
      <c r="M9" s="154"/>
      <c r="N9"/>
      <c r="O9" s="154"/>
      <c r="P9" s="154"/>
      <c r="Q9"/>
      <c r="R9" s="163" t="s">
        <v>157</v>
      </c>
      <c r="S9" s="163" t="s">
        <v>432</v>
      </c>
      <c r="T9" s="163" t="s">
        <v>405</v>
      </c>
      <c r="U9" s="163" t="s">
        <v>217</v>
      </c>
      <c r="V9" s="163" t="s">
        <v>220</v>
      </c>
      <c r="W9" s="163" t="s">
        <v>433</v>
      </c>
      <c r="X9" s="163" t="s">
        <v>1129</v>
      </c>
      <c r="Y9" s="163" t="s">
        <v>1130</v>
      </c>
      <c r="Z9" s="158"/>
    </row>
    <row r="10" spans="1:28" ht="14.4" customHeight="1" x14ac:dyDescent="0.3">
      <c r="F10" s="146" t="str">
        <f>IF(NOT(ISNUMBER(sigmaDoPlano)),"Regras iluminadas = estratégia de CQ recomendada pelo Sigma do analito selecionado.","Regras iluminadas = plano de CQ recomendado. Base: menor Sigma entre os dois níveis = "&amp;TEXT(sigmaDoPlano,"0,00")&amp;" ("&amp;IF(AND(ISNUMBER(Painel!$V$10),OR(NOT(ISNUMBER(Painel!$V$11)),Painel!$V$10&lt;=Painel!$V$11)),"nível 1","nível 2")&amp;"). O plano precisa cobrir o nível que está pior — por isso ele pode pedir mais regras do que a classificação de um único nível sugere.")</f>
        <v>Regras iluminadas = estratégia de CQ recomendada pelo Sigma do analito selecionado.</v>
      </c>
      <c r="R10" s="161" t="s">
        <v>228</v>
      </c>
      <c r="S10" s="164">
        <f>IFERROR(INDEX(Estatística!$F$14:$F$93,MATCH(selAnalito&amp;"|"&amp;1,Estatística!$AB$14:$AB$93,0)),"")</f>
        <v>4.397666780259077</v>
      </c>
      <c r="T10" s="164" t="str">
        <f>IFERROR(INDEX(Estatística!$G$14:$G$93,MATCH(selAnalito&amp;"|"&amp;1,Estatística!$AB$14:$AB$93,0)),"")</f>
        <v>SEM EP</v>
      </c>
      <c r="U10" s="164">
        <f>IFERROR(INDEX(Estatística!$K$14:$K$93,MATCH(selAnalito&amp;"|"&amp;1,Estatística!$AB$14:$AB$93,0)),"")</f>
        <v>0</v>
      </c>
      <c r="V10" s="164" t="str">
        <f>IFERROR(INDEX(Estatística!$L$14:$L$93,MATCH(selAnalito&amp;"|"&amp;1,Estatística!$AB$14:$AB$93,0)),"")</f>
        <v/>
      </c>
      <c r="W10" s="161" t="str">
        <f>IFERROR(INDEX(Estatística!$M$14:$M$93,MATCH(selAnalito&amp;"|"&amp;1,Estatística!$AB$14:$AB$93,0)),"")</f>
        <v/>
      </c>
      <c r="X10" s="165" t="str">
        <f>IFERROR(INDEX(Estatística!$V$14:$V$93,MATCH(selAnalito&amp;"|"&amp;1,Estatística!$AB$14:$AB$93,0)),"")</f>
        <v/>
      </c>
      <c r="Y10" s="166" t="str">
        <f>IFERROR(INDEX(Estatística!$W$14:$W$93,MATCH(selAnalito&amp;"|"&amp;1,Estatística!$AB$14:$AB$93,0)),"")</f>
        <v/>
      </c>
      <c r="Z10" s="158"/>
    </row>
    <row r="11" spans="1:28" ht="14.4" customHeight="1" x14ac:dyDescent="0.3">
      <c r="F11" s="179" t="str">
        <f>IF(NOT(ISNUMBER(sigmaDoPlano)),"",IF(sigmaDoPlano&lt;3,"DESEMPENHO INADEQUADO — CQ intensivo pode não ser suficiente. Investigar Bias, CV e desempenho do método.","Plano de CQ aplicável para o Sigma deste analito."))</f>
        <v/>
      </c>
      <c r="J11"/>
      <c r="K11"/>
      <c r="L11"/>
      <c r="M11"/>
      <c r="N11"/>
      <c r="O11"/>
      <c r="P11"/>
      <c r="Q11"/>
      <c r="R11" s="161" t="s">
        <v>229</v>
      </c>
      <c r="S11" s="164">
        <f>IFERROR(INDEX(Estatística!$F$14:$F$93,MATCH(selAnalito&amp;"|"&amp;2,Estatística!$AB$14:$AB$93,0)),"")</f>
        <v>2.9242026957426752</v>
      </c>
      <c r="T11" s="164" t="str">
        <f>IFERROR(INDEX(Estatística!$G$14:$G$93,MATCH(selAnalito&amp;"|"&amp;2,Estatística!$AB$14:$AB$93,0)),"")</f>
        <v>SEM EP</v>
      </c>
      <c r="U11" s="164">
        <f>IFERROR(INDEX(Estatística!$K$14:$K$93,MATCH(selAnalito&amp;"|"&amp;2,Estatística!$AB$14:$AB$93,0)),"")</f>
        <v>0</v>
      </c>
      <c r="V11" s="164" t="str">
        <f>IFERROR(INDEX(Estatística!$L$14:$L$93,MATCH(selAnalito&amp;"|"&amp;2,Estatística!$AB$14:$AB$93,0)),"")</f>
        <v/>
      </c>
      <c r="W11" s="161" t="str">
        <f>IFERROR(INDEX(Estatística!$M$14:$M$93,MATCH(selAnalito&amp;"|"&amp;2,Estatística!$AB$14:$AB$93,0)),"")</f>
        <v/>
      </c>
      <c r="X11" s="165" t="str">
        <f>IFERROR(INDEX(Estatística!$V$14:$V$93,MATCH(selAnalito&amp;"|"&amp;2,Estatística!$AB$14:$AB$93,0)),"")</f>
        <v/>
      </c>
      <c r="Y11" s="166" t="str">
        <f>IFERROR(INDEX(Estatística!$W$14:$W$93,MATCH(selAnalito&amp;"|"&amp;2,Estatística!$AB$14:$AB$93,0)),"")</f>
        <v/>
      </c>
      <c r="Z11" s="158"/>
    </row>
    <row r="12" spans="1:28" ht="14.4" customHeight="1" x14ac:dyDescent="0.3">
      <c r="F12" s="146" t="s">
        <v>1167</v>
      </c>
      <c r="J12"/>
      <c r="K12"/>
      <c r="L12"/>
      <c r="M12"/>
      <c r="N12"/>
      <c r="O12"/>
      <c r="P12"/>
      <c r="Q12"/>
      <c r="R12" s="180" t="s">
        <v>1128</v>
      </c>
      <c r="S12" s="180"/>
      <c r="T12" s="180"/>
      <c r="U12" s="180"/>
      <c r="V12" s="180"/>
      <c r="W12" s="180"/>
      <c r="X12" s="180"/>
      <c r="Y12" s="180"/>
      <c r="Z12" s="158"/>
    </row>
    <row r="13" spans="1:28" ht="14.4" customHeight="1" x14ac:dyDescent="0.3">
      <c r="F13" s="146" t="str">
        <f>IF(NOT(ISNUMBER(sigmaDoPlano)),"","Motor executa: "&amp;Cfg_PlanoQC!$D$1&amp;"   |   Cobertura: "&amp;mPlanoQC.CoberturaWestgard(sigmaDoPlano))</f>
        <v/>
      </c>
      <c r="J13"/>
      <c r="K13"/>
      <c r="L13"/>
      <c r="M13"/>
      <c r="N13"/>
      <c r="O13"/>
      <c r="P13"/>
      <c r="Q13"/>
      <c r="R13" s="180"/>
      <c r="S13" s="180"/>
      <c r="T13" s="180"/>
      <c r="U13" s="180"/>
      <c r="V13" s="180"/>
      <c r="W13" s="180"/>
      <c r="X13" s="180"/>
      <c r="Y13" s="180"/>
      <c r="Z13" s="158"/>
    </row>
    <row r="14" spans="1:28" ht="14.4" customHeight="1" x14ac:dyDescent="0.3">
      <c r="J14"/>
      <c r="K14"/>
      <c r="L14"/>
      <c r="M14"/>
      <c r="N14"/>
      <c r="O14"/>
      <c r="P14"/>
      <c r="Q14"/>
      <c r="R14" s="180"/>
      <c r="S14" s="180"/>
      <c r="T14" s="180"/>
      <c r="U14" s="180"/>
      <c r="V14" s="180"/>
      <c r="W14" s="180"/>
      <c r="X14" s="180"/>
      <c r="Y14" s="180"/>
      <c r="Z14" s="158"/>
    </row>
    <row r="15" spans="1:28" ht="14.4" customHeight="1" x14ac:dyDescent="0.3">
      <c r="J15"/>
      <c r="K15"/>
      <c r="L15"/>
      <c r="M15"/>
      <c r="N15"/>
      <c r="O15"/>
      <c r="P15"/>
      <c r="Q15"/>
      <c r="R15" s="157" t="s">
        <v>1154</v>
      </c>
      <c r="S15" s="161"/>
      <c r="T15" s="161"/>
      <c r="U15" s="161"/>
      <c r="V15" s="161"/>
      <c r="W15" s="161"/>
      <c r="X15" s="161"/>
      <c r="Y15" s="161"/>
      <c r="Z15" s="158"/>
    </row>
    <row r="16" spans="1:28" ht="14.4" customHeight="1" x14ac:dyDescent="0.3">
      <c r="J16"/>
      <c r="K16"/>
      <c r="L16"/>
      <c r="M16"/>
      <c r="N16"/>
      <c r="O16"/>
      <c r="P16"/>
      <c r="Q16"/>
      <c r="R16" s="163" t="s">
        <v>157</v>
      </c>
      <c r="S16" s="163" t="s">
        <v>219</v>
      </c>
      <c r="T16" s="163" t="s">
        <v>217</v>
      </c>
      <c r="U16" s="163" t="s">
        <v>434</v>
      </c>
      <c r="V16" s="163" t="s">
        <v>428</v>
      </c>
      <c r="W16" s="163" t="s">
        <v>429</v>
      </c>
      <c r="X16" s="161"/>
      <c r="Y16" s="161"/>
      <c r="Z16" s="158"/>
    </row>
    <row r="17" spans="10:33" ht="14.4" customHeight="1" x14ac:dyDescent="0.3">
      <c r="J17"/>
      <c r="K17"/>
      <c r="L17"/>
      <c r="M17"/>
      <c r="N17"/>
      <c r="O17"/>
      <c r="P17"/>
      <c r="Q17"/>
      <c r="R17" s="161" t="s">
        <v>228</v>
      </c>
      <c r="S17" s="164" t="str">
        <f>IFERROR(INDEX(Estatística!$H$14:$H$93,MATCH(selAnalito&amp;"|"&amp;1,Estatística!$AB$14:$AB$93,0)),"")</f>
        <v/>
      </c>
      <c r="T17" s="164">
        <f>IFERROR(INDEX(Estatística!$K$14:$K$93,MATCH(selAnalito&amp;"|"&amp;1,Estatística!$AB$14:$AB$93,0)),"")</f>
        <v>0</v>
      </c>
      <c r="U17" s="164" t="str">
        <f>IFERROR(INDEX(Estatística!$N$14:$N$93,MATCH(selAnalito&amp;"|"&amp;1,Estatística!$AB$14:$AB$93,0)),"")</f>
        <v/>
      </c>
      <c r="V17" s="164" t="str">
        <f>IFERROR(INDEX(Estatística!$O$14:$O$93,MATCH(selAnalito&amp;"|"&amp;1,Estatística!$AB$14:$AB$93,0)),"")</f>
        <v/>
      </c>
      <c r="W17" s="161" t="str">
        <f>IFERROR(INDEX(Estatística!$P$14:$P$93,MATCH(selAnalito&amp;"|"&amp;1,Estatística!$AB$14:$AB$93,0)),"")</f>
        <v/>
      </c>
      <c r="X17" s="161"/>
      <c r="Y17" s="161"/>
      <c r="Z17" s="158"/>
    </row>
    <row r="18" spans="10:33" ht="14.4" customHeight="1" x14ac:dyDescent="0.3">
      <c r="J18"/>
      <c r="K18"/>
      <c r="L18"/>
      <c r="M18"/>
      <c r="N18"/>
      <c r="O18"/>
      <c r="P18"/>
      <c r="Q18"/>
      <c r="R18" s="161" t="s">
        <v>229</v>
      </c>
      <c r="S18" s="164" t="str">
        <f>IFERROR(INDEX(Estatística!$H$14:$H$93,MATCH(selAnalito&amp;"|"&amp;2,Estatística!$AB$14:$AB$93,0)),"")</f>
        <v/>
      </c>
      <c r="T18" s="164">
        <f>IFERROR(INDEX(Estatística!$K$14:$K$93,MATCH(selAnalito&amp;"|"&amp;2,Estatística!$AB$14:$AB$93,0)),"")</f>
        <v>0</v>
      </c>
      <c r="U18" s="164" t="str">
        <f>IFERROR(INDEX(Estatística!$N$14:$N$93,MATCH(selAnalito&amp;"|"&amp;2,Estatística!$AB$14:$AB$93,0)),"")</f>
        <v/>
      </c>
      <c r="V18" s="164" t="str">
        <f>IFERROR(INDEX(Estatística!$O$14:$O$93,MATCH(selAnalito&amp;"|"&amp;2,Estatística!$AB$14:$AB$93,0)),"")</f>
        <v/>
      </c>
      <c r="W18" s="161" t="str">
        <f>IFERROR(INDEX(Estatística!$P$14:$P$93,MATCH(selAnalito&amp;"|"&amp;2,Estatística!$AB$14:$AB$93,0)),"")</f>
        <v/>
      </c>
      <c r="X18" s="161"/>
      <c r="Y18" s="161"/>
      <c r="Z18" s="158"/>
    </row>
    <row r="19" spans="10:33" ht="14.4" customHeight="1" x14ac:dyDescent="0.3">
      <c r="J19"/>
      <c r="K19"/>
      <c r="L19"/>
      <c r="M19"/>
      <c r="N19"/>
      <c r="O19"/>
      <c r="P19"/>
      <c r="Q19"/>
      <c r="X19" s="161"/>
      <c r="Y19" s="161"/>
      <c r="Z19" s="158"/>
    </row>
    <row r="20" spans="10:33" ht="14.4" customHeight="1" x14ac:dyDescent="0.3">
      <c r="J20"/>
      <c r="K20"/>
      <c r="L20"/>
      <c r="M20"/>
      <c r="N20"/>
      <c r="O20"/>
      <c r="P20"/>
      <c r="Q20"/>
      <c r="R20" s="157" t="s">
        <v>1140</v>
      </c>
      <c r="S20" s="161"/>
      <c r="T20" s="161"/>
      <c r="U20" s="161"/>
      <c r="V20" s="161"/>
      <c r="W20" s="161"/>
      <c r="X20" s="161"/>
    </row>
    <row r="21" spans="10:33" ht="14.4" customHeight="1" x14ac:dyDescent="0.3">
      <c r="J21"/>
      <c r="K21"/>
      <c r="L21"/>
      <c r="M21"/>
      <c r="N21"/>
      <c r="O21"/>
      <c r="P21"/>
      <c r="Q21"/>
      <c r="R21" s="163" t="s">
        <v>157</v>
      </c>
      <c r="S21" s="163" t="s">
        <v>220</v>
      </c>
      <c r="T21" s="163" t="s">
        <v>1141</v>
      </c>
      <c r="U21" s="163" t="s">
        <v>1142</v>
      </c>
      <c r="V21" s="163" t="s">
        <v>1143</v>
      </c>
      <c r="W21" s="163" t="s">
        <v>1144</v>
      </c>
      <c r="X21" s="163" t="s">
        <v>1145</v>
      </c>
    </row>
    <row r="22" spans="10:33" ht="14.4" customHeight="1" x14ac:dyDescent="0.3">
      <c r="J22"/>
      <c r="K22"/>
      <c r="L22"/>
      <c r="M22"/>
      <c r="N22"/>
      <c r="O22"/>
      <c r="P22"/>
      <c r="Q22"/>
      <c r="R22" s="161" t="s">
        <v>228</v>
      </c>
      <c r="S22" s="164" t="str">
        <f>IFERROR(INDEX(Estatística!$L$14:$L$93,MATCH(selAnalito&amp;"|"&amp;1,Estatística!$AB$14:$AB$93,0)),"")</f>
        <v/>
      </c>
      <c r="T22" s="161" t="str">
        <f>IFERROR(INDEX(Estatística!$X$14:$X$93,MATCH(selAnalito&amp;"|"&amp;1,Estatística!$AB$14:$AB$93,0)),"")</f>
        <v/>
      </c>
      <c r="U22" s="161" t="str">
        <f>IFERROR(INDEX(Estatística!$Y$14:$Y$93,MATCH(selAnalito&amp;"|"&amp;1,Estatística!$AB$14:$AB$93,0)),"")</f>
        <v/>
      </c>
      <c r="V22" s="161" t="str">
        <f>IFERROR(INDEX(Estatística!$Z$14:$Z$93,MATCH(selAnalito&amp;"|"&amp;1,Estatística!$AB$14:$AB$93,0)),"")</f>
        <v/>
      </c>
      <c r="W22" s="161" t="str">
        <f>IF(NOT(ISNUMBER($S22)),"",mPlanoQC.PlanoQC($S22,"FREQUENCIA"))</f>
        <v/>
      </c>
      <c r="X22" s="161" t="str">
        <f>IFERROR(INDEX(Estatística!$AA$14:$AA$93,MATCH(selAnalito&amp;"|"&amp;1,Estatística!$AB$14:$AB$93,0)),"")</f>
        <v/>
      </c>
    </row>
    <row r="23" spans="10:33" ht="14.4" customHeight="1" x14ac:dyDescent="0.3">
      <c r="J23"/>
      <c r="K23"/>
      <c r="L23"/>
      <c r="M23"/>
      <c r="N23"/>
      <c r="O23"/>
      <c r="P23"/>
      <c r="Q23"/>
      <c r="R23" s="161" t="s">
        <v>229</v>
      </c>
      <c r="S23" s="164" t="str">
        <f>IFERROR(INDEX(Estatística!$L$14:$L$93,MATCH(selAnalito&amp;"|"&amp;2,Estatística!$AB$14:$AB$93,0)),"")</f>
        <v/>
      </c>
      <c r="T23" s="161" t="str">
        <f>IFERROR(INDEX(Estatística!$X$14:$X$93,MATCH(selAnalito&amp;"|"&amp;2,Estatística!$AB$14:$AB$93,0)),"")</f>
        <v/>
      </c>
      <c r="U23" s="161" t="str">
        <f>IFERROR(INDEX(Estatística!$Y$14:$Y$93,MATCH(selAnalito&amp;"|"&amp;2,Estatística!$AB$14:$AB$93,0)),"")</f>
        <v/>
      </c>
      <c r="V23" s="161" t="str">
        <f>IFERROR(INDEX(Estatística!$Z$14:$Z$93,MATCH(selAnalito&amp;"|"&amp;2,Estatística!$AB$14:$AB$93,0)),"")</f>
        <v/>
      </c>
      <c r="W23" s="161" t="str">
        <f>IF(NOT(ISNUMBER($S23)),"",mPlanoQC.PlanoQC($S23,"FREQUENCIA"))</f>
        <v/>
      </c>
      <c r="X23" s="161" t="str">
        <f>IFERROR(INDEX(Estatística!$AA$14:$AA$93,MATCH(selAnalito&amp;"|"&amp;2,Estatística!$AB$14:$AB$93,0)),"")</f>
        <v/>
      </c>
    </row>
    <row r="24" spans="10:33" ht="14.4" customHeight="1" x14ac:dyDescent="0.3">
      <c r="J24"/>
      <c r="K24"/>
      <c r="L24"/>
      <c r="M24"/>
      <c r="N24"/>
      <c r="O24"/>
      <c r="P24"/>
      <c r="Q24"/>
      <c r="R24" s="167"/>
      <c r="S24" s="161"/>
      <c r="T24" s="161"/>
      <c r="U24" s="161"/>
      <c r="V24" s="161"/>
      <c r="W24" s="161"/>
      <c r="X24" s="161"/>
      <c r="Y24" s="161"/>
      <c r="AD24"/>
      <c r="AE24"/>
      <c r="AF24"/>
      <c r="AG24"/>
    </row>
    <row r="25" spans="10:33" ht="14.4" customHeight="1" x14ac:dyDescent="0.3">
      <c r="J25"/>
      <c r="K25"/>
      <c r="L25"/>
      <c r="M25"/>
      <c r="N25"/>
      <c r="O25"/>
      <c r="P25"/>
      <c r="Q25"/>
      <c r="R25" s="167"/>
      <c r="S25" s="161"/>
      <c r="T25" s="161"/>
      <c r="U25" s="161"/>
      <c r="V25" s="161"/>
      <c r="W25" s="161"/>
      <c r="X25" s="161"/>
      <c r="Y25" s="161"/>
      <c r="AD25"/>
      <c r="AE25"/>
      <c r="AF25"/>
      <c r="AG25"/>
    </row>
    <row r="26" spans="10:33" ht="14.4" customHeight="1" x14ac:dyDescent="0.3">
      <c r="J26"/>
      <c r="K26"/>
      <c r="L26"/>
      <c r="M26"/>
      <c r="N26"/>
      <c r="O26"/>
      <c r="P26"/>
      <c r="Q26"/>
      <c r="R26" s="163" t="s">
        <v>220</v>
      </c>
      <c r="S26" s="163" t="s">
        <v>1129</v>
      </c>
      <c r="T26" s="163" t="s">
        <v>1146</v>
      </c>
      <c r="U26" s="157" t="s">
        <v>1147</v>
      </c>
      <c r="V26" s="161"/>
      <c r="W26" s="161"/>
      <c r="X26" s="161"/>
      <c r="Y26" s="161"/>
      <c r="AD26"/>
      <c r="AE26"/>
      <c r="AF26"/>
      <c r="AG26"/>
    </row>
    <row r="27" spans="10:33" ht="14.4" customHeight="1" x14ac:dyDescent="0.3">
      <c r="J27"/>
      <c r="K27"/>
      <c r="L27"/>
      <c r="M27"/>
      <c r="N27"/>
      <c r="O27"/>
      <c r="P27"/>
      <c r="Q27"/>
      <c r="R27" s="168">
        <v>6</v>
      </c>
      <c r="S27" s="165">
        <f t="shared" ref="S27:S35" si="0">mPlanoQC.DPMdoSigma($R27)</f>
        <v>3.3976731247387093</v>
      </c>
      <c r="T27" s="169">
        <f t="shared" ref="T27:T35" si="1">mPlanoQC.RendimentoDoSigma($R27)</f>
        <v>99.999660232687532</v>
      </c>
      <c r="U27" s="180" t="s">
        <v>1148</v>
      </c>
      <c r="V27" s="180"/>
      <c r="W27" s="180"/>
      <c r="X27" s="180"/>
    </row>
    <row r="28" spans="10:33" ht="14.4" customHeight="1" x14ac:dyDescent="0.3">
      <c r="J28"/>
      <c r="K28"/>
      <c r="L28"/>
      <c r="M28"/>
      <c r="N28"/>
      <c r="O28"/>
      <c r="P28"/>
      <c r="Q28"/>
      <c r="R28" s="168">
        <v>5.5</v>
      </c>
      <c r="S28" s="165">
        <f t="shared" si="0"/>
        <v>31.671241833119979</v>
      </c>
      <c r="T28" s="169">
        <f t="shared" si="1"/>
        <v>99.996832875816693</v>
      </c>
      <c r="U28" s="180"/>
      <c r="V28" s="180"/>
      <c r="W28" s="180"/>
      <c r="X28" s="180"/>
      <c r="Z28" s="158"/>
    </row>
    <row r="29" spans="10:33" ht="14.4" customHeight="1" x14ac:dyDescent="0.3">
      <c r="J29"/>
      <c r="K29"/>
      <c r="L29"/>
      <c r="M29"/>
      <c r="N29"/>
      <c r="O29"/>
      <c r="P29"/>
      <c r="Q29"/>
      <c r="R29" s="168">
        <v>5</v>
      </c>
      <c r="S29" s="165">
        <f t="shared" si="0"/>
        <v>232.62907903554009</v>
      </c>
      <c r="T29" s="169">
        <f t="shared" si="1"/>
        <v>99.976737092096442</v>
      </c>
      <c r="U29" s="180"/>
      <c r="V29" s="180"/>
      <c r="W29" s="180"/>
      <c r="X29" s="180"/>
      <c r="Z29" s="158"/>
    </row>
    <row r="30" spans="10:33" ht="14.4" customHeight="1" x14ac:dyDescent="0.3">
      <c r="J30"/>
      <c r="K30"/>
      <c r="L30"/>
      <c r="M30"/>
      <c r="N30"/>
      <c r="O30"/>
      <c r="P30"/>
      <c r="Q30"/>
      <c r="R30" s="168">
        <v>4.5</v>
      </c>
      <c r="S30" s="165">
        <f t="shared" si="0"/>
        <v>1349.8980316301036</v>
      </c>
      <c r="T30" s="169">
        <f t="shared" si="1"/>
        <v>99.865010196836991</v>
      </c>
      <c r="U30" s="170" t="s">
        <v>1149</v>
      </c>
      <c r="V30" s="161"/>
      <c r="W30" s="161"/>
      <c r="X30" s="161"/>
      <c r="Z30" s="158"/>
    </row>
    <row r="31" spans="10:33" ht="14.4" customHeight="1" x14ac:dyDescent="0.3">
      <c r="J31"/>
      <c r="K31"/>
      <c r="L31"/>
      <c r="M31"/>
      <c r="N31"/>
      <c r="O31"/>
      <c r="P31"/>
      <c r="Q31"/>
      <c r="R31" s="168">
        <v>4</v>
      </c>
      <c r="S31" s="165">
        <f t="shared" si="0"/>
        <v>6209.6653257761591</v>
      </c>
      <c r="T31" s="169">
        <f t="shared" si="1"/>
        <v>99.379033467422389</v>
      </c>
      <c r="U31" s="170" t="s">
        <v>1150</v>
      </c>
      <c r="V31" s="161"/>
      <c r="W31" s="161"/>
      <c r="X31" s="161"/>
      <c r="Z31" s="158"/>
    </row>
    <row r="32" spans="10:33" ht="14.4" customHeight="1" x14ac:dyDescent="0.3">
      <c r="J32"/>
      <c r="K32"/>
      <c r="L32"/>
      <c r="M32"/>
      <c r="N32"/>
      <c r="O32"/>
      <c r="P32"/>
      <c r="Q32"/>
      <c r="R32" s="168">
        <v>3.5</v>
      </c>
      <c r="S32" s="165">
        <f t="shared" si="0"/>
        <v>22750.131948179209</v>
      </c>
      <c r="T32" s="169">
        <f t="shared" si="1"/>
        <v>97.724986805182084</v>
      </c>
      <c r="U32" s="170" t="s">
        <v>1151</v>
      </c>
      <c r="V32" s="161"/>
      <c r="W32" s="161"/>
      <c r="X32" s="161"/>
      <c r="Z32" s="158"/>
    </row>
    <row r="33" spans="9:26" ht="14.4" customHeight="1" x14ac:dyDescent="0.3">
      <c r="J33"/>
      <c r="K33"/>
      <c r="L33"/>
      <c r="M33"/>
      <c r="N33"/>
      <c r="O33"/>
      <c r="P33"/>
      <c r="Q33"/>
      <c r="R33" s="168">
        <v>3</v>
      </c>
      <c r="S33" s="165">
        <f t="shared" si="0"/>
        <v>66807.201268858087</v>
      </c>
      <c r="T33" s="169">
        <f t="shared" si="1"/>
        <v>93.319279873114198</v>
      </c>
      <c r="U33" s="170" t="s">
        <v>1152</v>
      </c>
      <c r="V33" s="161"/>
      <c r="W33" s="161"/>
      <c r="X33" s="161"/>
      <c r="Z33" s="158"/>
    </row>
    <row r="34" spans="9:26" ht="14.4" customHeight="1" x14ac:dyDescent="0.3">
      <c r="J34"/>
      <c r="K34"/>
      <c r="L34"/>
      <c r="M34"/>
      <c r="N34"/>
      <c r="O34"/>
      <c r="P34"/>
      <c r="Q34"/>
      <c r="R34" s="168">
        <v>2.5</v>
      </c>
      <c r="S34" s="165">
        <f t="shared" si="0"/>
        <v>158655.25393145697</v>
      </c>
      <c r="T34" s="169">
        <f t="shared" si="1"/>
        <v>84.134474606854297</v>
      </c>
      <c r="U34" s="161"/>
      <c r="V34" s="162"/>
      <c r="Z34" s="158"/>
    </row>
    <row r="35" spans="9:26" ht="14.4" customHeight="1" x14ac:dyDescent="0.3">
      <c r="J35"/>
      <c r="K35"/>
      <c r="L35"/>
      <c r="M35"/>
      <c r="N35"/>
      <c r="O35"/>
      <c r="P35"/>
      <c r="Q35"/>
      <c r="R35" s="168">
        <v>2</v>
      </c>
      <c r="S35" s="165">
        <f t="shared" si="0"/>
        <v>308537.5387259869</v>
      </c>
      <c r="T35" s="169">
        <f t="shared" si="1"/>
        <v>69.146246127401312</v>
      </c>
      <c r="U35" s="161"/>
      <c r="V35" s="162"/>
      <c r="Z35" s="158"/>
    </row>
    <row r="36" spans="9:26" ht="14.4" customHeight="1" x14ac:dyDescent="0.3">
      <c r="J36"/>
      <c r="K36"/>
      <c r="L36"/>
      <c r="M36"/>
      <c r="N36"/>
      <c r="O36"/>
      <c r="P36"/>
      <c r="Q36"/>
      <c r="R36" s="161"/>
      <c r="S36" s="161"/>
      <c r="T36" s="161"/>
      <c r="U36" s="161"/>
      <c r="V36" s="161"/>
      <c r="Z36" s="158"/>
    </row>
    <row r="37" spans="9:26" ht="14.4" customHeight="1" x14ac:dyDescent="0.3">
      <c r="J37"/>
      <c r="K37"/>
      <c r="L37"/>
      <c r="M37"/>
      <c r="N37"/>
      <c r="O37"/>
      <c r="P37"/>
      <c r="Q37"/>
      <c r="R37" s="161"/>
      <c r="S37" s="161"/>
      <c r="T37" s="161"/>
      <c r="U37" s="161"/>
      <c r="V37" s="161"/>
      <c r="Z37" s="158"/>
    </row>
    <row r="38" spans="9:26" ht="14.4" customHeight="1" x14ac:dyDescent="0.3">
      <c r="I38"/>
      <c r="J38"/>
      <c r="K38"/>
      <c r="L38"/>
      <c r="M38"/>
      <c r="V38" s="161"/>
      <c r="Z38" s="158"/>
    </row>
    <row r="39" spans="9:26" ht="14.4" customHeight="1" x14ac:dyDescent="0.3">
      <c r="I39"/>
      <c r="J39"/>
      <c r="K39"/>
      <c r="L39"/>
      <c r="M39"/>
      <c r="V39" s="161"/>
      <c r="Z39" s="158"/>
    </row>
    <row r="40" spans="9:26" ht="14.4" customHeight="1" x14ac:dyDescent="0.3">
      <c r="I40"/>
      <c r="W40" s="161"/>
      <c r="X40" s="161"/>
      <c r="Y40" s="161"/>
      <c r="Z40" s="158"/>
    </row>
    <row r="41" spans="9:26" ht="14.4" customHeight="1" x14ac:dyDescent="0.3">
      <c r="I41"/>
      <c r="W41" s="161"/>
      <c r="X41" s="161"/>
      <c r="Y41" s="161"/>
      <c r="Z41" s="158"/>
    </row>
    <row r="42" spans="9:26" ht="14.4" customHeight="1" x14ac:dyDescent="0.3">
      <c r="I42"/>
      <c r="W42" s="161"/>
      <c r="X42" s="161"/>
      <c r="Y42" s="161"/>
      <c r="Z42" s="158"/>
    </row>
    <row r="43" spans="9:26" ht="14.4" customHeight="1" x14ac:dyDescent="0.3">
      <c r="I43"/>
      <c r="W43" s="161"/>
      <c r="X43" s="161"/>
      <c r="Y43" s="161"/>
      <c r="Z43" s="158"/>
    </row>
    <row r="44" spans="9:26" ht="14.4" customHeight="1" x14ac:dyDescent="0.3">
      <c r="V44" s="161"/>
      <c r="W44" s="161"/>
      <c r="X44" s="161"/>
      <c r="Y44" s="161"/>
      <c r="Z44" s="158"/>
    </row>
    <row r="45" spans="9:26" ht="14.4" customHeight="1" x14ac:dyDescent="0.3">
      <c r="V45" s="161"/>
      <c r="W45" s="161"/>
      <c r="X45" s="161"/>
      <c r="Y45" s="161"/>
      <c r="Z45" s="158"/>
    </row>
    <row r="46" spans="9:26" ht="14.4" customHeight="1" x14ac:dyDescent="0.3">
      <c r="V46" s="161"/>
      <c r="W46" s="161"/>
      <c r="X46" s="161"/>
      <c r="Y46" s="161"/>
      <c r="Z46" s="158"/>
    </row>
    <row r="47" spans="9:26" ht="14.4" customHeight="1" x14ac:dyDescent="0.3">
      <c r="Q47"/>
      <c r="V47" s="161"/>
      <c r="W47" s="161"/>
      <c r="X47" s="161"/>
      <c r="Y47" s="161"/>
      <c r="Z47" s="158"/>
    </row>
    <row r="48" spans="9:26" ht="14.4" customHeight="1" x14ac:dyDescent="0.3">
      <c r="Q48"/>
      <c r="R48" s="161"/>
      <c r="S48" s="161"/>
      <c r="T48" s="161"/>
      <c r="U48" s="161"/>
      <c r="V48" s="161"/>
      <c r="W48" s="161"/>
      <c r="X48" s="161"/>
      <c r="Y48" s="161"/>
      <c r="Z48" s="158"/>
    </row>
    <row r="49" spans="14:26" ht="14.4" customHeight="1" x14ac:dyDescent="0.3">
      <c r="Q49"/>
      <c r="R49" s="161"/>
      <c r="S49" s="161"/>
      <c r="T49" s="161"/>
      <c r="U49" s="161"/>
      <c r="V49" s="161"/>
      <c r="W49" s="161"/>
      <c r="X49" s="161"/>
      <c r="Y49" s="161"/>
      <c r="Z49" s="158"/>
    </row>
    <row r="50" spans="14:26" ht="14.4" customHeight="1" x14ac:dyDescent="0.3">
      <c r="Q50"/>
      <c r="R50" s="161"/>
      <c r="S50" s="161"/>
      <c r="T50" s="161"/>
      <c r="U50" s="161"/>
      <c r="V50" s="161"/>
      <c r="W50" s="161"/>
      <c r="X50" s="161"/>
      <c r="Y50" s="161"/>
      <c r="Z50" s="158"/>
    </row>
    <row r="51" spans="14:26" ht="14.4" customHeight="1" x14ac:dyDescent="0.3">
      <c r="Q51"/>
      <c r="R51" s="161"/>
      <c r="S51" s="161"/>
      <c r="T51" s="161"/>
      <c r="U51" s="161"/>
      <c r="V51" s="161"/>
      <c r="W51" s="161"/>
      <c r="X51" s="161"/>
      <c r="Y51" s="161"/>
      <c r="Z51" s="158"/>
    </row>
    <row r="52" spans="14:26" ht="14.4" customHeight="1" x14ac:dyDescent="0.3">
      <c r="N52"/>
      <c r="O52"/>
      <c r="P52"/>
      <c r="Q52"/>
      <c r="R52" s="161"/>
      <c r="S52" s="161"/>
      <c r="T52" s="161"/>
      <c r="U52" s="161"/>
      <c r="V52" s="161"/>
      <c r="W52" s="161"/>
      <c r="X52" s="161"/>
      <c r="Y52" s="161"/>
      <c r="Z52" s="158"/>
    </row>
    <row r="53" spans="14:26" ht="14.4" customHeight="1" x14ac:dyDescent="0.3">
      <c r="P53"/>
      <c r="Q53"/>
      <c r="R53" s="161"/>
      <c r="S53" s="161"/>
      <c r="T53" s="161"/>
      <c r="U53" s="161"/>
      <c r="V53" s="161"/>
      <c r="W53" s="161"/>
      <c r="X53" s="161"/>
      <c r="Y53" s="161"/>
      <c r="Z53" s="158"/>
    </row>
    <row r="54" spans="14:26" ht="15" customHeight="1" x14ac:dyDescent="0.3">
      <c r="P54"/>
      <c r="Q54"/>
      <c r="R54" s="161"/>
      <c r="S54" s="161"/>
      <c r="T54" s="161"/>
      <c r="U54" s="161"/>
      <c r="V54" s="161"/>
      <c r="W54" s="161"/>
      <c r="X54" s="161"/>
      <c r="Y54" s="161"/>
      <c r="Z54" s="158"/>
    </row>
    <row r="55" spans="14:26" ht="15" customHeight="1" x14ac:dyDescent="0.3">
      <c r="P55"/>
      <c r="Q55"/>
      <c r="R55" s="161"/>
      <c r="S55" s="161"/>
      <c r="T55" s="161"/>
      <c r="U55" s="161"/>
      <c r="V55" s="161"/>
      <c r="W55" s="161"/>
      <c r="X55" s="161"/>
      <c r="Y55" s="161"/>
      <c r="Z55" s="158"/>
    </row>
    <row r="56" spans="14:26" ht="15" customHeight="1" x14ac:dyDescent="0.3">
      <c r="P56"/>
      <c r="Q56"/>
      <c r="R56" s="161"/>
      <c r="S56" s="161"/>
      <c r="T56" s="161"/>
      <c r="U56" s="161"/>
      <c r="V56" s="161"/>
      <c r="W56" s="161"/>
      <c r="X56" s="161"/>
      <c r="Y56" s="161"/>
      <c r="Z56" s="158"/>
    </row>
    <row r="57" spans="14:26" ht="15" customHeight="1" x14ac:dyDescent="0.3">
      <c r="N57"/>
      <c r="O57"/>
      <c r="P57"/>
      <c r="Q57"/>
      <c r="R57" s="161"/>
      <c r="S57" s="161"/>
      <c r="T57" s="161"/>
      <c r="U57" s="161"/>
      <c r="V57" s="161"/>
      <c r="W57" s="161"/>
      <c r="X57" s="161"/>
      <c r="Y57" s="161"/>
      <c r="Z57" s="158"/>
    </row>
    <row r="58" spans="14:26" ht="15" customHeight="1" x14ac:dyDescent="0.3">
      <c r="P58"/>
      <c r="Q58"/>
      <c r="R58" s="161"/>
      <c r="S58" s="161"/>
      <c r="T58" s="161"/>
      <c r="U58" s="161"/>
      <c r="V58" s="161"/>
      <c r="W58" s="161"/>
      <c r="X58" s="161"/>
      <c r="Y58" s="161"/>
      <c r="Z58" s="158"/>
    </row>
    <row r="59" spans="14:26" ht="15" customHeight="1" x14ac:dyDescent="0.3">
      <c r="P59"/>
      <c r="Q59"/>
      <c r="R59" s="161"/>
      <c r="S59" s="161"/>
      <c r="T59" s="161"/>
      <c r="U59" s="161"/>
      <c r="V59" s="161"/>
      <c r="W59" s="161"/>
      <c r="X59" s="161"/>
      <c r="Y59" s="161"/>
      <c r="Z59" s="158"/>
    </row>
    <row r="60" spans="14:26" ht="15" customHeight="1" x14ac:dyDescent="0.3">
      <c r="P60"/>
      <c r="Q60"/>
      <c r="R60" s="161"/>
      <c r="S60" s="161"/>
      <c r="T60" s="161"/>
      <c r="U60" s="161"/>
      <c r="V60" s="161"/>
      <c r="W60" s="161"/>
      <c r="X60" s="161"/>
      <c r="Y60" s="161"/>
      <c r="Z60" s="158"/>
    </row>
    <row r="61" spans="14:26" ht="15" customHeight="1" x14ac:dyDescent="0.3">
      <c r="P61"/>
      <c r="Q61"/>
      <c r="R61" s="161"/>
      <c r="S61" s="161"/>
      <c r="T61" s="161"/>
      <c r="U61" s="161"/>
      <c r="V61" s="161"/>
      <c r="W61" s="161"/>
      <c r="X61" s="161"/>
      <c r="Y61" s="161"/>
      <c r="Z61" s="158"/>
    </row>
    <row r="62" spans="14:26" ht="15" customHeight="1" x14ac:dyDescent="0.3">
      <c r="P62"/>
      <c r="Q62"/>
      <c r="R62" s="161"/>
      <c r="S62" s="161"/>
      <c r="T62" s="161"/>
      <c r="U62" s="161"/>
      <c r="V62" s="161"/>
      <c r="W62" s="161"/>
      <c r="X62" s="161"/>
      <c r="Y62" s="161"/>
      <c r="Z62" s="158"/>
    </row>
    <row r="63" spans="14:26" ht="15" customHeight="1" x14ac:dyDescent="0.3">
      <c r="P63"/>
      <c r="Q63"/>
      <c r="R63" s="161"/>
      <c r="S63" s="161"/>
      <c r="T63" s="161"/>
      <c r="U63" s="161"/>
      <c r="V63" s="161"/>
      <c r="W63" s="161"/>
      <c r="X63" s="161"/>
      <c r="Y63" s="161"/>
      <c r="Z63" s="158"/>
    </row>
    <row r="64" spans="14:26" ht="15" customHeight="1" x14ac:dyDescent="0.3">
      <c r="P64"/>
      <c r="Q64"/>
      <c r="R64" s="161"/>
      <c r="S64" s="161"/>
      <c r="T64" s="161"/>
      <c r="U64" s="161"/>
      <c r="V64" s="161"/>
      <c r="W64" s="161"/>
      <c r="X64" s="161"/>
      <c r="Y64" s="161"/>
      <c r="Z64" s="158"/>
    </row>
    <row r="65" spans="16:26" ht="15" customHeight="1" x14ac:dyDescent="0.3">
      <c r="P65"/>
      <c r="Q65"/>
      <c r="R65" s="161"/>
      <c r="S65" s="161"/>
      <c r="T65" s="161"/>
      <c r="U65" s="161"/>
      <c r="V65" s="161"/>
      <c r="W65" s="161"/>
      <c r="X65" s="161"/>
      <c r="Y65" s="161"/>
      <c r="Z65" s="158"/>
    </row>
    <row r="66" spans="16:26" ht="15" customHeight="1" x14ac:dyDescent="0.3">
      <c r="P66"/>
      <c r="Q66"/>
      <c r="R66" s="161"/>
      <c r="S66" s="161"/>
      <c r="T66" s="161"/>
      <c r="U66" s="161"/>
      <c r="V66" s="161"/>
      <c r="W66" s="161"/>
      <c r="X66" s="161"/>
      <c r="Y66" s="161"/>
      <c r="Z66" s="158"/>
    </row>
    <row r="67" spans="16:26" ht="15" customHeight="1" x14ac:dyDescent="0.3">
      <c r="P67"/>
      <c r="Q67"/>
      <c r="R67" s="161"/>
      <c r="S67" s="161"/>
      <c r="T67" s="161"/>
      <c r="U67" s="161"/>
      <c r="V67" s="161"/>
      <c r="W67" s="161"/>
      <c r="X67" s="161"/>
      <c r="Y67" s="161"/>
      <c r="Z67" s="158"/>
    </row>
    <row r="68" spans="16:26" ht="15" customHeight="1" x14ac:dyDescent="0.3">
      <c r="P68"/>
      <c r="Q68"/>
      <c r="R68" s="161"/>
      <c r="S68" s="161"/>
      <c r="T68" s="161"/>
      <c r="U68" s="161"/>
      <c r="V68" s="161"/>
      <c r="W68" s="161"/>
      <c r="X68" s="161"/>
      <c r="Y68" s="161"/>
      <c r="Z68" s="158"/>
    </row>
    <row r="69" spans="16:26" ht="15" customHeight="1" x14ac:dyDescent="0.3">
      <c r="P69"/>
      <c r="Q69"/>
      <c r="R69" s="161"/>
      <c r="S69" s="161"/>
      <c r="T69" s="161"/>
      <c r="U69" s="161"/>
      <c r="V69" s="161"/>
      <c r="W69" s="161"/>
      <c r="X69" s="161"/>
      <c r="Y69" s="161"/>
      <c r="Z69" s="158"/>
    </row>
    <row r="70" spans="16:26" ht="15" customHeight="1" x14ac:dyDescent="0.3">
      <c r="P70"/>
      <c r="Q70"/>
      <c r="R70" s="161"/>
      <c r="S70" s="161"/>
      <c r="T70" s="161"/>
      <c r="U70" s="161"/>
      <c r="V70" s="161"/>
      <c r="W70" s="161"/>
      <c r="X70" s="161"/>
      <c r="Y70" s="161"/>
      <c r="Z70" s="158"/>
    </row>
    <row r="71" spans="16:26" ht="15" customHeight="1" x14ac:dyDescent="0.3">
      <c r="P71"/>
      <c r="Q71"/>
      <c r="R71" s="161"/>
      <c r="S71" s="161"/>
      <c r="T71" s="161"/>
      <c r="U71" s="161"/>
      <c r="V71" s="161"/>
      <c r="W71" s="161"/>
      <c r="X71" s="161"/>
      <c r="Y71" s="161"/>
      <c r="Z71" s="158"/>
    </row>
    <row r="72" spans="16:26" ht="15" customHeight="1" x14ac:dyDescent="0.3">
      <c r="P72"/>
      <c r="Q72"/>
      <c r="R72" s="161"/>
      <c r="S72" s="161"/>
      <c r="T72" s="161"/>
      <c r="U72" s="161"/>
      <c r="V72" s="161"/>
      <c r="W72" s="161"/>
      <c r="X72" s="161"/>
      <c r="Y72" s="161"/>
      <c r="Z72" s="158"/>
    </row>
    <row r="73" spans="16:26" ht="15" customHeight="1" x14ac:dyDescent="0.3">
      <c r="P73"/>
      <c r="Q73"/>
      <c r="R73" s="161"/>
      <c r="S73" s="161"/>
      <c r="T73" s="161"/>
      <c r="U73" s="161"/>
      <c r="V73" s="161"/>
      <c r="W73" s="161"/>
      <c r="X73" s="161"/>
      <c r="Y73" s="161"/>
      <c r="Z73" s="158"/>
    </row>
    <row r="74" spans="16:26" ht="15" customHeight="1" x14ac:dyDescent="0.3">
      <c r="P74"/>
      <c r="Q74"/>
      <c r="R74" s="161"/>
      <c r="S74" s="161"/>
      <c r="T74" s="161"/>
      <c r="U74" s="161"/>
      <c r="V74" s="161"/>
      <c r="W74" s="161"/>
      <c r="X74" s="161"/>
      <c r="Y74" s="161"/>
      <c r="Z74" s="158"/>
    </row>
    <row r="75" spans="16:26" ht="15" customHeight="1" x14ac:dyDescent="0.3">
      <c r="P75"/>
      <c r="Q75"/>
      <c r="R75" s="161"/>
      <c r="S75" s="161"/>
      <c r="T75" s="161"/>
      <c r="U75" s="161"/>
      <c r="V75" s="161"/>
      <c r="W75" s="161"/>
      <c r="X75" s="161"/>
      <c r="Y75" s="161"/>
      <c r="Z75" s="158"/>
    </row>
    <row r="76" spans="16:26" ht="15" customHeight="1" x14ac:dyDescent="0.3">
      <c r="P76"/>
      <c r="Q76"/>
      <c r="R76" s="161"/>
      <c r="S76" s="161"/>
      <c r="T76" s="161"/>
      <c r="U76" s="161"/>
      <c r="V76" s="161"/>
      <c r="W76" s="161"/>
      <c r="X76" s="161"/>
      <c r="Y76" s="161"/>
      <c r="Z76" s="158"/>
    </row>
    <row r="77" spans="16:26" ht="15" customHeight="1" x14ac:dyDescent="0.3">
      <c r="P77"/>
      <c r="Q77"/>
      <c r="R77" s="161"/>
      <c r="S77" s="161"/>
      <c r="T77" s="161"/>
      <c r="U77" s="161"/>
      <c r="V77" s="161"/>
      <c r="W77" s="161"/>
      <c r="X77" s="161"/>
      <c r="Y77" s="161"/>
      <c r="Z77" s="158"/>
    </row>
    <row r="78" spans="16:26" ht="15" customHeight="1" x14ac:dyDescent="0.3">
      <c r="P78"/>
      <c r="Q78"/>
      <c r="R78" s="161"/>
      <c r="S78" s="161"/>
      <c r="T78" s="161"/>
      <c r="U78" s="161"/>
      <c r="V78" s="161"/>
      <c r="W78" s="161"/>
      <c r="X78" s="161"/>
      <c r="Y78" s="161"/>
      <c r="Z78" s="158"/>
    </row>
    <row r="79" spans="16:26" ht="15" customHeight="1" x14ac:dyDescent="0.3">
      <c r="P79"/>
      <c r="Q79"/>
      <c r="R79" s="161"/>
      <c r="S79" s="161"/>
      <c r="T79" s="161"/>
      <c r="U79" s="161"/>
      <c r="V79" s="161"/>
      <c r="W79" s="161"/>
      <c r="X79" s="161"/>
      <c r="Y79" s="161"/>
      <c r="Z79" s="158"/>
    </row>
    <row r="80" spans="16:26" ht="15" customHeight="1" x14ac:dyDescent="0.3">
      <c r="P80"/>
      <c r="Q80"/>
      <c r="R80" s="161"/>
      <c r="S80" s="161"/>
      <c r="T80" s="161"/>
      <c r="U80" s="161"/>
      <c r="V80" s="161"/>
      <c r="W80" s="161"/>
      <c r="X80" s="161"/>
      <c r="Y80" s="161"/>
      <c r="Z80" s="158"/>
    </row>
    <row r="81" spans="10:26" ht="15" customHeight="1" x14ac:dyDescent="0.3">
      <c r="P81"/>
      <c r="Q81"/>
      <c r="R81" s="161"/>
      <c r="S81" s="161"/>
      <c r="T81" s="161"/>
      <c r="U81" s="161"/>
      <c r="V81" s="161"/>
      <c r="W81" s="161"/>
      <c r="X81" s="161"/>
      <c r="Y81" s="161"/>
      <c r="Z81" s="158"/>
    </row>
    <row r="82" spans="10:26" ht="15" customHeight="1" x14ac:dyDescent="0.3">
      <c r="J82"/>
      <c r="K82"/>
      <c r="L82"/>
      <c r="M82"/>
      <c r="N82"/>
      <c r="O82"/>
      <c r="P82"/>
      <c r="Q82"/>
      <c r="R82" s="161"/>
      <c r="S82" s="161"/>
      <c r="T82" s="161"/>
      <c r="U82" s="161"/>
      <c r="V82" s="161"/>
      <c r="W82" s="161"/>
      <c r="X82" s="161"/>
      <c r="Y82" s="161"/>
      <c r="Z82" s="158"/>
    </row>
    <row r="83" spans="10:26" ht="15" customHeight="1" x14ac:dyDescent="0.3">
      <c r="J83"/>
      <c r="K83"/>
      <c r="L83"/>
      <c r="M83"/>
      <c r="N83"/>
      <c r="O83"/>
      <c r="P83"/>
      <c r="Q83"/>
      <c r="R83" s="161"/>
      <c r="S83" s="161"/>
      <c r="T83" s="161"/>
      <c r="U83" s="161"/>
      <c r="V83" s="161"/>
      <c r="W83" s="161"/>
      <c r="X83" s="161"/>
      <c r="Y83" s="161"/>
      <c r="Z83" s="158"/>
    </row>
    <row r="84" spans="10:26" ht="15" customHeight="1" x14ac:dyDescent="0.3">
      <c r="J84"/>
      <c r="K84"/>
      <c r="L84"/>
      <c r="M84"/>
      <c r="N84"/>
      <c r="O84"/>
      <c r="P84"/>
      <c r="Q84"/>
      <c r="R84" s="161"/>
      <c r="S84" s="161"/>
      <c r="T84" s="161"/>
      <c r="U84" s="161"/>
      <c r="V84" s="161"/>
      <c r="W84" s="161"/>
      <c r="X84" s="161"/>
      <c r="Y84" s="161"/>
      <c r="Z84" s="158"/>
    </row>
    <row r="85" spans="10:26" ht="15" customHeight="1" x14ac:dyDescent="0.3">
      <c r="J85"/>
      <c r="K85"/>
      <c r="L85"/>
      <c r="M85"/>
      <c r="N85"/>
      <c r="O85"/>
      <c r="P85"/>
      <c r="Q85"/>
      <c r="R85" s="161"/>
      <c r="S85" s="161"/>
      <c r="T85" s="161"/>
      <c r="U85" s="161"/>
      <c r="V85" s="161"/>
      <c r="W85" s="161"/>
      <c r="X85" s="161"/>
      <c r="Y85" s="161"/>
      <c r="Z85" s="158"/>
    </row>
    <row r="86" spans="10:26" ht="15" customHeight="1" x14ac:dyDescent="0.3">
      <c r="J86"/>
      <c r="K86"/>
      <c r="L86"/>
      <c r="M86"/>
      <c r="N86"/>
      <c r="O86"/>
      <c r="P86"/>
      <c r="Q86"/>
      <c r="R86" s="161"/>
      <c r="S86" s="161"/>
      <c r="T86" s="161"/>
      <c r="U86" s="161"/>
      <c r="V86" s="161"/>
      <c r="W86" s="161"/>
      <c r="X86" s="161"/>
      <c r="Y86" s="161"/>
      <c r="Z86" s="158"/>
    </row>
    <row r="87" spans="10:26" x14ac:dyDescent="0.3">
      <c r="J87"/>
      <c r="K87"/>
      <c r="L87"/>
      <c r="M87"/>
      <c r="N87"/>
      <c r="O87"/>
      <c r="P87"/>
      <c r="Q87"/>
      <c r="R87" s="161"/>
      <c r="S87" s="161"/>
      <c r="T87" s="161"/>
      <c r="U87" s="161"/>
      <c r="V87" s="161"/>
      <c r="W87" s="161"/>
      <c r="X87" s="161"/>
      <c r="Y87" s="161"/>
      <c r="Z87" s="158"/>
    </row>
    <row r="88" spans="10:26" x14ac:dyDescent="0.3">
      <c r="J88"/>
      <c r="K88"/>
      <c r="L88"/>
      <c r="M88"/>
      <c r="N88"/>
      <c r="O88"/>
      <c r="P88"/>
      <c r="Q88"/>
      <c r="R88" s="161"/>
      <c r="S88" s="161"/>
      <c r="T88" s="161"/>
      <c r="U88" s="161"/>
      <c r="V88" s="161"/>
      <c r="W88" s="161"/>
      <c r="X88" s="161"/>
      <c r="Y88" s="161"/>
      <c r="Z88" s="158"/>
    </row>
    <row r="89" spans="10:26" x14ac:dyDescent="0.3">
      <c r="J89"/>
      <c r="K89"/>
      <c r="L89"/>
      <c r="M89"/>
      <c r="N89"/>
      <c r="O89"/>
      <c r="P89"/>
      <c r="Q89"/>
      <c r="R89" s="161"/>
      <c r="S89" s="161"/>
      <c r="T89" s="161"/>
      <c r="U89" s="161"/>
      <c r="V89" s="161"/>
      <c r="W89" s="161"/>
      <c r="X89" s="161"/>
      <c r="Y89" s="161"/>
      <c r="Z89" s="158"/>
    </row>
    <row r="90" spans="10:26" x14ac:dyDescent="0.3">
      <c r="J90"/>
      <c r="K90"/>
      <c r="L90"/>
      <c r="M90"/>
      <c r="N90"/>
      <c r="O90"/>
      <c r="P90"/>
      <c r="Q90"/>
      <c r="R90" s="161"/>
      <c r="S90" s="161"/>
      <c r="T90" s="161"/>
      <c r="U90" s="161"/>
      <c r="V90" s="161"/>
      <c r="W90" s="161"/>
      <c r="X90" s="161"/>
      <c r="Y90" s="161"/>
      <c r="Z90" s="158"/>
    </row>
    <row r="91" spans="10:26" x14ac:dyDescent="0.3">
      <c r="J91"/>
      <c r="K91"/>
      <c r="L91"/>
      <c r="M91"/>
      <c r="N91"/>
      <c r="O91"/>
      <c r="P91"/>
      <c r="Q91"/>
      <c r="R91" s="161"/>
      <c r="S91" s="161"/>
      <c r="T91" s="161"/>
      <c r="U91" s="161"/>
      <c r="V91" s="161"/>
      <c r="W91" s="161"/>
      <c r="X91" s="161"/>
      <c r="Y91" s="161"/>
      <c r="Z91" s="158"/>
    </row>
    <row r="92" spans="10:26" x14ac:dyDescent="0.3">
      <c r="J92"/>
      <c r="K92"/>
      <c r="L92"/>
      <c r="M92"/>
      <c r="N92"/>
      <c r="O92"/>
      <c r="P92"/>
      <c r="Q92"/>
      <c r="R92" s="161"/>
      <c r="S92" s="161"/>
      <c r="T92" s="161"/>
      <c r="U92" s="161"/>
      <c r="V92" s="161"/>
      <c r="W92" s="161"/>
      <c r="X92" s="161"/>
      <c r="Y92" s="161"/>
      <c r="Z92" s="158"/>
    </row>
    <row r="93" spans="10:26" x14ac:dyDescent="0.3">
      <c r="J93"/>
      <c r="K93"/>
      <c r="L93"/>
      <c r="M93"/>
      <c r="N93"/>
      <c r="O93"/>
      <c r="P93"/>
      <c r="Q93"/>
      <c r="R93" s="161"/>
      <c r="S93" s="161"/>
      <c r="T93" s="161"/>
      <c r="U93" s="161"/>
      <c r="V93" s="161"/>
      <c r="W93" s="161"/>
      <c r="X93" s="161"/>
      <c r="Y93" s="161"/>
      <c r="Z93" s="158"/>
    </row>
    <row r="94" spans="10:26" x14ac:dyDescent="0.3">
      <c r="J94"/>
      <c r="K94"/>
      <c r="L94"/>
      <c r="M94"/>
      <c r="N94"/>
      <c r="O94"/>
      <c r="P94"/>
      <c r="Q94"/>
      <c r="R94" s="161"/>
      <c r="S94" s="161"/>
      <c r="T94" s="161"/>
      <c r="U94" s="161"/>
      <c r="V94" s="161"/>
      <c r="W94" s="161"/>
      <c r="X94" s="161"/>
      <c r="Y94" s="161"/>
      <c r="Z94" s="158"/>
    </row>
    <row r="95" spans="10:26" x14ac:dyDescent="0.3">
      <c r="J95"/>
      <c r="K95"/>
      <c r="L95"/>
      <c r="M95"/>
      <c r="N95"/>
      <c r="O95"/>
      <c r="P95"/>
      <c r="Q95"/>
      <c r="R95" s="161"/>
      <c r="S95" s="161"/>
      <c r="T95" s="161"/>
      <c r="U95" s="161"/>
      <c r="V95" s="161"/>
      <c r="W95" s="161"/>
      <c r="X95" s="161"/>
      <c r="Y95" s="161"/>
      <c r="Z95" s="158"/>
    </row>
    <row r="96" spans="10:26" x14ac:dyDescent="0.3">
      <c r="J96"/>
      <c r="K96"/>
      <c r="L96"/>
      <c r="M96"/>
      <c r="N96"/>
      <c r="O96"/>
      <c r="P96"/>
      <c r="Q96"/>
      <c r="R96" s="161"/>
      <c r="S96" s="161"/>
      <c r="T96" s="161"/>
      <c r="U96" s="161"/>
      <c r="V96" s="161"/>
      <c r="W96" s="161"/>
      <c r="X96" s="161"/>
      <c r="Y96" s="161"/>
      <c r="Z96" s="158"/>
    </row>
    <row r="97" spans="10:26" x14ac:dyDescent="0.3">
      <c r="J97"/>
      <c r="K97"/>
      <c r="L97"/>
      <c r="M97"/>
      <c r="N97"/>
      <c r="O97"/>
      <c r="P97"/>
      <c r="Q97"/>
      <c r="R97" s="161"/>
      <c r="S97" s="161"/>
      <c r="T97" s="161"/>
      <c r="U97" s="161"/>
      <c r="V97" s="161"/>
      <c r="W97" s="161"/>
      <c r="X97" s="161"/>
      <c r="Y97" s="161"/>
      <c r="Z97" s="158"/>
    </row>
    <row r="98" spans="10:26" x14ac:dyDescent="0.3">
      <c r="J98"/>
      <c r="K98"/>
      <c r="L98"/>
      <c r="M98"/>
      <c r="N98"/>
      <c r="O98"/>
      <c r="P98"/>
      <c r="Q98"/>
      <c r="R98" s="161"/>
      <c r="S98" s="161"/>
      <c r="T98" s="161"/>
      <c r="U98" s="161"/>
      <c r="V98" s="161"/>
      <c r="W98" s="161"/>
      <c r="X98" s="161"/>
      <c r="Y98" s="161"/>
      <c r="Z98" s="158"/>
    </row>
    <row r="99" spans="10:26" x14ac:dyDescent="0.3">
      <c r="J99"/>
      <c r="K99"/>
      <c r="L99"/>
      <c r="M99"/>
      <c r="N99"/>
      <c r="O99"/>
      <c r="P99"/>
      <c r="Q99"/>
      <c r="R99" s="161"/>
      <c r="S99" s="161"/>
      <c r="T99" s="161"/>
      <c r="U99" s="161"/>
      <c r="V99" s="161"/>
      <c r="W99" s="161"/>
      <c r="X99" s="161"/>
      <c r="Y99" s="161"/>
      <c r="Z99" s="158"/>
    </row>
    <row r="100" spans="10:26" x14ac:dyDescent="0.3">
      <c r="J100"/>
      <c r="K100"/>
      <c r="L100"/>
      <c r="M100"/>
      <c r="N100"/>
      <c r="O100"/>
      <c r="P100"/>
      <c r="Q100"/>
      <c r="R100" s="161"/>
      <c r="S100" s="161"/>
      <c r="T100" s="161"/>
      <c r="U100" s="161"/>
      <c r="V100" s="161"/>
      <c r="W100" s="161"/>
      <c r="X100" s="161"/>
      <c r="Y100" s="161"/>
      <c r="Z100" s="158"/>
    </row>
    <row r="101" spans="10:26" x14ac:dyDescent="0.3">
      <c r="J101"/>
      <c r="K101"/>
      <c r="L101"/>
      <c r="M101"/>
      <c r="N101"/>
      <c r="O101"/>
      <c r="P101"/>
      <c r="Q101"/>
      <c r="R101" s="161"/>
      <c r="S101" s="161"/>
      <c r="T101" s="161"/>
      <c r="U101" s="161"/>
      <c r="V101" s="161"/>
      <c r="W101" s="161"/>
      <c r="X101" s="161"/>
      <c r="Y101" s="161"/>
      <c r="Z101" s="158"/>
    </row>
    <row r="102" spans="10:26" x14ac:dyDescent="0.3">
      <c r="J102"/>
      <c r="K102"/>
      <c r="L102"/>
      <c r="M102"/>
      <c r="N102"/>
      <c r="O102"/>
      <c r="P102"/>
      <c r="Q102"/>
      <c r="R102" s="161"/>
      <c r="S102" s="161"/>
      <c r="T102" s="161"/>
      <c r="U102" s="161"/>
      <c r="V102" s="161"/>
      <c r="W102" s="161"/>
      <c r="X102" s="161"/>
      <c r="Y102" s="161"/>
      <c r="Z102" s="158"/>
    </row>
    <row r="103" spans="10:26" x14ac:dyDescent="0.3">
      <c r="J103"/>
      <c r="K103"/>
      <c r="L103"/>
      <c r="M103"/>
      <c r="N103"/>
      <c r="O103"/>
      <c r="P103"/>
      <c r="Q103"/>
      <c r="R103" s="161"/>
      <c r="S103" s="161"/>
      <c r="T103" s="161"/>
      <c r="U103" s="161"/>
      <c r="V103" s="161"/>
      <c r="W103" s="161"/>
      <c r="X103" s="161"/>
      <c r="Y103" s="161"/>
      <c r="Z103" s="158"/>
    </row>
    <row r="104" spans="10:26" x14ac:dyDescent="0.3">
      <c r="J104"/>
      <c r="K104"/>
      <c r="L104"/>
      <c r="M104"/>
      <c r="N104"/>
      <c r="O104"/>
      <c r="P104"/>
      <c r="Q104"/>
      <c r="R104" s="161"/>
      <c r="S104" s="161"/>
      <c r="T104" s="161"/>
      <c r="U104" s="161"/>
      <c r="V104" s="161"/>
      <c r="W104" s="161"/>
      <c r="X104" s="161"/>
      <c r="Y104" s="161"/>
      <c r="Z104" s="158"/>
    </row>
    <row r="105" spans="10:26" x14ac:dyDescent="0.3">
      <c r="J105"/>
      <c r="K105"/>
      <c r="L105"/>
      <c r="M105"/>
      <c r="N105"/>
      <c r="O105"/>
      <c r="P105"/>
      <c r="Q105"/>
      <c r="R105" s="161"/>
      <c r="S105" s="161"/>
      <c r="T105" s="161"/>
      <c r="U105" s="161"/>
      <c r="V105" s="161"/>
      <c r="W105" s="161"/>
      <c r="X105" s="161"/>
      <c r="Y105" s="161"/>
      <c r="Z105" s="158"/>
    </row>
    <row r="106" spans="10:26" x14ac:dyDescent="0.3">
      <c r="J106"/>
      <c r="K106"/>
      <c r="L106"/>
      <c r="M106"/>
      <c r="N106"/>
      <c r="O106"/>
      <c r="P106"/>
      <c r="Q106"/>
      <c r="R106" s="161"/>
      <c r="S106" s="161"/>
      <c r="T106" s="161"/>
      <c r="U106" s="161"/>
      <c r="V106" s="161"/>
      <c r="W106" s="161"/>
      <c r="X106" s="161"/>
      <c r="Y106" s="161"/>
      <c r="Z106" s="158"/>
    </row>
    <row r="107" spans="10:26" x14ac:dyDescent="0.3">
      <c r="J107"/>
      <c r="K107"/>
      <c r="L107"/>
      <c r="M107"/>
      <c r="N107"/>
      <c r="O107"/>
      <c r="P107"/>
      <c r="Q107"/>
      <c r="R107" s="161"/>
      <c r="S107" s="161"/>
      <c r="T107" s="161"/>
      <c r="U107" s="161"/>
      <c r="V107" s="161"/>
      <c r="W107" s="161"/>
      <c r="X107" s="161"/>
      <c r="Y107" s="161"/>
      <c r="Z107" s="158"/>
    </row>
    <row r="108" spans="10:26" x14ac:dyDescent="0.3">
      <c r="J108"/>
      <c r="K108"/>
      <c r="L108"/>
      <c r="M108"/>
      <c r="N108"/>
      <c r="O108"/>
      <c r="P108"/>
      <c r="Q108"/>
      <c r="R108" s="161"/>
      <c r="S108" s="161"/>
      <c r="T108" s="161"/>
      <c r="U108" s="161"/>
      <c r="V108" s="161"/>
      <c r="W108" s="161"/>
      <c r="X108" s="161"/>
      <c r="Y108" s="161"/>
      <c r="Z108" s="158"/>
    </row>
    <row r="109" spans="10:26" x14ac:dyDescent="0.3">
      <c r="J109"/>
      <c r="K109"/>
      <c r="L109"/>
      <c r="M109"/>
      <c r="N109"/>
      <c r="O109"/>
      <c r="P109"/>
      <c r="Q109"/>
      <c r="R109" s="161"/>
      <c r="S109" s="161"/>
      <c r="T109" s="161"/>
      <c r="U109" s="161"/>
      <c r="V109" s="161"/>
      <c r="W109" s="161"/>
      <c r="X109" s="161"/>
      <c r="Y109" s="161"/>
      <c r="Z109" s="158"/>
    </row>
    <row r="110" spans="10:26" x14ac:dyDescent="0.3">
      <c r="J110"/>
      <c r="K110"/>
      <c r="L110"/>
      <c r="M110"/>
      <c r="N110"/>
      <c r="O110"/>
      <c r="P110"/>
      <c r="Q110"/>
      <c r="R110" s="161"/>
      <c r="S110" s="161"/>
      <c r="T110" s="161"/>
      <c r="U110" s="161"/>
      <c r="V110" s="161"/>
      <c r="W110" s="161"/>
      <c r="X110" s="161"/>
      <c r="Y110" s="161"/>
      <c r="Z110" s="158"/>
    </row>
    <row r="111" spans="10:26" x14ac:dyDescent="0.3">
      <c r="J111"/>
      <c r="K111"/>
      <c r="L111"/>
      <c r="M111"/>
      <c r="N111"/>
      <c r="O111"/>
      <c r="P111"/>
      <c r="Q111"/>
      <c r="R111" s="161"/>
      <c r="S111" s="161"/>
      <c r="T111" s="161"/>
      <c r="U111" s="161"/>
      <c r="V111" s="161"/>
      <c r="W111" s="161"/>
      <c r="X111" s="161"/>
      <c r="Y111" s="161"/>
      <c r="Z111" s="158"/>
    </row>
    <row r="112" spans="10:26" x14ac:dyDescent="0.3">
      <c r="J112"/>
      <c r="K112"/>
      <c r="L112"/>
      <c r="M112"/>
      <c r="N112"/>
      <c r="O112"/>
      <c r="P112"/>
      <c r="Q112"/>
      <c r="R112" s="161"/>
      <c r="S112" s="161"/>
      <c r="T112" s="161"/>
      <c r="U112" s="161"/>
      <c r="V112" s="161"/>
      <c r="W112" s="161"/>
      <c r="X112" s="161"/>
      <c r="Y112" s="161"/>
      <c r="Z112" s="158"/>
    </row>
    <row r="113" spans="10:26" x14ac:dyDescent="0.3">
      <c r="J113"/>
      <c r="K113"/>
      <c r="L113"/>
      <c r="M113"/>
      <c r="N113"/>
      <c r="O113"/>
      <c r="P113"/>
      <c r="Q113"/>
      <c r="R113" s="161"/>
      <c r="S113" s="161"/>
      <c r="T113" s="161"/>
      <c r="U113" s="161"/>
      <c r="V113" s="161"/>
      <c r="W113" s="161"/>
      <c r="X113" s="161"/>
      <c r="Y113" s="161"/>
      <c r="Z113" s="158"/>
    </row>
    <row r="114" spans="10:26" x14ac:dyDescent="0.3">
      <c r="J114"/>
      <c r="K114"/>
      <c r="L114"/>
      <c r="M114"/>
      <c r="N114"/>
      <c r="O114"/>
      <c r="P114"/>
      <c r="Q114"/>
      <c r="R114" s="161"/>
      <c r="S114" s="161"/>
      <c r="T114" s="161"/>
      <c r="U114" s="161"/>
      <c r="V114" s="161"/>
      <c r="W114" s="161"/>
      <c r="X114" s="161"/>
      <c r="Y114" s="161"/>
      <c r="Z114" s="158"/>
    </row>
    <row r="115" spans="10:26" x14ac:dyDescent="0.3">
      <c r="J115"/>
      <c r="K115"/>
      <c r="L115"/>
      <c r="M115"/>
      <c r="N115"/>
      <c r="O115"/>
      <c r="P115"/>
      <c r="Q115"/>
      <c r="R115" s="161"/>
      <c r="S115" s="161"/>
      <c r="T115" s="161"/>
      <c r="U115" s="161"/>
      <c r="V115" s="161"/>
      <c r="W115" s="161"/>
      <c r="X115" s="161"/>
      <c r="Y115" s="161"/>
      <c r="Z115" s="158"/>
    </row>
    <row r="116" spans="10:26" x14ac:dyDescent="0.3">
      <c r="J116"/>
      <c r="K116"/>
      <c r="L116"/>
      <c r="M116"/>
      <c r="N116"/>
      <c r="O116"/>
      <c r="P116"/>
      <c r="Q116"/>
      <c r="R116" s="161"/>
      <c r="S116" s="161"/>
      <c r="T116" s="161"/>
      <c r="U116" s="161"/>
      <c r="V116" s="161"/>
      <c r="W116" s="161"/>
      <c r="X116" s="161"/>
      <c r="Y116" s="161"/>
      <c r="Z116" s="158"/>
    </row>
    <row r="117" spans="10:26" x14ac:dyDescent="0.3">
      <c r="J117"/>
      <c r="K117"/>
      <c r="L117"/>
      <c r="M117"/>
      <c r="N117"/>
      <c r="O117"/>
      <c r="P117"/>
      <c r="Q117"/>
      <c r="R117" s="161"/>
      <c r="S117" s="161"/>
      <c r="T117" s="161"/>
      <c r="U117" s="161"/>
      <c r="V117" s="161"/>
      <c r="W117" s="161"/>
      <c r="X117" s="161"/>
      <c r="Y117" s="161"/>
      <c r="Z117" s="158"/>
    </row>
    <row r="118" spans="10:26" x14ac:dyDescent="0.3">
      <c r="J118"/>
      <c r="K118"/>
      <c r="L118"/>
      <c r="M118"/>
      <c r="N118"/>
      <c r="O118"/>
      <c r="P118"/>
      <c r="Q118"/>
      <c r="R118" s="161"/>
      <c r="S118" s="161"/>
      <c r="T118" s="161"/>
      <c r="U118" s="161"/>
      <c r="V118" s="161"/>
      <c r="W118" s="161"/>
      <c r="X118" s="161"/>
      <c r="Y118" s="161"/>
      <c r="Z118" s="158"/>
    </row>
    <row r="119" spans="10:26" x14ac:dyDescent="0.3">
      <c r="J119"/>
      <c r="K119"/>
      <c r="L119"/>
      <c r="M119"/>
      <c r="N119"/>
      <c r="O119"/>
      <c r="P119"/>
      <c r="Q119"/>
      <c r="R119" s="161"/>
      <c r="S119" s="161"/>
      <c r="T119" s="161"/>
      <c r="U119" s="161"/>
      <c r="V119" s="161"/>
      <c r="W119" s="161"/>
      <c r="X119" s="161"/>
      <c r="Y119" s="161"/>
      <c r="Z119" s="158"/>
    </row>
    <row r="120" spans="10:26" x14ac:dyDescent="0.3">
      <c r="J120"/>
      <c r="K120"/>
      <c r="L120"/>
      <c r="M120"/>
      <c r="N120"/>
      <c r="O120"/>
      <c r="P120"/>
      <c r="Q120"/>
      <c r="R120" s="161"/>
      <c r="S120" s="161"/>
      <c r="T120" s="161"/>
      <c r="U120" s="161"/>
      <c r="V120" s="161"/>
      <c r="W120" s="161"/>
      <c r="X120" s="161"/>
      <c r="Y120" s="161"/>
      <c r="Z120" s="158"/>
    </row>
    <row r="121" spans="10:26" x14ac:dyDescent="0.3">
      <c r="J121"/>
      <c r="K121"/>
      <c r="L121"/>
      <c r="M121"/>
      <c r="N121"/>
      <c r="O121"/>
      <c r="P121"/>
      <c r="Q121"/>
      <c r="R121" s="161"/>
      <c r="S121" s="161"/>
      <c r="T121" s="161"/>
      <c r="U121" s="161"/>
      <c r="V121" s="161"/>
      <c r="W121" s="161"/>
      <c r="X121" s="161"/>
      <c r="Y121" s="161"/>
      <c r="Z121" s="158"/>
    </row>
  </sheetData>
  <sheetProtection algorithmName="SHA-512" hashValue="/ul899bLhb9gIRmkucP3bPuZr/OO7pW7u1tAIQNLKIk1es1h6LbzPW0b+1WaGjJeu3x9FE4PE+aJSsSY4cd5tA==" saltValue="ZUe74rQKC94NrEwzQ/NHmw==" spinCount="100000" sheet="1" scenarios="1"/>
  <mergeCells count="13">
    <mergeCell ref="U27:X29"/>
    <mergeCell ref="A2:Y2"/>
    <mergeCell ref="A1:Y1"/>
    <mergeCell ref="R12:Y14"/>
    <mergeCell ref="R7:Y8"/>
    <mergeCell ref="O6:P6"/>
    <mergeCell ref="O7:P8"/>
    <mergeCell ref="A5:J5"/>
    <mergeCell ref="L5:R5"/>
    <mergeCell ref="C4:E4"/>
    <mergeCell ref="O3:X4"/>
    <mergeCell ref="C3:D3"/>
    <mergeCell ref="A4:B4"/>
  </mergeCells>
  <conditionalFormatting sqref="I7:I9">
    <cfRule type="cellIs" dxfId="59" priority="3" operator="greaterThanOrEqual">
      <formula>4</formula>
    </cfRule>
    <cfRule type="cellIs" dxfId="58" priority="4" operator="lessThan">
      <formula>3</formula>
    </cfRule>
  </conditionalFormatting>
  <conditionalFormatting sqref="J7:J9">
    <cfRule type="cellIs" dxfId="57" priority="5" operator="equal">
      <formula>"OK"</formula>
    </cfRule>
    <cfRule type="cellIs" dxfId="56" priority="6" operator="equal">
      <formula>"REJEITADO"</formula>
    </cfRule>
  </conditionalFormatting>
  <conditionalFormatting sqref="O3">
    <cfRule type="expression" dxfId="55" priority="2">
      <formula>OR($G$3&lt;&gt;"",$G$4&lt;&gt;"")</formula>
    </cfRule>
  </conditionalFormatting>
  <conditionalFormatting sqref="G7:K9">
    <cfRule type="cellIs" dxfId="54" priority="1" operator="greaterThan">
      <formula>0</formula>
    </cfRule>
  </conditionalFormatting>
  <conditionalFormatting sqref="G6">
    <cfRule type="expression" dxfId="53" priority="17" stopIfTrue="1">
      <formula>_xludf.SUM($G$7:$G$8)&gt;0</formula>
    </cfRule>
    <cfRule type="expression" dxfId="52" priority="18" stopIfTrue="1">
      <formula>_xludf.SUMPRODUCT((regrasRotulos=G6)*regrasAtivas)=1</formula>
    </cfRule>
  </conditionalFormatting>
  <conditionalFormatting sqref="H6">
    <cfRule type="expression" dxfId="51" priority="19" stopIfTrue="1">
      <formula>_xludf.SUM($H$7:$H$8)&gt;0</formula>
    </cfRule>
    <cfRule type="expression" dxfId="50" priority="20" stopIfTrue="1">
      <formula>_xludf.SUMPRODUCT((regrasRotulos=H6)*regrasAtivas)=1</formula>
    </cfRule>
  </conditionalFormatting>
  <conditionalFormatting sqref="I6">
    <cfRule type="expression" dxfId="49" priority="21" stopIfTrue="1">
      <formula>_xludf.SUM($I$7:$I$8)&gt;0</formula>
    </cfRule>
    <cfRule type="expression" dxfId="48" priority="22" stopIfTrue="1">
      <formula>_xludf.SUMPRODUCT((regrasRotulos=I6)*regrasAtivas)=1</formula>
    </cfRule>
  </conditionalFormatting>
  <conditionalFormatting sqref="J6">
    <cfRule type="expression" dxfId="47" priority="23" stopIfTrue="1">
      <formula>_xludf.SUM($J$7:$J$8)&gt;0</formula>
    </cfRule>
    <cfRule type="expression" dxfId="46" priority="24" stopIfTrue="1">
      <formula>_xludf.SUMPRODUCT((regrasRotulos=J6)*regrasAtivas)=1</formula>
    </cfRule>
  </conditionalFormatting>
  <conditionalFormatting sqref="K6">
    <cfRule type="expression" dxfId="45" priority="25" stopIfTrue="1">
      <formula>_xludf.SUM($K$7:$K$8)&gt;0</formula>
    </cfRule>
    <cfRule type="expression" dxfId="44" priority="26" stopIfTrue="1">
      <formula>_xludf.SUMPRODUCT((regrasRotulos=K6)*regrasAtivas)=1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hyperlinks>
    <hyperlink ref="U30" r:id="rId1" tooltip="Abrir: https://doi.org/10.11613/BM.2018.020502" xr:uid="{43A6E5AD-2DD2-4C7D-AD91-522E6BEA5F8E}"/>
    <hyperlink ref="U31" r:id="rId2" tooltip="Abrir: https://doi.org/10.1093/ajcp/aqy158" xr:uid="{D81AC8BF-5913-4F98-8C12-847382931F92}"/>
    <hyperlink ref="U32" r:id="rId3" tooltip="Abrir: https://doi.org/10.1002/jcla.23665" xr:uid="{12543D33-F474-45C4-B2CA-B49673573774}"/>
    <hyperlink ref="U33" r:id="rId4" tooltip="Abrir: https://clsi.org/standards/products/method-evaluation/documents/c24/" xr:uid="{BF2BC079-BEA8-4B1B-BA3B-1D7292375A7F}"/>
  </hyperlinks>
  <pageMargins left="0.75" right="0.75" top="1" bottom="1" header="0.5" footer="0.5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ColWidth="8.88671875"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205" t="s">
        <v>230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</row>
    <row r="2" spans="1:13" ht="19.95" customHeight="1" x14ac:dyDescent="0.3">
      <c r="A2" s="212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</row>
    <row r="3" spans="1:13" ht="28.2" customHeight="1" x14ac:dyDescent="0.3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sheetProtection algorithmName="SHA-512" hashValue="unA3xD56vrWJth5MTFltECEqQn2CrRvbA97RllGRQ1p+go41qQD1MdDdbF80xDmqahhOwuFmwqgbG0IGspsfFg==" saltValue="aPgTz0Hr2Dtk1WUwIWwfSg==" spinCount="100000" sheet="1" scenarios="1"/>
  <mergeCells count="2">
    <mergeCell ref="A2:M2"/>
    <mergeCell ref="A1:M1"/>
  </mergeCells>
  <conditionalFormatting sqref="I4:I203">
    <cfRule type="cellIs" dxfId="43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85" activePane="bottomLeft" state="frozen"/>
      <selection pane="bottomLeft" activeCell="Q4" sqref="Q4"/>
    </sheetView>
  </sheetViews>
  <sheetFormatPr defaultColWidth="8.88671875"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8671875" style="30"/>
    <col min="17" max="16384" width="8.88671875" style="1"/>
  </cols>
  <sheetData>
    <row r="1" spans="1:16" ht="40.200000000000003" customHeight="1" x14ac:dyDescent="0.3">
      <c r="A1" s="205" t="s">
        <v>466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</row>
    <row r="2" spans="1:16" ht="19.95" customHeight="1" x14ac:dyDescent="0.3">
      <c r="A2" s="206" t="s">
        <v>240</v>
      </c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</row>
    <row r="3" spans="1:16" ht="28.2" customHeight="1" x14ac:dyDescent="0.3">
      <c r="A3" s="57" t="s">
        <v>88</v>
      </c>
      <c r="B3" s="57" t="s">
        <v>241</v>
      </c>
      <c r="C3" s="57" t="s">
        <v>242</v>
      </c>
      <c r="D3" s="57" t="s">
        <v>156</v>
      </c>
      <c r="E3" s="57" t="s">
        <v>243</v>
      </c>
      <c r="F3" s="57" t="s">
        <v>244</v>
      </c>
      <c r="G3" s="57" t="s">
        <v>245</v>
      </c>
      <c r="H3" s="57" t="s">
        <v>246</v>
      </c>
      <c r="I3" s="57" t="s">
        <v>247</v>
      </c>
      <c r="J3" s="57" t="s">
        <v>248</v>
      </c>
      <c r="K3" s="57" t="s">
        <v>249</v>
      </c>
      <c r="L3" s="57" t="s">
        <v>250</v>
      </c>
      <c r="M3" s="57" t="s">
        <v>221</v>
      </c>
      <c r="N3" s="57" t="s">
        <v>218</v>
      </c>
      <c r="O3" s="57" t="s">
        <v>251</v>
      </c>
      <c r="P3" s="66" t="s">
        <v>396</v>
      </c>
    </row>
    <row r="4" spans="1:16" x14ac:dyDescent="0.3">
      <c r="A4" s="15" t="s">
        <v>111</v>
      </c>
      <c r="B4" s="10">
        <v>2025</v>
      </c>
      <c r="C4" s="10" t="s">
        <v>393</v>
      </c>
      <c r="D4" s="7">
        <v>45726</v>
      </c>
      <c r="E4" s="6" t="s">
        <v>402</v>
      </c>
      <c r="F4" s="8" t="s">
        <v>252</v>
      </c>
      <c r="G4" s="10">
        <v>259.41930000000002</v>
      </c>
      <c r="H4" s="10">
        <v>255.0872</v>
      </c>
      <c r="I4" s="10">
        <v>7.6525999999999996</v>
      </c>
      <c r="J4" s="85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86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87">
        <f t="shared" ref="N4:N35" si="2">IF(OR($G4="",$H4="",$H4=0),"",($G4-$H4)/$H4*100)</f>
        <v>1.6982819992535987</v>
      </c>
      <c r="O4" s="87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">
      <c r="A5" s="15" t="s">
        <v>111</v>
      </c>
      <c r="B5" s="10">
        <v>2025</v>
      </c>
      <c r="C5" s="10" t="s">
        <v>393</v>
      </c>
      <c r="D5" s="7">
        <v>45726</v>
      </c>
      <c r="E5" s="6" t="s">
        <v>402</v>
      </c>
      <c r="F5" s="8" t="s">
        <v>253</v>
      </c>
      <c r="G5" s="10">
        <v>260.38279999999997</v>
      </c>
      <c r="H5" s="10">
        <v>258.12299999999999</v>
      </c>
      <c r="I5" s="10">
        <v>7.7436999999999996</v>
      </c>
      <c r="J5" s="85">
        <f t="shared" si="0"/>
        <v>0.29182432170667566</v>
      </c>
      <c r="K5" s="10">
        <v>234.89189999999999</v>
      </c>
      <c r="L5" s="10">
        <v>281.35410000000002</v>
      </c>
      <c r="M5" s="86" t="str">
        <f t="shared" si="1"/>
        <v>OK</v>
      </c>
      <c r="N5" s="87">
        <f t="shared" si="2"/>
        <v>0.87547409568305978</v>
      </c>
      <c r="O5" s="87">
        <f t="shared" si="3"/>
        <v>0.87547409568305978</v>
      </c>
      <c r="P5" s="30" t="str">
        <f t="shared" si="4"/>
        <v>OK</v>
      </c>
    </row>
    <row r="6" spans="1:16" x14ac:dyDescent="0.3">
      <c r="A6" s="15" t="s">
        <v>111</v>
      </c>
      <c r="B6" s="10">
        <v>2025</v>
      </c>
      <c r="C6" s="10" t="s">
        <v>393</v>
      </c>
      <c r="D6" s="7">
        <v>45726</v>
      </c>
      <c r="E6" s="6" t="s">
        <v>402</v>
      </c>
      <c r="F6" s="8" t="s">
        <v>254</v>
      </c>
      <c r="G6" s="10">
        <v>256.44690000000003</v>
      </c>
      <c r="H6" s="10">
        <v>254.24019999999999</v>
      </c>
      <c r="I6" s="10">
        <v>7.6272000000000002</v>
      </c>
      <c r="J6" s="85">
        <f t="shared" si="0"/>
        <v>0.28931980281099756</v>
      </c>
      <c r="K6" s="10">
        <v>231.3586</v>
      </c>
      <c r="L6" s="10">
        <v>277.12180000000001</v>
      </c>
      <c r="M6" s="86" t="str">
        <f t="shared" si="1"/>
        <v>OK</v>
      </c>
      <c r="N6" s="87">
        <f t="shared" si="2"/>
        <v>0.86795872564607823</v>
      </c>
      <c r="O6" s="87">
        <f t="shared" si="3"/>
        <v>0.86795872564607823</v>
      </c>
      <c r="P6" s="30" t="str">
        <f t="shared" si="4"/>
        <v>OK</v>
      </c>
    </row>
    <row r="7" spans="1:16" x14ac:dyDescent="0.3">
      <c r="A7" s="15" t="s">
        <v>111</v>
      </c>
      <c r="B7" s="10">
        <v>2025</v>
      </c>
      <c r="C7" s="10" t="s">
        <v>393</v>
      </c>
      <c r="D7" s="7">
        <v>45726</v>
      </c>
      <c r="E7" s="6" t="s">
        <v>402</v>
      </c>
      <c r="F7" s="8" t="s">
        <v>255</v>
      </c>
      <c r="G7" s="10">
        <v>259.21050000000002</v>
      </c>
      <c r="H7" s="10">
        <v>256.45280000000002</v>
      </c>
      <c r="I7" s="10">
        <v>7.6936</v>
      </c>
      <c r="J7" s="85">
        <f t="shared" si="0"/>
        <v>0.3584407819486326</v>
      </c>
      <c r="K7" s="10">
        <v>233.37200000000001</v>
      </c>
      <c r="L7" s="10">
        <v>279.53359999999998</v>
      </c>
      <c r="M7" s="86" t="str">
        <f t="shared" si="1"/>
        <v>OK</v>
      </c>
      <c r="N7" s="87">
        <f t="shared" si="2"/>
        <v>1.0753245821453303</v>
      </c>
      <c r="O7" s="87">
        <f t="shared" si="3"/>
        <v>1.0753245821453303</v>
      </c>
      <c r="P7" s="30" t="str">
        <f t="shared" si="4"/>
        <v>OK</v>
      </c>
    </row>
    <row r="8" spans="1:16" x14ac:dyDescent="0.3">
      <c r="A8" s="15" t="s">
        <v>111</v>
      </c>
      <c r="B8" s="10">
        <v>2025</v>
      </c>
      <c r="C8" s="10" t="s">
        <v>393</v>
      </c>
      <c r="D8" s="7">
        <v>45726</v>
      </c>
      <c r="E8" s="6" t="s">
        <v>402</v>
      </c>
      <c r="F8" s="8" t="s">
        <v>256</v>
      </c>
      <c r="G8" s="10">
        <v>257.64240000000001</v>
      </c>
      <c r="H8" s="10">
        <v>256.90460000000002</v>
      </c>
      <c r="I8" s="10">
        <v>7.7070999999999996</v>
      </c>
      <c r="J8" s="85">
        <f t="shared" si="0"/>
        <v>9.5729911380414548E-2</v>
      </c>
      <c r="K8" s="10">
        <v>233.7833</v>
      </c>
      <c r="L8" s="10">
        <v>280.02589999999998</v>
      </c>
      <c r="M8" s="86" t="str">
        <f t="shared" si="1"/>
        <v>OK</v>
      </c>
      <c r="N8" s="87">
        <f t="shared" si="2"/>
        <v>0.28718831815389556</v>
      </c>
      <c r="O8" s="87">
        <f t="shared" si="3"/>
        <v>0.28718831815389556</v>
      </c>
      <c r="P8" s="30" t="str">
        <f t="shared" si="4"/>
        <v>OK</v>
      </c>
    </row>
    <row r="9" spans="1:16" x14ac:dyDescent="0.3">
      <c r="A9" s="15" t="s">
        <v>111</v>
      </c>
      <c r="B9" s="10">
        <v>2025</v>
      </c>
      <c r="C9" s="10" t="s">
        <v>394</v>
      </c>
      <c r="D9" s="7">
        <v>45818</v>
      </c>
      <c r="E9" s="6" t="s">
        <v>402</v>
      </c>
      <c r="F9" s="8" t="s">
        <v>252</v>
      </c>
      <c r="G9" s="10">
        <v>261.7337</v>
      </c>
      <c r="H9" s="10">
        <v>258.99470000000002</v>
      </c>
      <c r="I9" s="10">
        <v>7.7698</v>
      </c>
      <c r="J9" s="85">
        <f t="shared" si="0"/>
        <v>0.3525187263507395</v>
      </c>
      <c r="K9" s="10">
        <v>235.68530000000001</v>
      </c>
      <c r="L9" s="10">
        <v>282.30410000000001</v>
      </c>
      <c r="M9" s="86" t="str">
        <f t="shared" si="1"/>
        <v>OK</v>
      </c>
      <c r="N9" s="87">
        <f t="shared" si="2"/>
        <v>1.0575505985257518</v>
      </c>
      <c r="O9" s="87">
        <f t="shared" si="3"/>
        <v>1.0575505985257518</v>
      </c>
      <c r="P9" s="30" t="str">
        <f t="shared" si="4"/>
        <v>OK</v>
      </c>
    </row>
    <row r="10" spans="1:16" x14ac:dyDescent="0.3">
      <c r="A10" s="15" t="s">
        <v>111</v>
      </c>
      <c r="B10" s="10">
        <v>2025</v>
      </c>
      <c r="C10" s="10" t="s">
        <v>394</v>
      </c>
      <c r="D10" s="7">
        <v>45818</v>
      </c>
      <c r="E10" s="6" t="s">
        <v>402</v>
      </c>
      <c r="F10" s="8" t="s">
        <v>253</v>
      </c>
      <c r="G10" s="10">
        <v>259.40480000000002</v>
      </c>
      <c r="H10" s="10">
        <v>256.73500000000001</v>
      </c>
      <c r="I10" s="10">
        <v>7.702</v>
      </c>
      <c r="J10" s="85">
        <f t="shared" si="0"/>
        <v>0.3466372370812788</v>
      </c>
      <c r="K10" s="10">
        <v>233.62899999999999</v>
      </c>
      <c r="L10" s="10">
        <v>279.84100000000001</v>
      </c>
      <c r="M10" s="86" t="str">
        <f t="shared" si="1"/>
        <v>OK</v>
      </c>
      <c r="N10" s="87">
        <f t="shared" si="2"/>
        <v>1.039904960367698</v>
      </c>
      <c r="O10" s="87">
        <f t="shared" si="3"/>
        <v>1.039904960367698</v>
      </c>
      <c r="P10" s="30" t="str">
        <f t="shared" si="4"/>
        <v>OK</v>
      </c>
    </row>
    <row r="11" spans="1:16" x14ac:dyDescent="0.3">
      <c r="A11" s="15" t="s">
        <v>111</v>
      </c>
      <c r="B11" s="10">
        <v>2025</v>
      </c>
      <c r="C11" s="10" t="s">
        <v>394</v>
      </c>
      <c r="D11" s="7">
        <v>45818</v>
      </c>
      <c r="E11" s="6" t="s">
        <v>402</v>
      </c>
      <c r="F11" s="8" t="s">
        <v>254</v>
      </c>
      <c r="G11" s="10">
        <v>257.34530000000001</v>
      </c>
      <c r="H11" s="10">
        <v>254.0333</v>
      </c>
      <c r="I11" s="10">
        <v>7.6210000000000004</v>
      </c>
      <c r="J11" s="85">
        <f t="shared" si="0"/>
        <v>0.43458863666185693</v>
      </c>
      <c r="K11" s="10">
        <v>231.1703</v>
      </c>
      <c r="L11" s="10">
        <v>276.8963</v>
      </c>
      <c r="M11" s="86" t="str">
        <f t="shared" si="1"/>
        <v>OK</v>
      </c>
      <c r="N11" s="87">
        <f t="shared" si="2"/>
        <v>1.303766081061031</v>
      </c>
      <c r="O11" s="87">
        <f t="shared" si="3"/>
        <v>1.303766081061031</v>
      </c>
      <c r="P11" s="30" t="str">
        <f t="shared" si="4"/>
        <v>OK</v>
      </c>
    </row>
    <row r="12" spans="1:16" x14ac:dyDescent="0.3">
      <c r="A12" s="15" t="s">
        <v>111</v>
      </c>
      <c r="B12" s="10">
        <v>2025</v>
      </c>
      <c r="C12" s="10" t="s">
        <v>394</v>
      </c>
      <c r="D12" s="7">
        <v>45818</v>
      </c>
      <c r="E12" s="6" t="s">
        <v>402</v>
      </c>
      <c r="F12" s="8" t="s">
        <v>255</v>
      </c>
      <c r="G12" s="10">
        <v>259.70150000000001</v>
      </c>
      <c r="H12" s="10">
        <v>257.10250000000002</v>
      </c>
      <c r="I12" s="10">
        <v>7.7130999999999998</v>
      </c>
      <c r="J12" s="85">
        <f t="shared" si="0"/>
        <v>0.3369591992843331</v>
      </c>
      <c r="K12" s="10">
        <v>233.9632</v>
      </c>
      <c r="L12" s="10">
        <v>280.24180000000001</v>
      </c>
      <c r="M12" s="86" t="str">
        <f t="shared" si="1"/>
        <v>OK</v>
      </c>
      <c r="N12" s="87">
        <f t="shared" si="2"/>
        <v>1.010880874359444</v>
      </c>
      <c r="O12" s="87">
        <f t="shared" si="3"/>
        <v>1.010880874359444</v>
      </c>
      <c r="P12" s="30" t="str">
        <f t="shared" si="4"/>
        <v>OK</v>
      </c>
    </row>
    <row r="13" spans="1:16" x14ac:dyDescent="0.3">
      <c r="A13" s="15" t="s">
        <v>111</v>
      </c>
      <c r="B13" s="10">
        <v>2025</v>
      </c>
      <c r="C13" s="10" t="s">
        <v>394</v>
      </c>
      <c r="D13" s="7">
        <v>45818</v>
      </c>
      <c r="E13" s="6" t="s">
        <v>402</v>
      </c>
      <c r="F13" s="8" t="s">
        <v>256</v>
      </c>
      <c r="G13" s="10">
        <v>258.17930000000001</v>
      </c>
      <c r="H13" s="10">
        <v>254.6104</v>
      </c>
      <c r="I13" s="10">
        <v>7.6383000000000001</v>
      </c>
      <c r="J13" s="85">
        <f t="shared" si="0"/>
        <v>0.46723747430711199</v>
      </c>
      <c r="K13" s="10">
        <v>231.69550000000001</v>
      </c>
      <c r="L13" s="10">
        <v>277.52530000000002</v>
      </c>
      <c r="M13" s="86" t="str">
        <f t="shared" si="1"/>
        <v>OK</v>
      </c>
      <c r="N13" s="87">
        <f t="shared" si="2"/>
        <v>1.4017102207922432</v>
      </c>
      <c r="O13" s="87">
        <f t="shared" si="3"/>
        <v>1.4017102207922432</v>
      </c>
      <c r="P13" s="30" t="str">
        <f t="shared" si="4"/>
        <v>OK</v>
      </c>
    </row>
    <row r="14" spans="1:16" x14ac:dyDescent="0.3">
      <c r="A14" s="15" t="s">
        <v>111</v>
      </c>
      <c r="B14" s="10">
        <v>2025</v>
      </c>
      <c r="C14" s="10" t="s">
        <v>395</v>
      </c>
      <c r="D14" s="7">
        <v>45910</v>
      </c>
      <c r="E14" s="6" t="s">
        <v>402</v>
      </c>
      <c r="F14" s="8" t="s">
        <v>252</v>
      </c>
      <c r="G14" s="10">
        <v>253.8768</v>
      </c>
      <c r="H14" s="10">
        <v>252.78059999999999</v>
      </c>
      <c r="I14" s="10">
        <v>7.5834000000000001</v>
      </c>
      <c r="J14" s="85">
        <f t="shared" si="0"/>
        <v>0.14455257536197619</v>
      </c>
      <c r="K14" s="10">
        <v>230.03039999999999</v>
      </c>
      <c r="L14" s="10">
        <v>275.5308</v>
      </c>
      <c r="M14" s="86" t="str">
        <f t="shared" si="1"/>
        <v>OK</v>
      </c>
      <c r="N14" s="87">
        <f t="shared" si="2"/>
        <v>0.4336566967560051</v>
      </c>
      <c r="O14" s="87">
        <f t="shared" si="3"/>
        <v>0.4336566967560051</v>
      </c>
      <c r="P14" s="30" t="str">
        <f t="shared" si="4"/>
        <v>OK</v>
      </c>
    </row>
    <row r="15" spans="1:16" x14ac:dyDescent="0.3">
      <c r="A15" s="15" t="s">
        <v>111</v>
      </c>
      <c r="B15" s="10">
        <v>2025</v>
      </c>
      <c r="C15" s="10" t="s">
        <v>395</v>
      </c>
      <c r="D15" s="7">
        <v>45910</v>
      </c>
      <c r="E15" s="6" t="s">
        <v>402</v>
      </c>
      <c r="F15" s="8" t="s">
        <v>253</v>
      </c>
      <c r="G15" s="10">
        <v>258.06790000000001</v>
      </c>
      <c r="H15" s="10">
        <v>256.00720000000001</v>
      </c>
      <c r="I15" s="10">
        <v>7.6802000000000001</v>
      </c>
      <c r="J15" s="85">
        <f t="shared" si="0"/>
        <v>0.26831332517382323</v>
      </c>
      <c r="K15" s="10">
        <v>232.9666</v>
      </c>
      <c r="L15" s="10">
        <v>279.0478</v>
      </c>
      <c r="M15" s="86" t="str">
        <f t="shared" si="1"/>
        <v>OK</v>
      </c>
      <c r="N15" s="87">
        <f t="shared" si="2"/>
        <v>0.80493829861035038</v>
      </c>
      <c r="O15" s="87">
        <f t="shared" si="3"/>
        <v>0.80493829861035038</v>
      </c>
      <c r="P15" s="30" t="str">
        <f t="shared" si="4"/>
        <v>OK</v>
      </c>
    </row>
    <row r="16" spans="1:16" x14ac:dyDescent="0.3">
      <c r="A16" s="15" t="s">
        <v>111</v>
      </c>
      <c r="B16" s="10">
        <v>2025</v>
      </c>
      <c r="C16" s="10" t="s">
        <v>395</v>
      </c>
      <c r="D16" s="7">
        <v>45910</v>
      </c>
      <c r="E16" s="6" t="s">
        <v>402</v>
      </c>
      <c r="F16" s="8" t="s">
        <v>254</v>
      </c>
      <c r="G16" s="10">
        <v>251.95840000000001</v>
      </c>
      <c r="H16" s="10">
        <v>250.10310000000001</v>
      </c>
      <c r="I16" s="10">
        <v>7.5030999999999999</v>
      </c>
      <c r="J16" s="85">
        <f t="shared" si="0"/>
        <v>0.24727112793378733</v>
      </c>
      <c r="K16" s="10">
        <v>227.59379999999999</v>
      </c>
      <c r="L16" s="10">
        <v>272.61239999999998</v>
      </c>
      <c r="M16" s="86" t="str">
        <f t="shared" si="1"/>
        <v>OK</v>
      </c>
      <c r="N16" s="87">
        <f t="shared" si="2"/>
        <v>0.74181407587510895</v>
      </c>
      <c r="O16" s="87">
        <f t="shared" si="3"/>
        <v>0.74181407587510895</v>
      </c>
      <c r="P16" s="30" t="str">
        <f t="shared" si="4"/>
        <v>OK</v>
      </c>
    </row>
    <row r="17" spans="1:16" x14ac:dyDescent="0.3">
      <c r="A17" s="15" t="s">
        <v>111</v>
      </c>
      <c r="B17" s="10">
        <v>2025</v>
      </c>
      <c r="C17" s="10" t="s">
        <v>395</v>
      </c>
      <c r="D17" s="7">
        <v>45910</v>
      </c>
      <c r="E17" s="6" t="s">
        <v>402</v>
      </c>
      <c r="F17" s="8" t="s">
        <v>255</v>
      </c>
      <c r="G17" s="10">
        <v>255.267</v>
      </c>
      <c r="H17" s="10">
        <v>253.80760000000001</v>
      </c>
      <c r="I17" s="10">
        <v>7.6142000000000003</v>
      </c>
      <c r="J17" s="85">
        <f t="shared" si="0"/>
        <v>0.19166819889154316</v>
      </c>
      <c r="K17" s="10">
        <v>230.965</v>
      </c>
      <c r="L17" s="10">
        <v>276.65019999999998</v>
      </c>
      <c r="M17" s="86" t="str">
        <f t="shared" si="1"/>
        <v>OK</v>
      </c>
      <c r="N17" s="87">
        <f t="shared" si="2"/>
        <v>0.57500248219516992</v>
      </c>
      <c r="O17" s="87">
        <f t="shared" si="3"/>
        <v>0.57500248219516992</v>
      </c>
      <c r="P17" s="30" t="str">
        <f t="shared" si="4"/>
        <v>OK</v>
      </c>
    </row>
    <row r="18" spans="1:16" x14ac:dyDescent="0.3">
      <c r="A18" s="15" t="s">
        <v>111</v>
      </c>
      <c r="B18" s="10">
        <v>2025</v>
      </c>
      <c r="C18" s="10" t="s">
        <v>395</v>
      </c>
      <c r="D18" s="7">
        <v>45910</v>
      </c>
      <c r="E18" s="6" t="s">
        <v>402</v>
      </c>
      <c r="F18" s="8" t="s">
        <v>256</v>
      </c>
      <c r="G18" s="10">
        <v>253.99780000000001</v>
      </c>
      <c r="H18" s="10">
        <v>251.1942</v>
      </c>
      <c r="I18" s="10">
        <v>7.5358000000000001</v>
      </c>
      <c r="J18" s="85">
        <f t="shared" si="0"/>
        <v>0.37203747445526913</v>
      </c>
      <c r="K18" s="10">
        <v>228.58680000000001</v>
      </c>
      <c r="L18" s="10">
        <v>273.80160000000001</v>
      </c>
      <c r="M18" s="86" t="str">
        <f t="shared" si="1"/>
        <v>OK</v>
      </c>
      <c r="N18" s="87">
        <f t="shared" si="2"/>
        <v>1.116108572570552</v>
      </c>
      <c r="O18" s="87">
        <f t="shared" si="3"/>
        <v>1.116108572570552</v>
      </c>
      <c r="P18" s="30" t="str">
        <f t="shared" si="4"/>
        <v>OK</v>
      </c>
    </row>
    <row r="19" spans="1:16" x14ac:dyDescent="0.3">
      <c r="A19" s="15" t="s">
        <v>115</v>
      </c>
      <c r="B19" s="10">
        <v>2025</v>
      </c>
      <c r="C19" s="10" t="s">
        <v>393</v>
      </c>
      <c r="D19" s="7">
        <v>45726</v>
      </c>
      <c r="E19" s="6" t="s">
        <v>402</v>
      </c>
      <c r="F19" s="8" t="s">
        <v>252</v>
      </c>
      <c r="G19" s="10">
        <v>79.342100000000002</v>
      </c>
      <c r="H19" s="10">
        <v>78.6999</v>
      </c>
      <c r="I19" s="10">
        <v>2.3610000000000002</v>
      </c>
      <c r="J19" s="85">
        <f t="shared" si="0"/>
        <v>0.27200338839474902</v>
      </c>
      <c r="K19" s="10">
        <v>71.616900000000001</v>
      </c>
      <c r="L19" s="10">
        <v>85.782899999999998</v>
      </c>
      <c r="M19" s="86" t="str">
        <f t="shared" si="1"/>
        <v>OK</v>
      </c>
      <c r="N19" s="87">
        <f t="shared" si="2"/>
        <v>0.81601120204727384</v>
      </c>
      <c r="O19" s="87">
        <f t="shared" si="3"/>
        <v>0.81601120204727384</v>
      </c>
      <c r="P19" s="30" t="str">
        <f t="shared" si="4"/>
        <v>OK</v>
      </c>
    </row>
    <row r="20" spans="1:16" x14ac:dyDescent="0.3">
      <c r="A20" s="15" t="s">
        <v>115</v>
      </c>
      <c r="B20" s="10">
        <v>2025</v>
      </c>
      <c r="C20" s="10" t="s">
        <v>393</v>
      </c>
      <c r="D20" s="7">
        <v>45726</v>
      </c>
      <c r="E20" s="6" t="s">
        <v>402</v>
      </c>
      <c r="F20" s="8" t="s">
        <v>253</v>
      </c>
      <c r="G20" s="10">
        <v>78.224100000000007</v>
      </c>
      <c r="H20" s="10">
        <v>77.42</v>
      </c>
      <c r="I20" s="10">
        <v>2.3226</v>
      </c>
      <c r="J20" s="85">
        <f t="shared" si="0"/>
        <v>0.34620683716524814</v>
      </c>
      <c r="K20" s="10">
        <v>70.452200000000005</v>
      </c>
      <c r="L20" s="10">
        <v>84.387799999999999</v>
      </c>
      <c r="M20" s="86" t="str">
        <f t="shared" si="1"/>
        <v>OK</v>
      </c>
      <c r="N20" s="87">
        <f t="shared" si="2"/>
        <v>1.0386205114957443</v>
      </c>
      <c r="O20" s="87">
        <f t="shared" si="3"/>
        <v>1.0386205114957443</v>
      </c>
      <c r="P20" s="30" t="str">
        <f t="shared" si="4"/>
        <v>OK</v>
      </c>
    </row>
    <row r="21" spans="1:16" x14ac:dyDescent="0.3">
      <c r="A21" s="15" t="s">
        <v>115</v>
      </c>
      <c r="B21" s="10">
        <v>2025</v>
      </c>
      <c r="C21" s="10" t="s">
        <v>393</v>
      </c>
      <c r="D21" s="7">
        <v>45726</v>
      </c>
      <c r="E21" s="6" t="s">
        <v>402</v>
      </c>
      <c r="F21" s="8" t="s">
        <v>254</v>
      </c>
      <c r="G21" s="10">
        <v>79.181600000000003</v>
      </c>
      <c r="H21" s="10">
        <v>78.559399999999997</v>
      </c>
      <c r="I21" s="10">
        <v>2.3567999999999998</v>
      </c>
      <c r="J21" s="85">
        <f t="shared" si="0"/>
        <v>0.26400203665988059</v>
      </c>
      <c r="K21" s="10">
        <v>71.489000000000004</v>
      </c>
      <c r="L21" s="10">
        <v>85.629800000000003</v>
      </c>
      <c r="M21" s="86" t="str">
        <f t="shared" si="1"/>
        <v>OK</v>
      </c>
      <c r="N21" s="87">
        <f t="shared" si="2"/>
        <v>0.79201215895234256</v>
      </c>
      <c r="O21" s="87">
        <f t="shared" si="3"/>
        <v>0.79201215895234256</v>
      </c>
      <c r="P21" s="30" t="str">
        <f t="shared" si="4"/>
        <v>OK</v>
      </c>
    </row>
    <row r="22" spans="1:16" x14ac:dyDescent="0.3">
      <c r="A22" s="15" t="s">
        <v>115</v>
      </c>
      <c r="B22" s="10">
        <v>2025</v>
      </c>
      <c r="C22" s="10" t="s">
        <v>393</v>
      </c>
      <c r="D22" s="7">
        <v>45726</v>
      </c>
      <c r="E22" s="6" t="s">
        <v>402</v>
      </c>
      <c r="F22" s="8" t="s">
        <v>255</v>
      </c>
      <c r="G22" s="10">
        <v>79.4251</v>
      </c>
      <c r="H22" s="10">
        <v>78.424800000000005</v>
      </c>
      <c r="I22" s="10">
        <v>2.3527</v>
      </c>
      <c r="J22" s="85">
        <f t="shared" si="0"/>
        <v>0.42517108003570186</v>
      </c>
      <c r="K22" s="10">
        <v>71.366699999999994</v>
      </c>
      <c r="L22" s="10">
        <v>85.482900000000001</v>
      </c>
      <c r="M22" s="86" t="str">
        <f t="shared" si="1"/>
        <v>OK</v>
      </c>
      <c r="N22" s="87">
        <f t="shared" si="2"/>
        <v>1.2754893860105423</v>
      </c>
      <c r="O22" s="87">
        <f t="shared" si="3"/>
        <v>1.2754893860105423</v>
      </c>
      <c r="P22" s="30" t="str">
        <f t="shared" si="4"/>
        <v>OK</v>
      </c>
    </row>
    <row r="23" spans="1:16" x14ac:dyDescent="0.3">
      <c r="A23" s="15" t="s">
        <v>115</v>
      </c>
      <c r="B23" s="10">
        <v>2025</v>
      </c>
      <c r="C23" s="10" t="s">
        <v>393</v>
      </c>
      <c r="D23" s="7">
        <v>45726</v>
      </c>
      <c r="E23" s="6" t="s">
        <v>402</v>
      </c>
      <c r="F23" s="8" t="s">
        <v>256</v>
      </c>
      <c r="G23" s="10">
        <v>78.311199999999999</v>
      </c>
      <c r="H23" s="10">
        <v>77.8386</v>
      </c>
      <c r="I23" s="10">
        <v>2.3351999999999999</v>
      </c>
      <c r="J23" s="85">
        <f t="shared" si="0"/>
        <v>0.20238095238095236</v>
      </c>
      <c r="K23" s="10">
        <v>70.832999999999998</v>
      </c>
      <c r="L23" s="10">
        <v>84.844200000000001</v>
      </c>
      <c r="M23" s="86" t="str">
        <f t="shared" si="1"/>
        <v>OK</v>
      </c>
      <c r="N23" s="87">
        <f t="shared" si="2"/>
        <v>0.60715377717482066</v>
      </c>
      <c r="O23" s="87">
        <f t="shared" si="3"/>
        <v>0.60715377717482066</v>
      </c>
      <c r="P23" s="30" t="str">
        <f t="shared" si="4"/>
        <v>OK</v>
      </c>
    </row>
    <row r="24" spans="1:16" x14ac:dyDescent="0.3">
      <c r="A24" s="15" t="s">
        <v>115</v>
      </c>
      <c r="B24" s="10">
        <v>2025</v>
      </c>
      <c r="C24" s="10" t="s">
        <v>394</v>
      </c>
      <c r="D24" s="7">
        <v>45818</v>
      </c>
      <c r="E24" s="6" t="s">
        <v>402</v>
      </c>
      <c r="F24" s="8" t="s">
        <v>252</v>
      </c>
      <c r="G24" s="10">
        <v>79.045400000000001</v>
      </c>
      <c r="H24" s="10">
        <v>78.271199999999993</v>
      </c>
      <c r="I24" s="10">
        <v>2.3481000000000001</v>
      </c>
      <c r="J24" s="85">
        <f t="shared" si="0"/>
        <v>0.32971338529023786</v>
      </c>
      <c r="K24" s="10">
        <v>71.226900000000001</v>
      </c>
      <c r="L24" s="10">
        <v>85.3155</v>
      </c>
      <c r="M24" s="86" t="str">
        <f t="shared" si="1"/>
        <v>OK</v>
      </c>
      <c r="N24" s="87">
        <f t="shared" si="2"/>
        <v>0.98912499105674578</v>
      </c>
      <c r="O24" s="87">
        <f t="shared" si="3"/>
        <v>0.98912499105674578</v>
      </c>
      <c r="P24" s="30" t="str">
        <f t="shared" si="4"/>
        <v>OK</v>
      </c>
    </row>
    <row r="25" spans="1:16" x14ac:dyDescent="0.3">
      <c r="A25" s="15" t="s">
        <v>115</v>
      </c>
      <c r="B25" s="10">
        <v>2025</v>
      </c>
      <c r="C25" s="10" t="s">
        <v>394</v>
      </c>
      <c r="D25" s="7">
        <v>45818</v>
      </c>
      <c r="E25" s="6" t="s">
        <v>402</v>
      </c>
      <c r="F25" s="8" t="s">
        <v>253</v>
      </c>
      <c r="G25" s="10">
        <v>79.202100000000002</v>
      </c>
      <c r="H25" s="10">
        <v>78.857100000000003</v>
      </c>
      <c r="I25" s="10">
        <v>2.3656999999999999</v>
      </c>
      <c r="J25" s="85">
        <f t="shared" si="0"/>
        <v>0.1458342139747216</v>
      </c>
      <c r="K25" s="10">
        <v>71.760000000000005</v>
      </c>
      <c r="L25" s="10">
        <v>85.9542</v>
      </c>
      <c r="M25" s="86" t="str">
        <f t="shared" si="1"/>
        <v>OK</v>
      </c>
      <c r="N25" s="87">
        <f t="shared" si="2"/>
        <v>0.43750023777186692</v>
      </c>
      <c r="O25" s="87">
        <f t="shared" si="3"/>
        <v>0.43750023777186692</v>
      </c>
      <c r="P25" s="30" t="str">
        <f t="shared" si="4"/>
        <v>OK</v>
      </c>
    </row>
    <row r="26" spans="1:16" x14ac:dyDescent="0.3">
      <c r="A26" s="15" t="s">
        <v>115</v>
      </c>
      <c r="B26" s="10">
        <v>2025</v>
      </c>
      <c r="C26" s="10" t="s">
        <v>394</v>
      </c>
      <c r="D26" s="7">
        <v>45818</v>
      </c>
      <c r="E26" s="6" t="s">
        <v>402</v>
      </c>
      <c r="F26" s="8" t="s">
        <v>254</v>
      </c>
      <c r="G26" s="10">
        <v>77.947500000000005</v>
      </c>
      <c r="H26" s="10">
        <v>77.483900000000006</v>
      </c>
      <c r="I26" s="10">
        <v>2.3245</v>
      </c>
      <c r="J26" s="85">
        <f t="shared" si="0"/>
        <v>0.1994407399440738</v>
      </c>
      <c r="K26" s="10">
        <v>70.510400000000004</v>
      </c>
      <c r="L26" s="10">
        <v>84.457400000000007</v>
      </c>
      <c r="M26" s="86" t="str">
        <f t="shared" si="1"/>
        <v>OK</v>
      </c>
      <c r="N26" s="87">
        <f t="shared" si="2"/>
        <v>0.59831784409406286</v>
      </c>
      <c r="O26" s="87">
        <f t="shared" si="3"/>
        <v>0.59831784409406286</v>
      </c>
      <c r="P26" s="30" t="str">
        <f t="shared" si="4"/>
        <v>OK</v>
      </c>
    </row>
    <row r="27" spans="1:16" x14ac:dyDescent="0.3">
      <c r="A27" s="15" t="s">
        <v>115</v>
      </c>
      <c r="B27" s="10">
        <v>2025</v>
      </c>
      <c r="C27" s="10" t="s">
        <v>394</v>
      </c>
      <c r="D27" s="7">
        <v>45818</v>
      </c>
      <c r="E27" s="6" t="s">
        <v>402</v>
      </c>
      <c r="F27" s="8" t="s">
        <v>255</v>
      </c>
      <c r="G27" s="10">
        <v>77.372200000000007</v>
      </c>
      <c r="H27" s="10">
        <v>76.647499999999994</v>
      </c>
      <c r="I27" s="10">
        <v>2.2993999999999999</v>
      </c>
      <c r="J27" s="85">
        <f t="shared" si="0"/>
        <v>0.31516917456728399</v>
      </c>
      <c r="K27" s="10">
        <v>69.749300000000005</v>
      </c>
      <c r="L27" s="10">
        <v>83.545699999999997</v>
      </c>
      <c r="M27" s="86" t="str">
        <f t="shared" si="1"/>
        <v>OK</v>
      </c>
      <c r="N27" s="87">
        <f t="shared" si="2"/>
        <v>0.94549724387620326</v>
      </c>
      <c r="O27" s="87">
        <f t="shared" si="3"/>
        <v>0.94549724387620326</v>
      </c>
      <c r="P27" s="30" t="str">
        <f t="shared" si="4"/>
        <v>OK</v>
      </c>
    </row>
    <row r="28" spans="1:16" x14ac:dyDescent="0.3">
      <c r="A28" s="15" t="s">
        <v>115</v>
      </c>
      <c r="B28" s="10">
        <v>2025</v>
      </c>
      <c r="C28" s="10" t="s">
        <v>394</v>
      </c>
      <c r="D28" s="7">
        <v>45818</v>
      </c>
      <c r="E28" s="6" t="s">
        <v>402</v>
      </c>
      <c r="F28" s="8" t="s">
        <v>256</v>
      </c>
      <c r="G28" s="10">
        <v>78.908900000000003</v>
      </c>
      <c r="H28" s="10">
        <v>78.411699999999996</v>
      </c>
      <c r="I28" s="10">
        <v>2.3523999999999998</v>
      </c>
      <c r="J28" s="85">
        <f t="shared" si="0"/>
        <v>0.2113586124808734</v>
      </c>
      <c r="K28" s="10">
        <v>71.354500000000002</v>
      </c>
      <c r="L28" s="10">
        <v>85.468900000000005</v>
      </c>
      <c r="M28" s="86" t="str">
        <f t="shared" si="1"/>
        <v>OK</v>
      </c>
      <c r="N28" s="87">
        <f t="shared" si="2"/>
        <v>0.63408904538481703</v>
      </c>
      <c r="O28" s="87">
        <f t="shared" si="3"/>
        <v>0.63408904538481703</v>
      </c>
      <c r="P28" s="30" t="str">
        <f t="shared" si="4"/>
        <v>OK</v>
      </c>
    </row>
    <row r="29" spans="1:16" x14ac:dyDescent="0.3">
      <c r="A29" s="15" t="s">
        <v>115</v>
      </c>
      <c r="B29" s="10">
        <v>2025</v>
      </c>
      <c r="C29" s="10" t="s">
        <v>395</v>
      </c>
      <c r="D29" s="7">
        <v>45910</v>
      </c>
      <c r="E29" s="6" t="s">
        <v>402</v>
      </c>
      <c r="F29" s="8" t="s">
        <v>252</v>
      </c>
      <c r="G29" s="10">
        <v>80.026499999999999</v>
      </c>
      <c r="H29" s="10">
        <v>79.080799999999996</v>
      </c>
      <c r="I29" s="10">
        <v>2.3723999999999998</v>
      </c>
      <c r="J29" s="85">
        <f t="shared" si="0"/>
        <v>0.39862586410386203</v>
      </c>
      <c r="K29" s="10">
        <v>71.9636</v>
      </c>
      <c r="L29" s="10">
        <v>86.197999999999993</v>
      </c>
      <c r="M29" s="86" t="str">
        <f t="shared" si="1"/>
        <v>OK</v>
      </c>
      <c r="N29" s="87">
        <f t="shared" si="2"/>
        <v>1.1958654945321774</v>
      </c>
      <c r="O29" s="87">
        <f t="shared" si="3"/>
        <v>1.1958654945321774</v>
      </c>
      <c r="P29" s="30" t="str">
        <f t="shared" si="4"/>
        <v>OK</v>
      </c>
    </row>
    <row r="30" spans="1:16" x14ac:dyDescent="0.3">
      <c r="A30" s="15" t="s">
        <v>115</v>
      </c>
      <c r="B30" s="10">
        <v>2025</v>
      </c>
      <c r="C30" s="10" t="s">
        <v>395</v>
      </c>
      <c r="D30" s="7">
        <v>45910</v>
      </c>
      <c r="E30" s="6" t="s">
        <v>402</v>
      </c>
      <c r="F30" s="8" t="s">
        <v>253</v>
      </c>
      <c r="G30" s="10">
        <v>79.309299999999993</v>
      </c>
      <c r="H30" s="10">
        <v>78.489400000000003</v>
      </c>
      <c r="I30" s="10">
        <v>2.3546999999999998</v>
      </c>
      <c r="J30" s="85">
        <f t="shared" si="0"/>
        <v>0.34819722257612007</v>
      </c>
      <c r="K30" s="10">
        <v>71.425299999999993</v>
      </c>
      <c r="L30" s="10">
        <v>85.5535</v>
      </c>
      <c r="M30" s="86" t="str">
        <f t="shared" si="1"/>
        <v>OK</v>
      </c>
      <c r="N30" s="87">
        <f t="shared" si="2"/>
        <v>1.0445996529467543</v>
      </c>
      <c r="O30" s="87">
        <f t="shared" si="3"/>
        <v>1.0445996529467543</v>
      </c>
      <c r="P30" s="30" t="str">
        <f t="shared" si="4"/>
        <v>OK</v>
      </c>
    </row>
    <row r="31" spans="1:16" x14ac:dyDescent="0.3">
      <c r="A31" s="15" t="s">
        <v>115</v>
      </c>
      <c r="B31" s="10">
        <v>2025</v>
      </c>
      <c r="C31" s="10" t="s">
        <v>395</v>
      </c>
      <c r="D31" s="7">
        <v>45910</v>
      </c>
      <c r="E31" s="6" t="s">
        <v>402</v>
      </c>
      <c r="F31" s="8" t="s">
        <v>254</v>
      </c>
      <c r="G31" s="10">
        <v>79.076499999999996</v>
      </c>
      <c r="H31" s="10">
        <v>78.745400000000004</v>
      </c>
      <c r="I31" s="10">
        <v>2.3624000000000001</v>
      </c>
      <c r="J31" s="85">
        <f t="shared" si="0"/>
        <v>0.14015408059600076</v>
      </c>
      <c r="K31" s="10">
        <v>71.658199999999994</v>
      </c>
      <c r="L31" s="10">
        <v>85.832599999999999</v>
      </c>
      <c r="M31" s="86" t="str">
        <f t="shared" si="1"/>
        <v>OK</v>
      </c>
      <c r="N31" s="87">
        <f t="shared" si="2"/>
        <v>0.42046900517362557</v>
      </c>
      <c r="O31" s="87">
        <f t="shared" si="3"/>
        <v>0.42046900517362557</v>
      </c>
      <c r="P31" s="30" t="str">
        <f t="shared" si="4"/>
        <v>OK</v>
      </c>
    </row>
    <row r="32" spans="1:16" x14ac:dyDescent="0.3">
      <c r="A32" s="15" t="s">
        <v>115</v>
      </c>
      <c r="B32" s="10">
        <v>2025</v>
      </c>
      <c r="C32" s="10" t="s">
        <v>395</v>
      </c>
      <c r="D32" s="7">
        <v>45910</v>
      </c>
      <c r="E32" s="6" t="s">
        <v>402</v>
      </c>
      <c r="F32" s="8" t="s">
        <v>255</v>
      </c>
      <c r="G32" s="10">
        <v>79.355500000000006</v>
      </c>
      <c r="H32" s="10">
        <v>78.478899999999996</v>
      </c>
      <c r="I32" s="10">
        <v>2.3544</v>
      </c>
      <c r="J32" s="85">
        <f t="shared" si="0"/>
        <v>0.37232415902141119</v>
      </c>
      <c r="K32" s="10">
        <v>71.415700000000001</v>
      </c>
      <c r="L32" s="10">
        <v>85.542100000000005</v>
      </c>
      <c r="M32" s="86" t="str">
        <f t="shared" si="1"/>
        <v>OK</v>
      </c>
      <c r="N32" s="87">
        <f t="shared" si="2"/>
        <v>1.1169881331160485</v>
      </c>
      <c r="O32" s="87">
        <f t="shared" si="3"/>
        <v>1.1169881331160485</v>
      </c>
      <c r="P32" s="30" t="str">
        <f t="shared" si="4"/>
        <v>OK</v>
      </c>
    </row>
    <row r="33" spans="1:16" x14ac:dyDescent="0.3">
      <c r="A33" s="15" t="s">
        <v>115</v>
      </c>
      <c r="B33" s="10">
        <v>2025</v>
      </c>
      <c r="C33" s="10" t="s">
        <v>395</v>
      </c>
      <c r="D33" s="7">
        <v>45910</v>
      </c>
      <c r="E33" s="6" t="s">
        <v>402</v>
      </c>
      <c r="F33" s="8" t="s">
        <v>256</v>
      </c>
      <c r="G33" s="10">
        <v>77.406499999999994</v>
      </c>
      <c r="H33" s="10">
        <v>76.621200000000002</v>
      </c>
      <c r="I33" s="10">
        <v>2.2986</v>
      </c>
      <c r="J33" s="85">
        <f t="shared" si="0"/>
        <v>0.34164273905855408</v>
      </c>
      <c r="K33" s="10">
        <v>69.725399999999993</v>
      </c>
      <c r="L33" s="10">
        <v>83.516999999999996</v>
      </c>
      <c r="M33" s="86" t="str">
        <f t="shared" si="1"/>
        <v>OK</v>
      </c>
      <c r="N33" s="87">
        <f t="shared" si="2"/>
        <v>1.0249121653014992</v>
      </c>
      <c r="O33" s="87">
        <f t="shared" si="3"/>
        <v>1.0249121653014992</v>
      </c>
      <c r="P33" s="30" t="str">
        <f t="shared" si="4"/>
        <v>OK</v>
      </c>
    </row>
    <row r="34" spans="1:16" x14ac:dyDescent="0.3">
      <c r="A34" s="15" t="s">
        <v>117</v>
      </c>
      <c r="B34" s="10">
        <v>2025</v>
      </c>
      <c r="C34" s="10" t="s">
        <v>393</v>
      </c>
      <c r="D34" s="7">
        <v>45726</v>
      </c>
      <c r="E34" s="6" t="s">
        <v>402</v>
      </c>
      <c r="F34" s="8" t="s">
        <v>252</v>
      </c>
      <c r="G34" s="10">
        <v>5.1372999999999998</v>
      </c>
      <c r="H34" s="10">
        <v>5.0872000000000002</v>
      </c>
      <c r="I34" s="10">
        <v>0.15260000000000001</v>
      </c>
      <c r="J34" s="85">
        <f t="shared" si="0"/>
        <v>0.32830930537352282</v>
      </c>
      <c r="K34" s="10">
        <v>4.6294000000000004</v>
      </c>
      <c r="L34" s="10">
        <v>5.5449999999999999</v>
      </c>
      <c r="M34" s="86" t="str">
        <f t="shared" si="1"/>
        <v>OK</v>
      </c>
      <c r="N34" s="87">
        <f t="shared" si="2"/>
        <v>0.98482465796508079</v>
      </c>
      <c r="O34" s="87">
        <f t="shared" si="3"/>
        <v>0.98482465796508079</v>
      </c>
      <c r="P34" s="30" t="str">
        <f t="shared" si="4"/>
        <v>OK</v>
      </c>
    </row>
    <row r="35" spans="1:16" x14ac:dyDescent="0.3">
      <c r="A35" s="15" t="s">
        <v>117</v>
      </c>
      <c r="B35" s="10">
        <v>2025</v>
      </c>
      <c r="C35" s="10" t="s">
        <v>393</v>
      </c>
      <c r="D35" s="7">
        <v>45726</v>
      </c>
      <c r="E35" s="6" t="s">
        <v>402</v>
      </c>
      <c r="F35" s="8" t="s">
        <v>253</v>
      </c>
      <c r="G35" s="10">
        <v>5.1154000000000002</v>
      </c>
      <c r="H35" s="10">
        <v>5.0776000000000003</v>
      </c>
      <c r="I35" s="10">
        <v>0.15229999999999999</v>
      </c>
      <c r="J35" s="85">
        <f t="shared" si="0"/>
        <v>0.24819435325016306</v>
      </c>
      <c r="K35" s="10">
        <v>4.6207000000000003</v>
      </c>
      <c r="L35" s="10">
        <v>5.5345000000000004</v>
      </c>
      <c r="M35" s="86" t="str">
        <f t="shared" si="1"/>
        <v>OK</v>
      </c>
      <c r="N35" s="87">
        <f t="shared" si="2"/>
        <v>0.74444619505277754</v>
      </c>
      <c r="O35" s="87">
        <f t="shared" si="3"/>
        <v>0.74444619505277754</v>
      </c>
      <c r="P35" s="30" t="str">
        <f t="shared" si="4"/>
        <v>OK</v>
      </c>
    </row>
    <row r="36" spans="1:16" x14ac:dyDescent="0.3">
      <c r="A36" s="15" t="s">
        <v>117</v>
      </c>
      <c r="B36" s="10">
        <v>2025</v>
      </c>
      <c r="C36" s="10" t="s">
        <v>393</v>
      </c>
      <c r="D36" s="7">
        <v>45726</v>
      </c>
      <c r="E36" s="6" t="s">
        <v>402</v>
      </c>
      <c r="F36" s="8" t="s">
        <v>254</v>
      </c>
      <c r="G36" s="10">
        <v>5.1424000000000003</v>
      </c>
      <c r="H36" s="10">
        <v>5.1174999999999997</v>
      </c>
      <c r="I36" s="10">
        <v>0.1535</v>
      </c>
      <c r="J36" s="85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86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87">
        <f t="shared" ref="N36:N67" si="7">IF(OR($G36="",$H36="",$H36=0),"",($G36-$H36)/$H36*100)</f>
        <v>0.48656570591110093</v>
      </c>
      <c r="O36" s="87">
        <f t="shared" ref="O36:O67" si="8">IF($N36="","",ABS($N36))</f>
        <v>0.48656570591110093</v>
      </c>
      <c r="P36" s="30" t="str">
        <f t="shared" si="4"/>
        <v>OK</v>
      </c>
    </row>
    <row r="37" spans="1:16" x14ac:dyDescent="0.3">
      <c r="A37" s="15" t="s">
        <v>117</v>
      </c>
      <c r="B37" s="10">
        <v>2025</v>
      </c>
      <c r="C37" s="10" t="s">
        <v>393</v>
      </c>
      <c r="D37" s="7">
        <v>45726</v>
      </c>
      <c r="E37" s="6" t="s">
        <v>402</v>
      </c>
      <c r="F37" s="8" t="s">
        <v>255</v>
      </c>
      <c r="G37" s="10">
        <v>5.1673999999999998</v>
      </c>
      <c r="H37" s="10">
        <v>5.1304999999999996</v>
      </c>
      <c r="I37" s="10">
        <v>0.15390000000000001</v>
      </c>
      <c r="J37" s="85">
        <f t="shared" si="5"/>
        <v>0.23976608187134602</v>
      </c>
      <c r="K37" s="10">
        <v>4.6688000000000001</v>
      </c>
      <c r="L37" s="10">
        <v>5.5922000000000001</v>
      </c>
      <c r="M37" s="86" t="str">
        <f t="shared" si="6"/>
        <v>OK</v>
      </c>
      <c r="N37" s="87">
        <f t="shared" si="7"/>
        <v>0.71922814540493429</v>
      </c>
      <c r="O37" s="87">
        <f t="shared" si="8"/>
        <v>0.71922814540493429</v>
      </c>
      <c r="P37" s="30" t="str">
        <f t="shared" si="4"/>
        <v>OK</v>
      </c>
    </row>
    <row r="38" spans="1:16" x14ac:dyDescent="0.3">
      <c r="A38" s="15" t="s">
        <v>117</v>
      </c>
      <c r="B38" s="10">
        <v>2025</v>
      </c>
      <c r="C38" s="10" t="s">
        <v>393</v>
      </c>
      <c r="D38" s="7">
        <v>45726</v>
      </c>
      <c r="E38" s="6" t="s">
        <v>402</v>
      </c>
      <c r="F38" s="8" t="s">
        <v>256</v>
      </c>
      <c r="G38" s="10">
        <v>5.1555</v>
      </c>
      <c r="H38" s="10">
        <v>5.1250999999999998</v>
      </c>
      <c r="I38" s="10">
        <v>0.15379999999999999</v>
      </c>
      <c r="J38" s="85">
        <f t="shared" si="5"/>
        <v>0.19765929778933813</v>
      </c>
      <c r="K38" s="10">
        <v>4.6637000000000004</v>
      </c>
      <c r="L38" s="10">
        <v>5.5865</v>
      </c>
      <c r="M38" s="86" t="str">
        <f t="shared" si="6"/>
        <v>OK</v>
      </c>
      <c r="N38" s="87">
        <f t="shared" si="7"/>
        <v>0.59315915787009443</v>
      </c>
      <c r="O38" s="87">
        <f t="shared" si="8"/>
        <v>0.59315915787009443</v>
      </c>
      <c r="P38" s="30" t="str">
        <f t="shared" si="4"/>
        <v>OK</v>
      </c>
    </row>
    <row r="39" spans="1:16" x14ac:dyDescent="0.3">
      <c r="A39" s="15" t="s">
        <v>117</v>
      </c>
      <c r="B39" s="10">
        <v>2025</v>
      </c>
      <c r="C39" s="10" t="s">
        <v>394</v>
      </c>
      <c r="D39" s="7">
        <v>45818</v>
      </c>
      <c r="E39" s="6" t="s">
        <v>402</v>
      </c>
      <c r="F39" s="8" t="s">
        <v>252</v>
      </c>
      <c r="G39" s="10">
        <v>5.2034000000000002</v>
      </c>
      <c r="H39" s="10">
        <v>5.1554000000000002</v>
      </c>
      <c r="I39" s="10">
        <v>0.1547</v>
      </c>
      <c r="J39" s="85">
        <f t="shared" si="5"/>
        <v>0.31027795733678115</v>
      </c>
      <c r="K39" s="10">
        <v>4.6913</v>
      </c>
      <c r="L39" s="10">
        <v>5.6195000000000004</v>
      </c>
      <c r="M39" s="86" t="str">
        <f t="shared" si="6"/>
        <v>OK</v>
      </c>
      <c r="N39" s="87">
        <f t="shared" si="7"/>
        <v>0.93106257516390667</v>
      </c>
      <c r="O39" s="87">
        <f t="shared" si="8"/>
        <v>0.93106257516390667</v>
      </c>
      <c r="P39" s="30" t="str">
        <f t="shared" si="4"/>
        <v>OK</v>
      </c>
    </row>
    <row r="40" spans="1:16" x14ac:dyDescent="0.3">
      <c r="A40" s="15" t="s">
        <v>117</v>
      </c>
      <c r="B40" s="10">
        <v>2025</v>
      </c>
      <c r="C40" s="10" t="s">
        <v>394</v>
      </c>
      <c r="D40" s="7">
        <v>45818</v>
      </c>
      <c r="E40" s="6" t="s">
        <v>402</v>
      </c>
      <c r="F40" s="8" t="s">
        <v>253</v>
      </c>
      <c r="G40" s="10">
        <v>5.1387</v>
      </c>
      <c r="H40" s="10">
        <v>5.0909000000000004</v>
      </c>
      <c r="I40" s="10">
        <v>0.1527</v>
      </c>
      <c r="J40" s="85">
        <f t="shared" si="5"/>
        <v>0.31303208906352076</v>
      </c>
      <c r="K40" s="10">
        <v>4.6327999999999996</v>
      </c>
      <c r="L40" s="10">
        <v>5.5490000000000004</v>
      </c>
      <c r="M40" s="86" t="str">
        <f t="shared" si="6"/>
        <v>OK</v>
      </c>
      <c r="N40" s="87">
        <f t="shared" si="7"/>
        <v>0.93893024808972114</v>
      </c>
      <c r="O40" s="87">
        <f t="shared" si="8"/>
        <v>0.93893024808972114</v>
      </c>
      <c r="P40" s="30" t="str">
        <f t="shared" si="4"/>
        <v>OK</v>
      </c>
    </row>
    <row r="41" spans="1:16" x14ac:dyDescent="0.3">
      <c r="A41" s="15" t="s">
        <v>117</v>
      </c>
      <c r="B41" s="10">
        <v>2025</v>
      </c>
      <c r="C41" s="10" t="s">
        <v>394</v>
      </c>
      <c r="D41" s="7">
        <v>45818</v>
      </c>
      <c r="E41" s="6" t="s">
        <v>402</v>
      </c>
      <c r="F41" s="8" t="s">
        <v>254</v>
      </c>
      <c r="G41" s="10">
        <v>5.2306999999999997</v>
      </c>
      <c r="H41" s="10">
        <v>5.1642000000000001</v>
      </c>
      <c r="I41" s="10">
        <v>0.15490000000000001</v>
      </c>
      <c r="J41" s="85">
        <f t="shared" si="5"/>
        <v>0.42930923176242453</v>
      </c>
      <c r="K41" s="10">
        <v>4.6994999999999996</v>
      </c>
      <c r="L41" s="10">
        <v>5.6288999999999998</v>
      </c>
      <c r="M41" s="86" t="str">
        <f t="shared" si="6"/>
        <v>OK</v>
      </c>
      <c r="N41" s="87">
        <f t="shared" si="7"/>
        <v>1.2877115526122063</v>
      </c>
      <c r="O41" s="87">
        <f t="shared" si="8"/>
        <v>1.2877115526122063</v>
      </c>
      <c r="P41" s="30" t="str">
        <f t="shared" si="4"/>
        <v>OK</v>
      </c>
    </row>
    <row r="42" spans="1:16" x14ac:dyDescent="0.3">
      <c r="A42" s="15" t="s">
        <v>117</v>
      </c>
      <c r="B42" s="10">
        <v>2025</v>
      </c>
      <c r="C42" s="10" t="s">
        <v>394</v>
      </c>
      <c r="D42" s="7">
        <v>45818</v>
      </c>
      <c r="E42" s="6" t="s">
        <v>402</v>
      </c>
      <c r="F42" s="8" t="s">
        <v>255</v>
      </c>
      <c r="G42" s="10">
        <v>5.0705999999999998</v>
      </c>
      <c r="H42" s="10">
        <v>5.0197000000000003</v>
      </c>
      <c r="I42" s="10">
        <v>0.15060000000000001</v>
      </c>
      <c r="J42" s="85">
        <f t="shared" si="5"/>
        <v>0.33798140770251989</v>
      </c>
      <c r="K42" s="10">
        <v>4.5678999999999998</v>
      </c>
      <c r="L42" s="10">
        <v>5.4714999999999998</v>
      </c>
      <c r="M42" s="86" t="str">
        <f t="shared" si="6"/>
        <v>OK</v>
      </c>
      <c r="N42" s="87">
        <f t="shared" si="7"/>
        <v>1.0140048210052295</v>
      </c>
      <c r="O42" s="87">
        <f t="shared" si="8"/>
        <v>1.0140048210052295</v>
      </c>
      <c r="P42" s="30" t="str">
        <f t="shared" si="4"/>
        <v>OK</v>
      </c>
    </row>
    <row r="43" spans="1:16" x14ac:dyDescent="0.3">
      <c r="A43" s="15" t="s">
        <v>117</v>
      </c>
      <c r="B43" s="10">
        <v>2025</v>
      </c>
      <c r="C43" s="10" t="s">
        <v>394</v>
      </c>
      <c r="D43" s="7">
        <v>45818</v>
      </c>
      <c r="E43" s="6" t="s">
        <v>402</v>
      </c>
      <c r="F43" s="8" t="s">
        <v>256</v>
      </c>
      <c r="G43" s="10">
        <v>5.1607000000000003</v>
      </c>
      <c r="H43" s="10">
        <v>5.1237000000000004</v>
      </c>
      <c r="I43" s="10">
        <v>0.1537</v>
      </c>
      <c r="J43" s="85">
        <f t="shared" si="5"/>
        <v>0.24072869225764426</v>
      </c>
      <c r="K43" s="10">
        <v>4.6626000000000003</v>
      </c>
      <c r="L43" s="10">
        <v>5.5848000000000004</v>
      </c>
      <c r="M43" s="86" t="str">
        <f t="shared" si="6"/>
        <v>OK</v>
      </c>
      <c r="N43" s="87">
        <f t="shared" si="7"/>
        <v>0.72213439506606392</v>
      </c>
      <c r="O43" s="87">
        <f t="shared" si="8"/>
        <v>0.72213439506606392</v>
      </c>
      <c r="P43" s="30" t="str">
        <f t="shared" si="4"/>
        <v>OK</v>
      </c>
    </row>
    <row r="44" spans="1:16" x14ac:dyDescent="0.3">
      <c r="A44" s="15" t="s">
        <v>117</v>
      </c>
      <c r="B44" s="10">
        <v>2025</v>
      </c>
      <c r="C44" s="10" t="s">
        <v>395</v>
      </c>
      <c r="D44" s="7">
        <v>45910</v>
      </c>
      <c r="E44" s="6" t="s">
        <v>402</v>
      </c>
      <c r="F44" s="8" t="s">
        <v>252</v>
      </c>
      <c r="G44" s="10">
        <v>5.1055999999999999</v>
      </c>
      <c r="H44" s="10">
        <v>5.0487000000000002</v>
      </c>
      <c r="I44" s="10">
        <v>0.1515</v>
      </c>
      <c r="J44" s="85">
        <f t="shared" si="5"/>
        <v>0.37557755775577378</v>
      </c>
      <c r="K44" s="10">
        <v>4.5941999999999998</v>
      </c>
      <c r="L44" s="10">
        <v>5.5031999999999996</v>
      </c>
      <c r="M44" s="86" t="str">
        <f t="shared" si="6"/>
        <v>OK</v>
      </c>
      <c r="N44" s="87">
        <f t="shared" si="7"/>
        <v>1.1270227979479812</v>
      </c>
      <c r="O44" s="87">
        <f t="shared" si="8"/>
        <v>1.1270227979479812</v>
      </c>
      <c r="P44" s="30" t="str">
        <f t="shared" si="4"/>
        <v>OK</v>
      </c>
    </row>
    <row r="45" spans="1:16" x14ac:dyDescent="0.3">
      <c r="A45" s="15" t="s">
        <v>117</v>
      </c>
      <c r="B45" s="10">
        <v>2025</v>
      </c>
      <c r="C45" s="10" t="s">
        <v>395</v>
      </c>
      <c r="D45" s="7">
        <v>45910</v>
      </c>
      <c r="E45" s="6" t="s">
        <v>402</v>
      </c>
      <c r="F45" s="8" t="s">
        <v>253</v>
      </c>
      <c r="G45" s="10">
        <v>5.0819999999999999</v>
      </c>
      <c r="H45" s="10">
        <v>5.0357000000000003</v>
      </c>
      <c r="I45" s="10">
        <v>0.15110000000000001</v>
      </c>
      <c r="J45" s="85">
        <f t="shared" si="5"/>
        <v>0.30641958967570854</v>
      </c>
      <c r="K45" s="10">
        <v>4.5823999999999998</v>
      </c>
      <c r="L45" s="10">
        <v>5.4889999999999999</v>
      </c>
      <c r="M45" s="86" t="str">
        <f t="shared" si="6"/>
        <v>OK</v>
      </c>
      <c r="N45" s="87">
        <f t="shared" si="7"/>
        <v>0.91943523244036696</v>
      </c>
      <c r="O45" s="87">
        <f t="shared" si="8"/>
        <v>0.91943523244036696</v>
      </c>
      <c r="P45" s="30" t="str">
        <f t="shared" si="4"/>
        <v>OK</v>
      </c>
    </row>
    <row r="46" spans="1:16" x14ac:dyDescent="0.3">
      <c r="A46" s="15" t="s">
        <v>117</v>
      </c>
      <c r="B46" s="10">
        <v>2025</v>
      </c>
      <c r="C46" s="10" t="s">
        <v>395</v>
      </c>
      <c r="D46" s="7">
        <v>45910</v>
      </c>
      <c r="E46" s="6" t="s">
        <v>402</v>
      </c>
      <c r="F46" s="8" t="s">
        <v>254</v>
      </c>
      <c r="G46" s="10">
        <v>5.1803999999999997</v>
      </c>
      <c r="H46" s="10">
        <v>5.1664000000000003</v>
      </c>
      <c r="I46" s="10">
        <v>0.155</v>
      </c>
      <c r="J46" s="85">
        <f t="shared" si="5"/>
        <v>9.032258064515708E-2</v>
      </c>
      <c r="K46" s="10">
        <v>4.7013999999999996</v>
      </c>
      <c r="L46" s="10">
        <v>5.6314000000000002</v>
      </c>
      <c r="M46" s="86" t="str">
        <f t="shared" si="6"/>
        <v>OK</v>
      </c>
      <c r="N46" s="87">
        <f t="shared" si="7"/>
        <v>0.27098172808917903</v>
      </c>
      <c r="O46" s="87">
        <f t="shared" si="8"/>
        <v>0.27098172808917903</v>
      </c>
      <c r="P46" s="30" t="str">
        <f t="shared" si="4"/>
        <v>OK</v>
      </c>
    </row>
    <row r="47" spans="1:16" x14ac:dyDescent="0.3">
      <c r="A47" s="15" t="s">
        <v>117</v>
      </c>
      <c r="B47" s="10">
        <v>2025</v>
      </c>
      <c r="C47" s="10" t="s">
        <v>395</v>
      </c>
      <c r="D47" s="7">
        <v>45910</v>
      </c>
      <c r="E47" s="6" t="s">
        <v>402</v>
      </c>
      <c r="F47" s="8" t="s">
        <v>255</v>
      </c>
      <c r="G47" s="10">
        <v>5.1028000000000002</v>
      </c>
      <c r="H47" s="10">
        <v>5.0846</v>
      </c>
      <c r="I47" s="10">
        <v>0.1525</v>
      </c>
      <c r="J47" s="85">
        <f t="shared" si="5"/>
        <v>0.11934426229508338</v>
      </c>
      <c r="K47" s="10">
        <v>4.6271000000000004</v>
      </c>
      <c r="L47" s="10">
        <v>5.5420999999999996</v>
      </c>
      <c r="M47" s="86" t="str">
        <f t="shared" si="6"/>
        <v>OK</v>
      </c>
      <c r="N47" s="87">
        <f t="shared" si="7"/>
        <v>0.35794359438304324</v>
      </c>
      <c r="O47" s="87">
        <f t="shared" si="8"/>
        <v>0.35794359438304324</v>
      </c>
      <c r="P47" s="30" t="str">
        <f t="shared" si="4"/>
        <v>OK</v>
      </c>
    </row>
    <row r="48" spans="1:16" x14ac:dyDescent="0.3">
      <c r="A48" s="15" t="s">
        <v>117</v>
      </c>
      <c r="B48" s="10">
        <v>2025</v>
      </c>
      <c r="C48" s="10" t="s">
        <v>395</v>
      </c>
      <c r="D48" s="7">
        <v>45910</v>
      </c>
      <c r="E48" s="6" t="s">
        <v>402</v>
      </c>
      <c r="F48" s="8" t="s">
        <v>256</v>
      </c>
      <c r="G48" s="10">
        <v>5.1740000000000004</v>
      </c>
      <c r="H48" s="10">
        <v>5.1124000000000001</v>
      </c>
      <c r="I48" s="10">
        <v>0.15340000000000001</v>
      </c>
      <c r="J48" s="85">
        <f t="shared" si="5"/>
        <v>0.40156453715775958</v>
      </c>
      <c r="K48" s="10">
        <v>4.6521999999999997</v>
      </c>
      <c r="L48" s="10">
        <v>5.5726000000000004</v>
      </c>
      <c r="M48" s="86" t="str">
        <f t="shared" si="6"/>
        <v>OK</v>
      </c>
      <c r="N48" s="87">
        <f t="shared" si="7"/>
        <v>1.2049135435412002</v>
      </c>
      <c r="O48" s="87">
        <f t="shared" si="8"/>
        <v>1.2049135435412002</v>
      </c>
      <c r="P48" s="30" t="str">
        <f t="shared" si="4"/>
        <v>OK</v>
      </c>
    </row>
    <row r="49" spans="1:16" x14ac:dyDescent="0.3">
      <c r="A49" s="15" t="s">
        <v>118</v>
      </c>
      <c r="B49" s="10">
        <v>2025</v>
      </c>
      <c r="C49" s="10" t="s">
        <v>393</v>
      </c>
      <c r="D49" s="7">
        <v>45726</v>
      </c>
      <c r="E49" s="6" t="s">
        <v>402</v>
      </c>
      <c r="F49" s="8" t="s">
        <v>252</v>
      </c>
      <c r="G49" s="10">
        <v>9.7314000000000007</v>
      </c>
      <c r="H49" s="10">
        <v>9.6921999999999997</v>
      </c>
      <c r="I49" s="10">
        <v>0.2908</v>
      </c>
      <c r="J49" s="85">
        <f t="shared" si="5"/>
        <v>0.13480055020633086</v>
      </c>
      <c r="K49" s="10">
        <v>8.8198000000000008</v>
      </c>
      <c r="L49" s="10">
        <v>10.5646</v>
      </c>
      <c r="M49" s="86" t="str">
        <f t="shared" si="6"/>
        <v>OK</v>
      </c>
      <c r="N49" s="87">
        <f t="shared" si="7"/>
        <v>0.40444893832154732</v>
      </c>
      <c r="O49" s="87">
        <f t="shared" si="8"/>
        <v>0.40444893832154732</v>
      </c>
      <c r="P49" s="30" t="str">
        <f t="shared" si="4"/>
        <v>OK</v>
      </c>
    </row>
    <row r="50" spans="1:16" x14ac:dyDescent="0.3">
      <c r="A50" s="15" t="s">
        <v>118</v>
      </c>
      <c r="B50" s="10">
        <v>2025</v>
      </c>
      <c r="C50" s="10" t="s">
        <v>393</v>
      </c>
      <c r="D50" s="7">
        <v>45726</v>
      </c>
      <c r="E50" s="6" t="s">
        <v>402</v>
      </c>
      <c r="F50" s="8" t="s">
        <v>253</v>
      </c>
      <c r="G50" s="10">
        <v>9.6148000000000007</v>
      </c>
      <c r="H50" s="10">
        <v>9.4453999999999994</v>
      </c>
      <c r="I50" s="10">
        <v>0.28339999999999999</v>
      </c>
      <c r="J50" s="85">
        <f t="shared" si="5"/>
        <v>0.5977417078334557</v>
      </c>
      <c r="K50" s="10">
        <v>8.5952000000000002</v>
      </c>
      <c r="L50" s="10">
        <v>10.2956</v>
      </c>
      <c r="M50" s="86" t="str">
        <f t="shared" si="6"/>
        <v>OK</v>
      </c>
      <c r="N50" s="87">
        <f t="shared" si="7"/>
        <v>1.7934656023037812</v>
      </c>
      <c r="O50" s="87">
        <f t="shared" si="8"/>
        <v>1.7934656023037812</v>
      </c>
      <c r="P50" s="30" t="str">
        <f t="shared" si="4"/>
        <v>OK</v>
      </c>
    </row>
    <row r="51" spans="1:16" x14ac:dyDescent="0.3">
      <c r="A51" s="15" t="s">
        <v>118</v>
      </c>
      <c r="B51" s="10">
        <v>2025</v>
      </c>
      <c r="C51" s="10" t="s">
        <v>393</v>
      </c>
      <c r="D51" s="7">
        <v>45726</v>
      </c>
      <c r="E51" s="6" t="s">
        <v>402</v>
      </c>
      <c r="F51" s="8" t="s">
        <v>254</v>
      </c>
      <c r="G51" s="10">
        <v>9.8079000000000001</v>
      </c>
      <c r="H51" s="10">
        <v>9.65</v>
      </c>
      <c r="I51" s="10">
        <v>0.28949999999999998</v>
      </c>
      <c r="J51" s="85">
        <f t="shared" si="5"/>
        <v>0.54542314335060349</v>
      </c>
      <c r="K51" s="10">
        <v>8.7814999999999994</v>
      </c>
      <c r="L51" s="10">
        <v>10.5185</v>
      </c>
      <c r="M51" s="86" t="str">
        <f t="shared" si="6"/>
        <v>OK</v>
      </c>
      <c r="N51" s="87">
        <f t="shared" si="7"/>
        <v>1.6362694300518104</v>
      </c>
      <c r="O51" s="87">
        <f t="shared" si="8"/>
        <v>1.6362694300518104</v>
      </c>
      <c r="P51" s="30" t="str">
        <f t="shared" si="4"/>
        <v>OK</v>
      </c>
    </row>
    <row r="52" spans="1:16" x14ac:dyDescent="0.3">
      <c r="A52" s="15" t="s">
        <v>118</v>
      </c>
      <c r="B52" s="10">
        <v>2025</v>
      </c>
      <c r="C52" s="10" t="s">
        <v>393</v>
      </c>
      <c r="D52" s="7">
        <v>45726</v>
      </c>
      <c r="E52" s="6" t="s">
        <v>402</v>
      </c>
      <c r="F52" s="8" t="s">
        <v>255</v>
      </c>
      <c r="G52" s="10">
        <v>9.5768000000000004</v>
      </c>
      <c r="H52" s="10">
        <v>9.4291</v>
      </c>
      <c r="I52" s="10">
        <v>0.28289999999999998</v>
      </c>
      <c r="J52" s="85">
        <f t="shared" si="5"/>
        <v>0.52209261223047154</v>
      </c>
      <c r="K52" s="10">
        <v>8.5803999999999991</v>
      </c>
      <c r="L52" s="10">
        <v>10.277799999999999</v>
      </c>
      <c r="M52" s="86" t="str">
        <f t="shared" si="6"/>
        <v>OK</v>
      </c>
      <c r="N52" s="87">
        <f t="shared" si="7"/>
        <v>1.5664273366493131</v>
      </c>
      <c r="O52" s="87">
        <f t="shared" si="8"/>
        <v>1.5664273366493131</v>
      </c>
      <c r="P52" s="30" t="str">
        <f t="shared" si="4"/>
        <v>OK</v>
      </c>
    </row>
    <row r="53" spans="1:16" x14ac:dyDescent="0.3">
      <c r="A53" s="15" t="s">
        <v>118</v>
      </c>
      <c r="B53" s="10">
        <v>2025</v>
      </c>
      <c r="C53" s="10" t="s">
        <v>393</v>
      </c>
      <c r="D53" s="7">
        <v>45726</v>
      </c>
      <c r="E53" s="6" t="s">
        <v>402</v>
      </c>
      <c r="F53" s="8" t="s">
        <v>256</v>
      </c>
      <c r="G53" s="10">
        <v>9.6204999999999998</v>
      </c>
      <c r="H53" s="10">
        <v>9.4984000000000002</v>
      </c>
      <c r="I53" s="10">
        <v>0.28499999999999998</v>
      </c>
      <c r="J53" s="85">
        <f t="shared" si="5"/>
        <v>0.42842105263157776</v>
      </c>
      <c r="K53" s="10">
        <v>8.6433999999999997</v>
      </c>
      <c r="L53" s="10">
        <v>10.353400000000001</v>
      </c>
      <c r="M53" s="86" t="str">
        <f t="shared" si="6"/>
        <v>OK</v>
      </c>
      <c r="N53" s="87">
        <f t="shared" si="7"/>
        <v>1.2854796597321618</v>
      </c>
      <c r="O53" s="87">
        <f t="shared" si="8"/>
        <v>1.2854796597321618</v>
      </c>
      <c r="P53" s="30" t="str">
        <f t="shared" si="4"/>
        <v>OK</v>
      </c>
    </row>
    <row r="54" spans="1:16" x14ac:dyDescent="0.3">
      <c r="A54" s="15" t="s">
        <v>118</v>
      </c>
      <c r="B54" s="10">
        <v>2025</v>
      </c>
      <c r="C54" s="10" t="s">
        <v>394</v>
      </c>
      <c r="D54" s="7">
        <v>45818</v>
      </c>
      <c r="E54" s="6" t="s">
        <v>402</v>
      </c>
      <c r="F54" s="8" t="s">
        <v>252</v>
      </c>
      <c r="G54" s="10">
        <v>9.5827000000000009</v>
      </c>
      <c r="H54" s="10">
        <v>9.4301999999999992</v>
      </c>
      <c r="I54" s="10">
        <v>0.28289999999999998</v>
      </c>
      <c r="J54" s="85">
        <f t="shared" si="5"/>
        <v>0.53905973842347699</v>
      </c>
      <c r="K54" s="10">
        <v>8.5815000000000001</v>
      </c>
      <c r="L54" s="10">
        <v>10.2789</v>
      </c>
      <c r="M54" s="86" t="str">
        <f t="shared" si="6"/>
        <v>OK</v>
      </c>
      <c r="N54" s="87">
        <f t="shared" si="7"/>
        <v>1.6171449173930739</v>
      </c>
      <c r="O54" s="87">
        <f t="shared" si="8"/>
        <v>1.6171449173930739</v>
      </c>
      <c r="P54" s="30" t="str">
        <f t="shared" si="4"/>
        <v>OK</v>
      </c>
    </row>
    <row r="55" spans="1:16" x14ac:dyDescent="0.3">
      <c r="A55" s="15" t="s">
        <v>118</v>
      </c>
      <c r="B55" s="10">
        <v>2025</v>
      </c>
      <c r="C55" s="10" t="s">
        <v>394</v>
      </c>
      <c r="D55" s="7">
        <v>45818</v>
      </c>
      <c r="E55" s="6" t="s">
        <v>402</v>
      </c>
      <c r="F55" s="8" t="s">
        <v>253</v>
      </c>
      <c r="G55" s="10">
        <v>9.6576000000000004</v>
      </c>
      <c r="H55" s="10">
        <v>9.5291999999999994</v>
      </c>
      <c r="I55" s="10">
        <v>0.28589999999999999</v>
      </c>
      <c r="J55" s="85">
        <f t="shared" si="5"/>
        <v>0.44910807974816708</v>
      </c>
      <c r="K55" s="10">
        <v>8.6715</v>
      </c>
      <c r="L55" s="10">
        <v>10.386900000000001</v>
      </c>
      <c r="M55" s="86" t="str">
        <f t="shared" si="6"/>
        <v>OK</v>
      </c>
      <c r="N55" s="87">
        <f t="shared" si="7"/>
        <v>1.34743735045965</v>
      </c>
      <c r="O55" s="87">
        <f t="shared" si="8"/>
        <v>1.34743735045965</v>
      </c>
      <c r="P55" s="30" t="str">
        <f t="shared" si="4"/>
        <v>OK</v>
      </c>
    </row>
    <row r="56" spans="1:16" x14ac:dyDescent="0.3">
      <c r="A56" s="15" t="s">
        <v>118</v>
      </c>
      <c r="B56" s="10">
        <v>2025</v>
      </c>
      <c r="C56" s="10" t="s">
        <v>394</v>
      </c>
      <c r="D56" s="7">
        <v>45818</v>
      </c>
      <c r="E56" s="6" t="s">
        <v>402</v>
      </c>
      <c r="F56" s="8" t="s">
        <v>254</v>
      </c>
      <c r="G56" s="10">
        <v>9.5434000000000001</v>
      </c>
      <c r="H56" s="10">
        <v>9.4788999999999994</v>
      </c>
      <c r="I56" s="10">
        <v>0.28439999999999999</v>
      </c>
      <c r="J56" s="85">
        <f t="shared" si="5"/>
        <v>0.22679324894515004</v>
      </c>
      <c r="K56" s="10">
        <v>8.6257000000000001</v>
      </c>
      <c r="L56" s="10">
        <v>10.332100000000001</v>
      </c>
      <c r="M56" s="86" t="str">
        <f t="shared" si="6"/>
        <v>OK</v>
      </c>
      <c r="N56" s="87">
        <f t="shared" si="7"/>
        <v>0.68045870301406985</v>
      </c>
      <c r="O56" s="87">
        <f t="shared" si="8"/>
        <v>0.68045870301406985</v>
      </c>
      <c r="P56" s="30" t="str">
        <f t="shared" si="4"/>
        <v>OK</v>
      </c>
    </row>
    <row r="57" spans="1:16" x14ac:dyDescent="0.3">
      <c r="A57" s="15" t="s">
        <v>118</v>
      </c>
      <c r="B57" s="10">
        <v>2025</v>
      </c>
      <c r="C57" s="10" t="s">
        <v>394</v>
      </c>
      <c r="D57" s="7">
        <v>45818</v>
      </c>
      <c r="E57" s="6" t="s">
        <v>402</v>
      </c>
      <c r="F57" s="8" t="s">
        <v>255</v>
      </c>
      <c r="G57" s="10">
        <v>9.65</v>
      </c>
      <c r="H57" s="10">
        <v>9.4537999999999993</v>
      </c>
      <c r="I57" s="10">
        <v>0.28360000000000002</v>
      </c>
      <c r="J57" s="85">
        <f t="shared" si="5"/>
        <v>0.69181946403385408</v>
      </c>
      <c r="K57" s="10">
        <v>8.6029999999999998</v>
      </c>
      <c r="L57" s="10">
        <v>10.304600000000001</v>
      </c>
      <c r="M57" s="86" t="str">
        <f t="shared" si="6"/>
        <v>OK</v>
      </c>
      <c r="N57" s="87">
        <f t="shared" si="7"/>
        <v>2.07535594152617</v>
      </c>
      <c r="O57" s="87">
        <f t="shared" si="8"/>
        <v>2.07535594152617</v>
      </c>
      <c r="P57" s="30" t="str">
        <f t="shared" si="4"/>
        <v>OK</v>
      </c>
    </row>
    <row r="58" spans="1:16" x14ac:dyDescent="0.3">
      <c r="A58" s="15" t="s">
        <v>118</v>
      </c>
      <c r="B58" s="10">
        <v>2025</v>
      </c>
      <c r="C58" s="10" t="s">
        <v>394</v>
      </c>
      <c r="D58" s="7">
        <v>45818</v>
      </c>
      <c r="E58" s="6" t="s">
        <v>402</v>
      </c>
      <c r="F58" s="8" t="s">
        <v>256</v>
      </c>
      <c r="G58" s="10">
        <v>9.5381999999999998</v>
      </c>
      <c r="H58" s="10">
        <v>9.4818999999999996</v>
      </c>
      <c r="I58" s="10">
        <v>0.28449999999999998</v>
      </c>
      <c r="J58" s="85">
        <f t="shared" si="5"/>
        <v>0.197891036906855</v>
      </c>
      <c r="K58" s="10">
        <v>8.6283999999999992</v>
      </c>
      <c r="L58" s="10">
        <v>10.3354</v>
      </c>
      <c r="M58" s="86" t="str">
        <f t="shared" si="6"/>
        <v>OK</v>
      </c>
      <c r="N58" s="87">
        <f t="shared" si="7"/>
        <v>0.59376285343655011</v>
      </c>
      <c r="O58" s="87">
        <f t="shared" si="8"/>
        <v>0.59376285343655011</v>
      </c>
      <c r="P58" s="30" t="str">
        <f t="shared" si="4"/>
        <v>OK</v>
      </c>
    </row>
    <row r="59" spans="1:16" x14ac:dyDescent="0.3">
      <c r="A59" s="15" t="s">
        <v>118</v>
      </c>
      <c r="B59" s="10">
        <v>2025</v>
      </c>
      <c r="C59" s="10" t="s">
        <v>395</v>
      </c>
      <c r="D59" s="7">
        <v>45910</v>
      </c>
      <c r="E59" s="6" t="s">
        <v>402</v>
      </c>
      <c r="F59" s="8" t="s">
        <v>252</v>
      </c>
      <c r="G59" s="10">
        <v>9.7902000000000005</v>
      </c>
      <c r="H59" s="10">
        <v>9.6267999999999994</v>
      </c>
      <c r="I59" s="10">
        <v>0.2888</v>
      </c>
      <c r="J59" s="85">
        <f t="shared" si="5"/>
        <v>0.56578947368421428</v>
      </c>
      <c r="K59" s="10">
        <v>8.7604000000000006</v>
      </c>
      <c r="L59" s="10">
        <v>10.4932</v>
      </c>
      <c r="M59" s="86" t="str">
        <f t="shared" si="6"/>
        <v>OK</v>
      </c>
      <c r="N59" s="87">
        <f t="shared" si="7"/>
        <v>1.6973449121203423</v>
      </c>
      <c r="O59" s="87">
        <f t="shared" si="8"/>
        <v>1.6973449121203423</v>
      </c>
      <c r="P59" s="30" t="str">
        <f t="shared" si="4"/>
        <v>OK</v>
      </c>
    </row>
    <row r="60" spans="1:16" x14ac:dyDescent="0.3">
      <c r="A60" s="15" t="s">
        <v>118</v>
      </c>
      <c r="B60" s="10">
        <v>2025</v>
      </c>
      <c r="C60" s="10" t="s">
        <v>395</v>
      </c>
      <c r="D60" s="7">
        <v>45910</v>
      </c>
      <c r="E60" s="6" t="s">
        <v>402</v>
      </c>
      <c r="F60" s="8" t="s">
        <v>253</v>
      </c>
      <c r="G60" s="10">
        <v>9.8394999999999992</v>
      </c>
      <c r="H60" s="10">
        <v>9.7003000000000004</v>
      </c>
      <c r="I60" s="10">
        <v>0.29099999999999998</v>
      </c>
      <c r="J60" s="85">
        <f t="shared" si="5"/>
        <v>0.47835051546391372</v>
      </c>
      <c r="K60" s="10">
        <v>8.8272999999999993</v>
      </c>
      <c r="L60" s="10">
        <v>10.5733</v>
      </c>
      <c r="M60" s="86" t="str">
        <f t="shared" si="6"/>
        <v>OK</v>
      </c>
      <c r="N60" s="87">
        <f t="shared" si="7"/>
        <v>1.4350071647268525</v>
      </c>
      <c r="O60" s="87">
        <f t="shared" si="8"/>
        <v>1.4350071647268525</v>
      </c>
      <c r="P60" s="30" t="str">
        <f t="shared" si="4"/>
        <v>OK</v>
      </c>
    </row>
    <row r="61" spans="1:16" x14ac:dyDescent="0.3">
      <c r="A61" s="15" t="s">
        <v>118</v>
      </c>
      <c r="B61" s="10">
        <v>2025</v>
      </c>
      <c r="C61" s="10" t="s">
        <v>395</v>
      </c>
      <c r="D61" s="7">
        <v>45910</v>
      </c>
      <c r="E61" s="6" t="s">
        <v>402</v>
      </c>
      <c r="F61" s="8" t="s">
        <v>254</v>
      </c>
      <c r="G61" s="10">
        <v>9.5119000000000007</v>
      </c>
      <c r="H61" s="10">
        <v>9.4562000000000008</v>
      </c>
      <c r="I61" s="10">
        <v>0.28370000000000001</v>
      </c>
      <c r="J61" s="85">
        <f t="shared" si="5"/>
        <v>0.19633415579837807</v>
      </c>
      <c r="K61" s="10">
        <v>8.6051000000000002</v>
      </c>
      <c r="L61" s="10">
        <v>10.3073</v>
      </c>
      <c r="M61" s="86" t="str">
        <f t="shared" si="6"/>
        <v>OK</v>
      </c>
      <c r="N61" s="87">
        <f t="shared" si="7"/>
        <v>0.58903153486601234</v>
      </c>
      <c r="O61" s="87">
        <f t="shared" si="8"/>
        <v>0.58903153486601234</v>
      </c>
      <c r="P61" s="30" t="str">
        <f t="shared" si="4"/>
        <v>OK</v>
      </c>
    </row>
    <row r="62" spans="1:16" x14ac:dyDescent="0.3">
      <c r="A62" s="15" t="s">
        <v>118</v>
      </c>
      <c r="B62" s="10">
        <v>2025</v>
      </c>
      <c r="C62" s="10" t="s">
        <v>395</v>
      </c>
      <c r="D62" s="7">
        <v>45910</v>
      </c>
      <c r="E62" s="6" t="s">
        <v>402</v>
      </c>
      <c r="F62" s="8" t="s">
        <v>255</v>
      </c>
      <c r="G62" s="10">
        <v>9.8991000000000007</v>
      </c>
      <c r="H62" s="10">
        <v>9.6257999999999999</v>
      </c>
      <c r="I62" s="10">
        <v>0.2888</v>
      </c>
      <c r="J62" s="85">
        <f t="shared" si="5"/>
        <v>0.94632963988919927</v>
      </c>
      <c r="K62" s="10">
        <v>8.7593999999999994</v>
      </c>
      <c r="L62" s="10">
        <v>10.4922</v>
      </c>
      <c r="M62" s="86" t="str">
        <f t="shared" si="6"/>
        <v>OK</v>
      </c>
      <c r="N62" s="87">
        <f t="shared" si="7"/>
        <v>2.8392445303247604</v>
      </c>
      <c r="O62" s="87">
        <f t="shared" si="8"/>
        <v>2.8392445303247604</v>
      </c>
      <c r="P62" s="30" t="str">
        <f t="shared" si="4"/>
        <v>OK</v>
      </c>
    </row>
    <row r="63" spans="1:16" x14ac:dyDescent="0.3">
      <c r="A63" s="15" t="s">
        <v>118</v>
      </c>
      <c r="B63" s="10">
        <v>2025</v>
      </c>
      <c r="C63" s="10" t="s">
        <v>395</v>
      </c>
      <c r="D63" s="7">
        <v>45910</v>
      </c>
      <c r="E63" s="6" t="s">
        <v>402</v>
      </c>
      <c r="F63" s="8" t="s">
        <v>256</v>
      </c>
      <c r="G63" s="10">
        <v>9.5198</v>
      </c>
      <c r="H63" s="10">
        <v>9.4220000000000006</v>
      </c>
      <c r="I63" s="10">
        <v>0.28270000000000001</v>
      </c>
      <c r="J63" s="85">
        <f t="shared" si="5"/>
        <v>0.34594977007428174</v>
      </c>
      <c r="K63" s="10">
        <v>8.5739000000000001</v>
      </c>
      <c r="L63" s="10">
        <v>10.270099999999999</v>
      </c>
      <c r="M63" s="86" t="str">
        <f t="shared" si="6"/>
        <v>OK</v>
      </c>
      <c r="N63" s="87">
        <f t="shared" si="7"/>
        <v>1.0379961791551628</v>
      </c>
      <c r="O63" s="87">
        <f t="shared" si="8"/>
        <v>1.0379961791551628</v>
      </c>
      <c r="P63" s="30" t="str">
        <f t="shared" si="4"/>
        <v>OK</v>
      </c>
    </row>
    <row r="64" spans="1:16" x14ac:dyDescent="0.3">
      <c r="A64" s="15" t="s">
        <v>119</v>
      </c>
      <c r="B64" s="10">
        <v>2025</v>
      </c>
      <c r="C64" s="10" t="s">
        <v>393</v>
      </c>
      <c r="D64" s="7">
        <v>45726</v>
      </c>
      <c r="E64" s="6" t="s">
        <v>402</v>
      </c>
      <c r="F64" s="8" t="s">
        <v>252</v>
      </c>
      <c r="G64" s="10">
        <v>258.5761</v>
      </c>
      <c r="H64" s="10">
        <v>256.52030000000002</v>
      </c>
      <c r="I64" s="10">
        <v>7.6955999999999998</v>
      </c>
      <c r="J64" s="85">
        <f t="shared" si="5"/>
        <v>0.26713966422370922</v>
      </c>
      <c r="K64" s="10">
        <v>233.43350000000001</v>
      </c>
      <c r="L64" s="10">
        <v>279.6071</v>
      </c>
      <c r="M64" s="86" t="str">
        <f t="shared" si="6"/>
        <v>OK</v>
      </c>
      <c r="N64" s="87">
        <f t="shared" si="7"/>
        <v>0.80141805541314914</v>
      </c>
      <c r="O64" s="87">
        <f t="shared" si="8"/>
        <v>0.80141805541314914</v>
      </c>
      <c r="P64" s="30" t="str">
        <f t="shared" si="4"/>
        <v>OK</v>
      </c>
    </row>
    <row r="65" spans="1:16" x14ac:dyDescent="0.3">
      <c r="A65" s="15" t="s">
        <v>119</v>
      </c>
      <c r="B65" s="10">
        <v>2025</v>
      </c>
      <c r="C65" s="10" t="s">
        <v>393</v>
      </c>
      <c r="D65" s="7">
        <v>45726</v>
      </c>
      <c r="E65" s="6" t="s">
        <v>402</v>
      </c>
      <c r="F65" s="8" t="s">
        <v>253</v>
      </c>
      <c r="G65" s="10">
        <v>256.9348</v>
      </c>
      <c r="H65" s="10">
        <v>254.31010000000001</v>
      </c>
      <c r="I65" s="10">
        <v>7.6292999999999997</v>
      </c>
      <c r="J65" s="85">
        <f t="shared" si="5"/>
        <v>0.34402894105618997</v>
      </c>
      <c r="K65" s="10">
        <v>231.4222</v>
      </c>
      <c r="L65" s="10">
        <v>277.19799999999998</v>
      </c>
      <c r="M65" s="86" t="str">
        <f t="shared" si="6"/>
        <v>OK</v>
      </c>
      <c r="N65" s="87">
        <f t="shared" si="7"/>
        <v>1.0320864173306485</v>
      </c>
      <c r="O65" s="87">
        <f t="shared" si="8"/>
        <v>1.0320864173306485</v>
      </c>
      <c r="P65" s="30" t="str">
        <f t="shared" si="4"/>
        <v>OK</v>
      </c>
    </row>
    <row r="66" spans="1:16" x14ac:dyDescent="0.3">
      <c r="A66" s="15" t="s">
        <v>119</v>
      </c>
      <c r="B66" s="10">
        <v>2025</v>
      </c>
      <c r="C66" s="10" t="s">
        <v>393</v>
      </c>
      <c r="D66" s="7">
        <v>45726</v>
      </c>
      <c r="E66" s="6" t="s">
        <v>402</v>
      </c>
      <c r="F66" s="8" t="s">
        <v>254</v>
      </c>
      <c r="G66" s="10">
        <v>259.89800000000002</v>
      </c>
      <c r="H66" s="10">
        <v>255.48949999999999</v>
      </c>
      <c r="I66" s="10">
        <v>7.6646999999999998</v>
      </c>
      <c r="J66" s="85">
        <f t="shared" si="5"/>
        <v>0.57516928255509436</v>
      </c>
      <c r="K66" s="10">
        <v>232.49539999999999</v>
      </c>
      <c r="L66" s="10">
        <v>278.48360000000002</v>
      </c>
      <c r="M66" s="86" t="str">
        <f t="shared" si="6"/>
        <v>OK</v>
      </c>
      <c r="N66" s="87">
        <f t="shared" si="7"/>
        <v>1.725511224531745</v>
      </c>
      <c r="O66" s="87">
        <f t="shared" si="8"/>
        <v>1.725511224531745</v>
      </c>
      <c r="P66" s="30" t="str">
        <f t="shared" si="4"/>
        <v>OK</v>
      </c>
    </row>
    <row r="67" spans="1:16" x14ac:dyDescent="0.3">
      <c r="A67" s="15" t="s">
        <v>119</v>
      </c>
      <c r="B67" s="10">
        <v>2025</v>
      </c>
      <c r="C67" s="10" t="s">
        <v>393</v>
      </c>
      <c r="D67" s="7">
        <v>45726</v>
      </c>
      <c r="E67" s="6" t="s">
        <v>402</v>
      </c>
      <c r="F67" s="8" t="s">
        <v>255</v>
      </c>
      <c r="G67" s="10">
        <v>259.24200000000002</v>
      </c>
      <c r="H67" s="10">
        <v>255.05629999999999</v>
      </c>
      <c r="I67" s="10">
        <v>7.6516999999999999</v>
      </c>
      <c r="J67" s="85">
        <f t="shared" si="5"/>
        <v>0.54702876484964458</v>
      </c>
      <c r="K67" s="10">
        <v>232.10120000000001</v>
      </c>
      <c r="L67" s="10">
        <v>278.01139999999998</v>
      </c>
      <c r="M67" s="86" t="str">
        <f t="shared" si="6"/>
        <v>OK</v>
      </c>
      <c r="N67" s="87">
        <f t="shared" si="7"/>
        <v>1.6410886537599838</v>
      </c>
      <c r="O67" s="87">
        <f t="shared" si="8"/>
        <v>1.6410886537599838</v>
      </c>
      <c r="P67" s="30" t="str">
        <f t="shared" si="4"/>
        <v>OK</v>
      </c>
    </row>
    <row r="68" spans="1:16" x14ac:dyDescent="0.3">
      <c r="A68" s="15" t="s">
        <v>119</v>
      </c>
      <c r="B68" s="10">
        <v>2025</v>
      </c>
      <c r="C68" s="10" t="s">
        <v>393</v>
      </c>
      <c r="D68" s="7">
        <v>45726</v>
      </c>
      <c r="E68" s="6" t="s">
        <v>402</v>
      </c>
      <c r="F68" s="8" t="s">
        <v>256</v>
      </c>
      <c r="G68" s="10">
        <v>257.37599999999998</v>
      </c>
      <c r="H68" s="10">
        <v>253.92930000000001</v>
      </c>
      <c r="I68" s="10">
        <v>7.6178999999999997</v>
      </c>
      <c r="J68" s="85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86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87">
        <f t="shared" ref="N68:N93" si="11">IF(OR($G68="",$H68="",$H68=0),"",($G68-$H68)/$H68*100)</f>
        <v>1.3573463164746897</v>
      </c>
      <c r="O68" s="87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">
      <c r="A69" s="15" t="s">
        <v>119</v>
      </c>
      <c r="B69" s="10">
        <v>2025</v>
      </c>
      <c r="C69" s="10" t="s">
        <v>394</v>
      </c>
      <c r="D69" s="7">
        <v>45818</v>
      </c>
      <c r="E69" s="6" t="s">
        <v>402</v>
      </c>
      <c r="F69" s="8" t="s">
        <v>252</v>
      </c>
      <c r="G69" s="10">
        <v>250.80529999999999</v>
      </c>
      <c r="H69" s="10">
        <v>249.54750000000001</v>
      </c>
      <c r="I69" s="10">
        <v>7.4863999999999997</v>
      </c>
      <c r="J69" s="85">
        <f t="shared" si="9"/>
        <v>0.16801132720666473</v>
      </c>
      <c r="K69" s="10">
        <v>227.0883</v>
      </c>
      <c r="L69" s="10">
        <v>272.00670000000002</v>
      </c>
      <c r="M69" s="86" t="str">
        <f t="shared" si="10"/>
        <v>OK</v>
      </c>
      <c r="N69" s="87">
        <f t="shared" si="11"/>
        <v>0.50403229846020281</v>
      </c>
      <c r="O69" s="87">
        <f t="shared" si="12"/>
        <v>0.50403229846020281</v>
      </c>
      <c r="P69" s="30" t="str">
        <f t="shared" si="13"/>
        <v>OK</v>
      </c>
    </row>
    <row r="70" spans="1:16" x14ac:dyDescent="0.3">
      <c r="A70" s="15" t="s">
        <v>119</v>
      </c>
      <c r="B70" s="10">
        <v>2025</v>
      </c>
      <c r="C70" s="10" t="s">
        <v>394</v>
      </c>
      <c r="D70" s="7">
        <v>45818</v>
      </c>
      <c r="E70" s="6" t="s">
        <v>402</v>
      </c>
      <c r="F70" s="8" t="s">
        <v>253</v>
      </c>
      <c r="G70" s="10">
        <v>259.38589999999999</v>
      </c>
      <c r="H70" s="10">
        <v>257.02960000000002</v>
      </c>
      <c r="I70" s="10">
        <v>7.7108999999999996</v>
      </c>
      <c r="J70" s="85">
        <f t="shared" si="9"/>
        <v>0.30558041214384524</v>
      </c>
      <c r="K70" s="10">
        <v>233.89689999999999</v>
      </c>
      <c r="L70" s="10">
        <v>280.16230000000002</v>
      </c>
      <c r="M70" s="86" t="str">
        <f t="shared" si="10"/>
        <v>OK</v>
      </c>
      <c r="N70" s="87">
        <f t="shared" si="11"/>
        <v>0.91674266310182784</v>
      </c>
      <c r="O70" s="87">
        <f t="shared" si="12"/>
        <v>0.91674266310182784</v>
      </c>
      <c r="P70" s="30" t="str">
        <f t="shared" si="13"/>
        <v>OK</v>
      </c>
    </row>
    <row r="71" spans="1:16" x14ac:dyDescent="0.3">
      <c r="A71" s="15" t="s">
        <v>119</v>
      </c>
      <c r="B71" s="10">
        <v>2025</v>
      </c>
      <c r="C71" s="10" t="s">
        <v>394</v>
      </c>
      <c r="D71" s="7">
        <v>45818</v>
      </c>
      <c r="E71" s="6" t="s">
        <v>402</v>
      </c>
      <c r="F71" s="8" t="s">
        <v>254</v>
      </c>
      <c r="G71" s="10">
        <v>260.2242</v>
      </c>
      <c r="H71" s="10">
        <v>256.47879999999998</v>
      </c>
      <c r="I71" s="10">
        <v>7.6943999999999999</v>
      </c>
      <c r="J71" s="85">
        <f t="shared" si="9"/>
        <v>0.48676959866916431</v>
      </c>
      <c r="K71" s="10">
        <v>233.3956</v>
      </c>
      <c r="L71" s="10">
        <v>279.56200000000001</v>
      </c>
      <c r="M71" s="86" t="str">
        <f t="shared" si="10"/>
        <v>OK</v>
      </c>
      <c r="N71" s="87">
        <f t="shared" si="11"/>
        <v>1.4603156284262162</v>
      </c>
      <c r="O71" s="87">
        <f t="shared" si="12"/>
        <v>1.4603156284262162</v>
      </c>
      <c r="P71" s="30" t="str">
        <f t="shared" si="13"/>
        <v>OK</v>
      </c>
    </row>
    <row r="72" spans="1:16" x14ac:dyDescent="0.3">
      <c r="A72" s="15" t="s">
        <v>119</v>
      </c>
      <c r="B72" s="10">
        <v>2025</v>
      </c>
      <c r="C72" s="10" t="s">
        <v>394</v>
      </c>
      <c r="D72" s="7">
        <v>45818</v>
      </c>
      <c r="E72" s="6" t="s">
        <v>402</v>
      </c>
      <c r="F72" s="8" t="s">
        <v>255</v>
      </c>
      <c r="G72" s="10">
        <v>262.47910000000002</v>
      </c>
      <c r="H72" s="10">
        <v>258.37180000000001</v>
      </c>
      <c r="I72" s="10">
        <v>7.7511999999999999</v>
      </c>
      <c r="J72" s="85">
        <f t="shared" si="9"/>
        <v>0.52989214573227494</v>
      </c>
      <c r="K72" s="10">
        <v>235.1182</v>
      </c>
      <c r="L72" s="10">
        <v>281.62540000000001</v>
      </c>
      <c r="M72" s="86" t="str">
        <f t="shared" si="10"/>
        <v>OK</v>
      </c>
      <c r="N72" s="87">
        <f t="shared" si="11"/>
        <v>1.5896858712909108</v>
      </c>
      <c r="O72" s="87">
        <f t="shared" si="12"/>
        <v>1.5896858712909108</v>
      </c>
      <c r="P72" s="30" t="str">
        <f t="shared" si="13"/>
        <v>OK</v>
      </c>
    </row>
    <row r="73" spans="1:16" x14ac:dyDescent="0.3">
      <c r="A73" s="15" t="s">
        <v>119</v>
      </c>
      <c r="B73" s="10">
        <v>2025</v>
      </c>
      <c r="C73" s="10" t="s">
        <v>394</v>
      </c>
      <c r="D73" s="7">
        <v>45818</v>
      </c>
      <c r="E73" s="6" t="s">
        <v>402</v>
      </c>
      <c r="F73" s="8" t="s">
        <v>256</v>
      </c>
      <c r="G73" s="10">
        <v>260.54629999999997</v>
      </c>
      <c r="H73" s="10">
        <v>257.5933</v>
      </c>
      <c r="I73" s="10">
        <v>7.7278000000000002</v>
      </c>
      <c r="J73" s="85">
        <f t="shared" si="9"/>
        <v>0.38212686663733203</v>
      </c>
      <c r="K73" s="10">
        <v>234.40989999999999</v>
      </c>
      <c r="L73" s="10">
        <v>280.77670000000001</v>
      </c>
      <c r="M73" s="86" t="str">
        <f t="shared" si="10"/>
        <v>OK</v>
      </c>
      <c r="N73" s="87">
        <f t="shared" si="11"/>
        <v>1.1463807482570294</v>
      </c>
      <c r="O73" s="87">
        <f t="shared" si="12"/>
        <v>1.1463807482570294</v>
      </c>
      <c r="P73" s="30" t="str">
        <f t="shared" si="13"/>
        <v>OK</v>
      </c>
    </row>
    <row r="74" spans="1:16" x14ac:dyDescent="0.3">
      <c r="A74" s="15" t="s">
        <v>119</v>
      </c>
      <c r="B74" s="10">
        <v>2025</v>
      </c>
      <c r="C74" s="10" t="s">
        <v>395</v>
      </c>
      <c r="D74" s="7">
        <v>45910</v>
      </c>
      <c r="E74" s="6" t="s">
        <v>402</v>
      </c>
      <c r="F74" s="8" t="s">
        <v>252</v>
      </c>
      <c r="G74" s="10">
        <v>255.3689</v>
      </c>
      <c r="H74" s="10">
        <v>253.21940000000001</v>
      </c>
      <c r="I74" s="10">
        <v>7.5965999999999996</v>
      </c>
      <c r="J74" s="85">
        <f t="shared" si="9"/>
        <v>0.28295553273832891</v>
      </c>
      <c r="K74" s="10">
        <v>230.42959999999999</v>
      </c>
      <c r="L74" s="10">
        <v>276.00920000000002</v>
      </c>
      <c r="M74" s="86" t="str">
        <f t="shared" si="10"/>
        <v>OK</v>
      </c>
      <c r="N74" s="87">
        <f t="shared" si="11"/>
        <v>0.84886860959309951</v>
      </c>
      <c r="O74" s="87">
        <f t="shared" si="12"/>
        <v>0.84886860959309951</v>
      </c>
      <c r="P74" s="30" t="str">
        <f t="shared" si="13"/>
        <v>OK</v>
      </c>
    </row>
    <row r="75" spans="1:16" x14ac:dyDescent="0.3">
      <c r="A75" s="15" t="s">
        <v>119</v>
      </c>
      <c r="B75" s="10">
        <v>2025</v>
      </c>
      <c r="C75" s="10" t="s">
        <v>395</v>
      </c>
      <c r="D75" s="7">
        <v>45910</v>
      </c>
      <c r="E75" s="6" t="s">
        <v>402</v>
      </c>
      <c r="F75" s="8" t="s">
        <v>253</v>
      </c>
      <c r="G75" s="10">
        <v>255.42439999999999</v>
      </c>
      <c r="H75" s="10">
        <v>253.75550000000001</v>
      </c>
      <c r="I75" s="10">
        <v>7.6127000000000002</v>
      </c>
      <c r="J75" s="85">
        <f t="shared" si="9"/>
        <v>0.21922576746751868</v>
      </c>
      <c r="K75" s="10">
        <v>230.91739999999999</v>
      </c>
      <c r="L75" s="10">
        <v>276.59359999999998</v>
      </c>
      <c r="M75" s="86" t="str">
        <f t="shared" si="10"/>
        <v>OK</v>
      </c>
      <c r="N75" s="87">
        <f t="shared" si="11"/>
        <v>0.65768032614070604</v>
      </c>
      <c r="O75" s="87">
        <f t="shared" si="12"/>
        <v>0.65768032614070604</v>
      </c>
      <c r="P75" s="30" t="str">
        <f t="shared" si="13"/>
        <v>OK</v>
      </c>
    </row>
    <row r="76" spans="1:16" x14ac:dyDescent="0.3">
      <c r="A76" s="15" t="s">
        <v>119</v>
      </c>
      <c r="B76" s="10">
        <v>2025</v>
      </c>
      <c r="C76" s="10" t="s">
        <v>395</v>
      </c>
      <c r="D76" s="7">
        <v>45910</v>
      </c>
      <c r="E76" s="6" t="s">
        <v>402</v>
      </c>
      <c r="F76" s="8" t="s">
        <v>254</v>
      </c>
      <c r="G76" s="10">
        <v>256.53460000000001</v>
      </c>
      <c r="H76" s="10">
        <v>253.60400000000001</v>
      </c>
      <c r="I76" s="10">
        <v>7.6081000000000003</v>
      </c>
      <c r="J76" s="85">
        <f t="shared" si="9"/>
        <v>0.38519472667288784</v>
      </c>
      <c r="K76" s="10">
        <v>230.77969999999999</v>
      </c>
      <c r="L76" s="10">
        <v>276.42829999999998</v>
      </c>
      <c r="M76" s="86" t="str">
        <f t="shared" si="10"/>
        <v>OK</v>
      </c>
      <c r="N76" s="87">
        <f t="shared" si="11"/>
        <v>1.155581142253276</v>
      </c>
      <c r="O76" s="87">
        <f t="shared" si="12"/>
        <v>1.155581142253276</v>
      </c>
      <c r="P76" s="30" t="str">
        <f t="shared" si="13"/>
        <v>OK</v>
      </c>
    </row>
    <row r="77" spans="1:16" x14ac:dyDescent="0.3">
      <c r="A77" s="15" t="s">
        <v>119</v>
      </c>
      <c r="B77" s="10">
        <v>2025</v>
      </c>
      <c r="C77" s="10" t="s">
        <v>395</v>
      </c>
      <c r="D77" s="7">
        <v>45910</v>
      </c>
      <c r="E77" s="6" t="s">
        <v>402</v>
      </c>
      <c r="F77" s="8" t="s">
        <v>255</v>
      </c>
      <c r="G77" s="10">
        <v>258.29349999999999</v>
      </c>
      <c r="H77" s="10">
        <v>255.64160000000001</v>
      </c>
      <c r="I77" s="10">
        <v>7.6692</v>
      </c>
      <c r="J77" s="85">
        <f t="shared" si="9"/>
        <v>0.34578574036405146</v>
      </c>
      <c r="K77" s="10">
        <v>232.63399999999999</v>
      </c>
      <c r="L77" s="10">
        <v>278.64920000000001</v>
      </c>
      <c r="M77" s="86" t="str">
        <f t="shared" si="10"/>
        <v>OK</v>
      </c>
      <c r="N77" s="87">
        <f t="shared" si="11"/>
        <v>1.0373507285199213</v>
      </c>
      <c r="O77" s="87">
        <f t="shared" si="12"/>
        <v>1.0373507285199213</v>
      </c>
      <c r="P77" s="30" t="str">
        <f t="shared" si="13"/>
        <v>OK</v>
      </c>
    </row>
    <row r="78" spans="1:16" x14ac:dyDescent="0.3">
      <c r="A78" s="15" t="s">
        <v>119</v>
      </c>
      <c r="B78" s="10">
        <v>2025</v>
      </c>
      <c r="C78" s="10" t="s">
        <v>395</v>
      </c>
      <c r="D78" s="7">
        <v>45910</v>
      </c>
      <c r="E78" s="6" t="s">
        <v>402</v>
      </c>
      <c r="F78" s="8" t="s">
        <v>256</v>
      </c>
      <c r="G78" s="10">
        <v>253.00899999999999</v>
      </c>
      <c r="H78" s="10">
        <v>250.09460000000001</v>
      </c>
      <c r="I78" s="10">
        <v>7.5027999999999997</v>
      </c>
      <c r="J78" s="85">
        <f t="shared" si="9"/>
        <v>0.38844164845124118</v>
      </c>
      <c r="K78" s="10">
        <v>227.58619999999999</v>
      </c>
      <c r="L78" s="10">
        <v>272.60300000000001</v>
      </c>
      <c r="M78" s="86" t="str">
        <f t="shared" si="10"/>
        <v>OK</v>
      </c>
      <c r="N78" s="87">
        <f t="shared" si="11"/>
        <v>1.1653190432740139</v>
      </c>
      <c r="O78" s="87">
        <f t="shared" si="12"/>
        <v>1.1653190432740139</v>
      </c>
      <c r="P78" s="30" t="str">
        <f t="shared" si="13"/>
        <v>OK</v>
      </c>
    </row>
    <row r="79" spans="1:16" x14ac:dyDescent="0.3">
      <c r="A79" s="15" t="s">
        <v>120</v>
      </c>
      <c r="B79" s="10">
        <v>2025</v>
      </c>
      <c r="C79" s="10" t="s">
        <v>393</v>
      </c>
      <c r="D79" s="7">
        <v>45726</v>
      </c>
      <c r="E79" s="6" t="s">
        <v>402</v>
      </c>
      <c r="F79" s="8" t="s">
        <v>252</v>
      </c>
      <c r="G79" s="10">
        <v>72.783000000000001</v>
      </c>
      <c r="H79" s="10">
        <v>72.162199999999999</v>
      </c>
      <c r="I79" s="10">
        <v>2.1648999999999998</v>
      </c>
      <c r="J79" s="85">
        <f t="shared" si="9"/>
        <v>0.28675689408286881</v>
      </c>
      <c r="K79" s="10">
        <v>65.667500000000004</v>
      </c>
      <c r="L79" s="10">
        <v>78.656899999999993</v>
      </c>
      <c r="M79" s="86" t="str">
        <f t="shared" si="10"/>
        <v>OK</v>
      </c>
      <c r="N79" s="87">
        <f t="shared" si="11"/>
        <v>0.86028419310941562</v>
      </c>
      <c r="O79" s="87">
        <f t="shared" si="12"/>
        <v>0.86028419310941562</v>
      </c>
      <c r="P79" s="30" t="str">
        <f t="shared" si="13"/>
        <v>OK</v>
      </c>
    </row>
    <row r="80" spans="1:16" x14ac:dyDescent="0.3">
      <c r="A80" s="15" t="s">
        <v>120</v>
      </c>
      <c r="B80" s="10">
        <v>2025</v>
      </c>
      <c r="C80" s="10" t="s">
        <v>393</v>
      </c>
      <c r="D80" s="7">
        <v>45726</v>
      </c>
      <c r="E80" s="6" t="s">
        <v>402</v>
      </c>
      <c r="F80" s="8" t="s">
        <v>253</v>
      </c>
      <c r="G80" s="10">
        <v>72.738699999999994</v>
      </c>
      <c r="H80" s="10">
        <v>72.4161</v>
      </c>
      <c r="I80" s="10">
        <v>2.1724999999999999</v>
      </c>
      <c r="J80" s="85">
        <f t="shared" si="9"/>
        <v>0.14849252013808711</v>
      </c>
      <c r="K80" s="10">
        <v>65.898600000000002</v>
      </c>
      <c r="L80" s="10">
        <v>78.933599999999998</v>
      </c>
      <c r="M80" s="86" t="str">
        <f t="shared" si="10"/>
        <v>OK</v>
      </c>
      <c r="N80" s="87">
        <f t="shared" si="11"/>
        <v>0.44548104634189667</v>
      </c>
      <c r="O80" s="87">
        <f t="shared" si="12"/>
        <v>0.44548104634189667</v>
      </c>
      <c r="P80" s="30" t="str">
        <f t="shared" si="13"/>
        <v>OK</v>
      </c>
    </row>
    <row r="81" spans="1:16" x14ac:dyDescent="0.3">
      <c r="A81" s="15" t="s">
        <v>120</v>
      </c>
      <c r="B81" s="10">
        <v>2025</v>
      </c>
      <c r="C81" s="10" t="s">
        <v>393</v>
      </c>
      <c r="D81" s="7">
        <v>45726</v>
      </c>
      <c r="E81" s="6" t="s">
        <v>402</v>
      </c>
      <c r="F81" s="8" t="s">
        <v>254</v>
      </c>
      <c r="G81" s="10">
        <v>72.252700000000004</v>
      </c>
      <c r="H81" s="10">
        <v>71.478899999999996</v>
      </c>
      <c r="I81" s="10">
        <v>2.1444000000000001</v>
      </c>
      <c r="J81" s="85">
        <f t="shared" si="9"/>
        <v>0.36084685692968121</v>
      </c>
      <c r="K81" s="10">
        <v>65.045699999999997</v>
      </c>
      <c r="L81" s="10">
        <v>77.912099999999995</v>
      </c>
      <c r="M81" s="86" t="str">
        <f t="shared" si="10"/>
        <v>OK</v>
      </c>
      <c r="N81" s="87">
        <f t="shared" si="11"/>
        <v>1.0825572301756303</v>
      </c>
      <c r="O81" s="87">
        <f t="shared" si="12"/>
        <v>1.0825572301756303</v>
      </c>
      <c r="P81" s="30" t="str">
        <f t="shared" si="13"/>
        <v>OK</v>
      </c>
    </row>
    <row r="82" spans="1:16" x14ac:dyDescent="0.3">
      <c r="A82" s="15" t="s">
        <v>120</v>
      </c>
      <c r="B82" s="10">
        <v>2025</v>
      </c>
      <c r="C82" s="10" t="s">
        <v>393</v>
      </c>
      <c r="D82" s="7">
        <v>45726</v>
      </c>
      <c r="E82" s="6" t="s">
        <v>402</v>
      </c>
      <c r="F82" s="8" t="s">
        <v>255</v>
      </c>
      <c r="G82" s="10">
        <v>73.298900000000003</v>
      </c>
      <c r="H82" s="10">
        <v>72.544799999999995</v>
      </c>
      <c r="I82" s="10">
        <v>2.1762999999999999</v>
      </c>
      <c r="J82" s="85">
        <f t="shared" si="9"/>
        <v>0.3465055369204651</v>
      </c>
      <c r="K82" s="10">
        <v>66.015900000000002</v>
      </c>
      <c r="L82" s="10">
        <v>79.073700000000002</v>
      </c>
      <c r="M82" s="86" t="str">
        <f t="shared" si="10"/>
        <v>OK</v>
      </c>
      <c r="N82" s="87">
        <f t="shared" si="11"/>
        <v>1.0394955944464777</v>
      </c>
      <c r="O82" s="87">
        <f t="shared" si="12"/>
        <v>1.0394955944464777</v>
      </c>
      <c r="P82" s="30" t="str">
        <f t="shared" si="13"/>
        <v>OK</v>
      </c>
    </row>
    <row r="83" spans="1:16" x14ac:dyDescent="0.3">
      <c r="A83" s="15" t="s">
        <v>120</v>
      </c>
      <c r="B83" s="10">
        <v>2025</v>
      </c>
      <c r="C83" s="10" t="s">
        <v>393</v>
      </c>
      <c r="D83" s="7">
        <v>45726</v>
      </c>
      <c r="E83" s="6" t="s">
        <v>402</v>
      </c>
      <c r="F83" s="8" t="s">
        <v>256</v>
      </c>
      <c r="G83" s="10">
        <v>73.83</v>
      </c>
      <c r="H83" s="10">
        <v>73.533199999999994</v>
      </c>
      <c r="I83" s="10">
        <v>2.206</v>
      </c>
      <c r="J83" s="85">
        <f t="shared" si="9"/>
        <v>0.13454215775158868</v>
      </c>
      <c r="K83" s="10">
        <v>66.915199999999999</v>
      </c>
      <c r="L83" s="10">
        <v>80.151200000000003</v>
      </c>
      <c r="M83" s="86" t="str">
        <f t="shared" si="10"/>
        <v>OK</v>
      </c>
      <c r="N83" s="87">
        <f t="shared" si="11"/>
        <v>0.40362720512639821</v>
      </c>
      <c r="O83" s="87">
        <f t="shared" si="12"/>
        <v>0.40362720512639821</v>
      </c>
      <c r="P83" s="30" t="str">
        <f t="shared" si="13"/>
        <v>OK</v>
      </c>
    </row>
    <row r="84" spans="1:16" x14ac:dyDescent="0.3">
      <c r="A84" s="15" t="s">
        <v>120</v>
      </c>
      <c r="B84" s="10">
        <v>2025</v>
      </c>
      <c r="C84" s="10" t="s">
        <v>394</v>
      </c>
      <c r="D84" s="7">
        <v>45818</v>
      </c>
      <c r="E84" s="6" t="s">
        <v>402</v>
      </c>
      <c r="F84" s="8" t="s">
        <v>252</v>
      </c>
      <c r="G84" s="10">
        <v>72.790499999999994</v>
      </c>
      <c r="H84" s="10">
        <v>72.2774</v>
      </c>
      <c r="I84" s="10">
        <v>2.1682999999999999</v>
      </c>
      <c r="J84" s="85">
        <f t="shared" si="9"/>
        <v>0.23663699672554275</v>
      </c>
      <c r="K84" s="10">
        <v>65.772499999999994</v>
      </c>
      <c r="L84" s="10">
        <v>78.782300000000006</v>
      </c>
      <c r="M84" s="86" t="str">
        <f t="shared" si="10"/>
        <v>OK</v>
      </c>
      <c r="N84" s="87">
        <f t="shared" si="11"/>
        <v>0.70990378735260862</v>
      </c>
      <c r="O84" s="87">
        <f t="shared" si="12"/>
        <v>0.70990378735260862</v>
      </c>
      <c r="P84" s="30" t="str">
        <f t="shared" si="13"/>
        <v>OK</v>
      </c>
    </row>
    <row r="85" spans="1:16" x14ac:dyDescent="0.3">
      <c r="A85" s="15" t="s">
        <v>120</v>
      </c>
      <c r="B85" s="10">
        <v>2025</v>
      </c>
      <c r="C85" s="10" t="s">
        <v>394</v>
      </c>
      <c r="D85" s="7">
        <v>45818</v>
      </c>
      <c r="E85" s="6" t="s">
        <v>402</v>
      </c>
      <c r="F85" s="8" t="s">
        <v>253</v>
      </c>
      <c r="G85" s="10">
        <v>72.9315</v>
      </c>
      <c r="H85" s="10">
        <v>72.402900000000002</v>
      </c>
      <c r="I85" s="10">
        <v>2.1720999999999999</v>
      </c>
      <c r="J85" s="85">
        <f t="shared" si="9"/>
        <v>0.24335896137378449</v>
      </c>
      <c r="K85" s="10">
        <v>65.886600000000001</v>
      </c>
      <c r="L85" s="10">
        <v>78.919200000000004</v>
      </c>
      <c r="M85" s="86" t="str">
        <f t="shared" si="10"/>
        <v>OK</v>
      </c>
      <c r="N85" s="87">
        <f t="shared" si="11"/>
        <v>0.73008125365143839</v>
      </c>
      <c r="O85" s="87">
        <f t="shared" si="12"/>
        <v>0.73008125365143839</v>
      </c>
      <c r="P85" s="30" t="str">
        <f t="shared" si="13"/>
        <v>OK</v>
      </c>
    </row>
    <row r="86" spans="1:16" x14ac:dyDescent="0.3">
      <c r="A86" s="15" t="s">
        <v>120</v>
      </c>
      <c r="B86" s="10">
        <v>2025</v>
      </c>
      <c r="C86" s="10" t="s">
        <v>394</v>
      </c>
      <c r="D86" s="7">
        <v>45818</v>
      </c>
      <c r="E86" s="6" t="s">
        <v>402</v>
      </c>
      <c r="F86" s="8" t="s">
        <v>254</v>
      </c>
      <c r="G86" s="10">
        <v>72.608500000000006</v>
      </c>
      <c r="H86" s="10">
        <v>72.145499999999998</v>
      </c>
      <c r="I86" s="10">
        <v>2.1644000000000001</v>
      </c>
      <c r="J86" s="85">
        <f t="shared" si="9"/>
        <v>0.21391609683977456</v>
      </c>
      <c r="K86" s="10">
        <v>65.652299999999997</v>
      </c>
      <c r="L86" s="10">
        <v>78.6387</v>
      </c>
      <c r="M86" s="86" t="str">
        <f t="shared" si="10"/>
        <v>OK</v>
      </c>
      <c r="N86" s="87">
        <f t="shared" si="11"/>
        <v>0.64175866824681804</v>
      </c>
      <c r="O86" s="87">
        <f t="shared" si="12"/>
        <v>0.64175866824681804</v>
      </c>
      <c r="P86" s="30" t="str">
        <f t="shared" si="13"/>
        <v>OK</v>
      </c>
    </row>
    <row r="87" spans="1:16" x14ac:dyDescent="0.3">
      <c r="A87" s="15" t="s">
        <v>120</v>
      </c>
      <c r="B87" s="10">
        <v>2025</v>
      </c>
      <c r="C87" s="10" t="s">
        <v>394</v>
      </c>
      <c r="D87" s="7">
        <v>45818</v>
      </c>
      <c r="E87" s="6" t="s">
        <v>402</v>
      </c>
      <c r="F87" s="8" t="s">
        <v>255</v>
      </c>
      <c r="G87" s="10">
        <v>71.315600000000003</v>
      </c>
      <c r="H87" s="10">
        <v>70.918199999999999</v>
      </c>
      <c r="I87" s="10">
        <v>2.1274999999999999</v>
      </c>
      <c r="J87" s="85">
        <f t="shared" si="9"/>
        <v>0.18679200940070723</v>
      </c>
      <c r="K87" s="10">
        <v>64.535700000000006</v>
      </c>
      <c r="L87" s="10">
        <v>77.300700000000006</v>
      </c>
      <c r="M87" s="86" t="str">
        <f t="shared" si="10"/>
        <v>OK</v>
      </c>
      <c r="N87" s="87">
        <f t="shared" si="11"/>
        <v>0.56036391222564108</v>
      </c>
      <c r="O87" s="87">
        <f t="shared" si="12"/>
        <v>0.56036391222564108</v>
      </c>
      <c r="P87" s="30" t="str">
        <f t="shared" si="13"/>
        <v>OK</v>
      </c>
    </row>
    <row r="88" spans="1:16" x14ac:dyDescent="0.3">
      <c r="A88" s="15" t="s">
        <v>120</v>
      </c>
      <c r="B88" s="10">
        <v>2025</v>
      </c>
      <c r="C88" s="10" t="s">
        <v>394</v>
      </c>
      <c r="D88" s="7">
        <v>45818</v>
      </c>
      <c r="E88" s="6" t="s">
        <v>402</v>
      </c>
      <c r="F88" s="8" t="s">
        <v>256</v>
      </c>
      <c r="G88" s="10">
        <v>71.912099999999995</v>
      </c>
      <c r="H88" s="10">
        <v>71.461699999999993</v>
      </c>
      <c r="I88" s="10">
        <v>2.1438999999999999</v>
      </c>
      <c r="J88" s="85">
        <f t="shared" si="9"/>
        <v>0.21008442557955218</v>
      </c>
      <c r="K88" s="10">
        <v>65.03</v>
      </c>
      <c r="L88" s="10">
        <v>77.8934</v>
      </c>
      <c r="M88" s="86" t="str">
        <f t="shared" si="10"/>
        <v>OK</v>
      </c>
      <c r="N88" s="87">
        <f t="shared" si="11"/>
        <v>0.63026768184916104</v>
      </c>
      <c r="O88" s="87">
        <f t="shared" si="12"/>
        <v>0.63026768184916104</v>
      </c>
      <c r="P88" s="30" t="str">
        <f t="shared" si="13"/>
        <v>OK</v>
      </c>
    </row>
    <row r="89" spans="1:16" x14ac:dyDescent="0.3">
      <c r="A89" s="15" t="s">
        <v>120</v>
      </c>
      <c r="B89" s="10">
        <v>2025</v>
      </c>
      <c r="C89" s="10" t="s">
        <v>395</v>
      </c>
      <c r="D89" s="7">
        <v>45910</v>
      </c>
      <c r="E89" s="6" t="s">
        <v>402</v>
      </c>
      <c r="F89" s="8" t="s">
        <v>252</v>
      </c>
      <c r="G89" s="10">
        <v>72.199799999999996</v>
      </c>
      <c r="H89" s="10">
        <v>71.663399999999996</v>
      </c>
      <c r="I89" s="10">
        <v>2.1499000000000001</v>
      </c>
      <c r="J89" s="85">
        <f t="shared" si="9"/>
        <v>0.24949997674310451</v>
      </c>
      <c r="K89" s="10">
        <v>65.213700000000003</v>
      </c>
      <c r="L89" s="10">
        <v>78.113100000000003</v>
      </c>
      <c r="M89" s="86" t="str">
        <f t="shared" si="10"/>
        <v>OK</v>
      </c>
      <c r="N89" s="87">
        <f t="shared" si="11"/>
        <v>0.74849923391856998</v>
      </c>
      <c r="O89" s="87">
        <f t="shared" si="12"/>
        <v>0.74849923391856998</v>
      </c>
      <c r="P89" s="30" t="str">
        <f t="shared" si="13"/>
        <v>OK</v>
      </c>
    </row>
    <row r="90" spans="1:16" x14ac:dyDescent="0.3">
      <c r="A90" s="15" t="s">
        <v>120</v>
      </c>
      <c r="B90" s="10">
        <v>2025</v>
      </c>
      <c r="C90" s="10" t="s">
        <v>395</v>
      </c>
      <c r="D90" s="7">
        <v>45910</v>
      </c>
      <c r="E90" s="6" t="s">
        <v>402</v>
      </c>
      <c r="F90" s="8" t="s">
        <v>253</v>
      </c>
      <c r="G90" s="10">
        <v>73.078999999999994</v>
      </c>
      <c r="H90" s="10">
        <v>72.589699999999993</v>
      </c>
      <c r="I90" s="10">
        <v>2.1777000000000002</v>
      </c>
      <c r="J90" s="85">
        <f t="shared" si="9"/>
        <v>0.22468659594985535</v>
      </c>
      <c r="K90" s="10">
        <v>66.056600000000003</v>
      </c>
      <c r="L90" s="10">
        <v>79.122799999999998</v>
      </c>
      <c r="M90" s="86" t="str">
        <f t="shared" si="10"/>
        <v>OK</v>
      </c>
      <c r="N90" s="87">
        <f t="shared" si="11"/>
        <v>0.67406257361581612</v>
      </c>
      <c r="O90" s="87">
        <f t="shared" si="12"/>
        <v>0.67406257361581612</v>
      </c>
      <c r="P90" s="30" t="str">
        <f t="shared" si="13"/>
        <v>OK</v>
      </c>
    </row>
    <row r="91" spans="1:16" x14ac:dyDescent="0.3">
      <c r="A91" s="15" t="s">
        <v>120</v>
      </c>
      <c r="B91" s="10">
        <v>2025</v>
      </c>
      <c r="C91" s="10" t="s">
        <v>395</v>
      </c>
      <c r="D91" s="7">
        <v>45910</v>
      </c>
      <c r="E91" s="6" t="s">
        <v>402</v>
      </c>
      <c r="F91" s="8" t="s">
        <v>254</v>
      </c>
      <c r="G91" s="10">
        <v>72.677099999999996</v>
      </c>
      <c r="H91" s="10">
        <v>72.227599999999995</v>
      </c>
      <c r="I91" s="10">
        <v>2.1667999999999998</v>
      </c>
      <c r="J91" s="85">
        <f t="shared" si="9"/>
        <v>0.20744877238323817</v>
      </c>
      <c r="K91" s="10">
        <v>65.727199999999996</v>
      </c>
      <c r="L91" s="10">
        <v>78.727999999999994</v>
      </c>
      <c r="M91" s="86" t="str">
        <f t="shared" si="10"/>
        <v>OK</v>
      </c>
      <c r="N91" s="87">
        <f t="shared" si="11"/>
        <v>0.62233827511920714</v>
      </c>
      <c r="O91" s="87">
        <f t="shared" si="12"/>
        <v>0.62233827511920714</v>
      </c>
      <c r="P91" s="30" t="str">
        <f t="shared" si="13"/>
        <v>OK</v>
      </c>
    </row>
    <row r="92" spans="1:16" x14ac:dyDescent="0.3">
      <c r="A92" s="15" t="s">
        <v>120</v>
      </c>
      <c r="B92" s="10">
        <v>2025</v>
      </c>
      <c r="C92" s="10" t="s">
        <v>395</v>
      </c>
      <c r="D92" s="7">
        <v>45910</v>
      </c>
      <c r="E92" s="6" t="s">
        <v>402</v>
      </c>
      <c r="F92" s="8" t="s">
        <v>255</v>
      </c>
      <c r="G92" s="10">
        <v>72.079400000000007</v>
      </c>
      <c r="H92" s="10">
        <v>71.677599999999998</v>
      </c>
      <c r="I92" s="10">
        <v>2.1503000000000001</v>
      </c>
      <c r="J92" s="85">
        <f t="shared" si="9"/>
        <v>0.18685764777008257</v>
      </c>
      <c r="K92" s="10">
        <v>65.226699999999994</v>
      </c>
      <c r="L92" s="10">
        <v>78.128500000000003</v>
      </c>
      <c r="M92" s="86" t="str">
        <f t="shared" si="10"/>
        <v>OK</v>
      </c>
      <c r="N92" s="87">
        <f t="shared" si="11"/>
        <v>0.56056564393898312</v>
      </c>
      <c r="O92" s="87">
        <f t="shared" si="12"/>
        <v>0.56056564393898312</v>
      </c>
      <c r="P92" s="30" t="str">
        <f t="shared" si="13"/>
        <v>OK</v>
      </c>
    </row>
    <row r="93" spans="1:16" x14ac:dyDescent="0.3">
      <c r="A93" s="15" t="s">
        <v>120</v>
      </c>
      <c r="B93" s="10">
        <v>2025</v>
      </c>
      <c r="C93" s="10" t="s">
        <v>395</v>
      </c>
      <c r="D93" s="7">
        <v>45910</v>
      </c>
      <c r="E93" s="6" t="s">
        <v>402</v>
      </c>
      <c r="F93" s="8" t="s">
        <v>256</v>
      </c>
      <c r="G93" s="10">
        <v>72.139700000000005</v>
      </c>
      <c r="H93" s="10">
        <v>71.643100000000004</v>
      </c>
      <c r="I93" s="10">
        <v>2.1493000000000002</v>
      </c>
      <c r="J93" s="85">
        <f t="shared" si="9"/>
        <v>0.23105197040897071</v>
      </c>
      <c r="K93" s="10">
        <v>65.1952</v>
      </c>
      <c r="L93" s="10">
        <v>78.090999999999994</v>
      </c>
      <c r="M93" s="86" t="str">
        <f t="shared" si="10"/>
        <v>OK</v>
      </c>
      <c r="N93" s="87">
        <f t="shared" si="11"/>
        <v>0.69315816875595948</v>
      </c>
      <c r="O93" s="87">
        <f t="shared" si="12"/>
        <v>0.69315816875595948</v>
      </c>
      <c r="P93" s="30" t="str">
        <f t="shared" si="13"/>
        <v>OK</v>
      </c>
    </row>
    <row r="94" spans="1:16" x14ac:dyDescent="0.3">
      <c r="P94" s="30" t="str">
        <f t="shared" si="13"/>
        <v/>
      </c>
    </row>
    <row r="95" spans="1:16" x14ac:dyDescent="0.3">
      <c r="P95" s="30" t="str">
        <f t="shared" si="13"/>
        <v/>
      </c>
    </row>
    <row r="96" spans="1:16" x14ac:dyDescent="0.3">
      <c r="P96" s="30" t="str">
        <f t="shared" si="13"/>
        <v/>
      </c>
    </row>
    <row r="97" spans="16:16" x14ac:dyDescent="0.3">
      <c r="P97" s="30" t="str">
        <f t="shared" si="13"/>
        <v/>
      </c>
    </row>
    <row r="98" spans="16:16" x14ac:dyDescent="0.3">
      <c r="P98" s="30" t="str">
        <f t="shared" si="13"/>
        <v/>
      </c>
    </row>
    <row r="99" spans="16:16" x14ac:dyDescent="0.3">
      <c r="P99" s="30" t="str">
        <f t="shared" si="13"/>
        <v/>
      </c>
    </row>
    <row r="100" spans="16:16" x14ac:dyDescent="0.3">
      <c r="P100" s="30" t="str">
        <f t="shared" si="13"/>
        <v/>
      </c>
    </row>
    <row r="101" spans="16:16" x14ac:dyDescent="0.3">
      <c r="P101" s="30" t="str">
        <f t="shared" si="13"/>
        <v/>
      </c>
    </row>
    <row r="102" spans="16:16" x14ac:dyDescent="0.3">
      <c r="P102" s="30" t="str">
        <f t="shared" si="13"/>
        <v/>
      </c>
    </row>
    <row r="103" spans="16:16" x14ac:dyDescent="0.3">
      <c r="P103" s="30" t="str">
        <f t="shared" si="13"/>
        <v/>
      </c>
    </row>
    <row r="104" spans="16:16" x14ac:dyDescent="0.3">
      <c r="P104" s="30" t="str">
        <f t="shared" si="13"/>
        <v/>
      </c>
    </row>
    <row r="105" spans="16:16" x14ac:dyDescent="0.3">
      <c r="P105" s="30" t="str">
        <f t="shared" si="13"/>
        <v/>
      </c>
    </row>
    <row r="106" spans="16:16" x14ac:dyDescent="0.3">
      <c r="P106" s="30" t="str">
        <f t="shared" si="13"/>
        <v/>
      </c>
    </row>
    <row r="107" spans="16:16" x14ac:dyDescent="0.3">
      <c r="P107" s="30" t="str">
        <f t="shared" si="13"/>
        <v/>
      </c>
    </row>
    <row r="108" spans="16:16" x14ac:dyDescent="0.3">
      <c r="P108" s="30" t="str">
        <f t="shared" si="13"/>
        <v/>
      </c>
    </row>
    <row r="109" spans="16:16" x14ac:dyDescent="0.3">
      <c r="P109" s="30" t="str">
        <f t="shared" si="13"/>
        <v/>
      </c>
    </row>
    <row r="110" spans="16:16" x14ac:dyDescent="0.3">
      <c r="P110" s="30" t="str">
        <f t="shared" si="13"/>
        <v/>
      </c>
    </row>
    <row r="111" spans="16:16" x14ac:dyDescent="0.3">
      <c r="P111" s="30" t="str">
        <f t="shared" si="13"/>
        <v/>
      </c>
    </row>
    <row r="112" spans="16:16" x14ac:dyDescent="0.3">
      <c r="P112" s="30" t="str">
        <f t="shared" si="13"/>
        <v/>
      </c>
    </row>
    <row r="113" spans="16:16" x14ac:dyDescent="0.3">
      <c r="P113" s="30" t="str">
        <f t="shared" si="13"/>
        <v/>
      </c>
    </row>
    <row r="114" spans="16:16" x14ac:dyDescent="0.3">
      <c r="P114" s="30" t="str">
        <f t="shared" si="13"/>
        <v/>
      </c>
    </row>
    <row r="115" spans="16:16" x14ac:dyDescent="0.3">
      <c r="P115" s="30" t="str">
        <f t="shared" si="13"/>
        <v/>
      </c>
    </row>
    <row r="116" spans="16:16" x14ac:dyDescent="0.3">
      <c r="P116" s="30" t="str">
        <f t="shared" si="13"/>
        <v/>
      </c>
    </row>
    <row r="117" spans="16:16" x14ac:dyDescent="0.3">
      <c r="P117" s="30" t="str">
        <f t="shared" si="13"/>
        <v/>
      </c>
    </row>
    <row r="118" spans="16:16" x14ac:dyDescent="0.3">
      <c r="P118" s="30" t="str">
        <f t="shared" si="13"/>
        <v/>
      </c>
    </row>
    <row r="119" spans="16:16" x14ac:dyDescent="0.3">
      <c r="P119" s="30" t="str">
        <f t="shared" si="13"/>
        <v/>
      </c>
    </row>
    <row r="120" spans="16:16" x14ac:dyDescent="0.3">
      <c r="P120" s="30" t="str">
        <f t="shared" si="13"/>
        <v/>
      </c>
    </row>
    <row r="121" spans="16:16" x14ac:dyDescent="0.3">
      <c r="P121" s="30" t="str">
        <f t="shared" si="13"/>
        <v/>
      </c>
    </row>
    <row r="122" spans="16:16" x14ac:dyDescent="0.3">
      <c r="P122" s="30" t="str">
        <f t="shared" si="13"/>
        <v/>
      </c>
    </row>
    <row r="123" spans="16:16" x14ac:dyDescent="0.3">
      <c r="P123" s="30" t="str">
        <f t="shared" si="13"/>
        <v/>
      </c>
    </row>
    <row r="124" spans="16:16" x14ac:dyDescent="0.3">
      <c r="P124" s="30" t="str">
        <f t="shared" si="13"/>
        <v/>
      </c>
    </row>
    <row r="125" spans="16:16" x14ac:dyDescent="0.3">
      <c r="P125" s="30" t="str">
        <f t="shared" si="13"/>
        <v/>
      </c>
    </row>
    <row r="126" spans="16:16" x14ac:dyDescent="0.3">
      <c r="P126" s="30" t="str">
        <f t="shared" si="13"/>
        <v/>
      </c>
    </row>
    <row r="127" spans="16:16" x14ac:dyDescent="0.3">
      <c r="P127" s="30" t="str">
        <f t="shared" si="13"/>
        <v/>
      </c>
    </row>
    <row r="128" spans="16:16" x14ac:dyDescent="0.3">
      <c r="P128" s="30" t="str">
        <f t="shared" si="13"/>
        <v/>
      </c>
    </row>
    <row r="129" spans="16:16" x14ac:dyDescent="0.3">
      <c r="P129" s="30" t="str">
        <f t="shared" si="13"/>
        <v/>
      </c>
    </row>
    <row r="130" spans="16:16" x14ac:dyDescent="0.3">
      <c r="P130" s="30" t="str">
        <f t="shared" si="13"/>
        <v/>
      </c>
    </row>
    <row r="131" spans="16:16" x14ac:dyDescent="0.3">
      <c r="P131" s="30" t="str">
        <f t="shared" si="13"/>
        <v/>
      </c>
    </row>
    <row r="132" spans="16:16" x14ac:dyDescent="0.3">
      <c r="P132" s="30" t="str">
        <f t="shared" ref="P132:P195" si="14">IF($J132="","",IF(ABS($J132)&lt;=2,"OK","FORA (|SDI|&gt;2)"))</f>
        <v/>
      </c>
    </row>
    <row r="133" spans="16:16" x14ac:dyDescent="0.3">
      <c r="P133" s="30" t="str">
        <f t="shared" si="14"/>
        <v/>
      </c>
    </row>
    <row r="134" spans="16:16" x14ac:dyDescent="0.3">
      <c r="P134" s="30" t="str">
        <f t="shared" si="14"/>
        <v/>
      </c>
    </row>
    <row r="135" spans="16:16" x14ac:dyDescent="0.3">
      <c r="P135" s="30" t="str">
        <f t="shared" si="14"/>
        <v/>
      </c>
    </row>
    <row r="136" spans="16:16" x14ac:dyDescent="0.3">
      <c r="P136" s="30" t="str">
        <f t="shared" si="14"/>
        <v/>
      </c>
    </row>
    <row r="137" spans="16:16" x14ac:dyDescent="0.3">
      <c r="P137" s="30" t="str">
        <f t="shared" si="14"/>
        <v/>
      </c>
    </row>
    <row r="138" spans="16:16" x14ac:dyDescent="0.3">
      <c r="P138" s="30" t="str">
        <f t="shared" si="14"/>
        <v/>
      </c>
    </row>
    <row r="139" spans="16:16" x14ac:dyDescent="0.3">
      <c r="P139" s="30" t="str">
        <f t="shared" si="14"/>
        <v/>
      </c>
    </row>
    <row r="140" spans="16:16" x14ac:dyDescent="0.3">
      <c r="P140" s="30" t="str">
        <f t="shared" si="14"/>
        <v/>
      </c>
    </row>
    <row r="141" spans="16:16" x14ac:dyDescent="0.3">
      <c r="P141" s="30" t="str">
        <f t="shared" si="14"/>
        <v/>
      </c>
    </row>
    <row r="142" spans="16:16" x14ac:dyDescent="0.3">
      <c r="P142" s="30" t="str">
        <f t="shared" si="14"/>
        <v/>
      </c>
    </row>
    <row r="143" spans="16:16" x14ac:dyDescent="0.3">
      <c r="P143" s="30" t="str">
        <f t="shared" si="14"/>
        <v/>
      </c>
    </row>
    <row r="144" spans="16:16" x14ac:dyDescent="0.3">
      <c r="P144" s="30" t="str">
        <f t="shared" si="14"/>
        <v/>
      </c>
    </row>
    <row r="145" spans="16:16" x14ac:dyDescent="0.3">
      <c r="P145" s="30" t="str">
        <f t="shared" si="14"/>
        <v/>
      </c>
    </row>
    <row r="146" spans="16:16" x14ac:dyDescent="0.3">
      <c r="P146" s="30" t="str">
        <f t="shared" si="14"/>
        <v/>
      </c>
    </row>
    <row r="147" spans="16:16" x14ac:dyDescent="0.3">
      <c r="P147" s="30" t="str">
        <f t="shared" si="14"/>
        <v/>
      </c>
    </row>
    <row r="148" spans="16:16" x14ac:dyDescent="0.3">
      <c r="P148" s="30" t="str">
        <f t="shared" si="14"/>
        <v/>
      </c>
    </row>
    <row r="149" spans="16:16" x14ac:dyDescent="0.3">
      <c r="P149" s="30" t="str">
        <f t="shared" si="14"/>
        <v/>
      </c>
    </row>
    <row r="150" spans="16:16" x14ac:dyDescent="0.3">
      <c r="P150" s="30" t="str">
        <f t="shared" si="14"/>
        <v/>
      </c>
    </row>
    <row r="151" spans="16:16" x14ac:dyDescent="0.3">
      <c r="P151" s="30" t="str">
        <f t="shared" si="14"/>
        <v/>
      </c>
    </row>
    <row r="152" spans="16:16" x14ac:dyDescent="0.3">
      <c r="P152" s="30" t="str">
        <f t="shared" si="14"/>
        <v/>
      </c>
    </row>
    <row r="153" spans="16:16" x14ac:dyDescent="0.3">
      <c r="P153" s="30" t="str">
        <f t="shared" si="14"/>
        <v/>
      </c>
    </row>
    <row r="154" spans="16:16" x14ac:dyDescent="0.3">
      <c r="P154" s="30" t="str">
        <f t="shared" si="14"/>
        <v/>
      </c>
    </row>
    <row r="155" spans="16:16" x14ac:dyDescent="0.3">
      <c r="P155" s="30" t="str">
        <f t="shared" si="14"/>
        <v/>
      </c>
    </row>
    <row r="156" spans="16:16" x14ac:dyDescent="0.3">
      <c r="P156" s="30" t="str">
        <f t="shared" si="14"/>
        <v/>
      </c>
    </row>
    <row r="157" spans="16:16" x14ac:dyDescent="0.3">
      <c r="P157" s="30" t="str">
        <f t="shared" si="14"/>
        <v/>
      </c>
    </row>
    <row r="158" spans="16:16" x14ac:dyDescent="0.3">
      <c r="P158" s="30" t="str">
        <f t="shared" si="14"/>
        <v/>
      </c>
    </row>
    <row r="159" spans="16:16" x14ac:dyDescent="0.3">
      <c r="P159" s="30" t="str">
        <f t="shared" si="14"/>
        <v/>
      </c>
    </row>
    <row r="160" spans="16:16" x14ac:dyDescent="0.3">
      <c r="P160" s="30" t="str">
        <f t="shared" si="14"/>
        <v/>
      </c>
    </row>
    <row r="161" spans="16:16" x14ac:dyDescent="0.3">
      <c r="P161" s="30" t="str">
        <f t="shared" si="14"/>
        <v/>
      </c>
    </row>
    <row r="162" spans="16:16" x14ac:dyDescent="0.3">
      <c r="P162" s="30" t="str">
        <f t="shared" si="14"/>
        <v/>
      </c>
    </row>
    <row r="163" spans="16:16" x14ac:dyDescent="0.3">
      <c r="P163" s="30" t="str">
        <f t="shared" si="14"/>
        <v/>
      </c>
    </row>
    <row r="164" spans="16:16" x14ac:dyDescent="0.3">
      <c r="P164" s="30" t="str">
        <f t="shared" si="14"/>
        <v/>
      </c>
    </row>
    <row r="165" spans="16:16" x14ac:dyDescent="0.3">
      <c r="P165" s="30" t="str">
        <f t="shared" si="14"/>
        <v/>
      </c>
    </row>
    <row r="166" spans="16:16" x14ac:dyDescent="0.3">
      <c r="P166" s="30" t="str">
        <f t="shared" si="14"/>
        <v/>
      </c>
    </row>
    <row r="167" spans="16:16" x14ac:dyDescent="0.3">
      <c r="P167" s="30" t="str">
        <f t="shared" si="14"/>
        <v/>
      </c>
    </row>
    <row r="168" spans="16:16" x14ac:dyDescent="0.3">
      <c r="P168" s="30" t="str">
        <f t="shared" si="14"/>
        <v/>
      </c>
    </row>
    <row r="169" spans="16:16" x14ac:dyDescent="0.3">
      <c r="P169" s="30" t="str">
        <f t="shared" si="14"/>
        <v/>
      </c>
    </row>
    <row r="170" spans="16:16" x14ac:dyDescent="0.3">
      <c r="P170" s="30" t="str">
        <f t="shared" si="14"/>
        <v/>
      </c>
    </row>
    <row r="171" spans="16:16" x14ac:dyDescent="0.3">
      <c r="P171" s="30" t="str">
        <f t="shared" si="14"/>
        <v/>
      </c>
    </row>
    <row r="172" spans="16:16" x14ac:dyDescent="0.3">
      <c r="P172" s="30" t="str">
        <f t="shared" si="14"/>
        <v/>
      </c>
    </row>
    <row r="173" spans="16:16" x14ac:dyDescent="0.3">
      <c r="P173" s="30" t="str">
        <f t="shared" si="14"/>
        <v/>
      </c>
    </row>
    <row r="174" spans="16:16" x14ac:dyDescent="0.3">
      <c r="P174" s="30" t="str">
        <f t="shared" si="14"/>
        <v/>
      </c>
    </row>
    <row r="175" spans="16:16" x14ac:dyDescent="0.3">
      <c r="P175" s="30" t="str">
        <f t="shared" si="14"/>
        <v/>
      </c>
    </row>
    <row r="176" spans="16:16" x14ac:dyDescent="0.3">
      <c r="P176" s="30" t="str">
        <f t="shared" si="14"/>
        <v/>
      </c>
    </row>
    <row r="177" spans="16:16" x14ac:dyDescent="0.3">
      <c r="P177" s="30" t="str">
        <f t="shared" si="14"/>
        <v/>
      </c>
    </row>
    <row r="178" spans="16:16" x14ac:dyDescent="0.3">
      <c r="P178" s="30" t="str">
        <f t="shared" si="14"/>
        <v/>
      </c>
    </row>
    <row r="179" spans="16:16" x14ac:dyDescent="0.3">
      <c r="P179" s="30" t="str">
        <f t="shared" si="14"/>
        <v/>
      </c>
    </row>
    <row r="180" spans="16:16" x14ac:dyDescent="0.3">
      <c r="P180" s="30" t="str">
        <f t="shared" si="14"/>
        <v/>
      </c>
    </row>
    <row r="181" spans="16:16" x14ac:dyDescent="0.3">
      <c r="P181" s="30" t="str">
        <f t="shared" si="14"/>
        <v/>
      </c>
    </row>
    <row r="182" spans="16:16" x14ac:dyDescent="0.3">
      <c r="P182" s="30" t="str">
        <f t="shared" si="14"/>
        <v/>
      </c>
    </row>
    <row r="183" spans="16:16" x14ac:dyDescent="0.3">
      <c r="P183" s="30" t="str">
        <f t="shared" si="14"/>
        <v/>
      </c>
    </row>
    <row r="184" spans="16:16" x14ac:dyDescent="0.3">
      <c r="P184" s="30" t="str">
        <f t="shared" si="14"/>
        <v/>
      </c>
    </row>
    <row r="185" spans="16:16" x14ac:dyDescent="0.3">
      <c r="P185" s="30" t="str">
        <f t="shared" si="14"/>
        <v/>
      </c>
    </row>
    <row r="186" spans="16:16" x14ac:dyDescent="0.3">
      <c r="P186" s="30" t="str">
        <f t="shared" si="14"/>
        <v/>
      </c>
    </row>
    <row r="187" spans="16:16" x14ac:dyDescent="0.3">
      <c r="P187" s="30" t="str">
        <f t="shared" si="14"/>
        <v/>
      </c>
    </row>
    <row r="188" spans="16:16" x14ac:dyDescent="0.3">
      <c r="P188" s="30" t="str">
        <f t="shared" si="14"/>
        <v/>
      </c>
    </row>
    <row r="189" spans="16:16" x14ac:dyDescent="0.3">
      <c r="P189" s="30" t="str">
        <f t="shared" si="14"/>
        <v/>
      </c>
    </row>
    <row r="190" spans="16:16" x14ac:dyDescent="0.3">
      <c r="P190" s="30" t="str">
        <f t="shared" si="14"/>
        <v/>
      </c>
    </row>
    <row r="191" spans="16:16" x14ac:dyDescent="0.3">
      <c r="P191" s="30" t="str">
        <f t="shared" si="14"/>
        <v/>
      </c>
    </row>
    <row r="192" spans="16:16" x14ac:dyDescent="0.3">
      <c r="P192" s="30" t="str">
        <f t="shared" si="14"/>
        <v/>
      </c>
    </row>
    <row r="193" spans="16:16" x14ac:dyDescent="0.3">
      <c r="P193" s="30" t="str">
        <f t="shared" si="14"/>
        <v/>
      </c>
    </row>
    <row r="194" spans="16:16" x14ac:dyDescent="0.3">
      <c r="P194" s="30" t="str">
        <f t="shared" si="14"/>
        <v/>
      </c>
    </row>
    <row r="195" spans="16:16" x14ac:dyDescent="0.3">
      <c r="P195" s="30" t="str">
        <f t="shared" si="14"/>
        <v/>
      </c>
    </row>
    <row r="196" spans="16:16" x14ac:dyDescent="0.3">
      <c r="P196" s="30" t="str">
        <f t="shared" ref="P196:P259" si="15">IF($J196="","",IF(ABS($J196)&lt;=2,"OK","FORA (|SDI|&gt;2)"))</f>
        <v/>
      </c>
    </row>
    <row r="197" spans="16:16" x14ac:dyDescent="0.3">
      <c r="P197" s="30" t="str">
        <f t="shared" si="15"/>
        <v/>
      </c>
    </row>
    <row r="198" spans="16:16" x14ac:dyDescent="0.3">
      <c r="P198" s="30" t="str">
        <f t="shared" si="15"/>
        <v/>
      </c>
    </row>
    <row r="199" spans="16:16" x14ac:dyDescent="0.3">
      <c r="P199" s="30" t="str">
        <f t="shared" si="15"/>
        <v/>
      </c>
    </row>
    <row r="200" spans="16:16" x14ac:dyDescent="0.3">
      <c r="P200" s="30" t="str">
        <f t="shared" si="15"/>
        <v/>
      </c>
    </row>
    <row r="201" spans="16:16" x14ac:dyDescent="0.3">
      <c r="P201" s="30" t="str">
        <f t="shared" si="15"/>
        <v/>
      </c>
    </row>
    <row r="202" spans="16:16" x14ac:dyDescent="0.3">
      <c r="P202" s="30" t="str">
        <f t="shared" si="15"/>
        <v/>
      </c>
    </row>
    <row r="203" spans="16:16" x14ac:dyDescent="0.3">
      <c r="P203" s="30" t="str">
        <f t="shared" si="15"/>
        <v/>
      </c>
    </row>
    <row r="204" spans="16:16" x14ac:dyDescent="0.3">
      <c r="P204" s="30" t="str">
        <f t="shared" si="15"/>
        <v/>
      </c>
    </row>
    <row r="205" spans="16:16" x14ac:dyDescent="0.3">
      <c r="P205" s="30" t="str">
        <f t="shared" si="15"/>
        <v/>
      </c>
    </row>
    <row r="206" spans="16:16" x14ac:dyDescent="0.3">
      <c r="P206" s="30" t="str">
        <f t="shared" si="15"/>
        <v/>
      </c>
    </row>
    <row r="207" spans="16:16" x14ac:dyDescent="0.3">
      <c r="P207" s="30" t="str">
        <f t="shared" si="15"/>
        <v/>
      </c>
    </row>
    <row r="208" spans="16:16" x14ac:dyDescent="0.3">
      <c r="P208" s="30" t="str">
        <f t="shared" si="15"/>
        <v/>
      </c>
    </row>
    <row r="209" spans="16:16" x14ac:dyDescent="0.3">
      <c r="P209" s="30" t="str">
        <f t="shared" si="15"/>
        <v/>
      </c>
    </row>
    <row r="210" spans="16:16" x14ac:dyDescent="0.3">
      <c r="P210" s="30" t="str">
        <f t="shared" si="15"/>
        <v/>
      </c>
    </row>
    <row r="211" spans="16:16" x14ac:dyDescent="0.3">
      <c r="P211" s="30" t="str">
        <f t="shared" si="15"/>
        <v/>
      </c>
    </row>
    <row r="212" spans="16:16" x14ac:dyDescent="0.3">
      <c r="P212" s="30" t="str">
        <f t="shared" si="15"/>
        <v/>
      </c>
    </row>
    <row r="213" spans="16:16" x14ac:dyDescent="0.3">
      <c r="P213" s="30" t="str">
        <f t="shared" si="15"/>
        <v/>
      </c>
    </row>
    <row r="214" spans="16:16" x14ac:dyDescent="0.3">
      <c r="P214" s="30" t="str">
        <f t="shared" si="15"/>
        <v/>
      </c>
    </row>
    <row r="215" spans="16:16" x14ac:dyDescent="0.3">
      <c r="P215" s="30" t="str">
        <f t="shared" si="15"/>
        <v/>
      </c>
    </row>
    <row r="216" spans="16:16" x14ac:dyDescent="0.3">
      <c r="P216" s="30" t="str">
        <f t="shared" si="15"/>
        <v/>
      </c>
    </row>
    <row r="217" spans="16:16" x14ac:dyDescent="0.3">
      <c r="P217" s="30" t="str">
        <f t="shared" si="15"/>
        <v/>
      </c>
    </row>
    <row r="218" spans="16:16" x14ac:dyDescent="0.3">
      <c r="P218" s="30" t="str">
        <f t="shared" si="15"/>
        <v/>
      </c>
    </row>
    <row r="219" spans="16:16" x14ac:dyDescent="0.3">
      <c r="P219" s="30" t="str">
        <f t="shared" si="15"/>
        <v/>
      </c>
    </row>
    <row r="220" spans="16:16" x14ac:dyDescent="0.3">
      <c r="P220" s="30" t="str">
        <f t="shared" si="15"/>
        <v/>
      </c>
    </row>
    <row r="221" spans="16:16" x14ac:dyDescent="0.3">
      <c r="P221" s="30" t="str">
        <f t="shared" si="15"/>
        <v/>
      </c>
    </row>
    <row r="222" spans="16:16" x14ac:dyDescent="0.3">
      <c r="P222" s="30" t="str">
        <f t="shared" si="15"/>
        <v/>
      </c>
    </row>
    <row r="223" spans="16:16" x14ac:dyDescent="0.3">
      <c r="P223" s="30" t="str">
        <f t="shared" si="15"/>
        <v/>
      </c>
    </row>
    <row r="224" spans="16:16" x14ac:dyDescent="0.3">
      <c r="P224" s="30" t="str">
        <f t="shared" si="15"/>
        <v/>
      </c>
    </row>
    <row r="225" spans="16:16" x14ac:dyDescent="0.3">
      <c r="P225" s="30" t="str">
        <f t="shared" si="15"/>
        <v/>
      </c>
    </row>
    <row r="226" spans="16:16" x14ac:dyDescent="0.3">
      <c r="P226" s="30" t="str">
        <f t="shared" si="15"/>
        <v/>
      </c>
    </row>
    <row r="227" spans="16:16" x14ac:dyDescent="0.3">
      <c r="P227" s="30" t="str">
        <f t="shared" si="15"/>
        <v/>
      </c>
    </row>
    <row r="228" spans="16:16" x14ac:dyDescent="0.3">
      <c r="P228" s="30" t="str">
        <f t="shared" si="15"/>
        <v/>
      </c>
    </row>
    <row r="229" spans="16:16" x14ac:dyDescent="0.3">
      <c r="P229" s="30" t="str">
        <f t="shared" si="15"/>
        <v/>
      </c>
    </row>
    <row r="230" spans="16:16" x14ac:dyDescent="0.3">
      <c r="P230" s="30" t="str">
        <f t="shared" si="15"/>
        <v/>
      </c>
    </row>
    <row r="231" spans="16:16" x14ac:dyDescent="0.3">
      <c r="P231" s="30" t="str">
        <f t="shared" si="15"/>
        <v/>
      </c>
    </row>
    <row r="232" spans="16:16" x14ac:dyDescent="0.3">
      <c r="P232" s="30" t="str">
        <f t="shared" si="15"/>
        <v/>
      </c>
    </row>
    <row r="233" spans="16:16" x14ac:dyDescent="0.3">
      <c r="P233" s="30" t="str">
        <f t="shared" si="15"/>
        <v/>
      </c>
    </row>
    <row r="234" spans="16:16" x14ac:dyDescent="0.3">
      <c r="P234" s="30" t="str">
        <f t="shared" si="15"/>
        <v/>
      </c>
    </row>
    <row r="235" spans="16:16" x14ac:dyDescent="0.3">
      <c r="P235" s="30" t="str">
        <f t="shared" si="15"/>
        <v/>
      </c>
    </row>
    <row r="236" spans="16:16" x14ac:dyDescent="0.3">
      <c r="P236" s="30" t="str">
        <f t="shared" si="15"/>
        <v/>
      </c>
    </row>
    <row r="237" spans="16:16" x14ac:dyDescent="0.3">
      <c r="P237" s="30" t="str">
        <f t="shared" si="15"/>
        <v/>
      </c>
    </row>
    <row r="238" spans="16:16" x14ac:dyDescent="0.3">
      <c r="P238" s="30" t="str">
        <f t="shared" si="15"/>
        <v/>
      </c>
    </row>
    <row r="239" spans="16:16" x14ac:dyDescent="0.3">
      <c r="P239" s="30" t="str">
        <f t="shared" si="15"/>
        <v/>
      </c>
    </row>
    <row r="240" spans="16:16" x14ac:dyDescent="0.3">
      <c r="P240" s="30" t="str">
        <f t="shared" si="15"/>
        <v/>
      </c>
    </row>
    <row r="241" spans="16:16" x14ac:dyDescent="0.3">
      <c r="P241" s="30" t="str">
        <f t="shared" si="15"/>
        <v/>
      </c>
    </row>
    <row r="242" spans="16:16" x14ac:dyDescent="0.3">
      <c r="P242" s="30" t="str">
        <f t="shared" si="15"/>
        <v/>
      </c>
    </row>
    <row r="243" spans="16:16" x14ac:dyDescent="0.3">
      <c r="P243" s="30" t="str">
        <f t="shared" si="15"/>
        <v/>
      </c>
    </row>
    <row r="244" spans="16:16" x14ac:dyDescent="0.3">
      <c r="P244" s="30" t="str">
        <f t="shared" si="15"/>
        <v/>
      </c>
    </row>
    <row r="245" spans="16:16" x14ac:dyDescent="0.3">
      <c r="P245" s="30" t="str">
        <f t="shared" si="15"/>
        <v/>
      </c>
    </row>
    <row r="246" spans="16:16" x14ac:dyDescent="0.3">
      <c r="P246" s="30" t="str">
        <f t="shared" si="15"/>
        <v/>
      </c>
    </row>
    <row r="247" spans="16:16" x14ac:dyDescent="0.3">
      <c r="P247" s="30" t="str">
        <f t="shared" si="15"/>
        <v/>
      </c>
    </row>
    <row r="248" spans="16:16" x14ac:dyDescent="0.3">
      <c r="P248" s="30" t="str">
        <f t="shared" si="15"/>
        <v/>
      </c>
    </row>
    <row r="249" spans="16:16" x14ac:dyDescent="0.3">
      <c r="P249" s="30" t="str">
        <f t="shared" si="15"/>
        <v/>
      </c>
    </row>
    <row r="250" spans="16:16" x14ac:dyDescent="0.3">
      <c r="P250" s="30" t="str">
        <f t="shared" si="15"/>
        <v/>
      </c>
    </row>
    <row r="251" spans="16:16" x14ac:dyDescent="0.3">
      <c r="P251" s="30" t="str">
        <f t="shared" si="15"/>
        <v/>
      </c>
    </row>
    <row r="252" spans="16:16" x14ac:dyDescent="0.3">
      <c r="P252" s="30" t="str">
        <f t="shared" si="15"/>
        <v/>
      </c>
    </row>
    <row r="253" spans="16:16" x14ac:dyDescent="0.3">
      <c r="P253" s="30" t="str">
        <f t="shared" si="15"/>
        <v/>
      </c>
    </row>
    <row r="254" spans="16:16" x14ac:dyDescent="0.3">
      <c r="P254" s="30" t="str">
        <f t="shared" si="15"/>
        <v/>
      </c>
    </row>
    <row r="255" spans="16:16" x14ac:dyDescent="0.3">
      <c r="P255" s="30" t="str">
        <f t="shared" si="15"/>
        <v/>
      </c>
    </row>
    <row r="256" spans="16:16" x14ac:dyDescent="0.3">
      <c r="P256" s="30" t="str">
        <f t="shared" si="15"/>
        <v/>
      </c>
    </row>
    <row r="257" spans="16:16" x14ac:dyDescent="0.3">
      <c r="P257" s="30" t="str">
        <f t="shared" si="15"/>
        <v/>
      </c>
    </row>
    <row r="258" spans="16:16" x14ac:dyDescent="0.3">
      <c r="P258" s="30" t="str">
        <f t="shared" si="15"/>
        <v/>
      </c>
    </row>
    <row r="259" spans="16:16" x14ac:dyDescent="0.3">
      <c r="P259" s="30" t="str">
        <f t="shared" si="15"/>
        <v/>
      </c>
    </row>
    <row r="260" spans="16:16" x14ac:dyDescent="0.3">
      <c r="P260" s="30" t="str">
        <f t="shared" ref="P260:P323" si="16">IF($J260="","",IF(ABS($J260)&lt;=2,"OK","FORA (|SDI|&gt;2)"))</f>
        <v/>
      </c>
    </row>
    <row r="261" spans="16:16" x14ac:dyDescent="0.3">
      <c r="P261" s="30" t="str">
        <f t="shared" si="16"/>
        <v/>
      </c>
    </row>
    <row r="262" spans="16:16" x14ac:dyDescent="0.3">
      <c r="P262" s="30" t="str">
        <f t="shared" si="16"/>
        <v/>
      </c>
    </row>
    <row r="263" spans="16:16" x14ac:dyDescent="0.3">
      <c r="P263" s="30" t="str">
        <f t="shared" si="16"/>
        <v/>
      </c>
    </row>
    <row r="264" spans="16:16" x14ac:dyDescent="0.3">
      <c r="P264" s="30" t="str">
        <f t="shared" si="16"/>
        <v/>
      </c>
    </row>
    <row r="265" spans="16:16" x14ac:dyDescent="0.3">
      <c r="P265" s="30" t="str">
        <f t="shared" si="16"/>
        <v/>
      </c>
    </row>
    <row r="266" spans="16:16" x14ac:dyDescent="0.3">
      <c r="P266" s="30" t="str">
        <f t="shared" si="16"/>
        <v/>
      </c>
    </row>
    <row r="267" spans="16:16" x14ac:dyDescent="0.3">
      <c r="P267" s="30" t="str">
        <f t="shared" si="16"/>
        <v/>
      </c>
    </row>
    <row r="268" spans="16:16" x14ac:dyDescent="0.3">
      <c r="P268" s="30" t="str">
        <f t="shared" si="16"/>
        <v/>
      </c>
    </row>
    <row r="269" spans="16:16" x14ac:dyDescent="0.3">
      <c r="P269" s="30" t="str">
        <f t="shared" si="16"/>
        <v/>
      </c>
    </row>
    <row r="270" spans="16:16" x14ac:dyDescent="0.3">
      <c r="P270" s="30" t="str">
        <f t="shared" si="16"/>
        <v/>
      </c>
    </row>
    <row r="271" spans="16:16" x14ac:dyDescent="0.3">
      <c r="P271" s="30" t="str">
        <f t="shared" si="16"/>
        <v/>
      </c>
    </row>
    <row r="272" spans="16:16" x14ac:dyDescent="0.3">
      <c r="P272" s="30" t="str">
        <f t="shared" si="16"/>
        <v/>
      </c>
    </row>
    <row r="273" spans="16:16" x14ac:dyDescent="0.3">
      <c r="P273" s="30" t="str">
        <f t="shared" si="16"/>
        <v/>
      </c>
    </row>
    <row r="274" spans="16:16" x14ac:dyDescent="0.3">
      <c r="P274" s="30" t="str">
        <f t="shared" si="16"/>
        <v/>
      </c>
    </row>
    <row r="275" spans="16:16" x14ac:dyDescent="0.3">
      <c r="P275" s="30" t="str">
        <f t="shared" si="16"/>
        <v/>
      </c>
    </row>
    <row r="276" spans="16:16" x14ac:dyDescent="0.3">
      <c r="P276" s="30" t="str">
        <f t="shared" si="16"/>
        <v/>
      </c>
    </row>
    <row r="277" spans="16:16" x14ac:dyDescent="0.3">
      <c r="P277" s="30" t="str">
        <f t="shared" si="16"/>
        <v/>
      </c>
    </row>
    <row r="278" spans="16:16" x14ac:dyDescent="0.3">
      <c r="P278" s="30" t="str">
        <f t="shared" si="16"/>
        <v/>
      </c>
    </row>
    <row r="279" spans="16:16" x14ac:dyDescent="0.3">
      <c r="P279" s="30" t="str">
        <f t="shared" si="16"/>
        <v/>
      </c>
    </row>
    <row r="280" spans="16:16" x14ac:dyDescent="0.3">
      <c r="P280" s="30" t="str">
        <f t="shared" si="16"/>
        <v/>
      </c>
    </row>
    <row r="281" spans="16:16" x14ac:dyDescent="0.3">
      <c r="P281" s="30" t="str">
        <f t="shared" si="16"/>
        <v/>
      </c>
    </row>
    <row r="282" spans="16:16" x14ac:dyDescent="0.3">
      <c r="P282" s="30" t="str">
        <f t="shared" si="16"/>
        <v/>
      </c>
    </row>
    <row r="283" spans="16:16" x14ac:dyDescent="0.3">
      <c r="P283" s="30" t="str">
        <f t="shared" si="16"/>
        <v/>
      </c>
    </row>
    <row r="284" spans="16:16" x14ac:dyDescent="0.3">
      <c r="P284" s="30" t="str">
        <f t="shared" si="16"/>
        <v/>
      </c>
    </row>
    <row r="285" spans="16:16" x14ac:dyDescent="0.3">
      <c r="P285" s="30" t="str">
        <f t="shared" si="16"/>
        <v/>
      </c>
    </row>
    <row r="286" spans="16:16" x14ac:dyDescent="0.3">
      <c r="P286" s="30" t="str">
        <f t="shared" si="16"/>
        <v/>
      </c>
    </row>
    <row r="287" spans="16:16" x14ac:dyDescent="0.3">
      <c r="P287" s="30" t="str">
        <f t="shared" si="16"/>
        <v/>
      </c>
    </row>
    <row r="288" spans="16:16" x14ac:dyDescent="0.3">
      <c r="P288" s="30" t="str">
        <f t="shared" si="16"/>
        <v/>
      </c>
    </row>
    <row r="289" spans="16:16" x14ac:dyDescent="0.3">
      <c r="P289" s="30" t="str">
        <f t="shared" si="16"/>
        <v/>
      </c>
    </row>
    <row r="290" spans="16:16" x14ac:dyDescent="0.3">
      <c r="P290" s="30" t="str">
        <f t="shared" si="16"/>
        <v/>
      </c>
    </row>
    <row r="291" spans="16:16" x14ac:dyDescent="0.3">
      <c r="P291" s="30" t="str">
        <f t="shared" si="16"/>
        <v/>
      </c>
    </row>
    <row r="292" spans="16:16" x14ac:dyDescent="0.3">
      <c r="P292" s="30" t="str">
        <f t="shared" si="16"/>
        <v/>
      </c>
    </row>
    <row r="293" spans="16:16" x14ac:dyDescent="0.3">
      <c r="P293" s="30" t="str">
        <f t="shared" si="16"/>
        <v/>
      </c>
    </row>
    <row r="294" spans="16:16" x14ac:dyDescent="0.3">
      <c r="P294" s="30" t="str">
        <f t="shared" si="16"/>
        <v/>
      </c>
    </row>
    <row r="295" spans="16:16" x14ac:dyDescent="0.3">
      <c r="P295" s="30" t="str">
        <f t="shared" si="16"/>
        <v/>
      </c>
    </row>
    <row r="296" spans="16:16" x14ac:dyDescent="0.3">
      <c r="P296" s="30" t="str">
        <f t="shared" si="16"/>
        <v/>
      </c>
    </row>
    <row r="297" spans="16:16" x14ac:dyDescent="0.3">
      <c r="P297" s="30" t="str">
        <f t="shared" si="16"/>
        <v/>
      </c>
    </row>
    <row r="298" spans="16:16" x14ac:dyDescent="0.3">
      <c r="P298" s="30" t="str">
        <f t="shared" si="16"/>
        <v/>
      </c>
    </row>
    <row r="299" spans="16:16" x14ac:dyDescent="0.3">
      <c r="P299" s="30" t="str">
        <f t="shared" si="16"/>
        <v/>
      </c>
    </row>
    <row r="300" spans="16:16" x14ac:dyDescent="0.3">
      <c r="P300" s="30" t="str">
        <f t="shared" si="16"/>
        <v/>
      </c>
    </row>
    <row r="301" spans="16:16" x14ac:dyDescent="0.3">
      <c r="P301" s="30" t="str">
        <f t="shared" si="16"/>
        <v/>
      </c>
    </row>
    <row r="302" spans="16:16" x14ac:dyDescent="0.3">
      <c r="P302" s="30" t="str">
        <f t="shared" si="16"/>
        <v/>
      </c>
    </row>
    <row r="303" spans="16:16" x14ac:dyDescent="0.3">
      <c r="P303" s="30" t="str">
        <f t="shared" si="16"/>
        <v/>
      </c>
    </row>
    <row r="304" spans="16:16" x14ac:dyDescent="0.3">
      <c r="P304" s="30" t="str">
        <f t="shared" si="16"/>
        <v/>
      </c>
    </row>
    <row r="305" spans="16:16" x14ac:dyDescent="0.3">
      <c r="P305" s="30" t="str">
        <f t="shared" si="16"/>
        <v/>
      </c>
    </row>
    <row r="306" spans="16:16" x14ac:dyDescent="0.3">
      <c r="P306" s="30" t="str">
        <f t="shared" si="16"/>
        <v/>
      </c>
    </row>
    <row r="307" spans="16:16" x14ac:dyDescent="0.3">
      <c r="P307" s="30" t="str">
        <f t="shared" si="16"/>
        <v/>
      </c>
    </row>
    <row r="308" spans="16:16" x14ac:dyDescent="0.3">
      <c r="P308" s="30" t="str">
        <f t="shared" si="16"/>
        <v/>
      </c>
    </row>
    <row r="309" spans="16:16" x14ac:dyDescent="0.3">
      <c r="P309" s="30" t="str">
        <f t="shared" si="16"/>
        <v/>
      </c>
    </row>
    <row r="310" spans="16:16" x14ac:dyDescent="0.3">
      <c r="P310" s="30" t="str">
        <f t="shared" si="16"/>
        <v/>
      </c>
    </row>
    <row r="311" spans="16:16" x14ac:dyDescent="0.3">
      <c r="P311" s="30" t="str">
        <f t="shared" si="16"/>
        <v/>
      </c>
    </row>
    <row r="312" spans="16:16" x14ac:dyDescent="0.3">
      <c r="P312" s="30" t="str">
        <f t="shared" si="16"/>
        <v/>
      </c>
    </row>
    <row r="313" spans="16:16" x14ac:dyDescent="0.3">
      <c r="P313" s="30" t="str">
        <f t="shared" si="16"/>
        <v/>
      </c>
    </row>
    <row r="314" spans="16:16" x14ac:dyDescent="0.3">
      <c r="P314" s="30" t="str">
        <f t="shared" si="16"/>
        <v/>
      </c>
    </row>
    <row r="315" spans="16:16" x14ac:dyDescent="0.3">
      <c r="P315" s="30" t="str">
        <f t="shared" si="16"/>
        <v/>
      </c>
    </row>
    <row r="316" spans="16:16" x14ac:dyDescent="0.3">
      <c r="P316" s="30" t="str">
        <f t="shared" si="16"/>
        <v/>
      </c>
    </row>
    <row r="317" spans="16:16" x14ac:dyDescent="0.3">
      <c r="P317" s="30" t="str">
        <f t="shared" si="16"/>
        <v/>
      </c>
    </row>
    <row r="318" spans="16:16" x14ac:dyDescent="0.3">
      <c r="P318" s="30" t="str">
        <f t="shared" si="16"/>
        <v/>
      </c>
    </row>
    <row r="319" spans="16:16" x14ac:dyDescent="0.3">
      <c r="P319" s="30" t="str">
        <f t="shared" si="16"/>
        <v/>
      </c>
    </row>
    <row r="320" spans="16:16" x14ac:dyDescent="0.3">
      <c r="P320" s="30" t="str">
        <f t="shared" si="16"/>
        <v/>
      </c>
    </row>
    <row r="321" spans="16:16" x14ac:dyDescent="0.3">
      <c r="P321" s="30" t="str">
        <f t="shared" si="16"/>
        <v/>
      </c>
    </row>
    <row r="322" spans="16:16" x14ac:dyDescent="0.3">
      <c r="P322" s="30" t="str">
        <f t="shared" si="16"/>
        <v/>
      </c>
    </row>
    <row r="323" spans="16:16" x14ac:dyDescent="0.3">
      <c r="P323" s="30" t="str">
        <f t="shared" si="16"/>
        <v/>
      </c>
    </row>
    <row r="324" spans="16:16" x14ac:dyDescent="0.3">
      <c r="P324" s="30" t="str">
        <f t="shared" ref="P324:P387" si="17">IF($J324="","",IF(ABS($J324)&lt;=2,"OK","FORA (|SDI|&gt;2)"))</f>
        <v/>
      </c>
    </row>
    <row r="325" spans="16:16" x14ac:dyDescent="0.3">
      <c r="P325" s="30" t="str">
        <f t="shared" si="17"/>
        <v/>
      </c>
    </row>
    <row r="326" spans="16:16" x14ac:dyDescent="0.3">
      <c r="P326" s="30" t="str">
        <f t="shared" si="17"/>
        <v/>
      </c>
    </row>
    <row r="327" spans="16:16" x14ac:dyDescent="0.3">
      <c r="P327" s="30" t="str">
        <f t="shared" si="17"/>
        <v/>
      </c>
    </row>
    <row r="328" spans="16:16" x14ac:dyDescent="0.3">
      <c r="P328" s="30" t="str">
        <f t="shared" si="17"/>
        <v/>
      </c>
    </row>
    <row r="329" spans="16:16" x14ac:dyDescent="0.3">
      <c r="P329" s="30" t="str">
        <f t="shared" si="17"/>
        <v/>
      </c>
    </row>
    <row r="330" spans="16:16" x14ac:dyDescent="0.3">
      <c r="P330" s="30" t="str">
        <f t="shared" si="17"/>
        <v/>
      </c>
    </row>
    <row r="331" spans="16:16" x14ac:dyDescent="0.3">
      <c r="P331" s="30" t="str">
        <f t="shared" si="17"/>
        <v/>
      </c>
    </row>
    <row r="332" spans="16:16" x14ac:dyDescent="0.3">
      <c r="P332" s="30" t="str">
        <f t="shared" si="17"/>
        <v/>
      </c>
    </row>
    <row r="333" spans="16:16" x14ac:dyDescent="0.3">
      <c r="P333" s="30" t="str">
        <f t="shared" si="17"/>
        <v/>
      </c>
    </row>
    <row r="334" spans="16:16" x14ac:dyDescent="0.3">
      <c r="P334" s="30" t="str">
        <f t="shared" si="17"/>
        <v/>
      </c>
    </row>
    <row r="335" spans="16:16" x14ac:dyDescent="0.3">
      <c r="P335" s="30" t="str">
        <f t="shared" si="17"/>
        <v/>
      </c>
    </row>
    <row r="336" spans="16:16" x14ac:dyDescent="0.3">
      <c r="P336" s="30" t="str">
        <f t="shared" si="17"/>
        <v/>
      </c>
    </row>
    <row r="337" spans="16:16" x14ac:dyDescent="0.3">
      <c r="P337" s="30" t="str">
        <f t="shared" si="17"/>
        <v/>
      </c>
    </row>
    <row r="338" spans="16:16" x14ac:dyDescent="0.3">
      <c r="P338" s="30" t="str">
        <f t="shared" si="17"/>
        <v/>
      </c>
    </row>
    <row r="339" spans="16:16" x14ac:dyDescent="0.3">
      <c r="P339" s="30" t="str">
        <f t="shared" si="17"/>
        <v/>
      </c>
    </row>
    <row r="340" spans="16:16" x14ac:dyDescent="0.3">
      <c r="P340" s="30" t="str">
        <f t="shared" si="17"/>
        <v/>
      </c>
    </row>
    <row r="341" spans="16:16" x14ac:dyDescent="0.3">
      <c r="P341" s="30" t="str">
        <f t="shared" si="17"/>
        <v/>
      </c>
    </row>
    <row r="342" spans="16:16" x14ac:dyDescent="0.3">
      <c r="P342" s="30" t="str">
        <f t="shared" si="17"/>
        <v/>
      </c>
    </row>
    <row r="343" spans="16:16" x14ac:dyDescent="0.3">
      <c r="P343" s="30" t="str">
        <f t="shared" si="17"/>
        <v/>
      </c>
    </row>
    <row r="344" spans="16:16" x14ac:dyDescent="0.3">
      <c r="P344" s="30" t="str">
        <f t="shared" si="17"/>
        <v/>
      </c>
    </row>
    <row r="345" spans="16:16" x14ac:dyDescent="0.3">
      <c r="P345" s="30" t="str">
        <f t="shared" si="17"/>
        <v/>
      </c>
    </row>
    <row r="346" spans="16:16" x14ac:dyDescent="0.3">
      <c r="P346" s="30" t="str">
        <f t="shared" si="17"/>
        <v/>
      </c>
    </row>
    <row r="347" spans="16:16" x14ac:dyDescent="0.3">
      <c r="P347" s="30" t="str">
        <f t="shared" si="17"/>
        <v/>
      </c>
    </row>
    <row r="348" spans="16:16" x14ac:dyDescent="0.3">
      <c r="P348" s="30" t="str">
        <f t="shared" si="17"/>
        <v/>
      </c>
    </row>
    <row r="349" spans="16:16" x14ac:dyDescent="0.3">
      <c r="P349" s="30" t="str">
        <f t="shared" si="17"/>
        <v/>
      </c>
    </row>
    <row r="350" spans="16:16" x14ac:dyDescent="0.3">
      <c r="P350" s="30" t="str">
        <f t="shared" si="17"/>
        <v/>
      </c>
    </row>
    <row r="351" spans="16:16" x14ac:dyDescent="0.3">
      <c r="P351" s="30" t="str">
        <f t="shared" si="17"/>
        <v/>
      </c>
    </row>
    <row r="352" spans="16:16" x14ac:dyDescent="0.3">
      <c r="P352" s="30" t="str">
        <f t="shared" si="17"/>
        <v/>
      </c>
    </row>
    <row r="353" spans="16:16" x14ac:dyDescent="0.3">
      <c r="P353" s="30" t="str">
        <f t="shared" si="17"/>
        <v/>
      </c>
    </row>
    <row r="354" spans="16:16" x14ac:dyDescent="0.3">
      <c r="P354" s="30" t="str">
        <f t="shared" si="17"/>
        <v/>
      </c>
    </row>
    <row r="355" spans="16:16" x14ac:dyDescent="0.3">
      <c r="P355" s="30" t="str">
        <f t="shared" si="17"/>
        <v/>
      </c>
    </row>
    <row r="356" spans="16:16" x14ac:dyDescent="0.3">
      <c r="P356" s="30" t="str">
        <f t="shared" si="17"/>
        <v/>
      </c>
    </row>
    <row r="357" spans="16:16" x14ac:dyDescent="0.3">
      <c r="P357" s="30" t="str">
        <f t="shared" si="17"/>
        <v/>
      </c>
    </row>
    <row r="358" spans="16:16" x14ac:dyDescent="0.3">
      <c r="P358" s="30" t="str">
        <f t="shared" si="17"/>
        <v/>
      </c>
    </row>
    <row r="359" spans="16:16" x14ac:dyDescent="0.3">
      <c r="P359" s="30" t="str">
        <f t="shared" si="17"/>
        <v/>
      </c>
    </row>
    <row r="360" spans="16:16" x14ac:dyDescent="0.3">
      <c r="P360" s="30" t="str">
        <f t="shared" si="17"/>
        <v/>
      </c>
    </row>
    <row r="361" spans="16:16" x14ac:dyDescent="0.3">
      <c r="P361" s="30" t="str">
        <f t="shared" si="17"/>
        <v/>
      </c>
    </row>
    <row r="362" spans="16:16" x14ac:dyDescent="0.3">
      <c r="P362" s="30" t="str">
        <f t="shared" si="17"/>
        <v/>
      </c>
    </row>
    <row r="363" spans="16:16" x14ac:dyDescent="0.3">
      <c r="P363" s="30" t="str">
        <f t="shared" si="17"/>
        <v/>
      </c>
    </row>
    <row r="364" spans="16:16" x14ac:dyDescent="0.3">
      <c r="P364" s="30" t="str">
        <f t="shared" si="17"/>
        <v/>
      </c>
    </row>
    <row r="365" spans="16:16" x14ac:dyDescent="0.3">
      <c r="P365" s="30" t="str">
        <f t="shared" si="17"/>
        <v/>
      </c>
    </row>
    <row r="366" spans="16:16" x14ac:dyDescent="0.3">
      <c r="P366" s="30" t="str">
        <f t="shared" si="17"/>
        <v/>
      </c>
    </row>
    <row r="367" spans="16:16" x14ac:dyDescent="0.3">
      <c r="P367" s="30" t="str">
        <f t="shared" si="17"/>
        <v/>
      </c>
    </row>
    <row r="368" spans="16:16" x14ac:dyDescent="0.3">
      <c r="P368" s="30" t="str">
        <f t="shared" si="17"/>
        <v/>
      </c>
    </row>
    <row r="369" spans="16:16" x14ac:dyDescent="0.3">
      <c r="P369" s="30" t="str">
        <f t="shared" si="17"/>
        <v/>
      </c>
    </row>
    <row r="370" spans="16:16" x14ac:dyDescent="0.3">
      <c r="P370" s="30" t="str">
        <f t="shared" si="17"/>
        <v/>
      </c>
    </row>
    <row r="371" spans="16:16" x14ac:dyDescent="0.3">
      <c r="P371" s="30" t="str">
        <f t="shared" si="17"/>
        <v/>
      </c>
    </row>
    <row r="372" spans="16:16" x14ac:dyDescent="0.3">
      <c r="P372" s="30" t="str">
        <f t="shared" si="17"/>
        <v/>
      </c>
    </row>
    <row r="373" spans="16:16" x14ac:dyDescent="0.3">
      <c r="P373" s="30" t="str">
        <f t="shared" si="17"/>
        <v/>
      </c>
    </row>
    <row r="374" spans="16:16" x14ac:dyDescent="0.3">
      <c r="P374" s="30" t="str">
        <f t="shared" si="17"/>
        <v/>
      </c>
    </row>
    <row r="375" spans="16:16" x14ac:dyDescent="0.3">
      <c r="P375" s="30" t="str">
        <f t="shared" si="17"/>
        <v/>
      </c>
    </row>
    <row r="376" spans="16:16" x14ac:dyDescent="0.3">
      <c r="P376" s="30" t="str">
        <f t="shared" si="17"/>
        <v/>
      </c>
    </row>
    <row r="377" spans="16:16" x14ac:dyDescent="0.3">
      <c r="P377" s="30" t="str">
        <f t="shared" si="17"/>
        <v/>
      </c>
    </row>
    <row r="378" spans="16:16" x14ac:dyDescent="0.3">
      <c r="P378" s="30" t="str">
        <f t="shared" si="17"/>
        <v/>
      </c>
    </row>
    <row r="379" spans="16:16" x14ac:dyDescent="0.3">
      <c r="P379" s="30" t="str">
        <f t="shared" si="17"/>
        <v/>
      </c>
    </row>
    <row r="380" spans="16:16" x14ac:dyDescent="0.3">
      <c r="P380" s="30" t="str">
        <f t="shared" si="17"/>
        <v/>
      </c>
    </row>
    <row r="381" spans="16:16" x14ac:dyDescent="0.3">
      <c r="P381" s="30" t="str">
        <f t="shared" si="17"/>
        <v/>
      </c>
    </row>
    <row r="382" spans="16:16" x14ac:dyDescent="0.3">
      <c r="P382" s="30" t="str">
        <f t="shared" si="17"/>
        <v/>
      </c>
    </row>
    <row r="383" spans="16:16" x14ac:dyDescent="0.3">
      <c r="P383" s="30" t="str">
        <f t="shared" si="17"/>
        <v/>
      </c>
    </row>
    <row r="384" spans="16:16" x14ac:dyDescent="0.3">
      <c r="P384" s="30" t="str">
        <f t="shared" si="17"/>
        <v/>
      </c>
    </row>
    <row r="385" spans="16:16" x14ac:dyDescent="0.3">
      <c r="P385" s="30" t="str">
        <f t="shared" si="17"/>
        <v/>
      </c>
    </row>
    <row r="386" spans="16:16" x14ac:dyDescent="0.3">
      <c r="P386" s="30" t="str">
        <f t="shared" si="17"/>
        <v/>
      </c>
    </row>
    <row r="387" spans="16:16" x14ac:dyDescent="0.3">
      <c r="P387" s="30" t="str">
        <f t="shared" si="17"/>
        <v/>
      </c>
    </row>
    <row r="388" spans="16:16" x14ac:dyDescent="0.3">
      <c r="P388" s="30" t="str">
        <f t="shared" ref="P388:P451" si="18">IF($J388="","",IF(ABS($J388)&lt;=2,"OK","FORA (|SDI|&gt;2)"))</f>
        <v/>
      </c>
    </row>
    <row r="389" spans="16:16" x14ac:dyDescent="0.3">
      <c r="P389" s="30" t="str">
        <f t="shared" si="18"/>
        <v/>
      </c>
    </row>
    <row r="390" spans="16:16" x14ac:dyDescent="0.3">
      <c r="P390" s="30" t="str">
        <f t="shared" si="18"/>
        <v/>
      </c>
    </row>
    <row r="391" spans="16:16" x14ac:dyDescent="0.3">
      <c r="P391" s="30" t="str">
        <f t="shared" si="18"/>
        <v/>
      </c>
    </row>
    <row r="392" spans="16:16" x14ac:dyDescent="0.3">
      <c r="P392" s="30" t="str">
        <f t="shared" si="18"/>
        <v/>
      </c>
    </row>
    <row r="393" spans="16:16" x14ac:dyDescent="0.3">
      <c r="P393" s="30" t="str">
        <f t="shared" si="18"/>
        <v/>
      </c>
    </row>
    <row r="394" spans="16:16" x14ac:dyDescent="0.3">
      <c r="P394" s="30" t="str">
        <f t="shared" si="18"/>
        <v/>
      </c>
    </row>
    <row r="395" spans="16:16" x14ac:dyDescent="0.3">
      <c r="P395" s="30" t="str">
        <f t="shared" si="18"/>
        <v/>
      </c>
    </row>
    <row r="396" spans="16:16" x14ac:dyDescent="0.3">
      <c r="P396" s="30" t="str">
        <f t="shared" si="18"/>
        <v/>
      </c>
    </row>
    <row r="397" spans="16:16" x14ac:dyDescent="0.3">
      <c r="P397" s="30" t="str">
        <f t="shared" si="18"/>
        <v/>
      </c>
    </row>
    <row r="398" spans="16:16" x14ac:dyDescent="0.3">
      <c r="P398" s="30" t="str">
        <f t="shared" si="18"/>
        <v/>
      </c>
    </row>
    <row r="399" spans="16:16" x14ac:dyDescent="0.3">
      <c r="P399" s="30" t="str">
        <f t="shared" si="18"/>
        <v/>
      </c>
    </row>
    <row r="400" spans="16:16" x14ac:dyDescent="0.3">
      <c r="P400" s="30" t="str">
        <f t="shared" si="18"/>
        <v/>
      </c>
    </row>
    <row r="401" spans="16:16" x14ac:dyDescent="0.3">
      <c r="P401" s="30" t="str">
        <f t="shared" si="18"/>
        <v/>
      </c>
    </row>
    <row r="402" spans="16:16" x14ac:dyDescent="0.3">
      <c r="P402" s="30" t="str">
        <f t="shared" si="18"/>
        <v/>
      </c>
    </row>
    <row r="403" spans="16:16" x14ac:dyDescent="0.3">
      <c r="P403" s="30" t="str">
        <f t="shared" si="18"/>
        <v/>
      </c>
    </row>
    <row r="404" spans="16:16" x14ac:dyDescent="0.3">
      <c r="P404" s="30" t="str">
        <f t="shared" si="18"/>
        <v/>
      </c>
    </row>
    <row r="405" spans="16:16" x14ac:dyDescent="0.3">
      <c r="P405" s="30" t="str">
        <f t="shared" si="18"/>
        <v/>
      </c>
    </row>
    <row r="406" spans="16:16" x14ac:dyDescent="0.3">
      <c r="P406" s="30" t="str">
        <f t="shared" si="18"/>
        <v/>
      </c>
    </row>
    <row r="407" spans="16:16" x14ac:dyDescent="0.3">
      <c r="P407" s="30" t="str">
        <f t="shared" si="18"/>
        <v/>
      </c>
    </row>
    <row r="408" spans="16:16" x14ac:dyDescent="0.3">
      <c r="P408" s="30" t="str">
        <f t="shared" si="18"/>
        <v/>
      </c>
    </row>
    <row r="409" spans="16:16" x14ac:dyDescent="0.3">
      <c r="P409" s="30" t="str">
        <f t="shared" si="18"/>
        <v/>
      </c>
    </row>
    <row r="410" spans="16:16" x14ac:dyDescent="0.3">
      <c r="P410" s="30" t="str">
        <f t="shared" si="18"/>
        <v/>
      </c>
    </row>
    <row r="411" spans="16:16" x14ac:dyDescent="0.3">
      <c r="P411" s="30" t="str">
        <f t="shared" si="18"/>
        <v/>
      </c>
    </row>
    <row r="412" spans="16:16" x14ac:dyDescent="0.3">
      <c r="P412" s="30" t="str">
        <f t="shared" si="18"/>
        <v/>
      </c>
    </row>
    <row r="413" spans="16:16" x14ac:dyDescent="0.3">
      <c r="P413" s="30" t="str">
        <f t="shared" si="18"/>
        <v/>
      </c>
    </row>
    <row r="414" spans="16:16" x14ac:dyDescent="0.3">
      <c r="P414" s="30" t="str">
        <f t="shared" si="18"/>
        <v/>
      </c>
    </row>
    <row r="415" spans="16:16" x14ac:dyDescent="0.3">
      <c r="P415" s="30" t="str">
        <f t="shared" si="18"/>
        <v/>
      </c>
    </row>
    <row r="416" spans="16:16" x14ac:dyDescent="0.3">
      <c r="P416" s="30" t="str">
        <f t="shared" si="18"/>
        <v/>
      </c>
    </row>
    <row r="417" spans="16:16" x14ac:dyDescent="0.3">
      <c r="P417" s="30" t="str">
        <f t="shared" si="18"/>
        <v/>
      </c>
    </row>
    <row r="418" spans="16:16" x14ac:dyDescent="0.3">
      <c r="P418" s="30" t="str">
        <f t="shared" si="18"/>
        <v/>
      </c>
    </row>
    <row r="419" spans="16:16" x14ac:dyDescent="0.3">
      <c r="P419" s="30" t="str">
        <f t="shared" si="18"/>
        <v/>
      </c>
    </row>
    <row r="420" spans="16:16" x14ac:dyDescent="0.3">
      <c r="P420" s="30" t="str">
        <f t="shared" si="18"/>
        <v/>
      </c>
    </row>
    <row r="421" spans="16:16" x14ac:dyDescent="0.3">
      <c r="P421" s="30" t="str">
        <f t="shared" si="18"/>
        <v/>
      </c>
    </row>
    <row r="422" spans="16:16" x14ac:dyDescent="0.3">
      <c r="P422" s="30" t="str">
        <f t="shared" si="18"/>
        <v/>
      </c>
    </row>
    <row r="423" spans="16:16" x14ac:dyDescent="0.3">
      <c r="P423" s="30" t="str">
        <f t="shared" si="18"/>
        <v/>
      </c>
    </row>
    <row r="424" spans="16:16" x14ac:dyDescent="0.3">
      <c r="P424" s="30" t="str">
        <f t="shared" si="18"/>
        <v/>
      </c>
    </row>
    <row r="425" spans="16:16" x14ac:dyDescent="0.3">
      <c r="P425" s="30" t="str">
        <f t="shared" si="18"/>
        <v/>
      </c>
    </row>
    <row r="426" spans="16:16" x14ac:dyDescent="0.3">
      <c r="P426" s="30" t="str">
        <f t="shared" si="18"/>
        <v/>
      </c>
    </row>
    <row r="427" spans="16:16" x14ac:dyDescent="0.3">
      <c r="P427" s="30" t="str">
        <f t="shared" si="18"/>
        <v/>
      </c>
    </row>
    <row r="428" spans="16:16" x14ac:dyDescent="0.3">
      <c r="P428" s="30" t="str">
        <f t="shared" si="18"/>
        <v/>
      </c>
    </row>
    <row r="429" spans="16:16" x14ac:dyDescent="0.3">
      <c r="P429" s="30" t="str">
        <f t="shared" si="18"/>
        <v/>
      </c>
    </row>
    <row r="430" spans="16:16" x14ac:dyDescent="0.3">
      <c r="P430" s="30" t="str">
        <f t="shared" si="18"/>
        <v/>
      </c>
    </row>
    <row r="431" spans="16:16" x14ac:dyDescent="0.3">
      <c r="P431" s="30" t="str">
        <f t="shared" si="18"/>
        <v/>
      </c>
    </row>
    <row r="432" spans="16:16" x14ac:dyDescent="0.3">
      <c r="P432" s="30" t="str">
        <f t="shared" si="18"/>
        <v/>
      </c>
    </row>
    <row r="433" spans="16:16" x14ac:dyDescent="0.3">
      <c r="P433" s="30" t="str">
        <f t="shared" si="18"/>
        <v/>
      </c>
    </row>
    <row r="434" spans="16:16" x14ac:dyDescent="0.3">
      <c r="P434" s="30" t="str">
        <f t="shared" si="18"/>
        <v/>
      </c>
    </row>
    <row r="435" spans="16:16" x14ac:dyDescent="0.3">
      <c r="P435" s="30" t="str">
        <f t="shared" si="18"/>
        <v/>
      </c>
    </row>
    <row r="436" spans="16:16" x14ac:dyDescent="0.3">
      <c r="P436" s="30" t="str">
        <f t="shared" si="18"/>
        <v/>
      </c>
    </row>
    <row r="437" spans="16:16" x14ac:dyDescent="0.3">
      <c r="P437" s="30" t="str">
        <f t="shared" si="18"/>
        <v/>
      </c>
    </row>
    <row r="438" spans="16:16" x14ac:dyDescent="0.3">
      <c r="P438" s="30" t="str">
        <f t="shared" si="18"/>
        <v/>
      </c>
    </row>
    <row r="439" spans="16:16" x14ac:dyDescent="0.3">
      <c r="P439" s="30" t="str">
        <f t="shared" si="18"/>
        <v/>
      </c>
    </row>
    <row r="440" spans="16:16" x14ac:dyDescent="0.3">
      <c r="P440" s="30" t="str">
        <f t="shared" si="18"/>
        <v/>
      </c>
    </row>
    <row r="441" spans="16:16" x14ac:dyDescent="0.3">
      <c r="P441" s="30" t="str">
        <f t="shared" si="18"/>
        <v/>
      </c>
    </row>
    <row r="442" spans="16:16" x14ac:dyDescent="0.3">
      <c r="P442" s="30" t="str">
        <f t="shared" si="18"/>
        <v/>
      </c>
    </row>
    <row r="443" spans="16:16" x14ac:dyDescent="0.3">
      <c r="P443" s="30" t="str">
        <f t="shared" si="18"/>
        <v/>
      </c>
    </row>
    <row r="444" spans="16:16" x14ac:dyDescent="0.3">
      <c r="P444" s="30" t="str">
        <f t="shared" si="18"/>
        <v/>
      </c>
    </row>
    <row r="445" spans="16:16" x14ac:dyDescent="0.3">
      <c r="P445" s="30" t="str">
        <f t="shared" si="18"/>
        <v/>
      </c>
    </row>
    <row r="446" spans="16:16" x14ac:dyDescent="0.3">
      <c r="P446" s="30" t="str">
        <f t="shared" si="18"/>
        <v/>
      </c>
    </row>
    <row r="447" spans="16:16" x14ac:dyDescent="0.3">
      <c r="P447" s="30" t="str">
        <f t="shared" si="18"/>
        <v/>
      </c>
    </row>
    <row r="448" spans="16:16" x14ac:dyDescent="0.3">
      <c r="P448" s="30" t="str">
        <f t="shared" si="18"/>
        <v/>
      </c>
    </row>
    <row r="449" spans="16:16" x14ac:dyDescent="0.3">
      <c r="P449" s="30" t="str">
        <f t="shared" si="18"/>
        <v/>
      </c>
    </row>
    <row r="450" spans="16:16" x14ac:dyDescent="0.3">
      <c r="P450" s="30" t="str">
        <f t="shared" si="18"/>
        <v/>
      </c>
    </row>
    <row r="451" spans="16:16" x14ac:dyDescent="0.3">
      <c r="P451" s="30" t="str">
        <f t="shared" si="18"/>
        <v/>
      </c>
    </row>
    <row r="452" spans="16:16" x14ac:dyDescent="0.3">
      <c r="P452" s="30" t="str">
        <f t="shared" ref="P452:P515" si="19">IF($J452="","",IF(ABS($J452)&lt;=2,"OK","FORA (|SDI|&gt;2)"))</f>
        <v/>
      </c>
    </row>
    <row r="453" spans="16:16" x14ac:dyDescent="0.3">
      <c r="P453" s="30" t="str">
        <f t="shared" si="19"/>
        <v/>
      </c>
    </row>
    <row r="454" spans="16:16" x14ac:dyDescent="0.3">
      <c r="P454" s="30" t="str">
        <f t="shared" si="19"/>
        <v/>
      </c>
    </row>
    <row r="455" spans="16:16" x14ac:dyDescent="0.3">
      <c r="P455" s="30" t="str">
        <f t="shared" si="19"/>
        <v/>
      </c>
    </row>
    <row r="456" spans="16:16" x14ac:dyDescent="0.3">
      <c r="P456" s="30" t="str">
        <f t="shared" si="19"/>
        <v/>
      </c>
    </row>
    <row r="457" spans="16:16" x14ac:dyDescent="0.3">
      <c r="P457" s="30" t="str">
        <f t="shared" si="19"/>
        <v/>
      </c>
    </row>
    <row r="458" spans="16:16" x14ac:dyDescent="0.3">
      <c r="P458" s="30" t="str">
        <f t="shared" si="19"/>
        <v/>
      </c>
    </row>
    <row r="459" spans="16:16" x14ac:dyDescent="0.3">
      <c r="P459" s="30" t="str">
        <f t="shared" si="19"/>
        <v/>
      </c>
    </row>
    <row r="460" spans="16:16" x14ac:dyDescent="0.3">
      <c r="P460" s="30" t="str">
        <f t="shared" si="19"/>
        <v/>
      </c>
    </row>
    <row r="461" spans="16:16" x14ac:dyDescent="0.3">
      <c r="P461" s="30" t="str">
        <f t="shared" si="19"/>
        <v/>
      </c>
    </row>
    <row r="462" spans="16:16" x14ac:dyDescent="0.3">
      <c r="P462" s="30" t="str">
        <f t="shared" si="19"/>
        <v/>
      </c>
    </row>
    <row r="463" spans="16:16" x14ac:dyDescent="0.3">
      <c r="P463" s="30" t="str">
        <f t="shared" si="19"/>
        <v/>
      </c>
    </row>
    <row r="464" spans="16:16" x14ac:dyDescent="0.3">
      <c r="P464" s="30" t="str">
        <f t="shared" si="19"/>
        <v/>
      </c>
    </row>
    <row r="465" spans="16:16" x14ac:dyDescent="0.3">
      <c r="P465" s="30" t="str">
        <f t="shared" si="19"/>
        <v/>
      </c>
    </row>
    <row r="466" spans="16:16" x14ac:dyDescent="0.3">
      <c r="P466" s="30" t="str">
        <f t="shared" si="19"/>
        <v/>
      </c>
    </row>
    <row r="467" spans="16:16" x14ac:dyDescent="0.3">
      <c r="P467" s="30" t="str">
        <f t="shared" si="19"/>
        <v/>
      </c>
    </row>
    <row r="468" spans="16:16" x14ac:dyDescent="0.3">
      <c r="P468" s="30" t="str">
        <f t="shared" si="19"/>
        <v/>
      </c>
    </row>
    <row r="469" spans="16:16" x14ac:dyDescent="0.3">
      <c r="P469" s="30" t="str">
        <f t="shared" si="19"/>
        <v/>
      </c>
    </row>
    <row r="470" spans="16:16" x14ac:dyDescent="0.3">
      <c r="P470" s="30" t="str">
        <f t="shared" si="19"/>
        <v/>
      </c>
    </row>
    <row r="471" spans="16:16" x14ac:dyDescent="0.3">
      <c r="P471" s="30" t="str">
        <f t="shared" si="19"/>
        <v/>
      </c>
    </row>
    <row r="472" spans="16:16" x14ac:dyDescent="0.3">
      <c r="P472" s="30" t="str">
        <f t="shared" si="19"/>
        <v/>
      </c>
    </row>
    <row r="473" spans="16:16" x14ac:dyDescent="0.3">
      <c r="P473" s="30" t="str">
        <f t="shared" si="19"/>
        <v/>
      </c>
    </row>
    <row r="474" spans="16:16" x14ac:dyDescent="0.3">
      <c r="P474" s="30" t="str">
        <f t="shared" si="19"/>
        <v/>
      </c>
    </row>
    <row r="475" spans="16:16" x14ac:dyDescent="0.3">
      <c r="P475" s="30" t="str">
        <f t="shared" si="19"/>
        <v/>
      </c>
    </row>
    <row r="476" spans="16:16" x14ac:dyDescent="0.3">
      <c r="P476" s="30" t="str">
        <f t="shared" si="19"/>
        <v/>
      </c>
    </row>
    <row r="477" spans="16:16" x14ac:dyDescent="0.3">
      <c r="P477" s="30" t="str">
        <f t="shared" si="19"/>
        <v/>
      </c>
    </row>
    <row r="478" spans="16:16" x14ac:dyDescent="0.3">
      <c r="P478" s="30" t="str">
        <f t="shared" si="19"/>
        <v/>
      </c>
    </row>
    <row r="479" spans="16:16" x14ac:dyDescent="0.3">
      <c r="P479" s="30" t="str">
        <f t="shared" si="19"/>
        <v/>
      </c>
    </row>
    <row r="480" spans="16:16" x14ac:dyDescent="0.3">
      <c r="P480" s="30" t="str">
        <f t="shared" si="19"/>
        <v/>
      </c>
    </row>
    <row r="481" spans="16:16" x14ac:dyDescent="0.3">
      <c r="P481" s="30" t="str">
        <f t="shared" si="19"/>
        <v/>
      </c>
    </row>
    <row r="482" spans="16:16" x14ac:dyDescent="0.3">
      <c r="P482" s="30" t="str">
        <f t="shared" si="19"/>
        <v/>
      </c>
    </row>
    <row r="483" spans="16:16" x14ac:dyDescent="0.3">
      <c r="P483" s="30" t="str">
        <f t="shared" si="19"/>
        <v/>
      </c>
    </row>
    <row r="484" spans="16:16" x14ac:dyDescent="0.3">
      <c r="P484" s="30" t="str">
        <f t="shared" si="19"/>
        <v/>
      </c>
    </row>
    <row r="485" spans="16:16" x14ac:dyDescent="0.3">
      <c r="P485" s="30" t="str">
        <f t="shared" si="19"/>
        <v/>
      </c>
    </row>
    <row r="486" spans="16:16" x14ac:dyDescent="0.3">
      <c r="P486" s="30" t="str">
        <f t="shared" si="19"/>
        <v/>
      </c>
    </row>
    <row r="487" spans="16:16" x14ac:dyDescent="0.3">
      <c r="P487" s="30" t="str">
        <f t="shared" si="19"/>
        <v/>
      </c>
    </row>
    <row r="488" spans="16:16" x14ac:dyDescent="0.3">
      <c r="P488" s="30" t="str">
        <f t="shared" si="19"/>
        <v/>
      </c>
    </row>
    <row r="489" spans="16:16" x14ac:dyDescent="0.3">
      <c r="P489" s="30" t="str">
        <f t="shared" si="19"/>
        <v/>
      </c>
    </row>
    <row r="490" spans="16:16" x14ac:dyDescent="0.3">
      <c r="P490" s="30" t="str">
        <f t="shared" si="19"/>
        <v/>
      </c>
    </row>
    <row r="491" spans="16:16" x14ac:dyDescent="0.3">
      <c r="P491" s="30" t="str">
        <f t="shared" si="19"/>
        <v/>
      </c>
    </row>
    <row r="492" spans="16:16" x14ac:dyDescent="0.3">
      <c r="P492" s="30" t="str">
        <f t="shared" si="19"/>
        <v/>
      </c>
    </row>
    <row r="493" spans="16:16" x14ac:dyDescent="0.3">
      <c r="P493" s="30" t="str">
        <f t="shared" si="19"/>
        <v/>
      </c>
    </row>
    <row r="494" spans="16:16" x14ac:dyDescent="0.3">
      <c r="P494" s="30" t="str">
        <f t="shared" si="19"/>
        <v/>
      </c>
    </row>
    <row r="495" spans="16:16" x14ac:dyDescent="0.3">
      <c r="P495" s="30" t="str">
        <f t="shared" si="19"/>
        <v/>
      </c>
    </row>
    <row r="496" spans="16:16" x14ac:dyDescent="0.3">
      <c r="P496" s="30" t="str">
        <f t="shared" si="19"/>
        <v/>
      </c>
    </row>
    <row r="497" spans="16:16" x14ac:dyDescent="0.3">
      <c r="P497" s="30" t="str">
        <f t="shared" si="19"/>
        <v/>
      </c>
    </row>
    <row r="498" spans="16:16" x14ac:dyDescent="0.3">
      <c r="P498" s="30" t="str">
        <f t="shared" si="19"/>
        <v/>
      </c>
    </row>
    <row r="499" spans="16:16" x14ac:dyDescent="0.3">
      <c r="P499" s="30" t="str">
        <f t="shared" si="19"/>
        <v/>
      </c>
    </row>
    <row r="500" spans="16:16" x14ac:dyDescent="0.3">
      <c r="P500" s="30" t="str">
        <f t="shared" si="19"/>
        <v/>
      </c>
    </row>
    <row r="501" spans="16:16" x14ac:dyDescent="0.3">
      <c r="P501" s="30" t="str">
        <f t="shared" si="19"/>
        <v/>
      </c>
    </row>
    <row r="502" spans="16:16" x14ac:dyDescent="0.3">
      <c r="P502" s="30" t="str">
        <f t="shared" si="19"/>
        <v/>
      </c>
    </row>
    <row r="503" spans="16:16" x14ac:dyDescent="0.3">
      <c r="P503" s="30" t="str">
        <f t="shared" si="19"/>
        <v/>
      </c>
    </row>
    <row r="504" spans="16:16" x14ac:dyDescent="0.3">
      <c r="P504" s="30" t="str">
        <f t="shared" si="19"/>
        <v/>
      </c>
    </row>
    <row r="505" spans="16:16" x14ac:dyDescent="0.3">
      <c r="P505" s="30" t="str">
        <f t="shared" si="19"/>
        <v/>
      </c>
    </row>
    <row r="506" spans="16:16" x14ac:dyDescent="0.3">
      <c r="P506" s="30" t="str">
        <f t="shared" si="19"/>
        <v/>
      </c>
    </row>
    <row r="507" spans="16:16" x14ac:dyDescent="0.3">
      <c r="P507" s="30" t="str">
        <f t="shared" si="19"/>
        <v/>
      </c>
    </row>
    <row r="508" spans="16:16" x14ac:dyDescent="0.3">
      <c r="P508" s="30" t="str">
        <f t="shared" si="19"/>
        <v/>
      </c>
    </row>
    <row r="509" spans="16:16" x14ac:dyDescent="0.3">
      <c r="P509" s="30" t="str">
        <f t="shared" si="19"/>
        <v/>
      </c>
    </row>
    <row r="510" spans="16:16" x14ac:dyDescent="0.3">
      <c r="P510" s="30" t="str">
        <f t="shared" si="19"/>
        <v/>
      </c>
    </row>
    <row r="511" spans="16:16" x14ac:dyDescent="0.3">
      <c r="P511" s="30" t="str">
        <f t="shared" si="19"/>
        <v/>
      </c>
    </row>
    <row r="512" spans="16:16" x14ac:dyDescent="0.3">
      <c r="P512" s="30" t="str">
        <f t="shared" si="19"/>
        <v/>
      </c>
    </row>
    <row r="513" spans="16:16" x14ac:dyDescent="0.3">
      <c r="P513" s="30" t="str">
        <f t="shared" si="19"/>
        <v/>
      </c>
    </row>
    <row r="514" spans="16:16" x14ac:dyDescent="0.3">
      <c r="P514" s="30" t="str">
        <f t="shared" si="19"/>
        <v/>
      </c>
    </row>
    <row r="515" spans="16:16" x14ac:dyDescent="0.3">
      <c r="P515" s="30" t="str">
        <f t="shared" si="19"/>
        <v/>
      </c>
    </row>
    <row r="516" spans="16:16" x14ac:dyDescent="0.3">
      <c r="P516" s="30" t="str">
        <f t="shared" ref="P516:P579" si="20">IF($J516="","",IF(ABS($J516)&lt;=2,"OK","FORA (|SDI|&gt;2)"))</f>
        <v/>
      </c>
    </row>
    <row r="517" spans="16:16" x14ac:dyDescent="0.3">
      <c r="P517" s="30" t="str">
        <f t="shared" si="20"/>
        <v/>
      </c>
    </row>
    <row r="518" spans="16:16" x14ac:dyDescent="0.3">
      <c r="P518" s="30" t="str">
        <f t="shared" si="20"/>
        <v/>
      </c>
    </row>
    <row r="519" spans="16:16" x14ac:dyDescent="0.3">
      <c r="P519" s="30" t="str">
        <f t="shared" si="20"/>
        <v/>
      </c>
    </row>
    <row r="520" spans="16:16" x14ac:dyDescent="0.3">
      <c r="P520" s="30" t="str">
        <f t="shared" si="20"/>
        <v/>
      </c>
    </row>
    <row r="521" spans="16:16" x14ac:dyDescent="0.3">
      <c r="P521" s="30" t="str">
        <f t="shared" si="20"/>
        <v/>
      </c>
    </row>
    <row r="522" spans="16:16" x14ac:dyDescent="0.3">
      <c r="P522" s="30" t="str">
        <f t="shared" si="20"/>
        <v/>
      </c>
    </row>
    <row r="523" spans="16:16" x14ac:dyDescent="0.3">
      <c r="P523" s="30" t="str">
        <f t="shared" si="20"/>
        <v/>
      </c>
    </row>
    <row r="524" spans="16:16" x14ac:dyDescent="0.3">
      <c r="P524" s="30" t="str">
        <f t="shared" si="20"/>
        <v/>
      </c>
    </row>
    <row r="525" spans="16:16" x14ac:dyDescent="0.3">
      <c r="P525" s="30" t="str">
        <f t="shared" si="20"/>
        <v/>
      </c>
    </row>
    <row r="526" spans="16:16" x14ac:dyDescent="0.3">
      <c r="P526" s="30" t="str">
        <f t="shared" si="20"/>
        <v/>
      </c>
    </row>
    <row r="527" spans="16:16" x14ac:dyDescent="0.3">
      <c r="P527" s="30" t="str">
        <f t="shared" si="20"/>
        <v/>
      </c>
    </row>
    <row r="528" spans="16:16" x14ac:dyDescent="0.3">
      <c r="P528" s="30" t="str">
        <f t="shared" si="20"/>
        <v/>
      </c>
    </row>
    <row r="529" spans="16:16" x14ac:dyDescent="0.3">
      <c r="P529" s="30" t="str">
        <f t="shared" si="20"/>
        <v/>
      </c>
    </row>
    <row r="530" spans="16:16" x14ac:dyDescent="0.3">
      <c r="P530" s="30" t="str">
        <f t="shared" si="20"/>
        <v/>
      </c>
    </row>
    <row r="531" spans="16:16" x14ac:dyDescent="0.3">
      <c r="P531" s="30" t="str">
        <f t="shared" si="20"/>
        <v/>
      </c>
    </row>
    <row r="532" spans="16:16" x14ac:dyDescent="0.3">
      <c r="P532" s="30" t="str">
        <f t="shared" si="20"/>
        <v/>
      </c>
    </row>
    <row r="533" spans="16:16" x14ac:dyDescent="0.3">
      <c r="P533" s="30" t="str">
        <f t="shared" si="20"/>
        <v/>
      </c>
    </row>
    <row r="534" spans="16:16" x14ac:dyDescent="0.3">
      <c r="P534" s="30" t="str">
        <f t="shared" si="20"/>
        <v/>
      </c>
    </row>
    <row r="535" spans="16:16" x14ac:dyDescent="0.3">
      <c r="P535" s="30" t="str">
        <f t="shared" si="20"/>
        <v/>
      </c>
    </row>
    <row r="536" spans="16:16" x14ac:dyDescent="0.3">
      <c r="P536" s="30" t="str">
        <f t="shared" si="20"/>
        <v/>
      </c>
    </row>
    <row r="537" spans="16:16" x14ac:dyDescent="0.3">
      <c r="P537" s="30" t="str">
        <f t="shared" si="20"/>
        <v/>
      </c>
    </row>
    <row r="538" spans="16:16" x14ac:dyDescent="0.3">
      <c r="P538" s="30" t="str">
        <f t="shared" si="20"/>
        <v/>
      </c>
    </row>
    <row r="539" spans="16:16" x14ac:dyDescent="0.3">
      <c r="P539" s="30" t="str">
        <f t="shared" si="20"/>
        <v/>
      </c>
    </row>
    <row r="540" spans="16:16" x14ac:dyDescent="0.3">
      <c r="P540" s="30" t="str">
        <f t="shared" si="20"/>
        <v/>
      </c>
    </row>
    <row r="541" spans="16:16" x14ac:dyDescent="0.3">
      <c r="P541" s="30" t="str">
        <f t="shared" si="20"/>
        <v/>
      </c>
    </row>
    <row r="542" spans="16:16" x14ac:dyDescent="0.3">
      <c r="P542" s="30" t="str">
        <f t="shared" si="20"/>
        <v/>
      </c>
    </row>
    <row r="543" spans="16:16" x14ac:dyDescent="0.3">
      <c r="P543" s="30" t="str">
        <f t="shared" si="20"/>
        <v/>
      </c>
    </row>
    <row r="544" spans="16:16" x14ac:dyDescent="0.3">
      <c r="P544" s="30" t="str">
        <f t="shared" si="20"/>
        <v/>
      </c>
    </row>
    <row r="545" spans="16:16" x14ac:dyDescent="0.3">
      <c r="P545" s="30" t="str">
        <f t="shared" si="20"/>
        <v/>
      </c>
    </row>
    <row r="546" spans="16:16" x14ac:dyDescent="0.3">
      <c r="P546" s="30" t="str">
        <f t="shared" si="20"/>
        <v/>
      </c>
    </row>
    <row r="547" spans="16:16" x14ac:dyDescent="0.3">
      <c r="P547" s="30" t="str">
        <f t="shared" si="20"/>
        <v/>
      </c>
    </row>
    <row r="548" spans="16:16" x14ac:dyDescent="0.3">
      <c r="P548" s="30" t="str">
        <f t="shared" si="20"/>
        <v/>
      </c>
    </row>
    <row r="549" spans="16:16" x14ac:dyDescent="0.3">
      <c r="P549" s="30" t="str">
        <f t="shared" si="20"/>
        <v/>
      </c>
    </row>
    <row r="550" spans="16:16" x14ac:dyDescent="0.3">
      <c r="P550" s="30" t="str">
        <f t="shared" si="20"/>
        <v/>
      </c>
    </row>
    <row r="551" spans="16:16" x14ac:dyDescent="0.3">
      <c r="P551" s="30" t="str">
        <f t="shared" si="20"/>
        <v/>
      </c>
    </row>
    <row r="552" spans="16:16" x14ac:dyDescent="0.3">
      <c r="P552" s="30" t="str">
        <f t="shared" si="20"/>
        <v/>
      </c>
    </row>
    <row r="553" spans="16:16" x14ac:dyDescent="0.3">
      <c r="P553" s="30" t="str">
        <f t="shared" si="20"/>
        <v/>
      </c>
    </row>
    <row r="554" spans="16:16" x14ac:dyDescent="0.3">
      <c r="P554" s="30" t="str">
        <f t="shared" si="20"/>
        <v/>
      </c>
    </row>
    <row r="555" spans="16:16" x14ac:dyDescent="0.3">
      <c r="P555" s="30" t="str">
        <f t="shared" si="20"/>
        <v/>
      </c>
    </row>
    <row r="556" spans="16:16" x14ac:dyDescent="0.3">
      <c r="P556" s="30" t="str">
        <f t="shared" si="20"/>
        <v/>
      </c>
    </row>
    <row r="557" spans="16:16" x14ac:dyDescent="0.3">
      <c r="P557" s="30" t="str">
        <f t="shared" si="20"/>
        <v/>
      </c>
    </row>
    <row r="558" spans="16:16" x14ac:dyDescent="0.3">
      <c r="P558" s="30" t="str">
        <f t="shared" si="20"/>
        <v/>
      </c>
    </row>
    <row r="559" spans="16:16" x14ac:dyDescent="0.3">
      <c r="P559" s="30" t="str">
        <f t="shared" si="20"/>
        <v/>
      </c>
    </row>
    <row r="560" spans="16:16" x14ac:dyDescent="0.3">
      <c r="P560" s="30" t="str">
        <f t="shared" si="20"/>
        <v/>
      </c>
    </row>
    <row r="561" spans="16:16" x14ac:dyDescent="0.3">
      <c r="P561" s="30" t="str">
        <f t="shared" si="20"/>
        <v/>
      </c>
    </row>
    <row r="562" spans="16:16" x14ac:dyDescent="0.3">
      <c r="P562" s="30" t="str">
        <f t="shared" si="20"/>
        <v/>
      </c>
    </row>
    <row r="563" spans="16:16" x14ac:dyDescent="0.3">
      <c r="P563" s="30" t="str">
        <f t="shared" si="20"/>
        <v/>
      </c>
    </row>
    <row r="564" spans="16:16" x14ac:dyDescent="0.3">
      <c r="P564" s="30" t="str">
        <f t="shared" si="20"/>
        <v/>
      </c>
    </row>
    <row r="565" spans="16:16" x14ac:dyDescent="0.3">
      <c r="P565" s="30" t="str">
        <f t="shared" si="20"/>
        <v/>
      </c>
    </row>
    <row r="566" spans="16:16" x14ac:dyDescent="0.3">
      <c r="P566" s="30" t="str">
        <f t="shared" si="20"/>
        <v/>
      </c>
    </row>
    <row r="567" spans="16:16" x14ac:dyDescent="0.3">
      <c r="P567" s="30" t="str">
        <f t="shared" si="20"/>
        <v/>
      </c>
    </row>
    <row r="568" spans="16:16" x14ac:dyDescent="0.3">
      <c r="P568" s="30" t="str">
        <f t="shared" si="20"/>
        <v/>
      </c>
    </row>
    <row r="569" spans="16:16" x14ac:dyDescent="0.3">
      <c r="P569" s="30" t="str">
        <f t="shared" si="20"/>
        <v/>
      </c>
    </row>
    <row r="570" spans="16:16" x14ac:dyDescent="0.3">
      <c r="P570" s="30" t="str">
        <f t="shared" si="20"/>
        <v/>
      </c>
    </row>
    <row r="571" spans="16:16" x14ac:dyDescent="0.3">
      <c r="P571" s="30" t="str">
        <f t="shared" si="20"/>
        <v/>
      </c>
    </row>
    <row r="572" spans="16:16" x14ac:dyDescent="0.3">
      <c r="P572" s="30" t="str">
        <f t="shared" si="20"/>
        <v/>
      </c>
    </row>
    <row r="573" spans="16:16" x14ac:dyDescent="0.3">
      <c r="P573" s="30" t="str">
        <f t="shared" si="20"/>
        <v/>
      </c>
    </row>
    <row r="574" spans="16:16" x14ac:dyDescent="0.3">
      <c r="P574" s="30" t="str">
        <f t="shared" si="20"/>
        <v/>
      </c>
    </row>
    <row r="575" spans="16:16" x14ac:dyDescent="0.3">
      <c r="P575" s="30" t="str">
        <f t="shared" si="20"/>
        <v/>
      </c>
    </row>
    <row r="576" spans="16:16" x14ac:dyDescent="0.3">
      <c r="P576" s="30" t="str">
        <f t="shared" si="20"/>
        <v/>
      </c>
    </row>
    <row r="577" spans="16:16" x14ac:dyDescent="0.3">
      <c r="P577" s="30" t="str">
        <f t="shared" si="20"/>
        <v/>
      </c>
    </row>
    <row r="578" spans="16:16" x14ac:dyDescent="0.3">
      <c r="P578" s="30" t="str">
        <f t="shared" si="20"/>
        <v/>
      </c>
    </row>
    <row r="579" spans="16:16" x14ac:dyDescent="0.3">
      <c r="P579" s="30" t="str">
        <f t="shared" si="20"/>
        <v/>
      </c>
    </row>
    <row r="580" spans="16:16" x14ac:dyDescent="0.3">
      <c r="P580" s="30" t="str">
        <f t="shared" ref="P580:P643" si="21">IF($J580="","",IF(ABS($J580)&lt;=2,"OK","FORA (|SDI|&gt;2)"))</f>
        <v/>
      </c>
    </row>
    <row r="581" spans="16:16" x14ac:dyDescent="0.3">
      <c r="P581" s="30" t="str">
        <f t="shared" si="21"/>
        <v/>
      </c>
    </row>
    <row r="582" spans="16:16" x14ac:dyDescent="0.3">
      <c r="P582" s="30" t="str">
        <f t="shared" si="21"/>
        <v/>
      </c>
    </row>
    <row r="583" spans="16:16" x14ac:dyDescent="0.3">
      <c r="P583" s="30" t="str">
        <f t="shared" si="21"/>
        <v/>
      </c>
    </row>
    <row r="584" spans="16:16" x14ac:dyDescent="0.3">
      <c r="P584" s="30" t="str">
        <f t="shared" si="21"/>
        <v/>
      </c>
    </row>
    <row r="585" spans="16:16" x14ac:dyDescent="0.3">
      <c r="P585" s="30" t="str">
        <f t="shared" si="21"/>
        <v/>
      </c>
    </row>
    <row r="586" spans="16:16" x14ac:dyDescent="0.3">
      <c r="P586" s="30" t="str">
        <f t="shared" si="21"/>
        <v/>
      </c>
    </row>
    <row r="587" spans="16:16" x14ac:dyDescent="0.3">
      <c r="P587" s="30" t="str">
        <f t="shared" si="21"/>
        <v/>
      </c>
    </row>
    <row r="588" spans="16:16" x14ac:dyDescent="0.3">
      <c r="P588" s="30" t="str">
        <f t="shared" si="21"/>
        <v/>
      </c>
    </row>
    <row r="589" spans="16:16" x14ac:dyDescent="0.3">
      <c r="P589" s="30" t="str">
        <f t="shared" si="21"/>
        <v/>
      </c>
    </row>
    <row r="590" spans="16:16" x14ac:dyDescent="0.3">
      <c r="P590" s="30" t="str">
        <f t="shared" si="21"/>
        <v/>
      </c>
    </row>
    <row r="591" spans="16:16" x14ac:dyDescent="0.3">
      <c r="P591" s="30" t="str">
        <f t="shared" si="21"/>
        <v/>
      </c>
    </row>
    <row r="592" spans="16:16" x14ac:dyDescent="0.3">
      <c r="P592" s="30" t="str">
        <f t="shared" si="21"/>
        <v/>
      </c>
    </row>
    <row r="593" spans="16:16" x14ac:dyDescent="0.3">
      <c r="P593" s="30" t="str">
        <f t="shared" si="21"/>
        <v/>
      </c>
    </row>
    <row r="594" spans="16:16" x14ac:dyDescent="0.3">
      <c r="P594" s="30" t="str">
        <f t="shared" si="21"/>
        <v/>
      </c>
    </row>
    <row r="595" spans="16:16" x14ac:dyDescent="0.3">
      <c r="P595" s="30" t="str">
        <f t="shared" si="21"/>
        <v/>
      </c>
    </row>
    <row r="596" spans="16:16" x14ac:dyDescent="0.3">
      <c r="P596" s="30" t="str">
        <f t="shared" si="21"/>
        <v/>
      </c>
    </row>
    <row r="597" spans="16:16" x14ac:dyDescent="0.3">
      <c r="P597" s="30" t="str">
        <f t="shared" si="21"/>
        <v/>
      </c>
    </row>
    <row r="598" spans="16:16" x14ac:dyDescent="0.3">
      <c r="P598" s="30" t="str">
        <f t="shared" si="21"/>
        <v/>
      </c>
    </row>
    <row r="599" spans="16:16" x14ac:dyDescent="0.3">
      <c r="P599" s="30" t="str">
        <f t="shared" si="21"/>
        <v/>
      </c>
    </row>
    <row r="600" spans="16:16" x14ac:dyDescent="0.3">
      <c r="P600" s="30" t="str">
        <f t="shared" si="21"/>
        <v/>
      </c>
    </row>
    <row r="601" spans="16:16" x14ac:dyDescent="0.3">
      <c r="P601" s="30" t="str">
        <f t="shared" si="21"/>
        <v/>
      </c>
    </row>
    <row r="602" spans="16:16" x14ac:dyDescent="0.3">
      <c r="P602" s="30" t="str">
        <f t="shared" si="21"/>
        <v/>
      </c>
    </row>
    <row r="603" spans="16:16" x14ac:dyDescent="0.3">
      <c r="P603" s="30" t="str">
        <f t="shared" si="21"/>
        <v/>
      </c>
    </row>
    <row r="604" spans="16:16" x14ac:dyDescent="0.3">
      <c r="P604" s="30" t="str">
        <f t="shared" si="21"/>
        <v/>
      </c>
    </row>
    <row r="605" spans="16:16" x14ac:dyDescent="0.3">
      <c r="P605" s="30" t="str">
        <f t="shared" si="21"/>
        <v/>
      </c>
    </row>
    <row r="606" spans="16:16" x14ac:dyDescent="0.3">
      <c r="P606" s="30" t="str">
        <f t="shared" si="21"/>
        <v/>
      </c>
    </row>
    <row r="607" spans="16:16" x14ac:dyDescent="0.3">
      <c r="P607" s="30" t="str">
        <f t="shared" si="21"/>
        <v/>
      </c>
    </row>
    <row r="608" spans="16:16" x14ac:dyDescent="0.3">
      <c r="P608" s="30" t="str">
        <f t="shared" si="21"/>
        <v/>
      </c>
    </row>
    <row r="609" spans="16:16" x14ac:dyDescent="0.3">
      <c r="P609" s="30" t="str">
        <f t="shared" si="21"/>
        <v/>
      </c>
    </row>
    <row r="610" spans="16:16" x14ac:dyDescent="0.3">
      <c r="P610" s="30" t="str">
        <f t="shared" si="21"/>
        <v/>
      </c>
    </row>
    <row r="611" spans="16:16" x14ac:dyDescent="0.3">
      <c r="P611" s="30" t="str">
        <f t="shared" si="21"/>
        <v/>
      </c>
    </row>
    <row r="612" spans="16:16" x14ac:dyDescent="0.3">
      <c r="P612" s="30" t="str">
        <f t="shared" si="21"/>
        <v/>
      </c>
    </row>
    <row r="613" spans="16:16" x14ac:dyDescent="0.3">
      <c r="P613" s="30" t="str">
        <f t="shared" si="21"/>
        <v/>
      </c>
    </row>
    <row r="614" spans="16:16" x14ac:dyDescent="0.3">
      <c r="P614" s="30" t="str">
        <f t="shared" si="21"/>
        <v/>
      </c>
    </row>
    <row r="615" spans="16:16" x14ac:dyDescent="0.3">
      <c r="P615" s="30" t="str">
        <f t="shared" si="21"/>
        <v/>
      </c>
    </row>
    <row r="616" spans="16:16" x14ac:dyDescent="0.3">
      <c r="P616" s="30" t="str">
        <f t="shared" si="21"/>
        <v/>
      </c>
    </row>
    <row r="617" spans="16:16" x14ac:dyDescent="0.3">
      <c r="P617" s="30" t="str">
        <f t="shared" si="21"/>
        <v/>
      </c>
    </row>
    <row r="618" spans="16:16" x14ac:dyDescent="0.3">
      <c r="P618" s="30" t="str">
        <f t="shared" si="21"/>
        <v/>
      </c>
    </row>
    <row r="619" spans="16:16" x14ac:dyDescent="0.3">
      <c r="P619" s="30" t="str">
        <f t="shared" si="21"/>
        <v/>
      </c>
    </row>
    <row r="620" spans="16:16" x14ac:dyDescent="0.3">
      <c r="P620" s="30" t="str">
        <f t="shared" si="21"/>
        <v/>
      </c>
    </row>
    <row r="621" spans="16:16" x14ac:dyDescent="0.3">
      <c r="P621" s="30" t="str">
        <f t="shared" si="21"/>
        <v/>
      </c>
    </row>
    <row r="622" spans="16:16" x14ac:dyDescent="0.3">
      <c r="P622" s="30" t="str">
        <f t="shared" si="21"/>
        <v/>
      </c>
    </row>
    <row r="623" spans="16:16" x14ac:dyDescent="0.3">
      <c r="P623" s="30" t="str">
        <f t="shared" si="21"/>
        <v/>
      </c>
    </row>
    <row r="624" spans="16:16" x14ac:dyDescent="0.3">
      <c r="P624" s="30" t="str">
        <f t="shared" si="21"/>
        <v/>
      </c>
    </row>
    <row r="625" spans="16:16" x14ac:dyDescent="0.3">
      <c r="P625" s="30" t="str">
        <f t="shared" si="21"/>
        <v/>
      </c>
    </row>
    <row r="626" spans="16:16" x14ac:dyDescent="0.3">
      <c r="P626" s="30" t="str">
        <f t="shared" si="21"/>
        <v/>
      </c>
    </row>
    <row r="627" spans="16:16" x14ac:dyDescent="0.3">
      <c r="P627" s="30" t="str">
        <f t="shared" si="21"/>
        <v/>
      </c>
    </row>
    <row r="628" spans="16:16" x14ac:dyDescent="0.3">
      <c r="P628" s="30" t="str">
        <f t="shared" si="21"/>
        <v/>
      </c>
    </row>
    <row r="629" spans="16:16" x14ac:dyDescent="0.3">
      <c r="P629" s="30" t="str">
        <f t="shared" si="21"/>
        <v/>
      </c>
    </row>
    <row r="630" spans="16:16" x14ac:dyDescent="0.3">
      <c r="P630" s="30" t="str">
        <f t="shared" si="21"/>
        <v/>
      </c>
    </row>
    <row r="631" spans="16:16" x14ac:dyDescent="0.3">
      <c r="P631" s="30" t="str">
        <f t="shared" si="21"/>
        <v/>
      </c>
    </row>
    <row r="632" spans="16:16" x14ac:dyDescent="0.3">
      <c r="P632" s="30" t="str">
        <f t="shared" si="21"/>
        <v/>
      </c>
    </row>
    <row r="633" spans="16:16" x14ac:dyDescent="0.3">
      <c r="P633" s="30" t="str">
        <f t="shared" si="21"/>
        <v/>
      </c>
    </row>
    <row r="634" spans="16:16" x14ac:dyDescent="0.3">
      <c r="P634" s="30" t="str">
        <f t="shared" si="21"/>
        <v/>
      </c>
    </row>
    <row r="635" spans="16:16" x14ac:dyDescent="0.3">
      <c r="P635" s="30" t="str">
        <f t="shared" si="21"/>
        <v/>
      </c>
    </row>
    <row r="636" spans="16:16" x14ac:dyDescent="0.3">
      <c r="P636" s="30" t="str">
        <f t="shared" si="21"/>
        <v/>
      </c>
    </row>
    <row r="637" spans="16:16" x14ac:dyDescent="0.3">
      <c r="P637" s="30" t="str">
        <f t="shared" si="21"/>
        <v/>
      </c>
    </row>
    <row r="638" spans="16:16" x14ac:dyDescent="0.3">
      <c r="P638" s="30" t="str">
        <f t="shared" si="21"/>
        <v/>
      </c>
    </row>
    <row r="639" spans="16:16" x14ac:dyDescent="0.3">
      <c r="P639" s="30" t="str">
        <f t="shared" si="21"/>
        <v/>
      </c>
    </row>
    <row r="640" spans="16:16" x14ac:dyDescent="0.3">
      <c r="P640" s="30" t="str">
        <f t="shared" si="21"/>
        <v/>
      </c>
    </row>
    <row r="641" spans="16:16" x14ac:dyDescent="0.3">
      <c r="P641" s="30" t="str">
        <f t="shared" si="21"/>
        <v/>
      </c>
    </row>
    <row r="642" spans="16:16" x14ac:dyDescent="0.3">
      <c r="P642" s="30" t="str">
        <f t="shared" si="21"/>
        <v/>
      </c>
    </row>
    <row r="643" spans="16:16" x14ac:dyDescent="0.3">
      <c r="P643" s="30" t="str">
        <f t="shared" si="21"/>
        <v/>
      </c>
    </row>
    <row r="644" spans="16:16" x14ac:dyDescent="0.3">
      <c r="P644" s="30" t="str">
        <f t="shared" ref="P644:P707" si="22">IF($J644="","",IF(ABS($J644)&lt;=2,"OK","FORA (|SDI|&gt;2)"))</f>
        <v/>
      </c>
    </row>
    <row r="645" spans="16:16" x14ac:dyDescent="0.3">
      <c r="P645" s="30" t="str">
        <f t="shared" si="22"/>
        <v/>
      </c>
    </row>
    <row r="646" spans="16:16" x14ac:dyDescent="0.3">
      <c r="P646" s="30" t="str">
        <f t="shared" si="22"/>
        <v/>
      </c>
    </row>
    <row r="647" spans="16:16" x14ac:dyDescent="0.3">
      <c r="P647" s="30" t="str">
        <f t="shared" si="22"/>
        <v/>
      </c>
    </row>
    <row r="648" spans="16:16" x14ac:dyDescent="0.3">
      <c r="P648" s="30" t="str">
        <f t="shared" si="22"/>
        <v/>
      </c>
    </row>
    <row r="649" spans="16:16" x14ac:dyDescent="0.3">
      <c r="P649" s="30" t="str">
        <f t="shared" si="22"/>
        <v/>
      </c>
    </row>
    <row r="650" spans="16:16" x14ac:dyDescent="0.3">
      <c r="P650" s="30" t="str">
        <f t="shared" si="22"/>
        <v/>
      </c>
    </row>
    <row r="651" spans="16:16" x14ac:dyDescent="0.3">
      <c r="P651" s="30" t="str">
        <f t="shared" si="22"/>
        <v/>
      </c>
    </row>
    <row r="652" spans="16:16" x14ac:dyDescent="0.3">
      <c r="P652" s="30" t="str">
        <f t="shared" si="22"/>
        <v/>
      </c>
    </row>
    <row r="653" spans="16:16" x14ac:dyDescent="0.3">
      <c r="P653" s="30" t="str">
        <f t="shared" si="22"/>
        <v/>
      </c>
    </row>
    <row r="654" spans="16:16" x14ac:dyDescent="0.3">
      <c r="P654" s="30" t="str">
        <f t="shared" si="22"/>
        <v/>
      </c>
    </row>
    <row r="655" spans="16:16" x14ac:dyDescent="0.3">
      <c r="P655" s="30" t="str">
        <f t="shared" si="22"/>
        <v/>
      </c>
    </row>
    <row r="656" spans="16:16" x14ac:dyDescent="0.3">
      <c r="P656" s="30" t="str">
        <f t="shared" si="22"/>
        <v/>
      </c>
    </row>
    <row r="657" spans="16:16" x14ac:dyDescent="0.3">
      <c r="P657" s="30" t="str">
        <f t="shared" si="22"/>
        <v/>
      </c>
    </row>
    <row r="658" spans="16:16" x14ac:dyDescent="0.3">
      <c r="P658" s="30" t="str">
        <f t="shared" si="22"/>
        <v/>
      </c>
    </row>
    <row r="659" spans="16:16" x14ac:dyDescent="0.3">
      <c r="P659" s="30" t="str">
        <f t="shared" si="22"/>
        <v/>
      </c>
    </row>
    <row r="660" spans="16:16" x14ac:dyDescent="0.3">
      <c r="P660" s="30" t="str">
        <f t="shared" si="22"/>
        <v/>
      </c>
    </row>
    <row r="661" spans="16:16" x14ac:dyDescent="0.3">
      <c r="P661" s="30" t="str">
        <f t="shared" si="22"/>
        <v/>
      </c>
    </row>
    <row r="662" spans="16:16" x14ac:dyDescent="0.3">
      <c r="P662" s="30" t="str">
        <f t="shared" si="22"/>
        <v/>
      </c>
    </row>
    <row r="663" spans="16:16" x14ac:dyDescent="0.3">
      <c r="P663" s="30" t="str">
        <f t="shared" si="22"/>
        <v/>
      </c>
    </row>
    <row r="664" spans="16:16" x14ac:dyDescent="0.3">
      <c r="P664" s="30" t="str">
        <f t="shared" si="22"/>
        <v/>
      </c>
    </row>
    <row r="665" spans="16:16" x14ac:dyDescent="0.3">
      <c r="P665" s="30" t="str">
        <f t="shared" si="22"/>
        <v/>
      </c>
    </row>
    <row r="666" spans="16:16" x14ac:dyDescent="0.3">
      <c r="P666" s="30" t="str">
        <f t="shared" si="22"/>
        <v/>
      </c>
    </row>
    <row r="667" spans="16:16" x14ac:dyDescent="0.3">
      <c r="P667" s="30" t="str">
        <f t="shared" si="22"/>
        <v/>
      </c>
    </row>
    <row r="668" spans="16:16" x14ac:dyDescent="0.3">
      <c r="P668" s="30" t="str">
        <f t="shared" si="22"/>
        <v/>
      </c>
    </row>
    <row r="669" spans="16:16" x14ac:dyDescent="0.3">
      <c r="P669" s="30" t="str">
        <f t="shared" si="22"/>
        <v/>
      </c>
    </row>
    <row r="670" spans="16:16" x14ac:dyDescent="0.3">
      <c r="P670" s="30" t="str">
        <f t="shared" si="22"/>
        <v/>
      </c>
    </row>
    <row r="671" spans="16:16" x14ac:dyDescent="0.3">
      <c r="P671" s="30" t="str">
        <f t="shared" si="22"/>
        <v/>
      </c>
    </row>
    <row r="672" spans="16:16" x14ac:dyDescent="0.3">
      <c r="P672" s="30" t="str">
        <f t="shared" si="22"/>
        <v/>
      </c>
    </row>
    <row r="673" spans="16:16" x14ac:dyDescent="0.3">
      <c r="P673" s="30" t="str">
        <f t="shared" si="22"/>
        <v/>
      </c>
    </row>
    <row r="674" spans="16:16" x14ac:dyDescent="0.3">
      <c r="P674" s="30" t="str">
        <f t="shared" si="22"/>
        <v/>
      </c>
    </row>
    <row r="675" spans="16:16" x14ac:dyDescent="0.3">
      <c r="P675" s="30" t="str">
        <f t="shared" si="22"/>
        <v/>
      </c>
    </row>
    <row r="676" spans="16:16" x14ac:dyDescent="0.3">
      <c r="P676" s="30" t="str">
        <f t="shared" si="22"/>
        <v/>
      </c>
    </row>
    <row r="677" spans="16:16" x14ac:dyDescent="0.3">
      <c r="P677" s="30" t="str">
        <f t="shared" si="22"/>
        <v/>
      </c>
    </row>
    <row r="678" spans="16:16" x14ac:dyDescent="0.3">
      <c r="P678" s="30" t="str">
        <f t="shared" si="22"/>
        <v/>
      </c>
    </row>
    <row r="679" spans="16:16" x14ac:dyDescent="0.3">
      <c r="P679" s="30" t="str">
        <f t="shared" si="22"/>
        <v/>
      </c>
    </row>
    <row r="680" spans="16:16" x14ac:dyDescent="0.3">
      <c r="P680" s="30" t="str">
        <f t="shared" si="22"/>
        <v/>
      </c>
    </row>
    <row r="681" spans="16:16" x14ac:dyDescent="0.3">
      <c r="P681" s="30" t="str">
        <f t="shared" si="22"/>
        <v/>
      </c>
    </row>
    <row r="682" spans="16:16" x14ac:dyDescent="0.3">
      <c r="P682" s="30" t="str">
        <f t="shared" si="22"/>
        <v/>
      </c>
    </row>
    <row r="683" spans="16:16" x14ac:dyDescent="0.3">
      <c r="P683" s="30" t="str">
        <f t="shared" si="22"/>
        <v/>
      </c>
    </row>
    <row r="684" spans="16:16" x14ac:dyDescent="0.3">
      <c r="P684" s="30" t="str">
        <f t="shared" si="22"/>
        <v/>
      </c>
    </row>
    <row r="685" spans="16:16" x14ac:dyDescent="0.3">
      <c r="P685" s="30" t="str">
        <f t="shared" si="22"/>
        <v/>
      </c>
    </row>
    <row r="686" spans="16:16" x14ac:dyDescent="0.3">
      <c r="P686" s="30" t="str">
        <f t="shared" si="22"/>
        <v/>
      </c>
    </row>
    <row r="687" spans="16:16" x14ac:dyDescent="0.3">
      <c r="P687" s="30" t="str">
        <f t="shared" si="22"/>
        <v/>
      </c>
    </row>
    <row r="688" spans="16:16" x14ac:dyDescent="0.3">
      <c r="P688" s="30" t="str">
        <f t="shared" si="22"/>
        <v/>
      </c>
    </row>
    <row r="689" spans="16:16" x14ac:dyDescent="0.3">
      <c r="P689" s="30" t="str">
        <f t="shared" si="22"/>
        <v/>
      </c>
    </row>
    <row r="690" spans="16:16" x14ac:dyDescent="0.3">
      <c r="P690" s="30" t="str">
        <f t="shared" si="22"/>
        <v/>
      </c>
    </row>
    <row r="691" spans="16:16" x14ac:dyDescent="0.3">
      <c r="P691" s="30" t="str">
        <f t="shared" si="22"/>
        <v/>
      </c>
    </row>
    <row r="692" spans="16:16" x14ac:dyDescent="0.3">
      <c r="P692" s="30" t="str">
        <f t="shared" si="22"/>
        <v/>
      </c>
    </row>
    <row r="693" spans="16:16" x14ac:dyDescent="0.3">
      <c r="P693" s="30" t="str">
        <f t="shared" si="22"/>
        <v/>
      </c>
    </row>
    <row r="694" spans="16:16" x14ac:dyDescent="0.3">
      <c r="P694" s="30" t="str">
        <f t="shared" si="22"/>
        <v/>
      </c>
    </row>
    <row r="695" spans="16:16" x14ac:dyDescent="0.3">
      <c r="P695" s="30" t="str">
        <f t="shared" si="22"/>
        <v/>
      </c>
    </row>
    <row r="696" spans="16:16" x14ac:dyDescent="0.3">
      <c r="P696" s="30" t="str">
        <f t="shared" si="22"/>
        <v/>
      </c>
    </row>
    <row r="697" spans="16:16" x14ac:dyDescent="0.3">
      <c r="P697" s="30" t="str">
        <f t="shared" si="22"/>
        <v/>
      </c>
    </row>
    <row r="698" spans="16:16" x14ac:dyDescent="0.3">
      <c r="P698" s="30" t="str">
        <f t="shared" si="22"/>
        <v/>
      </c>
    </row>
    <row r="699" spans="16:16" x14ac:dyDescent="0.3">
      <c r="P699" s="30" t="str">
        <f t="shared" si="22"/>
        <v/>
      </c>
    </row>
    <row r="700" spans="16:16" x14ac:dyDescent="0.3">
      <c r="P700" s="30" t="str">
        <f t="shared" si="22"/>
        <v/>
      </c>
    </row>
    <row r="701" spans="16:16" x14ac:dyDescent="0.3">
      <c r="P701" s="30" t="str">
        <f t="shared" si="22"/>
        <v/>
      </c>
    </row>
    <row r="702" spans="16:16" x14ac:dyDescent="0.3">
      <c r="P702" s="30" t="str">
        <f t="shared" si="22"/>
        <v/>
      </c>
    </row>
    <row r="703" spans="16:16" x14ac:dyDescent="0.3">
      <c r="P703" s="30" t="str">
        <f t="shared" si="22"/>
        <v/>
      </c>
    </row>
    <row r="704" spans="16:16" x14ac:dyDescent="0.3">
      <c r="P704" s="30" t="str">
        <f t="shared" si="22"/>
        <v/>
      </c>
    </row>
    <row r="705" spans="16:16" x14ac:dyDescent="0.3">
      <c r="P705" s="30" t="str">
        <f t="shared" si="22"/>
        <v/>
      </c>
    </row>
    <row r="706" spans="16:16" x14ac:dyDescent="0.3">
      <c r="P706" s="30" t="str">
        <f t="shared" si="22"/>
        <v/>
      </c>
    </row>
    <row r="707" spans="16:16" x14ac:dyDescent="0.3">
      <c r="P707" s="30" t="str">
        <f t="shared" si="22"/>
        <v/>
      </c>
    </row>
    <row r="708" spans="16:16" x14ac:dyDescent="0.3">
      <c r="P708" s="30" t="str">
        <f t="shared" ref="P708:P771" si="23">IF($J708="","",IF(ABS($J708)&lt;=2,"OK","FORA (|SDI|&gt;2)"))</f>
        <v/>
      </c>
    </row>
    <row r="709" spans="16:16" x14ac:dyDescent="0.3">
      <c r="P709" s="30" t="str">
        <f t="shared" si="23"/>
        <v/>
      </c>
    </row>
    <row r="710" spans="16:16" x14ac:dyDescent="0.3">
      <c r="P710" s="30" t="str">
        <f t="shared" si="23"/>
        <v/>
      </c>
    </row>
    <row r="711" spans="16:16" x14ac:dyDescent="0.3">
      <c r="P711" s="30" t="str">
        <f t="shared" si="23"/>
        <v/>
      </c>
    </row>
    <row r="712" spans="16:16" x14ac:dyDescent="0.3">
      <c r="P712" s="30" t="str">
        <f t="shared" si="23"/>
        <v/>
      </c>
    </row>
    <row r="713" spans="16:16" x14ac:dyDescent="0.3">
      <c r="P713" s="30" t="str">
        <f t="shared" si="23"/>
        <v/>
      </c>
    </row>
    <row r="714" spans="16:16" x14ac:dyDescent="0.3">
      <c r="P714" s="30" t="str">
        <f t="shared" si="23"/>
        <v/>
      </c>
    </row>
    <row r="715" spans="16:16" x14ac:dyDescent="0.3">
      <c r="P715" s="30" t="str">
        <f t="shared" si="23"/>
        <v/>
      </c>
    </row>
    <row r="716" spans="16:16" x14ac:dyDescent="0.3">
      <c r="P716" s="30" t="str">
        <f t="shared" si="23"/>
        <v/>
      </c>
    </row>
    <row r="717" spans="16:16" x14ac:dyDescent="0.3">
      <c r="P717" s="30" t="str">
        <f t="shared" si="23"/>
        <v/>
      </c>
    </row>
    <row r="718" spans="16:16" x14ac:dyDescent="0.3">
      <c r="P718" s="30" t="str">
        <f t="shared" si="23"/>
        <v/>
      </c>
    </row>
    <row r="719" spans="16:16" x14ac:dyDescent="0.3">
      <c r="P719" s="30" t="str">
        <f t="shared" si="23"/>
        <v/>
      </c>
    </row>
    <row r="720" spans="16:16" x14ac:dyDescent="0.3">
      <c r="P720" s="30" t="str">
        <f t="shared" si="23"/>
        <v/>
      </c>
    </row>
    <row r="721" spans="16:16" x14ac:dyDescent="0.3">
      <c r="P721" s="30" t="str">
        <f t="shared" si="23"/>
        <v/>
      </c>
    </row>
    <row r="722" spans="16:16" x14ac:dyDescent="0.3">
      <c r="P722" s="30" t="str">
        <f t="shared" si="23"/>
        <v/>
      </c>
    </row>
    <row r="723" spans="16:16" x14ac:dyDescent="0.3">
      <c r="P723" s="30" t="str">
        <f t="shared" si="23"/>
        <v/>
      </c>
    </row>
    <row r="724" spans="16:16" x14ac:dyDescent="0.3">
      <c r="P724" s="30" t="str">
        <f t="shared" si="23"/>
        <v/>
      </c>
    </row>
    <row r="725" spans="16:16" x14ac:dyDescent="0.3">
      <c r="P725" s="30" t="str">
        <f t="shared" si="23"/>
        <v/>
      </c>
    </row>
    <row r="726" spans="16:16" x14ac:dyDescent="0.3">
      <c r="P726" s="30" t="str">
        <f t="shared" si="23"/>
        <v/>
      </c>
    </row>
    <row r="727" spans="16:16" x14ac:dyDescent="0.3">
      <c r="P727" s="30" t="str">
        <f t="shared" si="23"/>
        <v/>
      </c>
    </row>
    <row r="728" spans="16:16" x14ac:dyDescent="0.3">
      <c r="P728" s="30" t="str">
        <f t="shared" si="23"/>
        <v/>
      </c>
    </row>
    <row r="729" spans="16:16" x14ac:dyDescent="0.3">
      <c r="P729" s="30" t="str">
        <f t="shared" si="23"/>
        <v/>
      </c>
    </row>
    <row r="730" spans="16:16" x14ac:dyDescent="0.3">
      <c r="P730" s="30" t="str">
        <f t="shared" si="23"/>
        <v/>
      </c>
    </row>
    <row r="731" spans="16:16" x14ac:dyDescent="0.3">
      <c r="P731" s="30" t="str">
        <f t="shared" si="23"/>
        <v/>
      </c>
    </row>
    <row r="732" spans="16:16" x14ac:dyDescent="0.3">
      <c r="P732" s="30" t="str">
        <f t="shared" si="23"/>
        <v/>
      </c>
    </row>
    <row r="733" spans="16:16" x14ac:dyDescent="0.3">
      <c r="P733" s="30" t="str">
        <f t="shared" si="23"/>
        <v/>
      </c>
    </row>
    <row r="734" spans="16:16" x14ac:dyDescent="0.3">
      <c r="P734" s="30" t="str">
        <f t="shared" si="23"/>
        <v/>
      </c>
    </row>
    <row r="735" spans="16:16" x14ac:dyDescent="0.3">
      <c r="P735" s="30" t="str">
        <f t="shared" si="23"/>
        <v/>
      </c>
    </row>
    <row r="736" spans="16:16" x14ac:dyDescent="0.3">
      <c r="P736" s="30" t="str">
        <f t="shared" si="23"/>
        <v/>
      </c>
    </row>
    <row r="737" spans="16:16" x14ac:dyDescent="0.3">
      <c r="P737" s="30" t="str">
        <f t="shared" si="23"/>
        <v/>
      </c>
    </row>
    <row r="738" spans="16:16" x14ac:dyDescent="0.3">
      <c r="P738" s="30" t="str">
        <f t="shared" si="23"/>
        <v/>
      </c>
    </row>
    <row r="739" spans="16:16" x14ac:dyDescent="0.3">
      <c r="P739" s="30" t="str">
        <f t="shared" si="23"/>
        <v/>
      </c>
    </row>
    <row r="740" spans="16:16" x14ac:dyDescent="0.3">
      <c r="P740" s="30" t="str">
        <f t="shared" si="23"/>
        <v/>
      </c>
    </row>
    <row r="741" spans="16:16" x14ac:dyDescent="0.3">
      <c r="P741" s="30" t="str">
        <f t="shared" si="23"/>
        <v/>
      </c>
    </row>
    <row r="742" spans="16:16" x14ac:dyDescent="0.3">
      <c r="P742" s="30" t="str">
        <f t="shared" si="23"/>
        <v/>
      </c>
    </row>
    <row r="743" spans="16:16" x14ac:dyDescent="0.3">
      <c r="P743" s="30" t="str">
        <f t="shared" si="23"/>
        <v/>
      </c>
    </row>
    <row r="744" spans="16:16" x14ac:dyDescent="0.3">
      <c r="P744" s="30" t="str">
        <f t="shared" si="23"/>
        <v/>
      </c>
    </row>
    <row r="745" spans="16:16" x14ac:dyDescent="0.3">
      <c r="P745" s="30" t="str">
        <f t="shared" si="23"/>
        <v/>
      </c>
    </row>
    <row r="746" spans="16:16" x14ac:dyDescent="0.3">
      <c r="P746" s="30" t="str">
        <f t="shared" si="23"/>
        <v/>
      </c>
    </row>
    <row r="747" spans="16:16" x14ac:dyDescent="0.3">
      <c r="P747" s="30" t="str">
        <f t="shared" si="23"/>
        <v/>
      </c>
    </row>
    <row r="748" spans="16:16" x14ac:dyDescent="0.3">
      <c r="P748" s="30" t="str">
        <f t="shared" si="23"/>
        <v/>
      </c>
    </row>
    <row r="749" spans="16:16" x14ac:dyDescent="0.3">
      <c r="P749" s="30" t="str">
        <f t="shared" si="23"/>
        <v/>
      </c>
    </row>
    <row r="750" spans="16:16" x14ac:dyDescent="0.3">
      <c r="P750" s="30" t="str">
        <f t="shared" si="23"/>
        <v/>
      </c>
    </row>
    <row r="751" spans="16:16" x14ac:dyDescent="0.3">
      <c r="P751" s="30" t="str">
        <f t="shared" si="23"/>
        <v/>
      </c>
    </row>
    <row r="752" spans="16:16" x14ac:dyDescent="0.3">
      <c r="P752" s="30" t="str">
        <f t="shared" si="23"/>
        <v/>
      </c>
    </row>
    <row r="753" spans="16:16" x14ac:dyDescent="0.3">
      <c r="P753" s="30" t="str">
        <f t="shared" si="23"/>
        <v/>
      </c>
    </row>
    <row r="754" spans="16:16" x14ac:dyDescent="0.3">
      <c r="P754" s="30" t="str">
        <f t="shared" si="23"/>
        <v/>
      </c>
    </row>
    <row r="755" spans="16:16" x14ac:dyDescent="0.3">
      <c r="P755" s="30" t="str">
        <f t="shared" si="23"/>
        <v/>
      </c>
    </row>
    <row r="756" spans="16:16" x14ac:dyDescent="0.3">
      <c r="P756" s="30" t="str">
        <f t="shared" si="23"/>
        <v/>
      </c>
    </row>
    <row r="757" spans="16:16" x14ac:dyDescent="0.3">
      <c r="P757" s="30" t="str">
        <f t="shared" si="23"/>
        <v/>
      </c>
    </row>
    <row r="758" spans="16:16" x14ac:dyDescent="0.3">
      <c r="P758" s="30" t="str">
        <f t="shared" si="23"/>
        <v/>
      </c>
    </row>
    <row r="759" spans="16:16" x14ac:dyDescent="0.3">
      <c r="P759" s="30" t="str">
        <f t="shared" si="23"/>
        <v/>
      </c>
    </row>
    <row r="760" spans="16:16" x14ac:dyDescent="0.3">
      <c r="P760" s="30" t="str">
        <f t="shared" si="23"/>
        <v/>
      </c>
    </row>
    <row r="761" spans="16:16" x14ac:dyDescent="0.3">
      <c r="P761" s="30" t="str">
        <f t="shared" si="23"/>
        <v/>
      </c>
    </row>
    <row r="762" spans="16:16" x14ac:dyDescent="0.3">
      <c r="P762" s="30" t="str">
        <f t="shared" si="23"/>
        <v/>
      </c>
    </row>
    <row r="763" spans="16:16" x14ac:dyDescent="0.3">
      <c r="P763" s="30" t="str">
        <f t="shared" si="23"/>
        <v/>
      </c>
    </row>
    <row r="764" spans="16:16" x14ac:dyDescent="0.3">
      <c r="P764" s="30" t="str">
        <f t="shared" si="23"/>
        <v/>
      </c>
    </row>
    <row r="765" spans="16:16" x14ac:dyDescent="0.3">
      <c r="P765" s="30" t="str">
        <f t="shared" si="23"/>
        <v/>
      </c>
    </row>
    <row r="766" spans="16:16" x14ac:dyDescent="0.3">
      <c r="P766" s="30" t="str">
        <f t="shared" si="23"/>
        <v/>
      </c>
    </row>
    <row r="767" spans="16:16" x14ac:dyDescent="0.3">
      <c r="P767" s="30" t="str">
        <f t="shared" si="23"/>
        <v/>
      </c>
    </row>
    <row r="768" spans="16:16" x14ac:dyDescent="0.3">
      <c r="P768" s="30" t="str">
        <f t="shared" si="23"/>
        <v/>
      </c>
    </row>
    <row r="769" spans="16:16" x14ac:dyDescent="0.3">
      <c r="P769" s="30" t="str">
        <f t="shared" si="23"/>
        <v/>
      </c>
    </row>
    <row r="770" spans="16:16" x14ac:dyDescent="0.3">
      <c r="P770" s="30" t="str">
        <f t="shared" si="23"/>
        <v/>
      </c>
    </row>
    <row r="771" spans="16:16" x14ac:dyDescent="0.3">
      <c r="P771" s="30" t="str">
        <f t="shared" si="23"/>
        <v/>
      </c>
    </row>
    <row r="772" spans="16:16" x14ac:dyDescent="0.3">
      <c r="P772" s="30" t="str">
        <f t="shared" ref="P772:P835" si="24">IF($J772="","",IF(ABS($J772)&lt;=2,"OK","FORA (|SDI|&gt;2)"))</f>
        <v/>
      </c>
    </row>
    <row r="773" spans="16:16" x14ac:dyDescent="0.3">
      <c r="P773" s="30" t="str">
        <f t="shared" si="24"/>
        <v/>
      </c>
    </row>
    <row r="774" spans="16:16" x14ac:dyDescent="0.3">
      <c r="P774" s="30" t="str">
        <f t="shared" si="24"/>
        <v/>
      </c>
    </row>
    <row r="775" spans="16:16" x14ac:dyDescent="0.3">
      <c r="P775" s="30" t="str">
        <f t="shared" si="24"/>
        <v/>
      </c>
    </row>
    <row r="776" spans="16:16" x14ac:dyDescent="0.3">
      <c r="P776" s="30" t="str">
        <f t="shared" si="24"/>
        <v/>
      </c>
    </row>
    <row r="777" spans="16:16" x14ac:dyDescent="0.3">
      <c r="P777" s="30" t="str">
        <f t="shared" si="24"/>
        <v/>
      </c>
    </row>
    <row r="778" spans="16:16" x14ac:dyDescent="0.3">
      <c r="P778" s="30" t="str">
        <f t="shared" si="24"/>
        <v/>
      </c>
    </row>
    <row r="779" spans="16:16" x14ac:dyDescent="0.3">
      <c r="P779" s="30" t="str">
        <f t="shared" si="24"/>
        <v/>
      </c>
    </row>
    <row r="780" spans="16:16" x14ac:dyDescent="0.3">
      <c r="P780" s="30" t="str">
        <f t="shared" si="24"/>
        <v/>
      </c>
    </row>
    <row r="781" spans="16:16" x14ac:dyDescent="0.3">
      <c r="P781" s="30" t="str">
        <f t="shared" si="24"/>
        <v/>
      </c>
    </row>
    <row r="782" spans="16:16" x14ac:dyDescent="0.3">
      <c r="P782" s="30" t="str">
        <f t="shared" si="24"/>
        <v/>
      </c>
    </row>
    <row r="783" spans="16:16" x14ac:dyDescent="0.3">
      <c r="P783" s="30" t="str">
        <f t="shared" si="24"/>
        <v/>
      </c>
    </row>
    <row r="784" spans="16:16" x14ac:dyDescent="0.3">
      <c r="P784" s="30" t="str">
        <f t="shared" si="24"/>
        <v/>
      </c>
    </row>
    <row r="785" spans="16:16" x14ac:dyDescent="0.3">
      <c r="P785" s="30" t="str">
        <f t="shared" si="24"/>
        <v/>
      </c>
    </row>
    <row r="786" spans="16:16" x14ac:dyDescent="0.3">
      <c r="P786" s="30" t="str">
        <f t="shared" si="24"/>
        <v/>
      </c>
    </row>
    <row r="787" spans="16:16" x14ac:dyDescent="0.3">
      <c r="P787" s="30" t="str">
        <f t="shared" si="24"/>
        <v/>
      </c>
    </row>
    <row r="788" spans="16:16" x14ac:dyDescent="0.3">
      <c r="P788" s="30" t="str">
        <f t="shared" si="24"/>
        <v/>
      </c>
    </row>
    <row r="789" spans="16:16" x14ac:dyDescent="0.3">
      <c r="P789" s="30" t="str">
        <f t="shared" si="24"/>
        <v/>
      </c>
    </row>
    <row r="790" spans="16:16" x14ac:dyDescent="0.3">
      <c r="P790" s="30" t="str">
        <f t="shared" si="24"/>
        <v/>
      </c>
    </row>
    <row r="791" spans="16:16" x14ac:dyDescent="0.3">
      <c r="P791" s="30" t="str">
        <f t="shared" si="24"/>
        <v/>
      </c>
    </row>
    <row r="792" spans="16:16" x14ac:dyDescent="0.3">
      <c r="P792" s="30" t="str">
        <f t="shared" si="24"/>
        <v/>
      </c>
    </row>
    <row r="793" spans="16:16" x14ac:dyDescent="0.3">
      <c r="P793" s="30" t="str">
        <f t="shared" si="24"/>
        <v/>
      </c>
    </row>
    <row r="794" spans="16:16" x14ac:dyDescent="0.3">
      <c r="P794" s="30" t="str">
        <f t="shared" si="24"/>
        <v/>
      </c>
    </row>
    <row r="795" spans="16:16" x14ac:dyDescent="0.3">
      <c r="P795" s="30" t="str">
        <f t="shared" si="24"/>
        <v/>
      </c>
    </row>
    <row r="796" spans="16:16" x14ac:dyDescent="0.3">
      <c r="P796" s="30" t="str">
        <f t="shared" si="24"/>
        <v/>
      </c>
    </row>
    <row r="797" spans="16:16" x14ac:dyDescent="0.3">
      <c r="P797" s="30" t="str">
        <f t="shared" si="24"/>
        <v/>
      </c>
    </row>
    <row r="798" spans="16:16" x14ac:dyDescent="0.3">
      <c r="P798" s="30" t="str">
        <f t="shared" si="24"/>
        <v/>
      </c>
    </row>
    <row r="799" spans="16:16" x14ac:dyDescent="0.3">
      <c r="P799" s="30" t="str">
        <f t="shared" si="24"/>
        <v/>
      </c>
    </row>
    <row r="800" spans="16:16" x14ac:dyDescent="0.3">
      <c r="P800" s="30" t="str">
        <f t="shared" si="24"/>
        <v/>
      </c>
    </row>
    <row r="801" spans="16:16" x14ac:dyDescent="0.3">
      <c r="P801" s="30" t="str">
        <f t="shared" si="24"/>
        <v/>
      </c>
    </row>
    <row r="802" spans="16:16" x14ac:dyDescent="0.3">
      <c r="P802" s="30" t="str">
        <f t="shared" si="24"/>
        <v/>
      </c>
    </row>
    <row r="803" spans="16:16" x14ac:dyDescent="0.3">
      <c r="P803" s="30" t="str">
        <f t="shared" si="24"/>
        <v/>
      </c>
    </row>
    <row r="804" spans="16:16" x14ac:dyDescent="0.3">
      <c r="P804" s="30" t="str">
        <f t="shared" si="24"/>
        <v/>
      </c>
    </row>
    <row r="805" spans="16:16" x14ac:dyDescent="0.3">
      <c r="P805" s="30" t="str">
        <f t="shared" si="24"/>
        <v/>
      </c>
    </row>
    <row r="806" spans="16:16" x14ac:dyDescent="0.3">
      <c r="P806" s="30" t="str">
        <f t="shared" si="24"/>
        <v/>
      </c>
    </row>
    <row r="807" spans="16:16" x14ac:dyDescent="0.3">
      <c r="P807" s="30" t="str">
        <f t="shared" si="24"/>
        <v/>
      </c>
    </row>
    <row r="808" spans="16:16" x14ac:dyDescent="0.3">
      <c r="P808" s="30" t="str">
        <f t="shared" si="24"/>
        <v/>
      </c>
    </row>
    <row r="809" spans="16:16" x14ac:dyDescent="0.3">
      <c r="P809" s="30" t="str">
        <f t="shared" si="24"/>
        <v/>
      </c>
    </row>
    <row r="810" spans="16:16" x14ac:dyDescent="0.3">
      <c r="P810" s="30" t="str">
        <f t="shared" si="24"/>
        <v/>
      </c>
    </row>
    <row r="811" spans="16:16" x14ac:dyDescent="0.3">
      <c r="P811" s="30" t="str">
        <f t="shared" si="24"/>
        <v/>
      </c>
    </row>
    <row r="812" spans="16:16" x14ac:dyDescent="0.3">
      <c r="P812" s="30" t="str">
        <f t="shared" si="24"/>
        <v/>
      </c>
    </row>
    <row r="813" spans="16:16" x14ac:dyDescent="0.3">
      <c r="P813" s="30" t="str">
        <f t="shared" si="24"/>
        <v/>
      </c>
    </row>
    <row r="814" spans="16:16" x14ac:dyDescent="0.3">
      <c r="P814" s="30" t="str">
        <f t="shared" si="24"/>
        <v/>
      </c>
    </row>
    <row r="815" spans="16:16" x14ac:dyDescent="0.3">
      <c r="P815" s="30" t="str">
        <f t="shared" si="24"/>
        <v/>
      </c>
    </row>
    <row r="816" spans="16:16" x14ac:dyDescent="0.3">
      <c r="P816" s="30" t="str">
        <f t="shared" si="24"/>
        <v/>
      </c>
    </row>
    <row r="817" spans="16:16" x14ac:dyDescent="0.3">
      <c r="P817" s="30" t="str">
        <f t="shared" si="24"/>
        <v/>
      </c>
    </row>
    <row r="818" spans="16:16" x14ac:dyDescent="0.3">
      <c r="P818" s="30" t="str">
        <f t="shared" si="24"/>
        <v/>
      </c>
    </row>
    <row r="819" spans="16:16" x14ac:dyDescent="0.3">
      <c r="P819" s="30" t="str">
        <f t="shared" si="24"/>
        <v/>
      </c>
    </row>
    <row r="820" spans="16:16" x14ac:dyDescent="0.3">
      <c r="P820" s="30" t="str">
        <f t="shared" si="24"/>
        <v/>
      </c>
    </row>
    <row r="821" spans="16:16" x14ac:dyDescent="0.3">
      <c r="P821" s="30" t="str">
        <f t="shared" si="24"/>
        <v/>
      </c>
    </row>
    <row r="822" spans="16:16" x14ac:dyDescent="0.3">
      <c r="P822" s="30" t="str">
        <f t="shared" si="24"/>
        <v/>
      </c>
    </row>
    <row r="823" spans="16:16" x14ac:dyDescent="0.3">
      <c r="P823" s="30" t="str">
        <f t="shared" si="24"/>
        <v/>
      </c>
    </row>
    <row r="824" spans="16:16" x14ac:dyDescent="0.3">
      <c r="P824" s="30" t="str">
        <f t="shared" si="24"/>
        <v/>
      </c>
    </row>
    <row r="825" spans="16:16" x14ac:dyDescent="0.3">
      <c r="P825" s="30" t="str">
        <f t="shared" si="24"/>
        <v/>
      </c>
    </row>
    <row r="826" spans="16:16" x14ac:dyDescent="0.3">
      <c r="P826" s="30" t="str">
        <f t="shared" si="24"/>
        <v/>
      </c>
    </row>
    <row r="827" spans="16:16" x14ac:dyDescent="0.3">
      <c r="P827" s="30" t="str">
        <f t="shared" si="24"/>
        <v/>
      </c>
    </row>
    <row r="828" spans="16:16" x14ac:dyDescent="0.3">
      <c r="P828" s="30" t="str">
        <f t="shared" si="24"/>
        <v/>
      </c>
    </row>
    <row r="829" spans="16:16" x14ac:dyDescent="0.3">
      <c r="P829" s="30" t="str">
        <f t="shared" si="24"/>
        <v/>
      </c>
    </row>
    <row r="830" spans="16:16" x14ac:dyDescent="0.3">
      <c r="P830" s="30" t="str">
        <f t="shared" si="24"/>
        <v/>
      </c>
    </row>
    <row r="831" spans="16:16" x14ac:dyDescent="0.3">
      <c r="P831" s="30" t="str">
        <f t="shared" si="24"/>
        <v/>
      </c>
    </row>
    <row r="832" spans="16:16" x14ac:dyDescent="0.3">
      <c r="P832" s="30" t="str">
        <f t="shared" si="24"/>
        <v/>
      </c>
    </row>
    <row r="833" spans="16:16" x14ac:dyDescent="0.3">
      <c r="P833" s="30" t="str">
        <f t="shared" si="24"/>
        <v/>
      </c>
    </row>
    <row r="834" spans="16:16" x14ac:dyDescent="0.3">
      <c r="P834" s="30" t="str">
        <f t="shared" si="24"/>
        <v/>
      </c>
    </row>
    <row r="835" spans="16:16" x14ac:dyDescent="0.3">
      <c r="P835" s="30" t="str">
        <f t="shared" si="24"/>
        <v/>
      </c>
    </row>
    <row r="836" spans="16:16" x14ac:dyDescent="0.3">
      <c r="P836" s="30" t="str">
        <f t="shared" ref="P836:P899" si="25">IF($J836="","",IF(ABS($J836)&lt;=2,"OK","FORA (|SDI|&gt;2)"))</f>
        <v/>
      </c>
    </row>
    <row r="837" spans="16:16" x14ac:dyDescent="0.3">
      <c r="P837" s="30" t="str">
        <f t="shared" si="25"/>
        <v/>
      </c>
    </row>
    <row r="838" spans="16:16" x14ac:dyDescent="0.3">
      <c r="P838" s="30" t="str">
        <f t="shared" si="25"/>
        <v/>
      </c>
    </row>
    <row r="839" spans="16:16" x14ac:dyDescent="0.3">
      <c r="P839" s="30" t="str">
        <f t="shared" si="25"/>
        <v/>
      </c>
    </row>
    <row r="840" spans="16:16" x14ac:dyDescent="0.3">
      <c r="P840" s="30" t="str">
        <f t="shared" si="25"/>
        <v/>
      </c>
    </row>
    <row r="841" spans="16:16" x14ac:dyDescent="0.3">
      <c r="P841" s="30" t="str">
        <f t="shared" si="25"/>
        <v/>
      </c>
    </row>
    <row r="842" spans="16:16" x14ac:dyDescent="0.3">
      <c r="P842" s="30" t="str">
        <f t="shared" si="25"/>
        <v/>
      </c>
    </row>
    <row r="843" spans="16:16" x14ac:dyDescent="0.3">
      <c r="P843" s="30" t="str">
        <f t="shared" si="25"/>
        <v/>
      </c>
    </row>
    <row r="844" spans="16:16" x14ac:dyDescent="0.3">
      <c r="P844" s="30" t="str">
        <f t="shared" si="25"/>
        <v/>
      </c>
    </row>
    <row r="845" spans="16:16" x14ac:dyDescent="0.3">
      <c r="P845" s="30" t="str">
        <f t="shared" si="25"/>
        <v/>
      </c>
    </row>
    <row r="846" spans="16:16" x14ac:dyDescent="0.3">
      <c r="P846" s="30" t="str">
        <f t="shared" si="25"/>
        <v/>
      </c>
    </row>
    <row r="847" spans="16:16" x14ac:dyDescent="0.3">
      <c r="P847" s="30" t="str">
        <f t="shared" si="25"/>
        <v/>
      </c>
    </row>
    <row r="848" spans="16:16" x14ac:dyDescent="0.3">
      <c r="P848" s="30" t="str">
        <f t="shared" si="25"/>
        <v/>
      </c>
    </row>
    <row r="849" spans="16:16" x14ac:dyDescent="0.3">
      <c r="P849" s="30" t="str">
        <f t="shared" si="25"/>
        <v/>
      </c>
    </row>
    <row r="850" spans="16:16" x14ac:dyDescent="0.3">
      <c r="P850" s="30" t="str">
        <f t="shared" si="25"/>
        <v/>
      </c>
    </row>
    <row r="851" spans="16:16" x14ac:dyDescent="0.3">
      <c r="P851" s="30" t="str">
        <f t="shared" si="25"/>
        <v/>
      </c>
    </row>
    <row r="852" spans="16:16" x14ac:dyDescent="0.3">
      <c r="P852" s="30" t="str">
        <f t="shared" si="25"/>
        <v/>
      </c>
    </row>
    <row r="853" spans="16:16" x14ac:dyDescent="0.3">
      <c r="P853" s="30" t="str">
        <f t="shared" si="25"/>
        <v/>
      </c>
    </row>
    <row r="854" spans="16:16" x14ac:dyDescent="0.3">
      <c r="P854" s="30" t="str">
        <f t="shared" si="25"/>
        <v/>
      </c>
    </row>
    <row r="855" spans="16:16" x14ac:dyDescent="0.3">
      <c r="P855" s="30" t="str">
        <f t="shared" si="25"/>
        <v/>
      </c>
    </row>
    <row r="856" spans="16:16" x14ac:dyDescent="0.3">
      <c r="P856" s="30" t="str">
        <f t="shared" si="25"/>
        <v/>
      </c>
    </row>
    <row r="857" spans="16:16" x14ac:dyDescent="0.3">
      <c r="P857" s="30" t="str">
        <f t="shared" si="25"/>
        <v/>
      </c>
    </row>
    <row r="858" spans="16:16" x14ac:dyDescent="0.3">
      <c r="P858" s="30" t="str">
        <f t="shared" si="25"/>
        <v/>
      </c>
    </row>
    <row r="859" spans="16:16" x14ac:dyDescent="0.3">
      <c r="P859" s="30" t="str">
        <f t="shared" si="25"/>
        <v/>
      </c>
    </row>
    <row r="860" spans="16:16" x14ac:dyDescent="0.3">
      <c r="P860" s="30" t="str">
        <f t="shared" si="25"/>
        <v/>
      </c>
    </row>
    <row r="861" spans="16:16" x14ac:dyDescent="0.3">
      <c r="P861" s="30" t="str">
        <f t="shared" si="25"/>
        <v/>
      </c>
    </row>
    <row r="862" spans="16:16" x14ac:dyDescent="0.3">
      <c r="P862" s="30" t="str">
        <f t="shared" si="25"/>
        <v/>
      </c>
    </row>
    <row r="863" spans="16:16" x14ac:dyDescent="0.3">
      <c r="P863" s="30" t="str">
        <f t="shared" si="25"/>
        <v/>
      </c>
    </row>
    <row r="864" spans="16:16" x14ac:dyDescent="0.3">
      <c r="P864" s="30" t="str">
        <f t="shared" si="25"/>
        <v/>
      </c>
    </row>
    <row r="865" spans="16:16" x14ac:dyDescent="0.3">
      <c r="P865" s="30" t="str">
        <f t="shared" si="25"/>
        <v/>
      </c>
    </row>
    <row r="866" spans="16:16" x14ac:dyDescent="0.3">
      <c r="P866" s="30" t="str">
        <f t="shared" si="25"/>
        <v/>
      </c>
    </row>
    <row r="867" spans="16:16" x14ac:dyDescent="0.3">
      <c r="P867" s="30" t="str">
        <f t="shared" si="25"/>
        <v/>
      </c>
    </row>
    <row r="868" spans="16:16" x14ac:dyDescent="0.3">
      <c r="P868" s="30" t="str">
        <f t="shared" si="25"/>
        <v/>
      </c>
    </row>
    <row r="869" spans="16:16" x14ac:dyDescent="0.3">
      <c r="P869" s="30" t="str">
        <f t="shared" si="25"/>
        <v/>
      </c>
    </row>
    <row r="870" spans="16:16" x14ac:dyDescent="0.3">
      <c r="P870" s="30" t="str">
        <f t="shared" si="25"/>
        <v/>
      </c>
    </row>
    <row r="871" spans="16:16" x14ac:dyDescent="0.3">
      <c r="P871" s="30" t="str">
        <f t="shared" si="25"/>
        <v/>
      </c>
    </row>
    <row r="872" spans="16:16" x14ac:dyDescent="0.3">
      <c r="P872" s="30" t="str">
        <f t="shared" si="25"/>
        <v/>
      </c>
    </row>
    <row r="873" spans="16:16" x14ac:dyDescent="0.3">
      <c r="P873" s="30" t="str">
        <f t="shared" si="25"/>
        <v/>
      </c>
    </row>
    <row r="874" spans="16:16" x14ac:dyDescent="0.3">
      <c r="P874" s="30" t="str">
        <f t="shared" si="25"/>
        <v/>
      </c>
    </row>
    <row r="875" spans="16:16" x14ac:dyDescent="0.3">
      <c r="P875" s="30" t="str">
        <f t="shared" si="25"/>
        <v/>
      </c>
    </row>
    <row r="876" spans="16:16" x14ac:dyDescent="0.3">
      <c r="P876" s="30" t="str">
        <f t="shared" si="25"/>
        <v/>
      </c>
    </row>
    <row r="877" spans="16:16" x14ac:dyDescent="0.3">
      <c r="P877" s="30" t="str">
        <f t="shared" si="25"/>
        <v/>
      </c>
    </row>
    <row r="878" spans="16:16" x14ac:dyDescent="0.3">
      <c r="P878" s="30" t="str">
        <f t="shared" si="25"/>
        <v/>
      </c>
    </row>
    <row r="879" spans="16:16" x14ac:dyDescent="0.3">
      <c r="P879" s="30" t="str">
        <f t="shared" si="25"/>
        <v/>
      </c>
    </row>
    <row r="880" spans="16:16" x14ac:dyDescent="0.3">
      <c r="P880" s="30" t="str">
        <f t="shared" si="25"/>
        <v/>
      </c>
    </row>
    <row r="881" spans="16:16" x14ac:dyDescent="0.3">
      <c r="P881" s="30" t="str">
        <f t="shared" si="25"/>
        <v/>
      </c>
    </row>
    <row r="882" spans="16:16" x14ac:dyDescent="0.3">
      <c r="P882" s="30" t="str">
        <f t="shared" si="25"/>
        <v/>
      </c>
    </row>
    <row r="883" spans="16:16" x14ac:dyDescent="0.3">
      <c r="P883" s="30" t="str">
        <f t="shared" si="25"/>
        <v/>
      </c>
    </row>
    <row r="884" spans="16:16" x14ac:dyDescent="0.3">
      <c r="P884" s="30" t="str">
        <f t="shared" si="25"/>
        <v/>
      </c>
    </row>
    <row r="885" spans="16:16" x14ac:dyDescent="0.3">
      <c r="P885" s="30" t="str">
        <f t="shared" si="25"/>
        <v/>
      </c>
    </row>
    <row r="886" spans="16:16" x14ac:dyDescent="0.3">
      <c r="P886" s="30" t="str">
        <f t="shared" si="25"/>
        <v/>
      </c>
    </row>
    <row r="887" spans="16:16" x14ac:dyDescent="0.3">
      <c r="P887" s="30" t="str">
        <f t="shared" si="25"/>
        <v/>
      </c>
    </row>
    <row r="888" spans="16:16" x14ac:dyDescent="0.3">
      <c r="P888" s="30" t="str">
        <f t="shared" si="25"/>
        <v/>
      </c>
    </row>
    <row r="889" spans="16:16" x14ac:dyDescent="0.3">
      <c r="P889" s="30" t="str">
        <f t="shared" si="25"/>
        <v/>
      </c>
    </row>
    <row r="890" spans="16:16" x14ac:dyDescent="0.3">
      <c r="P890" s="30" t="str">
        <f t="shared" si="25"/>
        <v/>
      </c>
    </row>
    <row r="891" spans="16:16" x14ac:dyDescent="0.3">
      <c r="P891" s="30" t="str">
        <f t="shared" si="25"/>
        <v/>
      </c>
    </row>
    <row r="892" spans="16:16" x14ac:dyDescent="0.3">
      <c r="P892" s="30" t="str">
        <f t="shared" si="25"/>
        <v/>
      </c>
    </row>
    <row r="893" spans="16:16" x14ac:dyDescent="0.3">
      <c r="P893" s="30" t="str">
        <f t="shared" si="25"/>
        <v/>
      </c>
    </row>
    <row r="894" spans="16:16" x14ac:dyDescent="0.3">
      <c r="P894" s="30" t="str">
        <f t="shared" si="25"/>
        <v/>
      </c>
    </row>
    <row r="895" spans="16:16" x14ac:dyDescent="0.3">
      <c r="P895" s="30" t="str">
        <f t="shared" si="25"/>
        <v/>
      </c>
    </row>
    <row r="896" spans="16:16" x14ac:dyDescent="0.3">
      <c r="P896" s="30" t="str">
        <f t="shared" si="25"/>
        <v/>
      </c>
    </row>
    <row r="897" spans="16:16" x14ac:dyDescent="0.3">
      <c r="P897" s="30" t="str">
        <f t="shared" si="25"/>
        <v/>
      </c>
    </row>
    <row r="898" spans="16:16" x14ac:dyDescent="0.3">
      <c r="P898" s="30" t="str">
        <f t="shared" si="25"/>
        <v/>
      </c>
    </row>
    <row r="899" spans="16:16" x14ac:dyDescent="0.3">
      <c r="P899" s="30" t="str">
        <f t="shared" si="25"/>
        <v/>
      </c>
    </row>
    <row r="900" spans="16:16" x14ac:dyDescent="0.3">
      <c r="P900" s="30" t="str">
        <f t="shared" ref="P900:P963" si="26">IF($J900="","",IF(ABS($J900)&lt;=2,"OK","FORA (|SDI|&gt;2)"))</f>
        <v/>
      </c>
    </row>
    <row r="901" spans="16:16" x14ac:dyDescent="0.3">
      <c r="P901" s="30" t="str">
        <f t="shared" si="26"/>
        <v/>
      </c>
    </row>
    <row r="902" spans="16:16" x14ac:dyDescent="0.3">
      <c r="P902" s="30" t="str">
        <f t="shared" si="26"/>
        <v/>
      </c>
    </row>
    <row r="903" spans="16:16" x14ac:dyDescent="0.3">
      <c r="P903" s="30" t="str">
        <f t="shared" si="26"/>
        <v/>
      </c>
    </row>
    <row r="904" spans="16:16" x14ac:dyDescent="0.3">
      <c r="P904" s="30" t="str">
        <f t="shared" si="26"/>
        <v/>
      </c>
    </row>
    <row r="905" spans="16:16" x14ac:dyDescent="0.3">
      <c r="P905" s="30" t="str">
        <f t="shared" si="26"/>
        <v/>
      </c>
    </row>
    <row r="906" spans="16:16" x14ac:dyDescent="0.3">
      <c r="P906" s="30" t="str">
        <f t="shared" si="26"/>
        <v/>
      </c>
    </row>
    <row r="907" spans="16:16" x14ac:dyDescent="0.3">
      <c r="P907" s="30" t="str">
        <f t="shared" si="26"/>
        <v/>
      </c>
    </row>
    <row r="908" spans="16:16" x14ac:dyDescent="0.3">
      <c r="P908" s="30" t="str">
        <f t="shared" si="26"/>
        <v/>
      </c>
    </row>
    <row r="909" spans="16:16" x14ac:dyDescent="0.3">
      <c r="P909" s="30" t="str">
        <f t="shared" si="26"/>
        <v/>
      </c>
    </row>
    <row r="910" spans="16:16" x14ac:dyDescent="0.3">
      <c r="P910" s="30" t="str">
        <f t="shared" si="26"/>
        <v/>
      </c>
    </row>
    <row r="911" spans="16:16" x14ac:dyDescent="0.3">
      <c r="P911" s="30" t="str">
        <f t="shared" si="26"/>
        <v/>
      </c>
    </row>
    <row r="912" spans="16:16" x14ac:dyDescent="0.3">
      <c r="P912" s="30" t="str">
        <f t="shared" si="26"/>
        <v/>
      </c>
    </row>
    <row r="913" spans="16:16" x14ac:dyDescent="0.3">
      <c r="P913" s="30" t="str">
        <f t="shared" si="26"/>
        <v/>
      </c>
    </row>
    <row r="914" spans="16:16" x14ac:dyDescent="0.3">
      <c r="P914" s="30" t="str">
        <f t="shared" si="26"/>
        <v/>
      </c>
    </row>
    <row r="915" spans="16:16" x14ac:dyDescent="0.3">
      <c r="P915" s="30" t="str">
        <f t="shared" si="26"/>
        <v/>
      </c>
    </row>
    <row r="916" spans="16:16" x14ac:dyDescent="0.3">
      <c r="P916" s="30" t="str">
        <f t="shared" si="26"/>
        <v/>
      </c>
    </row>
    <row r="917" spans="16:16" x14ac:dyDescent="0.3">
      <c r="P917" s="30" t="str">
        <f t="shared" si="26"/>
        <v/>
      </c>
    </row>
    <row r="918" spans="16:16" x14ac:dyDescent="0.3">
      <c r="P918" s="30" t="str">
        <f t="shared" si="26"/>
        <v/>
      </c>
    </row>
    <row r="919" spans="16:16" x14ac:dyDescent="0.3">
      <c r="P919" s="30" t="str">
        <f t="shared" si="26"/>
        <v/>
      </c>
    </row>
    <row r="920" spans="16:16" x14ac:dyDescent="0.3">
      <c r="P920" s="30" t="str">
        <f t="shared" si="26"/>
        <v/>
      </c>
    </row>
    <row r="921" spans="16:16" x14ac:dyDescent="0.3">
      <c r="P921" s="30" t="str">
        <f t="shared" si="26"/>
        <v/>
      </c>
    </row>
    <row r="922" spans="16:16" x14ac:dyDescent="0.3">
      <c r="P922" s="30" t="str">
        <f t="shared" si="26"/>
        <v/>
      </c>
    </row>
    <row r="923" spans="16:16" x14ac:dyDescent="0.3">
      <c r="P923" s="30" t="str">
        <f t="shared" si="26"/>
        <v/>
      </c>
    </row>
    <row r="924" spans="16:16" x14ac:dyDescent="0.3">
      <c r="P924" s="30" t="str">
        <f t="shared" si="26"/>
        <v/>
      </c>
    </row>
    <row r="925" spans="16:16" x14ac:dyDescent="0.3">
      <c r="P925" s="30" t="str">
        <f t="shared" si="26"/>
        <v/>
      </c>
    </row>
    <row r="926" spans="16:16" x14ac:dyDescent="0.3">
      <c r="P926" s="30" t="str">
        <f t="shared" si="26"/>
        <v/>
      </c>
    </row>
    <row r="927" spans="16:16" x14ac:dyDescent="0.3">
      <c r="P927" s="30" t="str">
        <f t="shared" si="26"/>
        <v/>
      </c>
    </row>
    <row r="928" spans="16:16" x14ac:dyDescent="0.3">
      <c r="P928" s="30" t="str">
        <f t="shared" si="26"/>
        <v/>
      </c>
    </row>
    <row r="929" spans="16:16" x14ac:dyDescent="0.3">
      <c r="P929" s="30" t="str">
        <f t="shared" si="26"/>
        <v/>
      </c>
    </row>
    <row r="930" spans="16:16" x14ac:dyDescent="0.3">
      <c r="P930" s="30" t="str">
        <f t="shared" si="26"/>
        <v/>
      </c>
    </row>
    <row r="931" spans="16:16" x14ac:dyDescent="0.3">
      <c r="P931" s="30" t="str">
        <f t="shared" si="26"/>
        <v/>
      </c>
    </row>
    <row r="932" spans="16:16" x14ac:dyDescent="0.3">
      <c r="P932" s="30" t="str">
        <f t="shared" si="26"/>
        <v/>
      </c>
    </row>
    <row r="933" spans="16:16" x14ac:dyDescent="0.3">
      <c r="P933" s="30" t="str">
        <f t="shared" si="26"/>
        <v/>
      </c>
    </row>
    <row r="934" spans="16:16" x14ac:dyDescent="0.3">
      <c r="P934" s="30" t="str">
        <f t="shared" si="26"/>
        <v/>
      </c>
    </row>
    <row r="935" spans="16:16" x14ac:dyDescent="0.3">
      <c r="P935" s="30" t="str">
        <f t="shared" si="26"/>
        <v/>
      </c>
    </row>
    <row r="936" spans="16:16" x14ac:dyDescent="0.3">
      <c r="P936" s="30" t="str">
        <f t="shared" si="26"/>
        <v/>
      </c>
    </row>
    <row r="937" spans="16:16" x14ac:dyDescent="0.3">
      <c r="P937" s="30" t="str">
        <f t="shared" si="26"/>
        <v/>
      </c>
    </row>
    <row r="938" spans="16:16" x14ac:dyDescent="0.3">
      <c r="P938" s="30" t="str">
        <f t="shared" si="26"/>
        <v/>
      </c>
    </row>
    <row r="939" spans="16:16" x14ac:dyDescent="0.3">
      <c r="P939" s="30" t="str">
        <f t="shared" si="26"/>
        <v/>
      </c>
    </row>
    <row r="940" spans="16:16" x14ac:dyDescent="0.3">
      <c r="P940" s="30" t="str">
        <f t="shared" si="26"/>
        <v/>
      </c>
    </row>
    <row r="941" spans="16:16" x14ac:dyDescent="0.3">
      <c r="P941" s="30" t="str">
        <f t="shared" si="26"/>
        <v/>
      </c>
    </row>
    <row r="942" spans="16:16" x14ac:dyDescent="0.3">
      <c r="P942" s="30" t="str">
        <f t="shared" si="26"/>
        <v/>
      </c>
    </row>
    <row r="943" spans="16:16" x14ac:dyDescent="0.3">
      <c r="P943" s="30" t="str">
        <f t="shared" si="26"/>
        <v/>
      </c>
    </row>
    <row r="944" spans="16:16" x14ac:dyDescent="0.3">
      <c r="P944" s="30" t="str">
        <f t="shared" si="26"/>
        <v/>
      </c>
    </row>
    <row r="945" spans="16:16" x14ac:dyDescent="0.3">
      <c r="P945" s="30" t="str">
        <f t="shared" si="26"/>
        <v/>
      </c>
    </row>
    <row r="946" spans="16:16" x14ac:dyDescent="0.3">
      <c r="P946" s="30" t="str">
        <f t="shared" si="26"/>
        <v/>
      </c>
    </row>
    <row r="947" spans="16:16" x14ac:dyDescent="0.3">
      <c r="P947" s="30" t="str">
        <f t="shared" si="26"/>
        <v/>
      </c>
    </row>
    <row r="948" spans="16:16" x14ac:dyDescent="0.3">
      <c r="P948" s="30" t="str">
        <f t="shared" si="26"/>
        <v/>
      </c>
    </row>
    <row r="949" spans="16:16" x14ac:dyDescent="0.3">
      <c r="P949" s="30" t="str">
        <f t="shared" si="26"/>
        <v/>
      </c>
    </row>
    <row r="950" spans="16:16" x14ac:dyDescent="0.3">
      <c r="P950" s="30" t="str">
        <f t="shared" si="26"/>
        <v/>
      </c>
    </row>
    <row r="951" spans="16:16" x14ac:dyDescent="0.3">
      <c r="P951" s="30" t="str">
        <f t="shared" si="26"/>
        <v/>
      </c>
    </row>
    <row r="952" spans="16:16" x14ac:dyDescent="0.3">
      <c r="P952" s="30" t="str">
        <f t="shared" si="26"/>
        <v/>
      </c>
    </row>
    <row r="953" spans="16:16" x14ac:dyDescent="0.3">
      <c r="P953" s="30" t="str">
        <f t="shared" si="26"/>
        <v/>
      </c>
    </row>
    <row r="954" spans="16:16" x14ac:dyDescent="0.3">
      <c r="P954" s="30" t="str">
        <f t="shared" si="26"/>
        <v/>
      </c>
    </row>
    <row r="955" spans="16:16" x14ac:dyDescent="0.3">
      <c r="P955" s="30" t="str">
        <f t="shared" si="26"/>
        <v/>
      </c>
    </row>
    <row r="956" spans="16:16" x14ac:dyDescent="0.3">
      <c r="P956" s="30" t="str">
        <f t="shared" si="26"/>
        <v/>
      </c>
    </row>
    <row r="957" spans="16:16" x14ac:dyDescent="0.3">
      <c r="P957" s="30" t="str">
        <f t="shared" si="26"/>
        <v/>
      </c>
    </row>
    <row r="958" spans="16:16" x14ac:dyDescent="0.3">
      <c r="P958" s="30" t="str">
        <f t="shared" si="26"/>
        <v/>
      </c>
    </row>
    <row r="959" spans="16:16" x14ac:dyDescent="0.3">
      <c r="P959" s="30" t="str">
        <f t="shared" si="26"/>
        <v/>
      </c>
    </row>
    <row r="960" spans="16:16" x14ac:dyDescent="0.3">
      <c r="P960" s="30" t="str">
        <f t="shared" si="26"/>
        <v/>
      </c>
    </row>
    <row r="961" spans="16:16" x14ac:dyDescent="0.3">
      <c r="P961" s="30" t="str">
        <f t="shared" si="26"/>
        <v/>
      </c>
    </row>
    <row r="962" spans="16:16" x14ac:dyDescent="0.3">
      <c r="P962" s="30" t="str">
        <f t="shared" si="26"/>
        <v/>
      </c>
    </row>
    <row r="963" spans="16:16" x14ac:dyDescent="0.3">
      <c r="P963" s="30" t="str">
        <f t="shared" si="26"/>
        <v/>
      </c>
    </row>
    <row r="964" spans="16:16" x14ac:dyDescent="0.3">
      <c r="P964" s="30" t="str">
        <f t="shared" ref="P964:P1003" si="27">IF($J964="","",IF(ABS($J964)&lt;=2,"OK","FORA (|SDI|&gt;2)"))</f>
        <v/>
      </c>
    </row>
    <row r="965" spans="16:16" x14ac:dyDescent="0.3">
      <c r="P965" s="30" t="str">
        <f t="shared" si="27"/>
        <v/>
      </c>
    </row>
    <row r="966" spans="16:16" x14ac:dyDescent="0.3">
      <c r="P966" s="30" t="str">
        <f t="shared" si="27"/>
        <v/>
      </c>
    </row>
    <row r="967" spans="16:16" x14ac:dyDescent="0.3">
      <c r="P967" s="30" t="str">
        <f t="shared" si="27"/>
        <v/>
      </c>
    </row>
    <row r="968" spans="16:16" x14ac:dyDescent="0.3">
      <c r="P968" s="30" t="str">
        <f t="shared" si="27"/>
        <v/>
      </c>
    </row>
    <row r="969" spans="16:16" x14ac:dyDescent="0.3">
      <c r="P969" s="30" t="str">
        <f t="shared" si="27"/>
        <v/>
      </c>
    </row>
    <row r="970" spans="16:16" x14ac:dyDescent="0.3">
      <c r="P970" s="30" t="str">
        <f t="shared" si="27"/>
        <v/>
      </c>
    </row>
    <row r="971" spans="16:16" x14ac:dyDescent="0.3">
      <c r="P971" s="30" t="str">
        <f t="shared" si="27"/>
        <v/>
      </c>
    </row>
    <row r="972" spans="16:16" x14ac:dyDescent="0.3">
      <c r="P972" s="30" t="str">
        <f t="shared" si="27"/>
        <v/>
      </c>
    </row>
    <row r="973" spans="16:16" x14ac:dyDescent="0.3">
      <c r="P973" s="30" t="str">
        <f t="shared" si="27"/>
        <v/>
      </c>
    </row>
    <row r="974" spans="16:16" x14ac:dyDescent="0.3">
      <c r="P974" s="30" t="str">
        <f t="shared" si="27"/>
        <v/>
      </c>
    </row>
    <row r="975" spans="16:16" x14ac:dyDescent="0.3">
      <c r="P975" s="30" t="str">
        <f t="shared" si="27"/>
        <v/>
      </c>
    </row>
    <row r="976" spans="16:16" x14ac:dyDescent="0.3">
      <c r="P976" s="30" t="str">
        <f t="shared" si="27"/>
        <v/>
      </c>
    </row>
    <row r="977" spans="16:16" x14ac:dyDescent="0.3">
      <c r="P977" s="30" t="str">
        <f t="shared" si="27"/>
        <v/>
      </c>
    </row>
    <row r="978" spans="16:16" x14ac:dyDescent="0.3">
      <c r="P978" s="30" t="str">
        <f t="shared" si="27"/>
        <v/>
      </c>
    </row>
    <row r="979" spans="16:16" x14ac:dyDescent="0.3">
      <c r="P979" s="30" t="str">
        <f t="shared" si="27"/>
        <v/>
      </c>
    </row>
    <row r="980" spans="16:16" x14ac:dyDescent="0.3">
      <c r="P980" s="30" t="str">
        <f t="shared" si="27"/>
        <v/>
      </c>
    </row>
    <row r="981" spans="16:16" x14ac:dyDescent="0.3">
      <c r="P981" s="30" t="str">
        <f t="shared" si="27"/>
        <v/>
      </c>
    </row>
    <row r="982" spans="16:16" x14ac:dyDescent="0.3">
      <c r="P982" s="30" t="str">
        <f t="shared" si="27"/>
        <v/>
      </c>
    </row>
    <row r="983" spans="16:16" x14ac:dyDescent="0.3">
      <c r="P983" s="30" t="str">
        <f t="shared" si="27"/>
        <v/>
      </c>
    </row>
    <row r="984" spans="16:16" x14ac:dyDescent="0.3">
      <c r="P984" s="30" t="str">
        <f t="shared" si="27"/>
        <v/>
      </c>
    </row>
    <row r="985" spans="16:16" x14ac:dyDescent="0.3">
      <c r="P985" s="30" t="str">
        <f t="shared" si="27"/>
        <v/>
      </c>
    </row>
    <row r="986" spans="16:16" x14ac:dyDescent="0.3">
      <c r="P986" s="30" t="str">
        <f t="shared" si="27"/>
        <v/>
      </c>
    </row>
    <row r="987" spans="16:16" x14ac:dyDescent="0.3">
      <c r="P987" s="30" t="str">
        <f t="shared" si="27"/>
        <v/>
      </c>
    </row>
    <row r="988" spans="16:16" x14ac:dyDescent="0.3">
      <c r="P988" s="30" t="str">
        <f t="shared" si="27"/>
        <v/>
      </c>
    </row>
    <row r="989" spans="16:16" x14ac:dyDescent="0.3">
      <c r="P989" s="30" t="str">
        <f t="shared" si="27"/>
        <v/>
      </c>
    </row>
    <row r="990" spans="16:16" x14ac:dyDescent="0.3">
      <c r="P990" s="30" t="str">
        <f t="shared" si="27"/>
        <v/>
      </c>
    </row>
    <row r="991" spans="16:16" x14ac:dyDescent="0.3">
      <c r="P991" s="30" t="str">
        <f t="shared" si="27"/>
        <v/>
      </c>
    </row>
    <row r="992" spans="16:16" x14ac:dyDescent="0.3">
      <c r="P992" s="30" t="str">
        <f t="shared" si="27"/>
        <v/>
      </c>
    </row>
    <row r="993" spans="16:16" x14ac:dyDescent="0.3">
      <c r="P993" s="30" t="str">
        <f t="shared" si="27"/>
        <v/>
      </c>
    </row>
    <row r="994" spans="16:16" x14ac:dyDescent="0.3">
      <c r="P994" s="30" t="str">
        <f t="shared" si="27"/>
        <v/>
      </c>
    </row>
    <row r="995" spans="16:16" x14ac:dyDescent="0.3">
      <c r="P995" s="30" t="str">
        <f t="shared" si="27"/>
        <v/>
      </c>
    </row>
    <row r="996" spans="16:16" x14ac:dyDescent="0.3">
      <c r="P996" s="30" t="str">
        <f t="shared" si="27"/>
        <v/>
      </c>
    </row>
    <row r="997" spans="16:16" x14ac:dyDescent="0.3">
      <c r="P997" s="30" t="str">
        <f t="shared" si="27"/>
        <v/>
      </c>
    </row>
    <row r="998" spans="16:16" x14ac:dyDescent="0.3">
      <c r="P998" s="30" t="str">
        <f t="shared" si="27"/>
        <v/>
      </c>
    </row>
    <row r="999" spans="16:16" x14ac:dyDescent="0.3">
      <c r="P999" s="30" t="str">
        <f t="shared" si="27"/>
        <v/>
      </c>
    </row>
    <row r="1000" spans="16:16" x14ac:dyDescent="0.3">
      <c r="P1000" s="30" t="str">
        <f t="shared" si="27"/>
        <v/>
      </c>
    </row>
    <row r="1001" spans="16:16" x14ac:dyDescent="0.3">
      <c r="P1001" s="30" t="str">
        <f t="shared" si="27"/>
        <v/>
      </c>
    </row>
    <row r="1002" spans="16:16" x14ac:dyDescent="0.3">
      <c r="P1002" s="30" t="str">
        <f t="shared" si="27"/>
        <v/>
      </c>
    </row>
    <row r="1003" spans="16:16" x14ac:dyDescent="0.3">
      <c r="P1003" s="30" t="str">
        <f t="shared" si="27"/>
        <v/>
      </c>
    </row>
  </sheetData>
  <sheetProtection algorithmName="SHA-512" hashValue="uBZtn1C0rRvrLXYoNVEy+UUxlwTql5hkPNcS7WloH+axHXI3+j4ZLxUr2+IDrGShh9He+tiRfMzH+neVghSTMw==" saltValue="cRCzKXBo0Yp/LoUc/sa3BQ==" spinCount="100000" sheet="1" scenarios="1"/>
  <mergeCells count="2">
    <mergeCell ref="A1:O1"/>
    <mergeCell ref="A2:O2"/>
  </mergeCells>
  <conditionalFormatting sqref="M4:M1003">
    <cfRule type="cellIs" dxfId="42" priority="1" operator="equal">
      <formula>"OK"</formula>
    </cfRule>
    <cfRule type="cellIs" dxfId="41" priority="2" operator="equal">
      <formula>"OK-BIAS"</formula>
    </cfRule>
    <cfRule type="cellIs" dxfId="40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66F1-6194-4B62-88A6-1938A802E99A}">
  <sheetPr codeName="Planilha25"/>
  <dimension ref="A1:P11"/>
  <sheetViews>
    <sheetView workbookViewId="0"/>
  </sheetViews>
  <sheetFormatPr defaultRowHeight="14.4" x14ac:dyDescent="0.3"/>
  <cols>
    <col min="1" max="1" width="12.33203125" customWidth="1"/>
    <col min="2" max="2" width="12.6640625" customWidth="1"/>
    <col min="3" max="3" width="24.77734375" customWidth="1"/>
    <col min="4" max="4" width="30.77734375" customWidth="1"/>
    <col min="5" max="5" width="12.77734375" customWidth="1"/>
    <col min="6" max="6" width="14.109375" customWidth="1"/>
    <col min="7" max="7" width="46.77734375" customWidth="1"/>
    <col min="8" max="8" width="34.77734375" customWidth="1"/>
    <col min="9" max="9" width="22.77734375" customWidth="1"/>
    <col min="10" max="16" width="8.77734375" customWidth="1"/>
  </cols>
  <sheetData>
    <row r="1" spans="1:16" ht="17.399999999999999" x14ac:dyDescent="0.35">
      <c r="A1" s="178" t="s">
        <v>1157</v>
      </c>
      <c r="B1" t="str">
        <f>IF(AND(NOT(ISNUMBER(Painel!$V$10)),NOT(ISNUMBER(Painel!$V$11))),"",MIN(IF(ISNUMBER(Painel!$V$10),Painel!$V$10,9E+99),IF(ISNUMBER(Painel!$V$11),Painel!$V$11,9E+99)))</f>
        <v/>
      </c>
      <c r="C1" s="130" t="s">
        <v>1158</v>
      </c>
      <c r="D1" t="str">
        <f>mPlanoQC.RegrasImplementadas()</f>
        <v>1_3s / 2_2s / R_4s / 4_1s / 8x</v>
      </c>
    </row>
    <row r="2" spans="1:16" x14ac:dyDescent="0.3">
      <c r="A2" s="140" t="s">
        <v>1165</v>
      </c>
      <c r="B2">
        <f>IF(NOT(ISNUMBER($B$1)),0,SUMPRODUCT(($A$4:$A$8&lt;=$B$1)*($B$4:$B$8&gt;$B$1)*ROW($A$4:$A$8))-3)</f>
        <v>0</v>
      </c>
      <c r="J2" s="130" t="s">
        <v>1164</v>
      </c>
    </row>
    <row r="3" spans="1:16" ht="31.95" customHeight="1" x14ac:dyDescent="0.3">
      <c r="A3" s="132" t="s">
        <v>1107</v>
      </c>
      <c r="B3" s="132" t="s">
        <v>1108</v>
      </c>
      <c r="C3" s="132" t="s">
        <v>1109</v>
      </c>
      <c r="D3" s="132" t="s">
        <v>1110</v>
      </c>
      <c r="E3" s="132" t="s">
        <v>1111</v>
      </c>
      <c r="F3" s="132" t="s">
        <v>1112</v>
      </c>
      <c r="G3" s="132" t="s">
        <v>1113</v>
      </c>
      <c r="H3" s="132" t="s">
        <v>1114</v>
      </c>
      <c r="I3" s="132" t="s">
        <v>1159</v>
      </c>
      <c r="J3" s="132" t="s">
        <v>222</v>
      </c>
      <c r="K3" s="132" t="s">
        <v>223</v>
      </c>
      <c r="L3" s="132" t="s">
        <v>224</v>
      </c>
      <c r="M3" s="132" t="s">
        <v>225</v>
      </c>
      <c r="N3" s="132" t="s">
        <v>1162</v>
      </c>
      <c r="O3" s="132" t="s">
        <v>226</v>
      </c>
      <c r="P3" s="132" t="s">
        <v>1163</v>
      </c>
    </row>
    <row r="4" spans="1:16" x14ac:dyDescent="0.3">
      <c r="A4">
        <v>6</v>
      </c>
      <c r="B4">
        <v>999</v>
      </c>
      <c r="C4" t="s">
        <v>419</v>
      </c>
      <c r="D4" t="s">
        <v>1115</v>
      </c>
      <c r="E4">
        <v>2</v>
      </c>
      <c r="F4">
        <v>1000</v>
      </c>
      <c r="G4" t="s">
        <v>1116</v>
      </c>
      <c r="H4" t="s">
        <v>1117</v>
      </c>
      <c r="I4" t="s">
        <v>1160</v>
      </c>
      <c r="J4">
        <f>IF(ISNUMBER(SEARCH("1_3s",IF($D4="",$D$1,$D4))),1,0)</f>
        <v>1</v>
      </c>
      <c r="K4">
        <f>IF(ISNUMBER(SEARCH("2_2s",IF($D4="",$D$1,$D4))),1,0)</f>
        <v>0</v>
      </c>
      <c r="L4">
        <f>IF(ISNUMBER(SEARCH("R_4s",IF($D4="",$D$1,$D4))),1,0)</f>
        <v>0</v>
      </c>
      <c r="M4">
        <f>IF(ISNUMBER(SEARCH("4_1s",IF($D4="",$D$1,$D4))),1,0)</f>
        <v>0</v>
      </c>
      <c r="N4">
        <f>IF(ISNUMBER(SEARCH("6x",IF($D4="",$D$1,$D4))),1,0)</f>
        <v>0</v>
      </c>
      <c r="O4">
        <f>IF(ISNUMBER(SEARCH("8x",IF($D4="",$D$1,$D4))),1,0)</f>
        <v>0</v>
      </c>
      <c r="P4">
        <f>IF(ISNUMBER(SEARCH("10x",IF($D4="",$D$1,$D4))),1,0)</f>
        <v>0</v>
      </c>
    </row>
    <row r="5" spans="1:16" x14ac:dyDescent="0.3">
      <c r="A5">
        <v>5</v>
      </c>
      <c r="B5">
        <v>6</v>
      </c>
      <c r="C5" t="s">
        <v>420</v>
      </c>
      <c r="D5" t="s">
        <v>1118</v>
      </c>
      <c r="E5">
        <v>2</v>
      </c>
      <c r="F5">
        <v>450</v>
      </c>
      <c r="G5" t="s">
        <v>1119</v>
      </c>
      <c r="H5" t="s">
        <v>1117</v>
      </c>
      <c r="I5" t="s">
        <v>1160</v>
      </c>
      <c r="J5">
        <f>IF(ISNUMBER(SEARCH("1_3s",IF($D5="",$D$1,$D5))),1,0)</f>
        <v>1</v>
      </c>
      <c r="K5">
        <f>IF(ISNUMBER(SEARCH("2_2s",IF($D5="",$D$1,$D5))),1,0)</f>
        <v>1</v>
      </c>
      <c r="L5">
        <f>IF(ISNUMBER(SEARCH("R_4s",IF($D5="",$D$1,$D5))),1,0)</f>
        <v>1</v>
      </c>
      <c r="M5">
        <f>IF(ISNUMBER(SEARCH("4_1s",IF($D5="",$D$1,$D5))),1,0)</f>
        <v>0</v>
      </c>
      <c r="N5">
        <f>IF(ISNUMBER(SEARCH("6x",IF($D5="",$D$1,$D5))),1,0)</f>
        <v>0</v>
      </c>
      <c r="O5">
        <f>IF(ISNUMBER(SEARCH("8x",IF($D5="",$D$1,$D5))),1,0)</f>
        <v>0</v>
      </c>
      <c r="P5">
        <f>IF(ISNUMBER(SEARCH("10x",IF($D5="",$D$1,$D5))),1,0)</f>
        <v>0</v>
      </c>
    </row>
    <row r="6" spans="1:16" x14ac:dyDescent="0.3">
      <c r="A6">
        <v>4</v>
      </c>
      <c r="B6">
        <v>5</v>
      </c>
      <c r="C6" t="s">
        <v>421</v>
      </c>
      <c r="D6" t="s">
        <v>1120</v>
      </c>
      <c r="E6">
        <v>4</v>
      </c>
      <c r="F6">
        <v>200</v>
      </c>
      <c r="G6" t="s">
        <v>1121</v>
      </c>
      <c r="H6" t="s">
        <v>1117</v>
      </c>
      <c r="I6" t="s">
        <v>1160</v>
      </c>
      <c r="J6">
        <f>IF(ISNUMBER(SEARCH("1_3s",IF($D6="",$D$1,$D6))),1,0)</f>
        <v>1</v>
      </c>
      <c r="K6">
        <f>IF(ISNUMBER(SEARCH("2_2s",IF($D6="",$D$1,$D6))),1,0)</f>
        <v>1</v>
      </c>
      <c r="L6">
        <f>IF(ISNUMBER(SEARCH("R_4s",IF($D6="",$D$1,$D6))),1,0)</f>
        <v>1</v>
      </c>
      <c r="M6">
        <f>IF(ISNUMBER(SEARCH("4_1s",IF($D6="",$D$1,$D6))),1,0)</f>
        <v>1</v>
      </c>
      <c r="N6">
        <f>IF(ISNUMBER(SEARCH("6x",IF($D6="",$D$1,$D6))),1,0)</f>
        <v>0</v>
      </c>
      <c r="O6">
        <f>IF(ISNUMBER(SEARCH("8x",IF($D6="",$D$1,$D6))),1,0)</f>
        <v>0</v>
      </c>
      <c r="P6">
        <f>IF(ISNUMBER(SEARCH("10x",IF($D6="",$D$1,$D6))),1,0)</f>
        <v>0</v>
      </c>
    </row>
    <row r="7" spans="1:16" x14ac:dyDescent="0.3">
      <c r="A7">
        <v>3</v>
      </c>
      <c r="B7">
        <v>4</v>
      </c>
      <c r="C7" t="s">
        <v>422</v>
      </c>
      <c r="D7" t="s">
        <v>1153</v>
      </c>
      <c r="E7">
        <v>6</v>
      </c>
      <c r="F7">
        <v>45</v>
      </c>
      <c r="G7" t="s">
        <v>1122</v>
      </c>
      <c r="H7" t="s">
        <v>1123</v>
      </c>
      <c r="I7" t="s">
        <v>1160</v>
      </c>
      <c r="J7">
        <f>IF(ISNUMBER(SEARCH("1_3s",IF($D7="",$D$1,$D7))),1,0)</f>
        <v>1</v>
      </c>
      <c r="K7">
        <f>IF(ISNUMBER(SEARCH("2_2s",IF($D7="",$D$1,$D7))),1,0)</f>
        <v>1</v>
      </c>
      <c r="L7">
        <f>IF(ISNUMBER(SEARCH("R_4s",IF($D7="",$D$1,$D7))),1,0)</f>
        <v>1</v>
      </c>
      <c r="M7">
        <f>IF(ISNUMBER(SEARCH("4_1s",IF($D7="",$D$1,$D7))),1,0)</f>
        <v>1</v>
      </c>
      <c r="N7">
        <f>IF(ISNUMBER(SEARCH("6x",IF($D7="",$D$1,$D7))),1,0)</f>
        <v>0</v>
      </c>
      <c r="O7">
        <f>IF(ISNUMBER(SEARCH("8x",IF($D7="",$D$1,$D7))),1,0)</f>
        <v>1</v>
      </c>
      <c r="P7">
        <f>IF(ISNUMBER(SEARCH("10x",IF($D7="",$D$1,$D7))),1,0)</f>
        <v>0</v>
      </c>
    </row>
    <row r="8" spans="1:16" x14ac:dyDescent="0.3">
      <c r="A8">
        <v>-999</v>
      </c>
      <c r="B8">
        <v>3</v>
      </c>
      <c r="C8" t="s">
        <v>1124</v>
      </c>
      <c r="G8" t="s">
        <v>1125</v>
      </c>
      <c r="H8" t="s">
        <v>1126</v>
      </c>
      <c r="I8" t="s">
        <v>1161</v>
      </c>
      <c r="J8">
        <f>IF(ISNUMBER(SEARCH("1_3s",IF($D8="",$D$1,$D8))),1,0)</f>
        <v>1</v>
      </c>
      <c r="K8">
        <f>IF(ISNUMBER(SEARCH("2_2s",IF($D8="",$D$1,$D8))),1,0)</f>
        <v>1</v>
      </c>
      <c r="L8">
        <f>IF(ISNUMBER(SEARCH("R_4s",IF($D8="",$D$1,$D8))),1,0)</f>
        <v>1</v>
      </c>
      <c r="M8">
        <f>IF(ISNUMBER(SEARCH("4_1s",IF($D8="",$D$1,$D8))),1,0)</f>
        <v>1</v>
      </c>
      <c r="N8">
        <f>IF(ISNUMBER(SEARCH("6x",IF($D8="",$D$1,$D8))),1,0)</f>
        <v>0</v>
      </c>
      <c r="O8">
        <f>IF(ISNUMBER(SEARCH("8x",IF($D8="",$D$1,$D8))),1,0)</f>
        <v>1</v>
      </c>
      <c r="P8">
        <f>IF(ISNUMBER(SEARCH("10x",IF($D8="",$D$1,$D8))),1,0)</f>
        <v>0</v>
      </c>
    </row>
    <row r="9" spans="1:16" x14ac:dyDescent="0.3">
      <c r="J9" s="130" t="s">
        <v>1166</v>
      </c>
    </row>
    <row r="10" spans="1:16" x14ac:dyDescent="0.3">
      <c r="A10" s="140" t="s">
        <v>1127</v>
      </c>
      <c r="J10" s="131">
        <f t="shared" ref="J10:P10" si="0">IF(OR(NOT(ISNUMBER($B$1)),$B$2&lt;1),0,INDEX(J$4:J$8,$B$2))</f>
        <v>0</v>
      </c>
      <c r="K10" s="131">
        <f t="shared" si="0"/>
        <v>0</v>
      </c>
      <c r="L10" s="131">
        <f t="shared" si="0"/>
        <v>0</v>
      </c>
      <c r="M10" s="131">
        <f t="shared" si="0"/>
        <v>0</v>
      </c>
      <c r="N10" s="131">
        <f t="shared" si="0"/>
        <v>0</v>
      </c>
      <c r="O10" s="131">
        <f t="shared" si="0"/>
        <v>0</v>
      </c>
      <c r="P10" s="131">
        <f t="shared" si="0"/>
        <v>0</v>
      </c>
    </row>
    <row r="11" spans="1:16" x14ac:dyDescent="0.3">
      <c r="A11" s="140" t="s">
        <v>1128</v>
      </c>
    </row>
  </sheetData>
  <sheetProtection algorithmName="SHA-512" hashValue="RG1UFsjPQw6J+/ehOraXHv0jYGNgGg2306XVMi5GbRybjDt/4Lj61zwWZOc3RrAR/cTkjhTocBz4avsriK4AJQ==" saltValue="QuKf+zN5dbQNGIAtrCnCMA==" spinCount="100000" sheet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09F28-78B8-4CA1-86D0-988A6E130A7B}">
  <sheetPr codeName="Planilha18">
    <tabColor rgb="FF263B4D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402</v>
      </c>
      <c r="B2" t="s">
        <v>497</v>
      </c>
      <c r="C2" s="126">
        <v>2025</v>
      </c>
      <c r="D2" t="s">
        <v>467</v>
      </c>
      <c r="E2" t="s">
        <v>498</v>
      </c>
      <c r="F2" s="137">
        <v>120</v>
      </c>
      <c r="G2" s="138">
        <v>122.6</v>
      </c>
      <c r="H2" s="138">
        <v>2.9</v>
      </c>
      <c r="I2" s="139">
        <v>-0.9</v>
      </c>
      <c r="J2" s="137">
        <v>104</v>
      </c>
      <c r="K2" s="137">
        <v>141</v>
      </c>
      <c r="L2" t="s">
        <v>499</v>
      </c>
      <c r="M2" s="126">
        <v>320</v>
      </c>
      <c r="N2" t="s">
        <v>123</v>
      </c>
      <c r="O2" s="137">
        <f t="shared" ref="O2:O65" si="0">IFERROR((F2-G2)/G2*100,"")</f>
        <v>-2.1207177814029317</v>
      </c>
      <c r="P2" s="137">
        <f t="shared" ref="P2:P65" si="1">IF(O2="","",ABS(O2))</f>
        <v>2.1207177814029317</v>
      </c>
      <c r="Q2" s="126">
        <v>6</v>
      </c>
      <c r="R2" t="s">
        <v>521</v>
      </c>
      <c r="S2" t="str">
        <f>IF($W2&lt;&gt;"NAO ACEITO","",COUNTIFS($W$2:$W2,"NAO ACEITO"))</f>
        <v/>
      </c>
      <c r="T2">
        <f>IF($B2="","",IF(COUNTIF($B$2:$B2,$B2)=1,MAX($T$1:$T1)+1,""))</f>
        <v>1</v>
      </c>
      <c r="U2">
        <f>IF($D2="","",IF(COUNTIF($D$2:$D2,$D2)=1,MAX($U$1:$U1)+1,""))</f>
        <v>1</v>
      </c>
      <c r="V2">
        <f>IF($D2="","",IF(COUNTIFS($B$2:$B2,$B2,$D$2:$D2,$D2)=1,1,0))</f>
        <v>1</v>
      </c>
      <c r="W2" t="str">
        <f>IF($D2="","",mEQA.PadronizarStatus($L2))</f>
        <v>ACEITO</v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A3" t="s">
        <v>402</v>
      </c>
      <c r="B3" t="s">
        <v>497</v>
      </c>
      <c r="C3" s="126">
        <v>2025</v>
      </c>
      <c r="D3" t="s">
        <v>467</v>
      </c>
      <c r="E3" t="s">
        <v>500</v>
      </c>
      <c r="F3" s="137">
        <v>91</v>
      </c>
      <c r="G3" s="138">
        <v>96.1</v>
      </c>
      <c r="H3" s="138">
        <v>2.7</v>
      </c>
      <c r="I3" s="139">
        <v>-1.9</v>
      </c>
      <c r="J3" s="137">
        <v>81</v>
      </c>
      <c r="K3" s="137">
        <v>111</v>
      </c>
      <c r="L3" t="s">
        <v>499</v>
      </c>
      <c r="M3" s="126">
        <v>327</v>
      </c>
      <c r="N3" t="s">
        <v>123</v>
      </c>
      <c r="O3" s="137">
        <f t="shared" si="0"/>
        <v>-5.3069719042663843</v>
      </c>
      <c r="P3" s="137">
        <f t="shared" si="1"/>
        <v>5.3069719042663843</v>
      </c>
      <c r="Q3" s="126">
        <v>6</v>
      </c>
      <c r="R3" t="s">
        <v>521</v>
      </c>
      <c r="S3" t="str">
        <f>IF($W3&lt;&gt;"NAO ACEITO","",COUNTIFS($W$2:$W3,"NAO ACEITO"))</f>
        <v/>
      </c>
      <c r="T3" t="str">
        <f>IF($B3="","",IF(COUNTIF($B$2:$B3,$B3)=1,MAX($T$1:$T2)+1,""))</f>
        <v/>
      </c>
      <c r="U3" t="str">
        <f>IF($D3="","",IF(COUNTIF($D$2:$D3,$D3)=1,MAX($U$1:$U2)+1,""))</f>
        <v/>
      </c>
      <c r="V3">
        <f>IF($D3="","",IF(COUNTIFS($B$2:$B3,$B3,$D$2:$D3,$D3)=1,1,0))</f>
        <v>0</v>
      </c>
      <c r="W3" t="str">
        <f>IF($D3="","",mEQA.PadronizarStatus($L3))</f>
        <v>ACEITO</v>
      </c>
      <c r="X3" t="str">
        <f>IF(OR($D3="",$W3&lt;&gt;"NAO ACEITO"),"",IF(COUNTIFS($D$2:$D3,$D3,$W$2:$W3,"NAO ACEITO")=1,1,0))</f>
        <v/>
      </c>
      <c r="Z3" s="131" t="str">
        <f>IF(COUNTA($D$2:$D$5000)=COUNTIF(EQA_Base!$A$2:$A$5001,"CAP"),"base em dia","BASE DESATUALIZADA — clique em Consolidar na EQA_Base")</f>
        <v>base em dia</v>
      </c>
    </row>
    <row r="4" spans="1:26" x14ac:dyDescent="0.3">
      <c r="A4" t="s">
        <v>402</v>
      </c>
      <c r="B4" t="s">
        <v>497</v>
      </c>
      <c r="C4" s="126">
        <v>2025</v>
      </c>
      <c r="D4" t="s">
        <v>467</v>
      </c>
      <c r="E4" t="s">
        <v>501</v>
      </c>
      <c r="F4" s="137">
        <v>8</v>
      </c>
      <c r="G4" s="138">
        <v>12.9</v>
      </c>
      <c r="H4" s="138">
        <v>2.2000000000000002</v>
      </c>
      <c r="I4" s="139">
        <v>-2.2000000000000002</v>
      </c>
      <c r="J4" s="137">
        <v>6</v>
      </c>
      <c r="K4" s="137">
        <v>19</v>
      </c>
      <c r="L4" t="s">
        <v>499</v>
      </c>
      <c r="M4" s="126">
        <v>324</v>
      </c>
      <c r="N4" t="s">
        <v>123</v>
      </c>
      <c r="O4" s="137">
        <f t="shared" si="0"/>
        <v>-37.984496124031011</v>
      </c>
      <c r="P4" s="137">
        <f t="shared" si="1"/>
        <v>37.984496124031011</v>
      </c>
      <c r="Q4" s="126">
        <v>6</v>
      </c>
      <c r="R4" t="s">
        <v>521</v>
      </c>
      <c r="S4" t="str">
        <f>IF($W4&lt;&gt;"NAO ACEITO","",COUNTIFS($W$2:$W4,"NAO ACEITO"))</f>
        <v/>
      </c>
      <c r="T4" t="str">
        <f>IF($B4="","",IF(COUNTIF($B$2:$B4,$B4)=1,MAX($T$1:$T3)+1,""))</f>
        <v/>
      </c>
      <c r="U4" t="str">
        <f>IF($D4="","",IF(COUNTIF($D$2:$D4,$D4)=1,MAX($U$1:$U3)+1,""))</f>
        <v/>
      </c>
      <c r="V4">
        <f>IF($D4="","",IF(COUNTIFS($B$2:$B4,$B4,$D$2:$D4,$D4)=1,1,0))</f>
        <v>0</v>
      </c>
      <c r="W4" t="str">
        <f>IF($D4="","",mEQA.PadronizarStatus($L4))</f>
        <v>ACEITO</v>
      </c>
      <c r="X4" t="str">
        <f>IF(OR($D4="",$W4&lt;&gt;"NAO ACEITO"),"",IF(COUNTIFS($D$2:$D4,$D4,$W$2:$W4,"NAO ACEITO")=1,1,0))</f>
        <v/>
      </c>
    </row>
    <row r="5" spans="1:26" x14ac:dyDescent="0.3">
      <c r="A5" t="s">
        <v>402</v>
      </c>
      <c r="B5" t="s">
        <v>497</v>
      </c>
      <c r="C5" s="126">
        <v>2025</v>
      </c>
      <c r="D5" t="s">
        <v>467</v>
      </c>
      <c r="E5" t="s">
        <v>502</v>
      </c>
      <c r="F5" s="137">
        <v>250</v>
      </c>
      <c r="G5" s="138">
        <v>241.5</v>
      </c>
      <c r="H5" s="138">
        <v>4.8</v>
      </c>
      <c r="I5" s="139">
        <v>1.8</v>
      </c>
      <c r="J5" s="137">
        <v>205</v>
      </c>
      <c r="K5" s="137">
        <v>278</v>
      </c>
      <c r="L5" t="s">
        <v>499</v>
      </c>
      <c r="M5" s="126">
        <v>325</v>
      </c>
      <c r="N5" t="s">
        <v>123</v>
      </c>
      <c r="O5" s="137">
        <f t="shared" si="0"/>
        <v>3.5196687370600417</v>
      </c>
      <c r="P5" s="137">
        <f t="shared" si="1"/>
        <v>3.5196687370600417</v>
      </c>
      <c r="Q5" s="126">
        <v>6</v>
      </c>
      <c r="R5" t="s">
        <v>521</v>
      </c>
      <c r="S5" t="str">
        <f>IF($W5&lt;&gt;"NAO ACEITO","",COUNTIFS($W$2:$W5,"NAO ACEITO"))</f>
        <v/>
      </c>
      <c r="T5" t="str">
        <f>IF($B5="","",IF(COUNTIF($B$2:$B5,$B5)=1,MAX($T$1:$T4)+1,""))</f>
        <v/>
      </c>
      <c r="U5" t="str">
        <f>IF($D5="","",IF(COUNTIF($D$2:$D5,$D5)=1,MAX($U$1:$U4)+1,""))</f>
        <v/>
      </c>
      <c r="V5">
        <f>IF($D5="","",IF(COUNTIFS($B$2:$B5,$B5,$D$2:$D5,$D5)=1,1,0))</f>
        <v>0</v>
      </c>
      <c r="W5" t="str">
        <f>IF($D5="","",mEQA.PadronizarStatus($L5))</f>
        <v>ACEITO</v>
      </c>
      <c r="X5" t="str">
        <f>IF(OR($D5="",$W5&lt;&gt;"NAO ACEITO"),"",IF(COUNTIFS($D$2:$D5,$D5,$W$2:$W5,"NAO ACEITO")=1,1,0))</f>
        <v/>
      </c>
    </row>
    <row r="6" spans="1:26" x14ac:dyDescent="0.3">
      <c r="A6" t="s">
        <v>402</v>
      </c>
      <c r="B6" t="s">
        <v>497</v>
      </c>
      <c r="C6" s="126">
        <v>2025</v>
      </c>
      <c r="D6" t="s">
        <v>467</v>
      </c>
      <c r="E6" t="s">
        <v>503</v>
      </c>
      <c r="F6" s="137">
        <v>115</v>
      </c>
      <c r="G6" s="138">
        <v>118</v>
      </c>
      <c r="H6" s="138">
        <v>3.3</v>
      </c>
      <c r="I6" s="139">
        <v>-0.9</v>
      </c>
      <c r="J6" s="137">
        <v>100</v>
      </c>
      <c r="K6" s="137">
        <v>136</v>
      </c>
      <c r="L6" t="s">
        <v>499</v>
      </c>
      <c r="M6" s="126">
        <v>323</v>
      </c>
      <c r="N6" t="s">
        <v>123</v>
      </c>
      <c r="O6" s="137">
        <f t="shared" si="0"/>
        <v>-2.5423728813559325</v>
      </c>
      <c r="P6" s="137">
        <f t="shared" si="1"/>
        <v>2.5423728813559325</v>
      </c>
      <c r="Q6" s="126">
        <v>6</v>
      </c>
      <c r="R6" t="s">
        <v>521</v>
      </c>
      <c r="S6" t="str">
        <f>IF($W6&lt;&gt;"NAO ACEITO","",COUNTIFS($W$2:$W6,"NAO ACEITO"))</f>
        <v/>
      </c>
      <c r="T6" t="str">
        <f>IF($B6="","",IF(COUNTIF($B$2:$B6,$B6)=1,MAX($T$1:$T5)+1,""))</f>
        <v/>
      </c>
      <c r="U6" t="str">
        <f>IF($D6="","",IF(COUNTIF($D$2:$D6,$D6)=1,MAX($U$1:$U5)+1,""))</f>
        <v/>
      </c>
      <c r="V6">
        <f>IF($D6="","",IF(COUNTIFS($B$2:$B6,$B6,$D$2:$D6,$D6)=1,1,0))</f>
        <v>0</v>
      </c>
      <c r="W6" t="str">
        <f>IF($D6="","",mEQA.PadronizarStatus($L6))</f>
        <v>ACEITO</v>
      </c>
      <c r="X6" t="str">
        <f>IF(OR($D6="",$W6&lt;&gt;"NAO ACEITO"),"",IF(COUNTIFS($D$2:$D6,$D6,$W$2:$W6,"NAO ACEITO")=1,1,0))</f>
        <v/>
      </c>
    </row>
    <row r="7" spans="1:26" x14ac:dyDescent="0.3">
      <c r="A7" t="s">
        <v>402</v>
      </c>
      <c r="B7" t="s">
        <v>497</v>
      </c>
      <c r="C7" s="126">
        <v>2025</v>
      </c>
      <c r="D7" t="s">
        <v>468</v>
      </c>
      <c r="E7" t="s">
        <v>498</v>
      </c>
      <c r="F7" s="137">
        <v>149</v>
      </c>
      <c r="G7" s="138">
        <v>144</v>
      </c>
      <c r="H7" s="138">
        <v>4</v>
      </c>
      <c r="I7" s="139">
        <v>1.2</v>
      </c>
      <c r="J7" s="137">
        <v>122</v>
      </c>
      <c r="K7" s="137">
        <v>166</v>
      </c>
      <c r="L7" t="s">
        <v>499</v>
      </c>
      <c r="M7" s="126">
        <v>332</v>
      </c>
      <c r="N7" t="s">
        <v>123</v>
      </c>
      <c r="O7" s="137">
        <f t="shared" si="0"/>
        <v>3.4722222222222223</v>
      </c>
      <c r="P7" s="137">
        <f t="shared" si="1"/>
        <v>3.4722222222222223</v>
      </c>
      <c r="Q7" s="126">
        <v>7</v>
      </c>
      <c r="R7" t="s">
        <v>521</v>
      </c>
      <c r="S7" t="str">
        <f>IF($W7&lt;&gt;"NAO ACEITO","",COUNTIFS($W$2:$W7,"NAO ACEITO"))</f>
        <v/>
      </c>
      <c r="T7" t="str">
        <f>IF($B7="","",IF(COUNTIF($B$2:$B7,$B7)=1,MAX($T$1:$T6)+1,""))</f>
        <v/>
      </c>
      <c r="U7">
        <f>IF($D7="","",IF(COUNTIF($D$2:$D7,$D7)=1,MAX($U$1:$U6)+1,""))</f>
        <v>2</v>
      </c>
      <c r="V7">
        <f>IF($D7="","",IF(COUNTIFS($B$2:$B7,$B7,$D$2:$D7,$D7)=1,1,0))</f>
        <v>1</v>
      </c>
      <c r="W7" t="str">
        <f>IF($D7="","",mEQA.PadronizarStatus($L7))</f>
        <v>ACEITO</v>
      </c>
      <c r="X7" t="str">
        <f>IF(OR($D7="",$W7&lt;&gt;"NAO ACEITO"),"",IF(COUNTIFS($D$2:$D7,$D7,$W$2:$W7,"NAO ACEITO")=1,1,0))</f>
        <v/>
      </c>
    </row>
    <row r="8" spans="1:26" x14ac:dyDescent="0.3">
      <c r="A8" t="s">
        <v>402</v>
      </c>
      <c r="B8" t="s">
        <v>497</v>
      </c>
      <c r="C8" s="126">
        <v>2025</v>
      </c>
      <c r="D8" t="s">
        <v>468</v>
      </c>
      <c r="E8" t="s">
        <v>500</v>
      </c>
      <c r="F8" s="137">
        <v>117</v>
      </c>
      <c r="G8" s="138">
        <v>112.7</v>
      </c>
      <c r="H8" s="138">
        <v>3.9</v>
      </c>
      <c r="I8" s="139">
        <v>1.1000000000000001</v>
      </c>
      <c r="J8" s="137">
        <v>95</v>
      </c>
      <c r="K8" s="137">
        <v>130</v>
      </c>
      <c r="L8" t="s">
        <v>499</v>
      </c>
      <c r="M8" s="126">
        <v>334</v>
      </c>
      <c r="N8" t="s">
        <v>123</v>
      </c>
      <c r="O8" s="137">
        <f t="shared" si="0"/>
        <v>3.8154392191659245</v>
      </c>
      <c r="P8" s="137">
        <f t="shared" si="1"/>
        <v>3.8154392191659245</v>
      </c>
      <c r="Q8" s="126">
        <v>7</v>
      </c>
      <c r="R8" t="s">
        <v>521</v>
      </c>
      <c r="S8" t="str">
        <f>IF($W8&lt;&gt;"NAO ACEITO","",COUNTIFS($W$2:$W8,"NAO ACEITO"))</f>
        <v/>
      </c>
      <c r="T8" t="str">
        <f>IF($B8="","",IF(COUNTIF($B$2:$B8,$B8)=1,MAX($T$1:$T7)+1,""))</f>
        <v/>
      </c>
      <c r="U8" t="str">
        <f>IF($D8="","",IF(COUNTIF($D$2:$D8,$D8)=1,MAX($U$1:$U7)+1,""))</f>
        <v/>
      </c>
      <c r="V8">
        <f>IF($D8="","",IF(COUNTIFS($B$2:$B8,$B8,$D$2:$D8,$D8)=1,1,0))</f>
        <v>0</v>
      </c>
      <c r="W8" t="str">
        <f>IF($D8="","",mEQA.PadronizarStatus($L8))</f>
        <v>ACEITO</v>
      </c>
      <c r="X8" t="str">
        <f>IF(OR($D8="",$W8&lt;&gt;"NAO ACEITO"),"",IF(COUNTIFS($D$2:$D8,$D8,$W$2:$W8,"NAO ACEITO")=1,1,0))</f>
        <v/>
      </c>
    </row>
    <row r="9" spans="1:26" x14ac:dyDescent="0.3">
      <c r="A9" t="s">
        <v>402</v>
      </c>
      <c r="B9" t="s">
        <v>497</v>
      </c>
      <c r="C9" s="126">
        <v>2025</v>
      </c>
      <c r="D9" t="s">
        <v>468</v>
      </c>
      <c r="E9" t="s">
        <v>501</v>
      </c>
      <c r="F9" s="137">
        <v>11</v>
      </c>
      <c r="G9" s="138">
        <v>8</v>
      </c>
      <c r="H9" s="138">
        <v>1.7</v>
      </c>
      <c r="I9" s="139">
        <v>1.7</v>
      </c>
      <c r="J9" s="137">
        <v>2</v>
      </c>
      <c r="K9" s="137">
        <v>14</v>
      </c>
      <c r="L9" t="s">
        <v>499</v>
      </c>
      <c r="M9" s="126">
        <v>324</v>
      </c>
      <c r="N9" t="s">
        <v>123</v>
      </c>
      <c r="O9" s="137">
        <f t="shared" si="0"/>
        <v>37.5</v>
      </c>
      <c r="P9" s="137">
        <f t="shared" si="1"/>
        <v>37.5</v>
      </c>
      <c r="Q9" s="126">
        <v>7</v>
      </c>
      <c r="R9" t="s">
        <v>521</v>
      </c>
      <c r="S9" t="str">
        <f>IF($W9&lt;&gt;"NAO ACEITO","",COUNTIFS($W$2:$W9,"NAO ACEITO"))</f>
        <v/>
      </c>
      <c r="T9" t="str">
        <f>IF($B9="","",IF(COUNTIF($B$2:$B9,$B9)=1,MAX($T$1:$T8)+1,""))</f>
        <v/>
      </c>
      <c r="U9" t="str">
        <f>IF($D9="","",IF(COUNTIF($D$2:$D9,$D9)=1,MAX($U$1:$U8)+1,""))</f>
        <v/>
      </c>
      <c r="V9">
        <f>IF($D9="","",IF(COUNTIFS($B$2:$B9,$B9,$D$2:$D9,$D9)=1,1,0))</f>
        <v>0</v>
      </c>
      <c r="W9" t="str">
        <f>IF($D9="","",mEQA.PadronizarStatus($L9))</f>
        <v>ACEITO</v>
      </c>
      <c r="X9" t="str">
        <f>IF(OR($D9="",$W9&lt;&gt;"NAO ACEITO"),"",IF(COUNTIFS($D$2:$D9,$D9,$W$2:$W9,"NAO ACEITO")=1,1,0))</f>
        <v/>
      </c>
    </row>
    <row r="10" spans="1:26" x14ac:dyDescent="0.3">
      <c r="A10" t="s">
        <v>402</v>
      </c>
      <c r="B10" t="s">
        <v>497</v>
      </c>
      <c r="C10" s="126">
        <v>2025</v>
      </c>
      <c r="D10" t="s">
        <v>468</v>
      </c>
      <c r="E10" t="s">
        <v>502</v>
      </c>
      <c r="F10" s="137">
        <v>315</v>
      </c>
      <c r="G10" s="138">
        <v>304.10000000000002</v>
      </c>
      <c r="H10" s="138">
        <v>7.5</v>
      </c>
      <c r="I10" s="139">
        <v>1.4</v>
      </c>
      <c r="J10" s="137">
        <v>258</v>
      </c>
      <c r="K10" s="137">
        <v>350</v>
      </c>
      <c r="L10" t="s">
        <v>499</v>
      </c>
      <c r="M10" s="126">
        <v>333</v>
      </c>
      <c r="N10" t="s">
        <v>123</v>
      </c>
      <c r="O10" s="137">
        <f t="shared" si="0"/>
        <v>3.584347254192692</v>
      </c>
      <c r="P10" s="137">
        <f t="shared" si="1"/>
        <v>3.584347254192692</v>
      </c>
      <c r="Q10" s="126">
        <v>7</v>
      </c>
      <c r="R10" t="s">
        <v>521</v>
      </c>
      <c r="S10" t="str">
        <f>IF($W10&lt;&gt;"NAO ACEITO","",COUNTIFS($W$2:$W10,"NAO ACEITO"))</f>
        <v/>
      </c>
      <c r="T10" t="str">
        <f>IF($B10="","",IF(COUNTIF($B$2:$B10,$B10)=1,MAX($T$1:$T9)+1,""))</f>
        <v/>
      </c>
      <c r="U10" t="str">
        <f>IF($D10="","",IF(COUNTIF($D$2:$D10,$D10)=1,MAX($U$1:$U9)+1,""))</f>
        <v/>
      </c>
      <c r="V10">
        <f>IF($D10="","",IF(COUNTIFS($B$2:$B10,$B10,$D$2:$D10,$D10)=1,1,0))</f>
        <v>0</v>
      </c>
      <c r="W10" t="str">
        <f>IF($D10="","",mEQA.PadronizarStatus($L10))</f>
        <v>ACEITO</v>
      </c>
      <c r="X10" t="str">
        <f>IF(OR($D10="",$W10&lt;&gt;"NAO ACEITO"),"",IF(COUNTIFS($D$2:$D10,$D10,$W$2:$W10,"NAO ACEITO")=1,1,0))</f>
        <v/>
      </c>
    </row>
    <row r="11" spans="1:26" x14ac:dyDescent="0.3">
      <c r="A11" t="s">
        <v>402</v>
      </c>
      <c r="B11" t="s">
        <v>497</v>
      </c>
      <c r="C11" s="126">
        <v>2025</v>
      </c>
      <c r="D11" t="s">
        <v>468</v>
      </c>
      <c r="E11" t="s">
        <v>503</v>
      </c>
      <c r="F11" s="137">
        <v>143</v>
      </c>
      <c r="G11" s="138">
        <v>133.9</v>
      </c>
      <c r="H11" s="138">
        <v>4</v>
      </c>
      <c r="I11" s="139">
        <v>2.2999999999999998</v>
      </c>
      <c r="J11" s="137">
        <v>113</v>
      </c>
      <c r="K11" s="137">
        <v>154</v>
      </c>
      <c r="L11" t="s">
        <v>499</v>
      </c>
      <c r="M11" s="126">
        <v>329</v>
      </c>
      <c r="N11" t="s">
        <v>123</v>
      </c>
      <c r="O11" s="137">
        <f t="shared" si="0"/>
        <v>6.7961165048543641</v>
      </c>
      <c r="P11" s="137">
        <f t="shared" si="1"/>
        <v>6.7961165048543641</v>
      </c>
      <c r="Q11" s="126">
        <v>7</v>
      </c>
      <c r="R11" t="s">
        <v>521</v>
      </c>
      <c r="S11" t="str">
        <f>IF($W11&lt;&gt;"NAO ACEITO","",COUNTIFS($W$2:$W11,"NAO ACEITO"))</f>
        <v/>
      </c>
      <c r="T11" t="str">
        <f>IF($B11="","",IF(COUNTIF($B$2:$B11,$B11)=1,MAX($T$1:$T10)+1,""))</f>
        <v/>
      </c>
      <c r="U11" t="str">
        <f>IF($D11="","",IF(COUNTIF($D$2:$D11,$D11)=1,MAX($U$1:$U10)+1,""))</f>
        <v/>
      </c>
      <c r="V11">
        <f>IF($D11="","",IF(COUNTIFS($B$2:$B11,$B11,$D$2:$D11,$D11)=1,1,0))</f>
        <v>0</v>
      </c>
      <c r="W11" t="str">
        <f>IF($D11="","",mEQA.PadronizarStatus($L11))</f>
        <v>ACEITO</v>
      </c>
      <c r="X11" t="str">
        <f>IF(OR($D11="",$W11&lt;&gt;"NAO ACEITO"),"",IF(COUNTIFS($D$2:$D11,$D11,$W$2:$W11,"NAO ACEITO")=1,1,0))</f>
        <v/>
      </c>
    </row>
    <row r="12" spans="1:26" x14ac:dyDescent="0.3">
      <c r="A12" t="s">
        <v>402</v>
      </c>
      <c r="B12" t="s">
        <v>497</v>
      </c>
      <c r="C12" s="126">
        <v>2025</v>
      </c>
      <c r="D12" t="s">
        <v>469</v>
      </c>
      <c r="E12" t="s">
        <v>498</v>
      </c>
      <c r="F12" s="137">
        <v>3.3</v>
      </c>
      <c r="G12" s="138">
        <v>3.13</v>
      </c>
      <c r="H12" s="138">
        <v>0.08</v>
      </c>
      <c r="I12" s="139">
        <v>2.1</v>
      </c>
      <c r="J12" s="137">
        <v>2.8</v>
      </c>
      <c r="K12" s="137">
        <v>3.4</v>
      </c>
      <c r="L12" t="s">
        <v>499</v>
      </c>
      <c r="M12" s="126">
        <v>440</v>
      </c>
      <c r="N12" t="s">
        <v>129</v>
      </c>
      <c r="O12" s="137">
        <f t="shared" si="0"/>
        <v>5.4313099041533519</v>
      </c>
      <c r="P12" s="137">
        <f t="shared" si="1"/>
        <v>5.4313099041533519</v>
      </c>
      <c r="Q12" s="126">
        <v>6</v>
      </c>
      <c r="R12" t="s">
        <v>521</v>
      </c>
      <c r="S12" t="str">
        <f>IF($W12&lt;&gt;"NAO ACEITO","",COUNTIFS($W$2:$W12,"NAO ACEITO"))</f>
        <v/>
      </c>
      <c r="T12" t="str">
        <f>IF($B12="","",IF(COUNTIF($B$2:$B12,$B12)=1,MAX($T$1:$T11)+1,""))</f>
        <v/>
      </c>
      <c r="U12">
        <f>IF($D12="","",IF(COUNTIF($D$2:$D12,$D12)=1,MAX($U$1:$U11)+1,""))</f>
        <v>3</v>
      </c>
      <c r="V12">
        <f>IF($D12="","",IF(COUNTIFS($B$2:$B12,$B12,$D$2:$D12,$D12)=1,1,0))</f>
        <v>1</v>
      </c>
      <c r="W12" t="str">
        <f>IF($D12="","",mEQA.PadronizarStatus($L12))</f>
        <v>ACEITO</v>
      </c>
      <c r="X12" t="str">
        <f>IF(OR($D12="",$W12&lt;&gt;"NAO ACEITO"),"",IF(COUNTIFS($D$2:$D12,$D12,$W$2:$W12,"NAO ACEITO")=1,1,0))</f>
        <v/>
      </c>
    </row>
    <row r="13" spans="1:26" x14ac:dyDescent="0.3">
      <c r="A13" t="s">
        <v>402</v>
      </c>
      <c r="B13" t="s">
        <v>497</v>
      </c>
      <c r="C13" s="126">
        <v>2025</v>
      </c>
      <c r="D13" t="s">
        <v>469</v>
      </c>
      <c r="E13" t="s">
        <v>500</v>
      </c>
      <c r="F13" s="137">
        <v>2.4</v>
      </c>
      <c r="G13" s="138">
        <v>2.3199999999999998</v>
      </c>
      <c r="H13" s="138">
        <v>0.06</v>
      </c>
      <c r="I13" s="139">
        <v>1.3</v>
      </c>
      <c r="J13" s="137">
        <v>2.1</v>
      </c>
      <c r="K13" s="137">
        <v>2.6</v>
      </c>
      <c r="L13" t="s">
        <v>499</v>
      </c>
      <c r="M13" s="126">
        <v>440</v>
      </c>
      <c r="N13" t="s">
        <v>129</v>
      </c>
      <c r="O13" s="137">
        <f t="shared" si="0"/>
        <v>3.4482758620689689</v>
      </c>
      <c r="P13" s="137">
        <f t="shared" si="1"/>
        <v>3.4482758620689689</v>
      </c>
      <c r="Q13" s="126">
        <v>6</v>
      </c>
      <c r="R13" t="s">
        <v>521</v>
      </c>
      <c r="S13" t="str">
        <f>IF($W13&lt;&gt;"NAO ACEITO","",COUNTIFS($W$2:$W13,"NAO ACEITO"))</f>
        <v/>
      </c>
      <c r="T13" t="str">
        <f>IF($B13="","",IF(COUNTIF($B$2:$B13,$B13)=1,MAX($T$1:$T12)+1,""))</f>
        <v/>
      </c>
      <c r="U13" t="str">
        <f>IF($D13="","",IF(COUNTIF($D$2:$D13,$D13)=1,MAX($U$1:$U12)+1,""))</f>
        <v/>
      </c>
      <c r="V13">
        <f>IF($D13="","",IF(COUNTIFS($B$2:$B13,$B13,$D$2:$D13,$D13)=1,1,0))</f>
        <v>0</v>
      </c>
      <c r="W13" t="str">
        <f>IF($D13="","",mEQA.PadronizarStatus($L13))</f>
        <v>ACEITO</v>
      </c>
      <c r="X13" t="str">
        <f>IF(OR($D13="",$W13&lt;&gt;"NAO ACEITO"),"",IF(COUNTIFS($D$2:$D13,$D13,$W$2:$W13,"NAO ACEITO")=1,1,0))</f>
        <v/>
      </c>
    </row>
    <row r="14" spans="1:26" x14ac:dyDescent="0.3">
      <c r="A14" t="s">
        <v>402</v>
      </c>
      <c r="B14" t="s">
        <v>497</v>
      </c>
      <c r="C14" s="126">
        <v>2025</v>
      </c>
      <c r="D14" t="s">
        <v>469</v>
      </c>
      <c r="E14" t="s">
        <v>501</v>
      </c>
      <c r="F14" s="137">
        <v>1.3</v>
      </c>
      <c r="G14" s="138">
        <v>1.24</v>
      </c>
      <c r="H14" s="138">
        <v>0.06</v>
      </c>
      <c r="I14" s="139">
        <v>1</v>
      </c>
      <c r="J14" s="137">
        <v>1.1000000000000001</v>
      </c>
      <c r="K14" s="137">
        <v>1.4</v>
      </c>
      <c r="L14" t="s">
        <v>499</v>
      </c>
      <c r="M14" s="126">
        <v>434</v>
      </c>
      <c r="N14" t="s">
        <v>129</v>
      </c>
      <c r="O14" s="137">
        <f t="shared" si="0"/>
        <v>4.8387096774193585</v>
      </c>
      <c r="P14" s="137">
        <f t="shared" si="1"/>
        <v>4.8387096774193585</v>
      </c>
      <c r="Q14" s="126">
        <v>6</v>
      </c>
      <c r="R14" t="s">
        <v>521</v>
      </c>
      <c r="S14" t="str">
        <f>IF($W14&lt;&gt;"NAO ACEITO","",COUNTIFS($W$2:$W14,"NAO ACEITO"))</f>
        <v/>
      </c>
      <c r="T14" t="str">
        <f>IF($B14="","",IF(COUNTIF($B$2:$B14,$B14)=1,MAX($T$1:$T13)+1,""))</f>
        <v/>
      </c>
      <c r="U14" t="str">
        <f>IF($D14="","",IF(COUNTIF($D$2:$D14,$D14)=1,MAX($U$1:$U13)+1,""))</f>
        <v/>
      </c>
      <c r="V14">
        <f>IF($D14="","",IF(COUNTIFS($B$2:$B14,$B14,$D$2:$D14,$D14)=1,1,0))</f>
        <v>0</v>
      </c>
      <c r="W14" t="str">
        <f>IF($D14="","",mEQA.PadronizarStatus($L14))</f>
        <v>ACEITO</v>
      </c>
      <c r="X14" t="str">
        <f>IF(OR($D14="",$W14&lt;&gt;"NAO ACEITO"),"",IF(COUNTIFS($D$2:$D14,$D14,$W$2:$W14,"NAO ACEITO")=1,1,0))</f>
        <v/>
      </c>
    </row>
    <row r="15" spans="1:26" x14ac:dyDescent="0.3">
      <c r="A15" t="s">
        <v>402</v>
      </c>
      <c r="B15" t="s">
        <v>497</v>
      </c>
      <c r="C15" s="126">
        <v>2025</v>
      </c>
      <c r="D15" t="s">
        <v>469</v>
      </c>
      <c r="E15" t="s">
        <v>502</v>
      </c>
      <c r="F15" s="137">
        <v>2.4</v>
      </c>
      <c r="G15" s="138">
        <v>2.2599999999999998</v>
      </c>
      <c r="H15" s="138">
        <v>0.06</v>
      </c>
      <c r="I15" s="139">
        <v>2.2999999999999998</v>
      </c>
      <c r="J15" s="137">
        <v>2</v>
      </c>
      <c r="K15" s="137">
        <v>2.5</v>
      </c>
      <c r="L15" t="s">
        <v>499</v>
      </c>
      <c r="M15" s="126">
        <v>438</v>
      </c>
      <c r="N15" t="s">
        <v>129</v>
      </c>
      <c r="O15" s="137">
        <f t="shared" si="0"/>
        <v>6.1946902654867317</v>
      </c>
      <c r="P15" s="137">
        <f t="shared" si="1"/>
        <v>6.1946902654867317</v>
      </c>
      <c r="Q15" s="126">
        <v>6</v>
      </c>
      <c r="R15" t="s">
        <v>521</v>
      </c>
      <c r="S15" t="str">
        <f>IF($W15&lt;&gt;"NAO ACEITO","",COUNTIFS($W$2:$W15,"NAO ACEITO"))</f>
        <v/>
      </c>
      <c r="T15" t="str">
        <f>IF($B15="","",IF(COUNTIF($B$2:$B15,$B15)=1,MAX($T$1:$T14)+1,""))</f>
        <v/>
      </c>
      <c r="U15" t="str">
        <f>IF($D15="","",IF(COUNTIF($D$2:$D15,$D15)=1,MAX($U$1:$U14)+1,""))</f>
        <v/>
      </c>
      <c r="V15">
        <f>IF($D15="","",IF(COUNTIFS($B$2:$B15,$B15,$D$2:$D15,$D15)=1,1,0))</f>
        <v>0</v>
      </c>
      <c r="W15" t="str">
        <f>IF($D15="","",mEQA.PadronizarStatus($L15))</f>
        <v>ACEITO</v>
      </c>
      <c r="X15" t="str">
        <f>IF(OR($D15="",$W15&lt;&gt;"NAO ACEITO"),"",IF(COUNTIFS($D$2:$D15,$D15,$W$2:$W15,"NAO ACEITO")=1,1,0))</f>
        <v/>
      </c>
    </row>
    <row r="16" spans="1:26" x14ac:dyDescent="0.3">
      <c r="A16" t="s">
        <v>402</v>
      </c>
      <c r="B16" t="s">
        <v>497</v>
      </c>
      <c r="C16" s="126">
        <v>2025</v>
      </c>
      <c r="D16" t="s">
        <v>469</v>
      </c>
      <c r="E16" t="s">
        <v>503</v>
      </c>
      <c r="F16" s="137">
        <v>4.9000000000000004</v>
      </c>
      <c r="G16" s="138">
        <v>4.5999999999999996</v>
      </c>
      <c r="H16" s="138">
        <v>0.09</v>
      </c>
      <c r="I16" s="139">
        <v>3.4</v>
      </c>
      <c r="J16" s="137">
        <v>4.2</v>
      </c>
      <c r="K16" s="137">
        <v>5</v>
      </c>
      <c r="L16" t="s">
        <v>499</v>
      </c>
      <c r="M16" s="126">
        <v>428</v>
      </c>
      <c r="N16" t="s">
        <v>129</v>
      </c>
      <c r="O16" s="137">
        <f t="shared" si="0"/>
        <v>6.5217391304347991</v>
      </c>
      <c r="P16" s="137">
        <f t="shared" si="1"/>
        <v>6.5217391304347991</v>
      </c>
      <c r="Q16" s="126">
        <v>6</v>
      </c>
      <c r="R16" t="s">
        <v>521</v>
      </c>
      <c r="S16" t="str">
        <f>IF($W16&lt;&gt;"NAO ACEITO","",COUNTIFS($W$2:$W16,"NAO ACEITO"))</f>
        <v/>
      </c>
      <c r="T16" t="str">
        <f>IF($B16="","",IF(COUNTIF($B$2:$B16,$B16)=1,MAX($T$1:$T15)+1,""))</f>
        <v/>
      </c>
      <c r="U16" t="str">
        <f>IF($D16="","",IF(COUNTIF($D$2:$D16,$D16)=1,MAX($U$1:$U15)+1,""))</f>
        <v/>
      </c>
      <c r="V16">
        <f>IF($D16="","",IF(COUNTIFS($B$2:$B16,$B16,$D$2:$D16,$D16)=1,1,0))</f>
        <v>0</v>
      </c>
      <c r="W16" t="str">
        <f>IF($D16="","",mEQA.PadronizarStatus($L16))</f>
        <v>ACEITO</v>
      </c>
      <c r="X16" t="str">
        <f>IF(OR($D16="",$W16&lt;&gt;"NAO ACEITO"),"",IF(COUNTIFS($D$2:$D16,$D16,$W$2:$W16,"NAO ACEITO")=1,1,0))</f>
        <v/>
      </c>
    </row>
    <row r="17" spans="1:24" x14ac:dyDescent="0.3">
      <c r="A17" t="s">
        <v>402</v>
      </c>
      <c r="B17" t="s">
        <v>497</v>
      </c>
      <c r="C17" s="126">
        <v>2025</v>
      </c>
      <c r="D17" t="s">
        <v>470</v>
      </c>
      <c r="E17" t="s">
        <v>498</v>
      </c>
      <c r="F17" s="137">
        <v>236</v>
      </c>
      <c r="G17" s="138">
        <v>205.8</v>
      </c>
      <c r="H17" s="138">
        <v>7.7</v>
      </c>
      <c r="I17" s="139">
        <v>3.9</v>
      </c>
      <c r="J17" s="137">
        <v>164</v>
      </c>
      <c r="K17" s="137">
        <v>247</v>
      </c>
      <c r="L17" t="s">
        <v>499</v>
      </c>
      <c r="M17" s="126">
        <v>369</v>
      </c>
      <c r="N17" t="s">
        <v>123</v>
      </c>
      <c r="O17" s="137">
        <f t="shared" si="0"/>
        <v>14.674441205053443</v>
      </c>
      <c r="P17" s="137">
        <f t="shared" si="1"/>
        <v>14.674441205053443</v>
      </c>
      <c r="Q17" s="126">
        <v>7</v>
      </c>
      <c r="R17" t="s">
        <v>521</v>
      </c>
      <c r="S17" t="str">
        <f>IF($W17&lt;&gt;"NAO ACEITO","",COUNTIFS($W$2:$W17,"NAO ACEITO"))</f>
        <v/>
      </c>
      <c r="T17" t="str">
        <f>IF($B17="","",IF(COUNTIF($B$2:$B17,$B17)=1,MAX($T$1:$T16)+1,""))</f>
        <v/>
      </c>
      <c r="U17">
        <f>IF($D17="","",IF(COUNTIF($D$2:$D17,$D17)=1,MAX($U$1:$U16)+1,""))</f>
        <v>4</v>
      </c>
      <c r="V17">
        <f>IF($D17="","",IF(COUNTIFS($B$2:$B17,$B17,$D$2:$D17,$D17)=1,1,0))</f>
        <v>1</v>
      </c>
      <c r="W17" t="str">
        <f>IF($D17="","",mEQA.PadronizarStatus($L17))</f>
        <v>ACEITO</v>
      </c>
      <c r="X17" t="str">
        <f>IF(OR($D17="",$W17&lt;&gt;"NAO ACEITO"),"",IF(COUNTIFS($D$2:$D17,$D17,$W$2:$W17,"NAO ACEITO")=1,1,0))</f>
        <v/>
      </c>
    </row>
    <row r="18" spans="1:24" x14ac:dyDescent="0.3">
      <c r="A18" t="s">
        <v>402</v>
      </c>
      <c r="B18" t="s">
        <v>497</v>
      </c>
      <c r="C18" s="126">
        <v>2025</v>
      </c>
      <c r="D18" t="s">
        <v>470</v>
      </c>
      <c r="E18" t="s">
        <v>500</v>
      </c>
      <c r="F18" s="137">
        <v>193</v>
      </c>
      <c r="G18" s="138">
        <v>169.2</v>
      </c>
      <c r="H18" s="138">
        <v>6.1</v>
      </c>
      <c r="I18" s="139">
        <v>3.9</v>
      </c>
      <c r="J18" s="137">
        <v>135</v>
      </c>
      <c r="K18" s="137">
        <v>204</v>
      </c>
      <c r="L18" t="s">
        <v>499</v>
      </c>
      <c r="M18" s="126">
        <v>369</v>
      </c>
      <c r="N18" t="s">
        <v>123</v>
      </c>
      <c r="O18" s="137">
        <f t="shared" si="0"/>
        <v>14.066193853427903</v>
      </c>
      <c r="P18" s="137">
        <f t="shared" si="1"/>
        <v>14.066193853427903</v>
      </c>
      <c r="Q18" s="126">
        <v>7</v>
      </c>
      <c r="R18" t="s">
        <v>521</v>
      </c>
      <c r="S18" t="str">
        <f>IF($W18&lt;&gt;"NAO ACEITO","",COUNTIFS($W$2:$W18,"NAO ACEITO"))</f>
        <v/>
      </c>
      <c r="T18" t="str">
        <f>IF($B18="","",IF(COUNTIF($B$2:$B18,$B18)=1,MAX($T$1:$T17)+1,""))</f>
        <v/>
      </c>
      <c r="U18" t="str">
        <f>IF($D18="","",IF(COUNTIF($D$2:$D18,$D18)=1,MAX($U$1:$U17)+1,""))</f>
        <v/>
      </c>
      <c r="V18">
        <f>IF($D18="","",IF(COUNTIFS($B$2:$B18,$B18,$D$2:$D18,$D18)=1,1,0))</f>
        <v>0</v>
      </c>
      <c r="W18" t="str">
        <f>IF($D18="","",mEQA.PadronizarStatus($L18))</f>
        <v>ACEITO</v>
      </c>
      <c r="X18" t="str">
        <f>IF(OR($D18="",$W18&lt;&gt;"NAO ACEITO"),"",IF(COUNTIFS($D$2:$D18,$D18,$W$2:$W18,"NAO ACEITO")=1,1,0))</f>
        <v/>
      </c>
    </row>
    <row r="19" spans="1:24" x14ac:dyDescent="0.3">
      <c r="A19" t="s">
        <v>402</v>
      </c>
      <c r="B19" t="s">
        <v>497</v>
      </c>
      <c r="C19" s="126">
        <v>2025</v>
      </c>
      <c r="D19" t="s">
        <v>470</v>
      </c>
      <c r="E19" t="s">
        <v>501</v>
      </c>
      <c r="F19" s="137">
        <v>30</v>
      </c>
      <c r="G19" s="138">
        <v>26.8</v>
      </c>
      <c r="H19" s="138">
        <v>2.7</v>
      </c>
      <c r="I19" s="139">
        <v>1.2</v>
      </c>
      <c r="J19" s="137">
        <v>21</v>
      </c>
      <c r="K19" s="137">
        <v>33</v>
      </c>
      <c r="L19" t="s">
        <v>499</v>
      </c>
      <c r="M19" s="126">
        <v>375</v>
      </c>
      <c r="N19" t="s">
        <v>123</v>
      </c>
      <c r="O19" s="137">
        <f t="shared" si="0"/>
        <v>11.940298507462684</v>
      </c>
      <c r="P19" s="137">
        <f t="shared" si="1"/>
        <v>11.940298507462684</v>
      </c>
      <c r="Q19" s="126">
        <v>7</v>
      </c>
      <c r="R19" t="s">
        <v>521</v>
      </c>
      <c r="S19" t="str">
        <f>IF($W19&lt;&gt;"NAO ACEITO","",COUNTIFS($W$2:$W19,"NAO ACEITO"))</f>
        <v/>
      </c>
      <c r="T19" t="str">
        <f>IF($B19="","",IF(COUNTIF($B$2:$B19,$B19)=1,MAX($T$1:$T18)+1,""))</f>
        <v/>
      </c>
      <c r="U19" t="str">
        <f>IF($D19="","",IF(COUNTIF($D$2:$D19,$D19)=1,MAX($U$1:$U18)+1,""))</f>
        <v/>
      </c>
      <c r="V19">
        <f>IF($D19="","",IF(COUNTIFS($B$2:$B19,$B19,$D$2:$D19,$D19)=1,1,0))</f>
        <v>0</v>
      </c>
      <c r="W19" t="str">
        <f>IF($D19="","",mEQA.PadronizarStatus($L19))</f>
        <v>ACEITO</v>
      </c>
      <c r="X19" t="str">
        <f>IF(OR($D19="",$W19&lt;&gt;"NAO ACEITO"),"",IF(COUNTIFS($D$2:$D19,$D19,$W$2:$W19,"NAO ACEITO")=1,1,0))</f>
        <v/>
      </c>
    </row>
    <row r="20" spans="1:24" x14ac:dyDescent="0.3">
      <c r="A20" t="s">
        <v>402</v>
      </c>
      <c r="B20" t="s">
        <v>497</v>
      </c>
      <c r="C20" s="126">
        <v>2025</v>
      </c>
      <c r="D20" t="s">
        <v>470</v>
      </c>
      <c r="E20" t="s">
        <v>502</v>
      </c>
      <c r="F20" s="137">
        <v>561</v>
      </c>
      <c r="G20" s="138">
        <v>484.5</v>
      </c>
      <c r="H20" s="138">
        <v>15.4</v>
      </c>
      <c r="I20" s="139">
        <v>5</v>
      </c>
      <c r="J20" s="137">
        <v>387</v>
      </c>
      <c r="K20" s="137">
        <v>582</v>
      </c>
      <c r="L20" t="s">
        <v>499</v>
      </c>
      <c r="M20" s="126">
        <v>371</v>
      </c>
      <c r="N20" t="s">
        <v>123</v>
      </c>
      <c r="O20" s="137">
        <f t="shared" si="0"/>
        <v>15.789473684210526</v>
      </c>
      <c r="P20" s="137">
        <f t="shared" si="1"/>
        <v>15.789473684210526</v>
      </c>
      <c r="Q20" s="126">
        <v>7</v>
      </c>
      <c r="R20" t="s">
        <v>521</v>
      </c>
      <c r="S20" t="str">
        <f>IF($W20&lt;&gt;"NAO ACEITO","",COUNTIFS($W$2:$W20,"NAO ACEITO"))</f>
        <v/>
      </c>
      <c r="T20" t="str">
        <f>IF($B20="","",IF(COUNTIF($B$2:$B20,$B20)=1,MAX($T$1:$T19)+1,""))</f>
        <v/>
      </c>
      <c r="U20" t="str">
        <f>IF($D20="","",IF(COUNTIF($D$2:$D20,$D20)=1,MAX($U$1:$U19)+1,""))</f>
        <v/>
      </c>
      <c r="V20">
        <f>IF($D20="","",IF(COUNTIFS($B$2:$B20,$B20,$D$2:$D20,$D20)=1,1,0))</f>
        <v>0</v>
      </c>
      <c r="W20" t="str">
        <f>IF($D20="","",mEQA.PadronizarStatus($L20))</f>
        <v>ACEITO</v>
      </c>
      <c r="X20" t="str">
        <f>IF(OR($D20="",$W20&lt;&gt;"NAO ACEITO"),"",IF(COUNTIFS($D$2:$D20,$D20,$W$2:$W20,"NAO ACEITO")=1,1,0))</f>
        <v/>
      </c>
    </row>
    <row r="21" spans="1:24" x14ac:dyDescent="0.3">
      <c r="A21" t="s">
        <v>402</v>
      </c>
      <c r="B21" t="s">
        <v>497</v>
      </c>
      <c r="C21" s="126">
        <v>2025</v>
      </c>
      <c r="D21" t="s">
        <v>470</v>
      </c>
      <c r="E21" t="s">
        <v>503</v>
      </c>
      <c r="F21" s="137">
        <v>190</v>
      </c>
      <c r="G21" s="138">
        <v>167.1</v>
      </c>
      <c r="H21" s="138">
        <v>7.9</v>
      </c>
      <c r="I21" s="139">
        <v>2.9</v>
      </c>
      <c r="J21" s="137">
        <v>133</v>
      </c>
      <c r="K21" s="137">
        <v>201</v>
      </c>
      <c r="L21" t="s">
        <v>499</v>
      </c>
      <c r="M21" s="126">
        <v>372</v>
      </c>
      <c r="N21" t="s">
        <v>123</v>
      </c>
      <c r="O21" s="137">
        <f t="shared" si="0"/>
        <v>13.704368641532019</v>
      </c>
      <c r="P21" s="137">
        <f t="shared" si="1"/>
        <v>13.704368641532019</v>
      </c>
      <c r="Q21" s="126">
        <v>7</v>
      </c>
      <c r="R21" t="s">
        <v>521</v>
      </c>
      <c r="S21" t="str">
        <f>IF($W21&lt;&gt;"NAO ACEITO","",COUNTIFS($W$2:$W21,"NAO ACEITO"))</f>
        <v/>
      </c>
      <c r="T21" t="str">
        <f>IF($B21="","",IF(COUNTIF($B$2:$B21,$B21)=1,MAX($T$1:$T20)+1,""))</f>
        <v/>
      </c>
      <c r="U21" t="str">
        <f>IF($D21="","",IF(COUNTIF($D$2:$D21,$D21)=1,MAX($U$1:$U20)+1,""))</f>
        <v/>
      </c>
      <c r="V21">
        <f>IF($D21="","",IF(COUNTIFS($B$2:$B21,$B21,$D$2:$D21,$D21)=1,1,0))</f>
        <v>0</v>
      </c>
      <c r="W21" t="str">
        <f>IF($D21="","",mEQA.PadronizarStatus($L21))</f>
        <v>ACEITO</v>
      </c>
      <c r="X21" t="str">
        <f>IF(OR($D21="",$W21&lt;&gt;"NAO ACEITO"),"",IF(COUNTIFS($D$2:$D21,$D21,$W$2:$W21,"NAO ACEITO")=1,1,0))</f>
        <v/>
      </c>
    </row>
    <row r="22" spans="1:24" x14ac:dyDescent="0.3">
      <c r="A22" t="s">
        <v>402</v>
      </c>
      <c r="B22" t="s">
        <v>497</v>
      </c>
      <c r="C22" s="126">
        <v>2025</v>
      </c>
      <c r="D22" t="s">
        <v>471</v>
      </c>
      <c r="E22" t="s">
        <v>498</v>
      </c>
      <c r="F22" s="137">
        <v>198</v>
      </c>
      <c r="G22" s="138">
        <v>191.3</v>
      </c>
      <c r="H22" s="138">
        <v>3.1</v>
      </c>
      <c r="I22" s="139">
        <v>2.2000000000000002</v>
      </c>
      <c r="J22" s="137">
        <v>153</v>
      </c>
      <c r="K22" s="137">
        <v>230</v>
      </c>
      <c r="L22" t="s">
        <v>499</v>
      </c>
      <c r="M22" s="126">
        <v>313</v>
      </c>
      <c r="N22" t="s">
        <v>123</v>
      </c>
      <c r="O22" s="137">
        <f t="shared" si="0"/>
        <v>3.5023523261892251</v>
      </c>
      <c r="P22" s="137">
        <f t="shared" si="1"/>
        <v>3.5023523261892251</v>
      </c>
      <c r="Q22" s="126">
        <v>7</v>
      </c>
      <c r="R22" t="s">
        <v>521</v>
      </c>
      <c r="S22" t="str">
        <f>IF($W22&lt;&gt;"NAO ACEITO","",COUNTIFS($W$2:$W22,"NAO ACEITO"))</f>
        <v/>
      </c>
      <c r="T22" t="str">
        <f>IF($B22="","",IF(COUNTIF($B$2:$B22,$B22)=1,MAX($T$1:$T21)+1,""))</f>
        <v/>
      </c>
      <c r="U22">
        <f>IF($D22="","",IF(COUNTIF($D$2:$D22,$D22)=1,MAX($U$1:$U21)+1,""))</f>
        <v>5</v>
      </c>
      <c r="V22">
        <f>IF($D22="","",IF(COUNTIFS($B$2:$B22,$B22,$D$2:$D22,$D22)=1,1,0))</f>
        <v>1</v>
      </c>
      <c r="W22" t="str">
        <f>IF($D22="","",mEQA.PadronizarStatus($L22))</f>
        <v>ACEITO</v>
      </c>
      <c r="X22" t="str">
        <f>IF(OR($D22="",$W22&lt;&gt;"NAO ACEITO"),"",IF(COUNTIFS($D$2:$D22,$D22,$W$2:$W22,"NAO ACEITO")=1,1,0))</f>
        <v/>
      </c>
    </row>
    <row r="23" spans="1:24" x14ac:dyDescent="0.3">
      <c r="A23" t="s">
        <v>402</v>
      </c>
      <c r="B23" t="s">
        <v>497</v>
      </c>
      <c r="C23" s="126">
        <v>2025</v>
      </c>
      <c r="D23" t="s">
        <v>471</v>
      </c>
      <c r="E23" t="s">
        <v>500</v>
      </c>
      <c r="F23" s="137">
        <v>162</v>
      </c>
      <c r="G23" s="138">
        <v>162.5</v>
      </c>
      <c r="H23" s="138">
        <v>2.6</v>
      </c>
      <c r="I23" s="139">
        <v>-0.2</v>
      </c>
      <c r="J23" s="137">
        <v>130</v>
      </c>
      <c r="K23" s="137">
        <v>195</v>
      </c>
      <c r="L23" t="s">
        <v>499</v>
      </c>
      <c r="M23" s="126">
        <v>315</v>
      </c>
      <c r="N23" t="s">
        <v>123</v>
      </c>
      <c r="O23" s="137">
        <f t="shared" si="0"/>
        <v>-0.30769230769230771</v>
      </c>
      <c r="P23" s="137">
        <f t="shared" si="1"/>
        <v>0.30769230769230771</v>
      </c>
      <c r="Q23" s="126">
        <v>7</v>
      </c>
      <c r="R23" t="s">
        <v>521</v>
      </c>
      <c r="S23" t="str">
        <f>IF($W23&lt;&gt;"NAO ACEITO","",COUNTIFS($W$2:$W23,"NAO ACEITO"))</f>
        <v/>
      </c>
      <c r="T23" t="str">
        <f>IF($B23="","",IF(COUNTIF($B$2:$B23,$B23)=1,MAX($T$1:$T22)+1,""))</f>
        <v/>
      </c>
      <c r="U23" t="str">
        <f>IF($D23="","",IF(COUNTIF($D$2:$D23,$D23)=1,MAX($U$1:$U22)+1,""))</f>
        <v/>
      </c>
      <c r="V23">
        <f>IF($D23="","",IF(COUNTIFS($B$2:$B23,$B23,$D$2:$D23,$D23)=1,1,0))</f>
        <v>0</v>
      </c>
      <c r="W23" t="str">
        <f>IF($D23="","",mEQA.PadronizarStatus($L23))</f>
        <v>ACEITO</v>
      </c>
      <c r="X23" t="str">
        <f>IF(OR($D23="",$W23&lt;&gt;"NAO ACEITO"),"",IF(COUNTIFS($D$2:$D23,$D23,$W$2:$W23,"NAO ACEITO")=1,1,0))</f>
        <v/>
      </c>
    </row>
    <row r="24" spans="1:24" x14ac:dyDescent="0.3">
      <c r="A24" t="s">
        <v>402</v>
      </c>
      <c r="B24" t="s">
        <v>497</v>
      </c>
      <c r="C24" s="126">
        <v>2025</v>
      </c>
      <c r="D24" t="s">
        <v>471</v>
      </c>
      <c r="E24" t="s">
        <v>501</v>
      </c>
      <c r="F24" s="137">
        <v>28</v>
      </c>
      <c r="G24" s="138">
        <v>29.3</v>
      </c>
      <c r="H24" s="138">
        <v>1.2</v>
      </c>
      <c r="I24" s="139">
        <v>-1.1000000000000001</v>
      </c>
      <c r="J24" s="137">
        <v>23</v>
      </c>
      <c r="K24" s="137">
        <v>36</v>
      </c>
      <c r="L24" t="s">
        <v>499</v>
      </c>
      <c r="M24" s="126">
        <v>313</v>
      </c>
      <c r="N24" t="s">
        <v>123</v>
      </c>
      <c r="O24" s="137">
        <f t="shared" si="0"/>
        <v>-4.4368600682593877</v>
      </c>
      <c r="P24" s="137">
        <f t="shared" si="1"/>
        <v>4.4368600682593877</v>
      </c>
      <c r="Q24" s="126">
        <v>7</v>
      </c>
      <c r="R24" t="s">
        <v>521</v>
      </c>
      <c r="S24" t="str">
        <f>IF($W24&lt;&gt;"NAO ACEITO","",COUNTIFS($W$2:$W24,"NAO ACEITO"))</f>
        <v/>
      </c>
      <c r="T24" t="str">
        <f>IF($B24="","",IF(COUNTIF($B$2:$B24,$B24)=1,MAX($T$1:$T23)+1,""))</f>
        <v/>
      </c>
      <c r="U24" t="str">
        <f>IF($D24="","",IF(COUNTIF($D$2:$D24,$D24)=1,MAX($U$1:$U23)+1,""))</f>
        <v/>
      </c>
      <c r="V24">
        <f>IF($D24="","",IF(COUNTIFS($B$2:$B24,$B24,$D$2:$D24,$D24)=1,1,0))</f>
        <v>0</v>
      </c>
      <c r="W24" t="str">
        <f>IF($D24="","",mEQA.PadronizarStatus($L24))</f>
        <v>ACEITO</v>
      </c>
      <c r="X24" t="str">
        <f>IF(OR($D24="",$W24&lt;&gt;"NAO ACEITO"),"",IF(COUNTIFS($D$2:$D24,$D24,$W$2:$W24,"NAO ACEITO")=1,1,0))</f>
        <v/>
      </c>
    </row>
    <row r="25" spans="1:24" x14ac:dyDescent="0.3">
      <c r="A25" t="s">
        <v>402</v>
      </c>
      <c r="B25" t="s">
        <v>497</v>
      </c>
      <c r="C25" s="126">
        <v>2025</v>
      </c>
      <c r="D25" t="s">
        <v>471</v>
      </c>
      <c r="E25" t="s">
        <v>502</v>
      </c>
      <c r="F25" s="137">
        <v>451</v>
      </c>
      <c r="G25" s="138">
        <v>449.7</v>
      </c>
      <c r="H25" s="138">
        <v>7</v>
      </c>
      <c r="I25" s="139">
        <v>0.2</v>
      </c>
      <c r="J25" s="137">
        <v>359</v>
      </c>
      <c r="K25" s="137">
        <v>540</v>
      </c>
      <c r="L25" t="s">
        <v>499</v>
      </c>
      <c r="M25" s="126">
        <v>312</v>
      </c>
      <c r="N25" t="s">
        <v>123</v>
      </c>
      <c r="O25" s="137">
        <f t="shared" si="0"/>
        <v>0.28908160996219956</v>
      </c>
      <c r="P25" s="137">
        <f t="shared" si="1"/>
        <v>0.28908160996219956</v>
      </c>
      <c r="Q25" s="126">
        <v>7</v>
      </c>
      <c r="R25" t="s">
        <v>521</v>
      </c>
      <c r="S25" t="str">
        <f>IF($W25&lt;&gt;"NAO ACEITO","",COUNTIFS($W$2:$W25,"NAO ACEITO"))</f>
        <v/>
      </c>
      <c r="T25" t="str">
        <f>IF($B25="","",IF(COUNTIF($B$2:$B25,$B25)=1,MAX($T$1:$T24)+1,""))</f>
        <v/>
      </c>
      <c r="U25" t="str">
        <f>IF($D25="","",IF(COUNTIF($D$2:$D25,$D25)=1,MAX($U$1:$U24)+1,""))</f>
        <v/>
      </c>
      <c r="V25">
        <f>IF($D25="","",IF(COUNTIFS($B$2:$B25,$B25,$D$2:$D25,$D25)=1,1,0))</f>
        <v>0</v>
      </c>
      <c r="W25" t="str">
        <f>IF($D25="","",mEQA.PadronizarStatus($L25))</f>
        <v>ACEITO</v>
      </c>
      <c r="X25" t="str">
        <f>IF(OR($D25="",$W25&lt;&gt;"NAO ACEITO"),"",IF(COUNTIFS($D$2:$D25,$D25,$W$2:$W25,"NAO ACEITO")=1,1,0))</f>
        <v/>
      </c>
    </row>
    <row r="26" spans="1:24" x14ac:dyDescent="0.3">
      <c r="A26" t="s">
        <v>402</v>
      </c>
      <c r="B26" t="s">
        <v>497</v>
      </c>
      <c r="C26" s="126">
        <v>2025</v>
      </c>
      <c r="D26" t="s">
        <v>471</v>
      </c>
      <c r="E26" t="s">
        <v>503</v>
      </c>
      <c r="F26" s="137">
        <v>143</v>
      </c>
      <c r="G26" s="138">
        <v>141.6</v>
      </c>
      <c r="H26" s="138">
        <v>2.2999999999999998</v>
      </c>
      <c r="I26" s="139">
        <v>0.6</v>
      </c>
      <c r="J26" s="137">
        <v>113</v>
      </c>
      <c r="K26" s="137">
        <v>170</v>
      </c>
      <c r="L26" t="s">
        <v>499</v>
      </c>
      <c r="M26" s="126">
        <v>311</v>
      </c>
      <c r="N26" t="s">
        <v>123</v>
      </c>
      <c r="O26" s="137">
        <f t="shared" si="0"/>
        <v>0.98870056497175551</v>
      </c>
      <c r="P26" s="137">
        <f t="shared" si="1"/>
        <v>0.98870056497175551</v>
      </c>
      <c r="Q26" s="126">
        <v>7</v>
      </c>
      <c r="R26" t="s">
        <v>521</v>
      </c>
      <c r="S26" t="str">
        <f>IF($W26&lt;&gt;"NAO ACEITO","",COUNTIFS($W$2:$W26,"NAO ACEITO"))</f>
        <v/>
      </c>
      <c r="T26" t="str">
        <f>IF($B26="","",IF(COUNTIF($B$2:$B26,$B26)=1,MAX($T$1:$T25)+1,""))</f>
        <v/>
      </c>
      <c r="U26" t="str">
        <f>IF($D26="","",IF(COUNTIF($D$2:$D26,$D26)=1,MAX($U$1:$U25)+1,""))</f>
        <v/>
      </c>
      <c r="V26">
        <f>IF($D26="","",IF(COUNTIFS($B$2:$B26,$B26,$D$2:$D26,$D26)=1,1,0))</f>
        <v>0</v>
      </c>
      <c r="W26" t="str">
        <f>IF($D26="","",mEQA.PadronizarStatus($L26))</f>
        <v>ACEITO</v>
      </c>
      <c r="X26" t="str">
        <f>IF(OR($D26="",$W26&lt;&gt;"NAO ACEITO"),"",IF(COUNTIFS($D$2:$D26,$D26,$W$2:$W26,"NAO ACEITO")=1,1,0))</f>
        <v/>
      </c>
    </row>
    <row r="27" spans="1:24" x14ac:dyDescent="0.3">
      <c r="A27" t="s">
        <v>402</v>
      </c>
      <c r="B27" t="s">
        <v>497</v>
      </c>
      <c r="C27" s="126">
        <v>2025</v>
      </c>
      <c r="D27" t="s">
        <v>472</v>
      </c>
      <c r="E27" t="s">
        <v>498</v>
      </c>
      <c r="F27" s="137">
        <v>0.2</v>
      </c>
      <c r="G27" s="138">
        <v>0.34</v>
      </c>
      <c r="H27" s="138">
        <v>7.0000000000000007E-2</v>
      </c>
      <c r="I27" s="139">
        <v>-1.9</v>
      </c>
      <c r="J27" s="137">
        <v>0</v>
      </c>
      <c r="K27" s="137">
        <v>0.8</v>
      </c>
      <c r="L27" t="s">
        <v>499</v>
      </c>
      <c r="M27" s="126">
        <v>420</v>
      </c>
      <c r="N27" t="s">
        <v>112</v>
      </c>
      <c r="O27" s="137">
        <f t="shared" si="0"/>
        <v>-41.176470588235297</v>
      </c>
      <c r="P27" s="137">
        <f t="shared" si="1"/>
        <v>41.176470588235297</v>
      </c>
      <c r="Q27" s="126">
        <v>2</v>
      </c>
      <c r="R27" t="s">
        <v>521</v>
      </c>
      <c r="S27" t="str">
        <f>IF($W27&lt;&gt;"NAO ACEITO","",COUNTIFS($W$2:$W27,"NAO ACEITO"))</f>
        <v/>
      </c>
      <c r="T27" t="str">
        <f>IF($B27="","",IF(COUNTIF($B$2:$B27,$B27)=1,MAX($T$1:$T26)+1,""))</f>
        <v/>
      </c>
      <c r="U27">
        <f>IF($D27="","",IF(COUNTIF($D$2:$D27,$D27)=1,MAX($U$1:$U26)+1,""))</f>
        <v>6</v>
      </c>
      <c r="V27">
        <f>IF($D27="","",IF(COUNTIFS($B$2:$B27,$B27,$D$2:$D27,$D27)=1,1,0))</f>
        <v>1</v>
      </c>
      <c r="W27" t="str">
        <f>IF($D27="","",mEQA.PadronizarStatus($L27))</f>
        <v>ACEITO</v>
      </c>
      <c r="X27" t="str">
        <f>IF(OR($D27="",$W27&lt;&gt;"NAO ACEITO"),"",IF(COUNTIFS($D$2:$D27,$D27,$W$2:$W27,"NAO ACEITO")=1,1,0))</f>
        <v/>
      </c>
    </row>
    <row r="28" spans="1:24" x14ac:dyDescent="0.3">
      <c r="A28" t="s">
        <v>402</v>
      </c>
      <c r="B28" t="s">
        <v>497</v>
      </c>
      <c r="C28" s="126">
        <v>2025</v>
      </c>
      <c r="D28" t="s">
        <v>472</v>
      </c>
      <c r="E28" t="s">
        <v>500</v>
      </c>
      <c r="F28" s="137">
        <v>0.3</v>
      </c>
      <c r="G28" s="138">
        <v>0.47</v>
      </c>
      <c r="H28" s="138">
        <v>0.09</v>
      </c>
      <c r="I28" s="139">
        <v>-2</v>
      </c>
      <c r="J28" s="137">
        <v>0</v>
      </c>
      <c r="K28" s="137">
        <v>0.9</v>
      </c>
      <c r="L28" t="s">
        <v>499</v>
      </c>
      <c r="M28" s="126">
        <v>420</v>
      </c>
      <c r="N28" t="s">
        <v>112</v>
      </c>
      <c r="O28" s="137">
        <f t="shared" si="0"/>
        <v>-36.170212765957444</v>
      </c>
      <c r="P28" s="137">
        <f t="shared" si="1"/>
        <v>36.170212765957444</v>
      </c>
      <c r="Q28" s="126">
        <v>2</v>
      </c>
      <c r="R28" t="s">
        <v>521</v>
      </c>
      <c r="S28" t="str">
        <f>IF($W28&lt;&gt;"NAO ACEITO","",COUNTIFS($W$2:$W28,"NAO ACEITO"))</f>
        <v/>
      </c>
      <c r="T28" t="str">
        <f>IF($B28="","",IF(COUNTIF($B$2:$B28,$B28)=1,MAX($T$1:$T27)+1,""))</f>
        <v/>
      </c>
      <c r="U28" t="str">
        <f>IF($D28="","",IF(COUNTIF($D$2:$D28,$D28)=1,MAX($U$1:$U27)+1,""))</f>
        <v/>
      </c>
      <c r="V28">
        <f>IF($D28="","",IF(COUNTIFS($B$2:$B28,$B28,$D$2:$D28,$D28)=1,1,0))</f>
        <v>0</v>
      </c>
      <c r="W28" t="str">
        <f>IF($D28="","",mEQA.PadronizarStatus($L28))</f>
        <v>ACEITO</v>
      </c>
      <c r="X28" t="str">
        <f>IF(OR($D28="",$W28&lt;&gt;"NAO ACEITO"),"",IF(COUNTIFS($D$2:$D28,$D28,$W$2:$W28,"NAO ACEITO")=1,1,0))</f>
        <v/>
      </c>
    </row>
    <row r="29" spans="1:24" x14ac:dyDescent="0.3">
      <c r="A29" t="s">
        <v>402</v>
      </c>
      <c r="B29" t="s">
        <v>497</v>
      </c>
      <c r="C29" s="126">
        <v>2025</v>
      </c>
      <c r="D29" t="s">
        <v>472</v>
      </c>
      <c r="E29" t="s">
        <v>501</v>
      </c>
      <c r="F29" s="137">
        <v>0.8</v>
      </c>
      <c r="G29" s="138">
        <v>0.98</v>
      </c>
      <c r="H29" s="138">
        <v>0.11</v>
      </c>
      <c r="I29" s="139">
        <v>-1.7</v>
      </c>
      <c r="J29" s="137">
        <v>0.5</v>
      </c>
      <c r="K29" s="137">
        <v>1.4</v>
      </c>
      <c r="L29" t="s">
        <v>499</v>
      </c>
      <c r="M29" s="126">
        <v>419</v>
      </c>
      <c r="N29" t="s">
        <v>112</v>
      </c>
      <c r="O29" s="137">
        <f t="shared" si="0"/>
        <v>-18.367346938775501</v>
      </c>
      <c r="P29" s="137">
        <f t="shared" si="1"/>
        <v>18.367346938775501</v>
      </c>
      <c r="Q29" s="126">
        <v>2</v>
      </c>
      <c r="R29" t="s">
        <v>521</v>
      </c>
      <c r="S29" t="str">
        <f>IF($W29&lt;&gt;"NAO ACEITO","",COUNTIFS($W$2:$W29,"NAO ACEITO"))</f>
        <v/>
      </c>
      <c r="T29" t="str">
        <f>IF($B29="","",IF(COUNTIF($B$2:$B29,$B29)=1,MAX($T$1:$T28)+1,""))</f>
        <v/>
      </c>
      <c r="U29" t="str">
        <f>IF($D29="","",IF(COUNTIF($D$2:$D29,$D29)=1,MAX($U$1:$U28)+1,""))</f>
        <v/>
      </c>
      <c r="V29">
        <f>IF($D29="","",IF(COUNTIFS($B$2:$B29,$B29,$D$2:$D29,$D29)=1,1,0))</f>
        <v>0</v>
      </c>
      <c r="W29" t="str">
        <f>IF($D29="","",mEQA.PadronizarStatus($L29))</f>
        <v>ACEITO</v>
      </c>
      <c r="X29" t="str">
        <f>IF(OR($D29="",$W29&lt;&gt;"NAO ACEITO"),"",IF(COUNTIFS($D$2:$D29,$D29,$W$2:$W29,"NAO ACEITO")=1,1,0))</f>
        <v/>
      </c>
    </row>
    <row r="30" spans="1:24" x14ac:dyDescent="0.3">
      <c r="A30" t="s">
        <v>402</v>
      </c>
      <c r="B30" t="s">
        <v>497</v>
      </c>
      <c r="C30" s="126">
        <v>2025</v>
      </c>
      <c r="D30" t="s">
        <v>472</v>
      </c>
      <c r="E30" t="s">
        <v>502</v>
      </c>
      <c r="F30" s="137">
        <v>0</v>
      </c>
      <c r="G30" s="138">
        <v>0.05</v>
      </c>
      <c r="H30" s="138">
        <v>0.05</v>
      </c>
      <c r="I30" s="139">
        <v>-1</v>
      </c>
      <c r="J30" s="137">
        <v>0</v>
      </c>
      <c r="K30" s="137">
        <v>0.5</v>
      </c>
      <c r="L30" t="s">
        <v>499</v>
      </c>
      <c r="M30" s="126">
        <v>242</v>
      </c>
      <c r="N30" t="s">
        <v>112</v>
      </c>
      <c r="O30" s="137">
        <f t="shared" si="0"/>
        <v>-100</v>
      </c>
      <c r="P30" s="137">
        <f t="shared" si="1"/>
        <v>100</v>
      </c>
      <c r="Q30" s="126">
        <v>2</v>
      </c>
      <c r="R30" t="s">
        <v>521</v>
      </c>
      <c r="S30" t="str">
        <f>IF($W30&lt;&gt;"NAO ACEITO","",COUNTIFS($W$2:$W30,"NAO ACEITO"))</f>
        <v/>
      </c>
      <c r="T30" t="str">
        <f>IF($B30="","",IF(COUNTIF($B$2:$B30,$B30)=1,MAX($T$1:$T29)+1,""))</f>
        <v/>
      </c>
      <c r="U30" t="str">
        <f>IF($D30="","",IF(COUNTIF($D$2:$D30,$D30)=1,MAX($U$1:$U29)+1,""))</f>
        <v/>
      </c>
      <c r="V30">
        <f>IF($D30="","",IF(COUNTIFS($B$2:$B30,$B30,$D$2:$D30,$D30)=1,1,0))</f>
        <v>0</v>
      </c>
      <c r="W30" t="str">
        <f>IF($D30="","",mEQA.PadronizarStatus($L30))</f>
        <v>ACEITO</v>
      </c>
      <c r="X30" t="str">
        <f>IF(OR($D30="",$W30&lt;&gt;"NAO ACEITO"),"",IF(COUNTIFS($D$2:$D30,$D30,$W$2:$W30,"NAO ACEITO")=1,1,0))</f>
        <v/>
      </c>
    </row>
    <row r="31" spans="1:24" x14ac:dyDescent="0.3">
      <c r="A31" t="s">
        <v>402</v>
      </c>
      <c r="B31" t="s">
        <v>497</v>
      </c>
      <c r="C31" s="126">
        <v>2025</v>
      </c>
      <c r="D31" t="s">
        <v>472</v>
      </c>
      <c r="E31" t="s">
        <v>503</v>
      </c>
      <c r="F31" s="137">
        <v>0.3</v>
      </c>
      <c r="G31" s="138">
        <v>0.42</v>
      </c>
      <c r="H31" s="138">
        <v>7.0000000000000007E-2</v>
      </c>
      <c r="I31" s="139">
        <v>-1.8</v>
      </c>
      <c r="J31" s="137">
        <v>0</v>
      </c>
      <c r="K31" s="137">
        <v>0.9</v>
      </c>
      <c r="L31" t="s">
        <v>499</v>
      </c>
      <c r="M31" s="126">
        <v>418</v>
      </c>
      <c r="N31" t="s">
        <v>112</v>
      </c>
      <c r="O31" s="137">
        <f t="shared" si="0"/>
        <v>-28.571428571428569</v>
      </c>
      <c r="P31" s="137">
        <f t="shared" si="1"/>
        <v>28.571428571428569</v>
      </c>
      <c r="Q31" s="126">
        <v>2</v>
      </c>
      <c r="R31" t="s">
        <v>521</v>
      </c>
      <c r="S31" t="str">
        <f>IF($W31&lt;&gt;"NAO ACEITO","",COUNTIFS($W$2:$W31,"NAO ACEITO"))</f>
        <v/>
      </c>
      <c r="T31" t="str">
        <f>IF($B31="","",IF(COUNTIF($B$2:$B31,$B31)=1,MAX($T$1:$T30)+1,""))</f>
        <v/>
      </c>
      <c r="U31" t="str">
        <f>IF($D31="","",IF(COUNTIF($D$2:$D31,$D31)=1,MAX($U$1:$U30)+1,""))</f>
        <v/>
      </c>
      <c r="V31">
        <f>IF($D31="","",IF(COUNTIFS($B$2:$B31,$B31,$D$2:$D31,$D31)=1,1,0))</f>
        <v>0</v>
      </c>
      <c r="W31" t="str">
        <f>IF($D31="","",mEQA.PadronizarStatus($L31))</f>
        <v>ACEITO</v>
      </c>
      <c r="X31" t="str">
        <f>IF(OR($D31="",$W31&lt;&gt;"NAO ACEITO"),"",IF(COUNTIFS($D$2:$D31,$D31,$W$2:$W31,"NAO ACEITO")=1,1,0))</f>
        <v/>
      </c>
    </row>
    <row r="32" spans="1:24" x14ac:dyDescent="0.3">
      <c r="A32" t="s">
        <v>402</v>
      </c>
      <c r="B32" t="s">
        <v>497</v>
      </c>
      <c r="C32" s="126">
        <v>2025</v>
      </c>
      <c r="D32" t="s">
        <v>473</v>
      </c>
      <c r="E32" t="s">
        <v>498</v>
      </c>
      <c r="F32" s="137">
        <v>1.7</v>
      </c>
      <c r="G32" s="138">
        <v>2.04</v>
      </c>
      <c r="H32" s="138">
        <v>0.26</v>
      </c>
      <c r="I32" s="139">
        <v>-1.3</v>
      </c>
      <c r="J32" s="137">
        <v>1.6</v>
      </c>
      <c r="K32" s="137">
        <v>2.5</v>
      </c>
      <c r="L32" t="s">
        <v>499</v>
      </c>
      <c r="M32" s="126">
        <v>442</v>
      </c>
      <c r="N32" t="s">
        <v>112</v>
      </c>
      <c r="O32" s="137">
        <f t="shared" si="0"/>
        <v>-16.666666666666671</v>
      </c>
      <c r="P32" s="137">
        <f t="shared" si="1"/>
        <v>16.666666666666671</v>
      </c>
      <c r="Q32" s="126">
        <v>2</v>
      </c>
      <c r="R32" t="s">
        <v>521</v>
      </c>
      <c r="S32" t="str">
        <f>IF($W32&lt;&gt;"NAO ACEITO","",COUNTIFS($W$2:$W32,"NAO ACEITO"))</f>
        <v/>
      </c>
      <c r="T32" t="str">
        <f>IF($B32="","",IF(COUNTIF($B$2:$B32,$B32)=1,MAX($T$1:$T31)+1,""))</f>
        <v/>
      </c>
      <c r="U32">
        <f>IF($D32="","",IF(COUNTIF($D$2:$D32,$D32)=1,MAX($U$1:$U31)+1,""))</f>
        <v>7</v>
      </c>
      <c r="V32">
        <f>IF($D32="","",IF(COUNTIFS($B$2:$B32,$B32,$D$2:$D32,$D32)=1,1,0))</f>
        <v>1</v>
      </c>
      <c r="W32" t="str">
        <f>IF($D32="","",mEQA.PadronizarStatus($L32))</f>
        <v>ACEITO</v>
      </c>
      <c r="X32" t="str">
        <f>IF(OR($D32="",$W32&lt;&gt;"NAO ACEITO"),"",IF(COUNTIFS($D$2:$D32,$D32,$W$2:$W32,"NAO ACEITO")=1,1,0))</f>
        <v/>
      </c>
    </row>
    <row r="33" spans="1:24" x14ac:dyDescent="0.3">
      <c r="A33" t="s">
        <v>402</v>
      </c>
      <c r="B33" t="s">
        <v>497</v>
      </c>
      <c r="C33" s="126">
        <v>2025</v>
      </c>
      <c r="D33" t="s">
        <v>473</v>
      </c>
      <c r="E33" t="s">
        <v>500</v>
      </c>
      <c r="F33" s="137">
        <v>2.2999999999999998</v>
      </c>
      <c r="G33" s="138">
        <v>2.81</v>
      </c>
      <c r="H33" s="138">
        <v>0.26</v>
      </c>
      <c r="I33" s="139">
        <v>-1.9</v>
      </c>
      <c r="J33" s="137">
        <v>2.2000000000000002</v>
      </c>
      <c r="K33" s="137">
        <v>3.4</v>
      </c>
      <c r="L33" t="s">
        <v>499</v>
      </c>
      <c r="M33" s="126">
        <v>438</v>
      </c>
      <c r="N33" t="s">
        <v>112</v>
      </c>
      <c r="O33" s="137">
        <f t="shared" si="0"/>
        <v>-18.149466192170827</v>
      </c>
      <c r="P33" s="137">
        <f t="shared" si="1"/>
        <v>18.149466192170827</v>
      </c>
      <c r="Q33" s="126">
        <v>2</v>
      </c>
      <c r="R33" t="s">
        <v>521</v>
      </c>
      <c r="S33" t="str">
        <f>IF($W33&lt;&gt;"NAO ACEITO","",COUNTIFS($W$2:$W33,"NAO ACEITO"))</f>
        <v/>
      </c>
      <c r="T33" t="str">
        <f>IF($B33="","",IF(COUNTIF($B$2:$B33,$B33)=1,MAX($T$1:$T32)+1,""))</f>
        <v/>
      </c>
      <c r="U33" t="str">
        <f>IF($D33="","",IF(COUNTIF($D$2:$D33,$D33)=1,MAX($U$1:$U32)+1,""))</f>
        <v/>
      </c>
      <c r="V33">
        <f>IF($D33="","",IF(COUNTIFS($B$2:$B33,$B33,$D$2:$D33,$D33)=1,1,0))</f>
        <v>0</v>
      </c>
      <c r="W33" t="str">
        <f>IF($D33="","",mEQA.PadronizarStatus($L33))</f>
        <v>ACEITO</v>
      </c>
      <c r="X33" t="str">
        <f>IF(OR($D33="",$W33&lt;&gt;"NAO ACEITO"),"",IF(COUNTIFS($D$2:$D33,$D33,$W$2:$W33,"NAO ACEITO")=1,1,0))</f>
        <v/>
      </c>
    </row>
    <row r="34" spans="1:24" x14ac:dyDescent="0.3">
      <c r="A34" t="s">
        <v>402</v>
      </c>
      <c r="B34" t="s">
        <v>497</v>
      </c>
      <c r="C34" s="126">
        <v>2025</v>
      </c>
      <c r="D34" t="s">
        <v>473</v>
      </c>
      <c r="E34" t="s">
        <v>501</v>
      </c>
      <c r="F34" s="137">
        <v>4.8</v>
      </c>
      <c r="G34" s="138">
        <v>5.37</v>
      </c>
      <c r="H34" s="138">
        <v>0.27</v>
      </c>
      <c r="I34" s="139">
        <v>-2.1</v>
      </c>
      <c r="J34" s="137">
        <v>4.2</v>
      </c>
      <c r="K34" s="137">
        <v>6.5</v>
      </c>
      <c r="L34" t="s">
        <v>499</v>
      </c>
      <c r="M34" s="126">
        <v>441</v>
      </c>
      <c r="N34" t="s">
        <v>112</v>
      </c>
      <c r="O34" s="137">
        <f t="shared" si="0"/>
        <v>-10.61452513966481</v>
      </c>
      <c r="P34" s="137">
        <f t="shared" si="1"/>
        <v>10.61452513966481</v>
      </c>
      <c r="Q34" s="126">
        <v>2</v>
      </c>
      <c r="R34" t="s">
        <v>521</v>
      </c>
      <c r="S34" t="str">
        <f>IF($W34&lt;&gt;"NAO ACEITO","",COUNTIFS($W$2:$W34,"NAO ACEITO"))</f>
        <v/>
      </c>
      <c r="T34" t="str">
        <f>IF($B34="","",IF(COUNTIF($B$2:$B34,$B34)=1,MAX($T$1:$T33)+1,""))</f>
        <v/>
      </c>
      <c r="U34" t="str">
        <f>IF($D34="","",IF(COUNTIF($D$2:$D34,$D34)=1,MAX($U$1:$U33)+1,""))</f>
        <v/>
      </c>
      <c r="V34">
        <f>IF($D34="","",IF(COUNTIFS($B$2:$B34,$B34,$D$2:$D34,$D34)=1,1,0))</f>
        <v>0</v>
      </c>
      <c r="W34" t="str">
        <f>IF($D34="","",mEQA.PadronizarStatus($L34))</f>
        <v>ACEITO</v>
      </c>
      <c r="X34" t="str">
        <f>IF(OR($D34="",$W34&lt;&gt;"NAO ACEITO"),"",IF(COUNTIFS($D$2:$D34,$D34,$W$2:$W34,"NAO ACEITO")=1,1,0))</f>
        <v/>
      </c>
    </row>
    <row r="35" spans="1:24" x14ac:dyDescent="0.3">
      <c r="A35" t="s">
        <v>402</v>
      </c>
      <c r="B35" t="s">
        <v>497</v>
      </c>
      <c r="C35" s="126">
        <v>2025</v>
      </c>
      <c r="D35" t="s">
        <v>473</v>
      </c>
      <c r="E35" t="s">
        <v>502</v>
      </c>
      <c r="F35" s="137">
        <v>0.1</v>
      </c>
      <c r="G35" s="138">
        <v>0.16</v>
      </c>
      <c r="H35" s="138">
        <v>0.05</v>
      </c>
      <c r="I35" s="139">
        <v>-1.1000000000000001</v>
      </c>
      <c r="J35" s="137">
        <v>0</v>
      </c>
      <c r="K35" s="137">
        <v>0.6</v>
      </c>
      <c r="L35" t="s">
        <v>499</v>
      </c>
      <c r="M35" s="126">
        <v>431</v>
      </c>
      <c r="N35" t="s">
        <v>112</v>
      </c>
      <c r="O35" s="137">
        <f t="shared" si="0"/>
        <v>-37.5</v>
      </c>
      <c r="P35" s="137">
        <f t="shared" si="1"/>
        <v>37.5</v>
      </c>
      <c r="Q35" s="126">
        <v>2</v>
      </c>
      <c r="R35" t="s">
        <v>521</v>
      </c>
      <c r="S35" t="str">
        <f>IF($W35&lt;&gt;"NAO ACEITO","",COUNTIFS($W$2:$W35,"NAO ACEITO"))</f>
        <v/>
      </c>
      <c r="T35" t="str">
        <f>IF($B35="","",IF(COUNTIF($B$2:$B35,$B35)=1,MAX($T$1:$T34)+1,""))</f>
        <v/>
      </c>
      <c r="U35" t="str">
        <f>IF($D35="","",IF(COUNTIF($D$2:$D35,$D35)=1,MAX($U$1:$U34)+1,""))</f>
        <v/>
      </c>
      <c r="V35">
        <f>IF($D35="","",IF(COUNTIFS($B$2:$B35,$B35,$D$2:$D35,$D35)=1,1,0))</f>
        <v>0</v>
      </c>
      <c r="W35" t="str">
        <f>IF($D35="","",mEQA.PadronizarStatus($L35))</f>
        <v>ACEITO</v>
      </c>
      <c r="X35" t="str">
        <f>IF(OR($D35="",$W35&lt;&gt;"NAO ACEITO"),"",IF(COUNTIFS($D$2:$D35,$D35,$W$2:$W35,"NAO ACEITO")=1,1,0))</f>
        <v/>
      </c>
    </row>
    <row r="36" spans="1:24" x14ac:dyDescent="0.3">
      <c r="A36" t="s">
        <v>402</v>
      </c>
      <c r="B36" t="s">
        <v>497</v>
      </c>
      <c r="C36" s="126">
        <v>2025</v>
      </c>
      <c r="D36" t="s">
        <v>473</v>
      </c>
      <c r="E36" t="s">
        <v>503</v>
      </c>
      <c r="F36" s="137">
        <v>2</v>
      </c>
      <c r="G36" s="138">
        <v>2.4700000000000002</v>
      </c>
      <c r="H36" s="138">
        <v>0.22</v>
      </c>
      <c r="I36" s="139">
        <v>-2.1</v>
      </c>
      <c r="J36" s="137">
        <v>1.9</v>
      </c>
      <c r="K36" s="137">
        <v>3</v>
      </c>
      <c r="L36" t="s">
        <v>499</v>
      </c>
      <c r="M36" s="126">
        <v>443</v>
      </c>
      <c r="N36" t="s">
        <v>112</v>
      </c>
      <c r="O36" s="137">
        <f t="shared" si="0"/>
        <v>-19.028340080971667</v>
      </c>
      <c r="P36" s="137">
        <f t="shared" si="1"/>
        <v>19.028340080971667</v>
      </c>
      <c r="Q36" s="126">
        <v>2</v>
      </c>
      <c r="R36" t="s">
        <v>521</v>
      </c>
      <c r="S36" t="str">
        <f>IF($W36&lt;&gt;"NAO ACEITO","",COUNTIFS($W$2:$W36,"NAO ACEITO"))</f>
        <v/>
      </c>
      <c r="T36" t="str">
        <f>IF($B36="","",IF(COUNTIF($B$2:$B36,$B36)=1,MAX($T$1:$T35)+1,""))</f>
        <v/>
      </c>
      <c r="U36" t="str">
        <f>IF($D36="","",IF(COUNTIF($D$2:$D36,$D36)=1,MAX($U$1:$U35)+1,""))</f>
        <v/>
      </c>
      <c r="V36">
        <f>IF($D36="","",IF(COUNTIFS($B$2:$B36,$B36,$D$2:$D36,$D36)=1,1,0))</f>
        <v>0</v>
      </c>
      <c r="W36" t="str">
        <f>IF($D36="","",mEQA.PadronizarStatus($L36))</f>
        <v>ACEITO</v>
      </c>
      <c r="X36" t="str">
        <f>IF(OR($D36="",$W36&lt;&gt;"NAO ACEITO"),"",IF(COUNTIFS($D$2:$D36,$D36,$W$2:$W36,"NAO ACEITO")=1,1,0))</f>
        <v/>
      </c>
    </row>
    <row r="37" spans="1:24" x14ac:dyDescent="0.3">
      <c r="A37" t="s">
        <v>402</v>
      </c>
      <c r="B37" t="s">
        <v>497</v>
      </c>
      <c r="C37" s="126">
        <v>2025</v>
      </c>
      <c r="D37" t="s">
        <v>474</v>
      </c>
      <c r="E37" t="s">
        <v>498</v>
      </c>
      <c r="F37" s="137">
        <v>30</v>
      </c>
      <c r="G37" s="138">
        <v>30.3</v>
      </c>
      <c r="H37" s="138">
        <v>1.5</v>
      </c>
      <c r="I37" s="139">
        <v>-0.2</v>
      </c>
      <c r="J37" s="137">
        <v>24</v>
      </c>
      <c r="K37" s="137">
        <v>37</v>
      </c>
      <c r="L37" t="s">
        <v>499</v>
      </c>
      <c r="M37" s="126">
        <v>419</v>
      </c>
      <c r="N37" t="s">
        <v>134</v>
      </c>
      <c r="O37" s="137">
        <f t="shared" si="0"/>
        <v>-0.99009900990099231</v>
      </c>
      <c r="P37" s="137">
        <f t="shared" si="1"/>
        <v>0.99009900990099231</v>
      </c>
      <c r="Q37" s="126">
        <v>3</v>
      </c>
      <c r="R37" t="s">
        <v>521</v>
      </c>
      <c r="S37" t="str">
        <f>IF($W37&lt;&gt;"NAO ACEITO","",COUNTIFS($W$2:$W37,"NAO ACEITO"))</f>
        <v/>
      </c>
      <c r="T37" t="str">
        <f>IF($B37="","",IF(COUNTIF($B$2:$B37,$B37)=1,MAX($T$1:$T36)+1,""))</f>
        <v/>
      </c>
      <c r="U37">
        <f>IF($D37="","",IF(COUNTIF($D$2:$D37,$D37)=1,MAX($U$1:$U36)+1,""))</f>
        <v>8</v>
      </c>
      <c r="V37">
        <f>IF($D37="","",IF(COUNTIFS($B$2:$B37,$B37,$D$2:$D37,$D37)=1,1,0))</f>
        <v>1</v>
      </c>
      <c r="W37" t="str">
        <f>IF($D37="","",mEQA.PadronizarStatus($L37))</f>
        <v>ACEITO</v>
      </c>
      <c r="X37" t="str">
        <f>IF(OR($D37="",$W37&lt;&gt;"NAO ACEITO"),"",IF(COUNTIFS($D$2:$D37,$D37,$W$2:$W37,"NAO ACEITO")=1,1,0))</f>
        <v/>
      </c>
    </row>
    <row r="38" spans="1:24" x14ac:dyDescent="0.3">
      <c r="A38" t="s">
        <v>402</v>
      </c>
      <c r="B38" t="s">
        <v>497</v>
      </c>
      <c r="C38" s="126">
        <v>2025</v>
      </c>
      <c r="D38" t="s">
        <v>474</v>
      </c>
      <c r="E38" t="s">
        <v>500</v>
      </c>
      <c r="F38" s="137">
        <v>29</v>
      </c>
      <c r="G38" s="138">
        <v>29.4</v>
      </c>
      <c r="H38" s="138">
        <v>1.5</v>
      </c>
      <c r="I38" s="139">
        <v>-0.2</v>
      </c>
      <c r="J38" s="137">
        <v>23</v>
      </c>
      <c r="K38" s="137">
        <v>36</v>
      </c>
      <c r="L38" t="s">
        <v>499</v>
      </c>
      <c r="M38" s="126">
        <v>416</v>
      </c>
      <c r="N38" t="s">
        <v>134</v>
      </c>
      <c r="O38" s="137">
        <f t="shared" si="0"/>
        <v>-1.3605442176870701</v>
      </c>
      <c r="P38" s="137">
        <f t="shared" si="1"/>
        <v>1.3605442176870701</v>
      </c>
      <c r="Q38" s="126">
        <v>3</v>
      </c>
      <c r="R38" t="s">
        <v>521</v>
      </c>
      <c r="S38" t="str">
        <f>IF($W38&lt;&gt;"NAO ACEITO","",COUNTIFS($W$2:$W38,"NAO ACEITO"))</f>
        <v/>
      </c>
      <c r="T38" t="str">
        <f>IF($B38="","",IF(COUNTIF($B$2:$B38,$B38)=1,MAX($T$1:$T37)+1,""))</f>
        <v/>
      </c>
      <c r="U38" t="str">
        <f>IF($D38="","",IF(COUNTIF($D$2:$D38,$D38)=1,MAX($U$1:$U37)+1,""))</f>
        <v/>
      </c>
      <c r="V38">
        <f>IF($D38="","",IF(COUNTIFS($B$2:$B38,$B38,$D$2:$D38,$D38)=1,1,0))</f>
        <v>0</v>
      </c>
      <c r="W38" t="str">
        <f>IF($D38="","",mEQA.PadronizarStatus($L38))</f>
        <v>ACEITO</v>
      </c>
      <c r="X38" t="str">
        <f>IF(OR($D38="",$W38&lt;&gt;"NAO ACEITO"),"",IF(COUNTIFS($D$2:$D38,$D38,$W$2:$W38,"NAO ACEITO")=1,1,0))</f>
        <v/>
      </c>
    </row>
    <row r="39" spans="1:24" x14ac:dyDescent="0.3">
      <c r="A39" t="s">
        <v>402</v>
      </c>
      <c r="B39" t="s">
        <v>497</v>
      </c>
      <c r="C39" s="126">
        <v>2025</v>
      </c>
      <c r="D39" t="s">
        <v>474</v>
      </c>
      <c r="E39" t="s">
        <v>501</v>
      </c>
      <c r="F39" s="137">
        <v>31</v>
      </c>
      <c r="G39" s="138">
        <v>31.5</v>
      </c>
      <c r="H39" s="138">
        <v>1.4</v>
      </c>
      <c r="I39" s="139">
        <v>-0.3</v>
      </c>
      <c r="J39" s="137">
        <v>25</v>
      </c>
      <c r="K39" s="137">
        <v>38</v>
      </c>
      <c r="L39" t="s">
        <v>499</v>
      </c>
      <c r="M39" s="126">
        <v>413</v>
      </c>
      <c r="N39" t="s">
        <v>134</v>
      </c>
      <c r="O39" s="137">
        <f t="shared" si="0"/>
        <v>-1.5873015873015872</v>
      </c>
      <c r="P39" s="137">
        <f t="shared" si="1"/>
        <v>1.5873015873015872</v>
      </c>
      <c r="Q39" s="126">
        <v>3</v>
      </c>
      <c r="R39" t="s">
        <v>521</v>
      </c>
      <c r="S39" t="str">
        <f>IF($W39&lt;&gt;"NAO ACEITO","",COUNTIFS($W$2:$W39,"NAO ACEITO"))</f>
        <v/>
      </c>
      <c r="T39" t="str">
        <f>IF($B39="","",IF(COUNTIF($B$2:$B39,$B39)=1,MAX($T$1:$T38)+1,""))</f>
        <v/>
      </c>
      <c r="U39" t="str">
        <f>IF($D39="","",IF(COUNTIF($D$2:$D39,$D39)=1,MAX($U$1:$U38)+1,""))</f>
        <v/>
      </c>
      <c r="V39">
        <f>IF($D39="","",IF(COUNTIFS($B$2:$B39,$B39,$D$2:$D39,$D39)=1,1,0))</f>
        <v>0</v>
      </c>
      <c r="W39" t="str">
        <f>IF($D39="","",mEQA.PadronizarStatus($L39))</f>
        <v>ACEITO</v>
      </c>
      <c r="X39" t="str">
        <f>IF(OR($D39="",$W39&lt;&gt;"NAO ACEITO"),"",IF(COUNTIFS($D$2:$D39,$D39,$W$2:$W39,"NAO ACEITO")=1,1,0))</f>
        <v/>
      </c>
    </row>
    <row r="40" spans="1:24" x14ac:dyDescent="0.3">
      <c r="A40" t="s">
        <v>402</v>
      </c>
      <c r="B40" t="s">
        <v>497</v>
      </c>
      <c r="C40" s="126">
        <v>2025</v>
      </c>
      <c r="D40" t="s">
        <v>474</v>
      </c>
      <c r="E40" t="s">
        <v>502</v>
      </c>
      <c r="F40" s="137">
        <v>16</v>
      </c>
      <c r="G40" s="138">
        <v>17.7</v>
      </c>
      <c r="H40" s="138">
        <v>1.4</v>
      </c>
      <c r="I40" s="139">
        <v>-1.3</v>
      </c>
      <c r="J40" s="137">
        <v>14</v>
      </c>
      <c r="K40" s="137">
        <v>22</v>
      </c>
      <c r="L40" t="s">
        <v>499</v>
      </c>
      <c r="M40" s="126">
        <v>413</v>
      </c>
      <c r="N40" t="s">
        <v>134</v>
      </c>
      <c r="O40" s="137">
        <f t="shared" si="0"/>
        <v>-9.6045197740112958</v>
      </c>
      <c r="P40" s="137">
        <f t="shared" si="1"/>
        <v>9.6045197740112958</v>
      </c>
      <c r="Q40" s="126">
        <v>3</v>
      </c>
      <c r="R40" t="s">
        <v>521</v>
      </c>
      <c r="S40" t="str">
        <f>IF($W40&lt;&gt;"NAO ACEITO","",COUNTIFS($W$2:$W40,"NAO ACEITO"))</f>
        <v/>
      </c>
      <c r="T40" t="str">
        <f>IF($B40="","",IF(COUNTIF($B$2:$B40,$B40)=1,MAX($T$1:$T39)+1,""))</f>
        <v/>
      </c>
      <c r="U40" t="str">
        <f>IF($D40="","",IF(COUNTIF($D$2:$D40,$D40)=1,MAX($U$1:$U39)+1,""))</f>
        <v/>
      </c>
      <c r="V40">
        <f>IF($D40="","",IF(COUNTIFS($B$2:$B40,$B40,$D$2:$D40,$D40)=1,1,0))</f>
        <v>0</v>
      </c>
      <c r="W40" t="str">
        <f>IF($D40="","",mEQA.PadronizarStatus($L40))</f>
        <v>ACEITO</v>
      </c>
      <c r="X40" t="str">
        <f>IF(OR($D40="",$W40&lt;&gt;"NAO ACEITO"),"",IF(COUNTIFS($D$2:$D40,$D40,$W$2:$W40,"NAO ACEITO")=1,1,0))</f>
        <v/>
      </c>
    </row>
    <row r="41" spans="1:24" x14ac:dyDescent="0.3">
      <c r="A41" t="s">
        <v>402</v>
      </c>
      <c r="B41" t="s">
        <v>497</v>
      </c>
      <c r="C41" s="126">
        <v>2025</v>
      </c>
      <c r="D41" t="s">
        <v>474</v>
      </c>
      <c r="E41" t="s">
        <v>503</v>
      </c>
      <c r="F41" s="137">
        <v>36</v>
      </c>
      <c r="G41" s="138">
        <v>36.4</v>
      </c>
      <c r="H41" s="138">
        <v>1.9</v>
      </c>
      <c r="I41" s="139">
        <v>-0.2</v>
      </c>
      <c r="J41" s="137">
        <v>29</v>
      </c>
      <c r="K41" s="137">
        <v>44</v>
      </c>
      <c r="L41" t="s">
        <v>499</v>
      </c>
      <c r="M41" s="126">
        <v>414</v>
      </c>
      <c r="N41" t="s">
        <v>134</v>
      </c>
      <c r="O41" s="137">
        <f t="shared" si="0"/>
        <v>-1.098901098901095</v>
      </c>
      <c r="P41" s="137">
        <f t="shared" si="1"/>
        <v>1.098901098901095</v>
      </c>
      <c r="Q41" s="126">
        <v>3</v>
      </c>
      <c r="R41" t="s">
        <v>521</v>
      </c>
      <c r="S41" t="str">
        <f>IF($W41&lt;&gt;"NAO ACEITO","",COUNTIFS($W$2:$W41,"NAO ACEITO"))</f>
        <v/>
      </c>
      <c r="T41" t="str">
        <f>IF($B41="","",IF(COUNTIF($B$2:$B41,$B41)=1,MAX($T$1:$T40)+1,""))</f>
        <v/>
      </c>
      <c r="U41" t="str">
        <f>IF($D41="","",IF(COUNTIF($D$2:$D41,$D41)=1,MAX($U$1:$U40)+1,""))</f>
        <v/>
      </c>
      <c r="V41">
        <f>IF($D41="","",IF(COUNTIFS($B$2:$B41,$B41,$D$2:$D41,$D41)=1,1,0))</f>
        <v>0</v>
      </c>
      <c r="W41" t="str">
        <f>IF($D41="","",mEQA.PadronizarStatus($L41))</f>
        <v>ACEITO</v>
      </c>
      <c r="X41" t="str">
        <f>IF(OR($D41="",$W41&lt;&gt;"NAO ACEITO"),"",IF(COUNTIFS($D$2:$D41,$D41,$W$2:$W41,"NAO ACEITO")=1,1,0))</f>
        <v/>
      </c>
    </row>
    <row r="42" spans="1:24" x14ac:dyDescent="0.3">
      <c r="A42" t="s">
        <v>402</v>
      </c>
      <c r="B42" t="s">
        <v>497</v>
      </c>
      <c r="C42" s="126">
        <v>2025</v>
      </c>
      <c r="D42" t="s">
        <v>475</v>
      </c>
      <c r="E42" t="s">
        <v>498</v>
      </c>
      <c r="F42" s="137">
        <v>8.5</v>
      </c>
      <c r="G42" s="138">
        <v>8.3640000000000008</v>
      </c>
      <c r="H42" s="138">
        <v>0.17899999999999999</v>
      </c>
      <c r="I42" s="139">
        <v>0.8</v>
      </c>
      <c r="J42" s="137">
        <v>7.36</v>
      </c>
      <c r="K42" s="137">
        <v>9.3699999999999992</v>
      </c>
      <c r="L42" t="s">
        <v>499</v>
      </c>
      <c r="M42" s="126">
        <v>450</v>
      </c>
      <c r="N42" t="s">
        <v>112</v>
      </c>
      <c r="O42" s="137">
        <f t="shared" si="0"/>
        <v>1.6260162601625925</v>
      </c>
      <c r="P42" s="137">
        <f t="shared" si="1"/>
        <v>1.6260162601625925</v>
      </c>
      <c r="Q42" s="126">
        <v>2</v>
      </c>
      <c r="R42" t="s">
        <v>521</v>
      </c>
      <c r="S42" t="str">
        <f>IF($W42&lt;&gt;"NAO ACEITO","",COUNTIFS($W$2:$W42,"NAO ACEITO"))</f>
        <v/>
      </c>
      <c r="T42" t="str">
        <f>IF($B42="","",IF(COUNTIF($B$2:$B42,$B42)=1,MAX($T$1:$T41)+1,""))</f>
        <v/>
      </c>
      <c r="U42">
        <f>IF($D42="","",IF(COUNTIF($D$2:$D42,$D42)=1,MAX($U$1:$U41)+1,""))</f>
        <v>9</v>
      </c>
      <c r="V42">
        <f>IF($D42="","",IF(COUNTIFS($B$2:$B42,$B42,$D$2:$D42,$D42)=1,1,0))</f>
        <v>1</v>
      </c>
      <c r="W42" t="str">
        <f>IF($D42="","",mEQA.PadronizarStatus($L42))</f>
        <v>ACEITO</v>
      </c>
      <c r="X42" t="str">
        <f>IF(OR($D42="",$W42&lt;&gt;"NAO ACEITO"),"",IF(COUNTIFS($D$2:$D42,$D42,$W$2:$W42,"NAO ACEITO")=1,1,0))</f>
        <v/>
      </c>
    </row>
    <row r="43" spans="1:24" x14ac:dyDescent="0.3">
      <c r="A43" t="s">
        <v>402</v>
      </c>
      <c r="B43" t="s">
        <v>497</v>
      </c>
      <c r="C43" s="126">
        <v>2025</v>
      </c>
      <c r="D43" t="s">
        <v>475</v>
      </c>
      <c r="E43" t="s">
        <v>500</v>
      </c>
      <c r="F43" s="137">
        <v>9.67</v>
      </c>
      <c r="G43" s="138">
        <v>9.4079999999999995</v>
      </c>
      <c r="H43" s="138">
        <v>0.192</v>
      </c>
      <c r="I43" s="139">
        <v>1.4</v>
      </c>
      <c r="J43" s="137">
        <v>8.4</v>
      </c>
      <c r="K43" s="137">
        <v>10.41</v>
      </c>
      <c r="L43" t="s">
        <v>499</v>
      </c>
      <c r="M43" s="126">
        <v>452</v>
      </c>
      <c r="N43" t="s">
        <v>112</v>
      </c>
      <c r="O43" s="137">
        <f t="shared" si="0"/>
        <v>2.7848639455782362</v>
      </c>
      <c r="P43" s="137">
        <f t="shared" si="1"/>
        <v>2.7848639455782362</v>
      </c>
      <c r="Q43" s="126">
        <v>2</v>
      </c>
      <c r="R43" t="s">
        <v>521</v>
      </c>
      <c r="S43" t="str">
        <f>IF($W43&lt;&gt;"NAO ACEITO","",COUNTIFS($W$2:$W43,"NAO ACEITO"))</f>
        <v/>
      </c>
      <c r="T43" t="str">
        <f>IF($B43="","",IF(COUNTIF($B$2:$B43,$B43)=1,MAX($T$1:$T42)+1,""))</f>
        <v/>
      </c>
      <c r="U43" t="str">
        <f>IF($D43="","",IF(COUNTIF($D$2:$D43,$D43)=1,MAX($U$1:$U42)+1,""))</f>
        <v/>
      </c>
      <c r="V43">
        <f>IF($D43="","",IF(COUNTIFS($B$2:$B43,$B43,$D$2:$D43,$D43)=1,1,0))</f>
        <v>0</v>
      </c>
      <c r="W43" t="str">
        <f>IF($D43="","",mEQA.PadronizarStatus($L43))</f>
        <v>ACEITO</v>
      </c>
      <c r="X43" t="str">
        <f>IF(OR($D43="",$W43&lt;&gt;"NAO ACEITO"),"",IF(COUNTIFS($D$2:$D43,$D43,$W$2:$W43,"NAO ACEITO")=1,1,0))</f>
        <v/>
      </c>
    </row>
    <row r="44" spans="1:24" x14ac:dyDescent="0.3">
      <c r="A44" t="s">
        <v>402</v>
      </c>
      <c r="B44" t="s">
        <v>497</v>
      </c>
      <c r="C44" s="126">
        <v>2025</v>
      </c>
      <c r="D44" t="s">
        <v>475</v>
      </c>
      <c r="E44" t="s">
        <v>501</v>
      </c>
      <c r="F44" s="137">
        <v>10.039999999999999</v>
      </c>
      <c r="G44" s="138">
        <v>9.6950000000000003</v>
      </c>
      <c r="H44" s="138">
        <v>0.187</v>
      </c>
      <c r="I44" s="139">
        <v>1.8</v>
      </c>
      <c r="J44" s="137">
        <v>8.69</v>
      </c>
      <c r="K44" s="137">
        <v>10.7</v>
      </c>
      <c r="L44" t="s">
        <v>499</v>
      </c>
      <c r="M44" s="126">
        <v>447</v>
      </c>
      <c r="N44" t="s">
        <v>112</v>
      </c>
      <c r="O44" s="137">
        <f t="shared" si="0"/>
        <v>3.5585353274883844</v>
      </c>
      <c r="P44" s="137">
        <f t="shared" si="1"/>
        <v>3.5585353274883844</v>
      </c>
      <c r="Q44" s="126">
        <v>2</v>
      </c>
      <c r="R44" t="s">
        <v>521</v>
      </c>
      <c r="S44" t="str">
        <f>IF($W44&lt;&gt;"NAO ACEITO","",COUNTIFS($W$2:$W44,"NAO ACEITO"))</f>
        <v/>
      </c>
      <c r="T44" t="str">
        <f>IF($B44="","",IF(COUNTIF($B$2:$B44,$B44)=1,MAX($T$1:$T43)+1,""))</f>
        <v/>
      </c>
      <c r="U44" t="str">
        <f>IF($D44="","",IF(COUNTIF($D$2:$D44,$D44)=1,MAX($U$1:$U43)+1,""))</f>
        <v/>
      </c>
      <c r="V44">
        <f>IF($D44="","",IF(COUNTIFS($B$2:$B44,$B44,$D$2:$D44,$D44)=1,1,0))</f>
        <v>0</v>
      </c>
      <c r="W44" t="str">
        <f>IF($D44="","",mEQA.PadronizarStatus($L44))</f>
        <v>ACEITO</v>
      </c>
      <c r="X44" t="str">
        <f>IF(OR($D44="",$W44&lt;&gt;"NAO ACEITO"),"",IF(COUNTIFS($D$2:$D44,$D44,$W$2:$W44,"NAO ACEITO")=1,1,0))</f>
        <v/>
      </c>
    </row>
    <row r="45" spans="1:24" x14ac:dyDescent="0.3">
      <c r="A45" t="s">
        <v>402</v>
      </c>
      <c r="B45" t="s">
        <v>497</v>
      </c>
      <c r="C45" s="126">
        <v>2025</v>
      </c>
      <c r="D45" t="s">
        <v>475</v>
      </c>
      <c r="E45" t="s">
        <v>502</v>
      </c>
      <c r="F45" s="137">
        <v>13</v>
      </c>
      <c r="G45" s="138">
        <v>12.752000000000001</v>
      </c>
      <c r="H45" s="138">
        <v>0.25</v>
      </c>
      <c r="I45" s="139">
        <v>1</v>
      </c>
      <c r="J45" s="137">
        <v>11.75</v>
      </c>
      <c r="K45" s="137">
        <v>13.76</v>
      </c>
      <c r="L45" t="s">
        <v>499</v>
      </c>
      <c r="M45" s="126">
        <v>449</v>
      </c>
      <c r="N45" t="s">
        <v>112</v>
      </c>
      <c r="O45" s="137">
        <f t="shared" si="0"/>
        <v>1.9447929736511864</v>
      </c>
      <c r="P45" s="137">
        <f t="shared" si="1"/>
        <v>1.9447929736511864</v>
      </c>
      <c r="Q45" s="126">
        <v>2</v>
      </c>
      <c r="R45" t="s">
        <v>521</v>
      </c>
      <c r="S45" t="str">
        <f>IF($W45&lt;&gt;"NAO ACEITO","",COUNTIFS($W$2:$W45,"NAO ACEITO"))</f>
        <v/>
      </c>
      <c r="T45" t="str">
        <f>IF($B45="","",IF(COUNTIF($B$2:$B45,$B45)=1,MAX($T$1:$T44)+1,""))</f>
        <v/>
      </c>
      <c r="U45" t="str">
        <f>IF($D45="","",IF(COUNTIF($D$2:$D45,$D45)=1,MAX($U$1:$U44)+1,""))</f>
        <v/>
      </c>
      <c r="V45">
        <f>IF($D45="","",IF(COUNTIFS($B$2:$B45,$B45,$D$2:$D45,$D45)=1,1,0))</f>
        <v>0</v>
      </c>
      <c r="W45" t="str">
        <f>IF($D45="","",mEQA.PadronizarStatus($L45))</f>
        <v>ACEITO</v>
      </c>
      <c r="X45" t="str">
        <f>IF(OR($D45="",$W45&lt;&gt;"NAO ACEITO"),"",IF(COUNTIFS($D$2:$D45,$D45,$W$2:$W45,"NAO ACEITO")=1,1,0))</f>
        <v/>
      </c>
    </row>
    <row r="46" spans="1:24" x14ac:dyDescent="0.3">
      <c r="A46" t="s">
        <v>402</v>
      </c>
      <c r="B46" t="s">
        <v>497</v>
      </c>
      <c r="C46" s="126">
        <v>2025</v>
      </c>
      <c r="D46" t="s">
        <v>475</v>
      </c>
      <c r="E46" t="s">
        <v>503</v>
      </c>
      <c r="F46" s="137">
        <v>5.99</v>
      </c>
      <c r="G46" s="138">
        <v>5.609</v>
      </c>
      <c r="H46" s="138">
        <v>0.17699999999999999</v>
      </c>
      <c r="I46" s="139">
        <v>2.2000000000000002</v>
      </c>
      <c r="J46" s="137">
        <v>4.5999999999999996</v>
      </c>
      <c r="K46" s="137">
        <v>6.61</v>
      </c>
      <c r="L46" t="s">
        <v>499</v>
      </c>
      <c r="M46" s="126">
        <v>449</v>
      </c>
      <c r="N46" t="s">
        <v>112</v>
      </c>
      <c r="O46" s="137">
        <f t="shared" si="0"/>
        <v>6.7926546621501203</v>
      </c>
      <c r="P46" s="137">
        <f t="shared" si="1"/>
        <v>6.7926546621501203</v>
      </c>
      <c r="Q46" s="126">
        <v>2</v>
      </c>
      <c r="R46" t="s">
        <v>521</v>
      </c>
      <c r="S46" t="str">
        <f>IF($W46&lt;&gt;"NAO ACEITO","",COUNTIFS($W$2:$W46,"NAO ACEITO"))</f>
        <v/>
      </c>
      <c r="T46" t="str">
        <f>IF($B46="","",IF(COUNTIF($B$2:$B46,$B46)=1,MAX($T$1:$T45)+1,""))</f>
        <v/>
      </c>
      <c r="U46" t="str">
        <f>IF($D46="","",IF(COUNTIF($D$2:$D46,$D46)=1,MAX($U$1:$U45)+1,""))</f>
        <v/>
      </c>
      <c r="V46">
        <f>IF($D46="","",IF(COUNTIFS($B$2:$B46,$B46,$D$2:$D46,$D46)=1,1,0))</f>
        <v>0</v>
      </c>
      <c r="W46" t="str">
        <f>IF($D46="","",mEQA.PadronizarStatus($L46))</f>
        <v>ACEITO</v>
      </c>
      <c r="X46" t="str">
        <f>IF(OR($D46="",$W46&lt;&gt;"NAO ACEITO"),"",IF(COUNTIFS($D$2:$D46,$D46,$W$2:$W46,"NAO ACEITO")=1,1,0))</f>
        <v/>
      </c>
    </row>
    <row r="47" spans="1:24" x14ac:dyDescent="0.3">
      <c r="A47" t="s">
        <v>402</v>
      </c>
      <c r="B47" t="s">
        <v>497</v>
      </c>
      <c r="C47" s="126">
        <v>2025</v>
      </c>
      <c r="D47" t="s">
        <v>476</v>
      </c>
      <c r="E47" t="s">
        <v>498</v>
      </c>
      <c r="F47" s="137">
        <v>108</v>
      </c>
      <c r="G47" s="138">
        <v>105.6</v>
      </c>
      <c r="H47" s="138">
        <v>1.7</v>
      </c>
      <c r="I47" s="139">
        <v>1.5</v>
      </c>
      <c r="J47" s="137">
        <v>100</v>
      </c>
      <c r="K47" s="137">
        <v>111</v>
      </c>
      <c r="L47" t="s">
        <v>499</v>
      </c>
      <c r="M47" s="126">
        <v>885</v>
      </c>
      <c r="N47" t="s">
        <v>134</v>
      </c>
      <c r="O47" s="137">
        <f t="shared" si="0"/>
        <v>2.2727272727272783</v>
      </c>
      <c r="P47" s="137">
        <f t="shared" si="1"/>
        <v>2.2727272727272783</v>
      </c>
      <c r="Q47" s="126">
        <v>3</v>
      </c>
      <c r="R47" t="s">
        <v>521</v>
      </c>
      <c r="S47" t="str">
        <f>IF($W47&lt;&gt;"NAO ACEITO","",COUNTIFS($W$2:$W47,"NAO ACEITO"))</f>
        <v/>
      </c>
      <c r="T47" t="str">
        <f>IF($B47="","",IF(COUNTIF($B$2:$B47,$B47)=1,MAX($T$1:$T46)+1,""))</f>
        <v/>
      </c>
      <c r="U47">
        <f>IF($D47="","",IF(COUNTIF($D$2:$D47,$D47)=1,MAX($U$1:$U46)+1,""))</f>
        <v>10</v>
      </c>
      <c r="V47">
        <f>IF($D47="","",IF(COUNTIFS($B$2:$B47,$B47,$D$2:$D47,$D47)=1,1,0))</f>
        <v>1</v>
      </c>
      <c r="W47" t="str">
        <f>IF($D47="","",mEQA.PadronizarStatus($L47))</f>
        <v>ACEITO</v>
      </c>
      <c r="X47" t="str">
        <f>IF(OR($D47="",$W47&lt;&gt;"NAO ACEITO"),"",IF(COUNTIFS($D$2:$D47,$D47,$W$2:$W47,"NAO ACEITO")=1,1,0))</f>
        <v/>
      </c>
    </row>
    <row r="48" spans="1:24" x14ac:dyDescent="0.3">
      <c r="A48" t="s">
        <v>402</v>
      </c>
      <c r="B48" t="s">
        <v>497</v>
      </c>
      <c r="C48" s="126">
        <v>2025</v>
      </c>
      <c r="D48" t="s">
        <v>476</v>
      </c>
      <c r="E48" t="s">
        <v>500</v>
      </c>
      <c r="F48" s="137">
        <v>105</v>
      </c>
      <c r="G48" s="138">
        <v>103.1</v>
      </c>
      <c r="H48" s="138">
        <v>1.5</v>
      </c>
      <c r="I48" s="139">
        <v>1.3</v>
      </c>
      <c r="J48" s="137">
        <v>97</v>
      </c>
      <c r="K48" s="137">
        <v>109</v>
      </c>
      <c r="L48" t="s">
        <v>499</v>
      </c>
      <c r="M48" s="126">
        <v>900</v>
      </c>
      <c r="N48" t="s">
        <v>134</v>
      </c>
      <c r="O48" s="137">
        <f t="shared" si="0"/>
        <v>1.8428709990300736</v>
      </c>
      <c r="P48" s="137">
        <f t="shared" si="1"/>
        <v>1.8428709990300736</v>
      </c>
      <c r="Q48" s="126">
        <v>3</v>
      </c>
      <c r="R48" t="s">
        <v>521</v>
      </c>
      <c r="S48" t="str">
        <f>IF($W48&lt;&gt;"NAO ACEITO","",COUNTIFS($W$2:$W48,"NAO ACEITO"))</f>
        <v/>
      </c>
      <c r="T48" t="str">
        <f>IF($B48="","",IF(COUNTIF($B$2:$B48,$B48)=1,MAX($T$1:$T47)+1,""))</f>
        <v/>
      </c>
      <c r="U48" t="str">
        <f>IF($D48="","",IF(COUNTIF($D$2:$D48,$D48)=1,MAX($U$1:$U47)+1,""))</f>
        <v/>
      </c>
      <c r="V48">
        <f>IF($D48="","",IF(COUNTIFS($B$2:$B48,$B48,$D$2:$D48,$D48)=1,1,0))</f>
        <v>0</v>
      </c>
      <c r="W48" t="str">
        <f>IF($D48="","",mEQA.PadronizarStatus($L48))</f>
        <v>ACEITO</v>
      </c>
      <c r="X48" t="str">
        <f>IF(OR($D48="",$W48&lt;&gt;"NAO ACEITO"),"",IF(COUNTIFS($D$2:$D48,$D48,$W$2:$W48,"NAO ACEITO")=1,1,0))</f>
        <v/>
      </c>
    </row>
    <row r="49" spans="1:24" x14ac:dyDescent="0.3">
      <c r="A49" t="s">
        <v>402</v>
      </c>
      <c r="B49" t="s">
        <v>497</v>
      </c>
      <c r="C49" s="126">
        <v>2025</v>
      </c>
      <c r="D49" t="s">
        <v>476</v>
      </c>
      <c r="E49" t="s">
        <v>501</v>
      </c>
      <c r="F49" s="137">
        <v>107</v>
      </c>
      <c r="G49" s="138">
        <v>104.8</v>
      </c>
      <c r="H49" s="138">
        <v>1.6</v>
      </c>
      <c r="I49" s="139">
        <v>1.4</v>
      </c>
      <c r="J49" s="137">
        <v>99</v>
      </c>
      <c r="K49" s="137">
        <v>111</v>
      </c>
      <c r="L49" t="s">
        <v>499</v>
      </c>
      <c r="M49" s="126">
        <v>903</v>
      </c>
      <c r="N49" t="s">
        <v>134</v>
      </c>
      <c r="O49" s="137">
        <f t="shared" si="0"/>
        <v>2.0992366412213768</v>
      </c>
      <c r="P49" s="137">
        <f t="shared" si="1"/>
        <v>2.0992366412213768</v>
      </c>
      <c r="Q49" s="126">
        <v>3</v>
      </c>
      <c r="R49" t="s">
        <v>521</v>
      </c>
      <c r="S49" t="str">
        <f>IF($W49&lt;&gt;"NAO ACEITO","",COUNTIFS($W$2:$W49,"NAO ACEITO"))</f>
        <v/>
      </c>
      <c r="T49" t="str">
        <f>IF($B49="","",IF(COUNTIF($B$2:$B49,$B49)=1,MAX($T$1:$T48)+1,""))</f>
        <v/>
      </c>
      <c r="U49" t="str">
        <f>IF($D49="","",IF(COUNTIF($D$2:$D49,$D49)=1,MAX($U$1:$U48)+1,""))</f>
        <v/>
      </c>
      <c r="V49">
        <f>IF($D49="","",IF(COUNTIFS($B$2:$B49,$B49,$D$2:$D49,$D49)=1,1,0))</f>
        <v>0</v>
      </c>
      <c r="W49" t="str">
        <f>IF($D49="","",mEQA.PadronizarStatus($L49))</f>
        <v>ACEITO</v>
      </c>
      <c r="X49" t="str">
        <f>IF(OR($D49="",$W49&lt;&gt;"NAO ACEITO"),"",IF(COUNTIFS($D$2:$D49,$D49,$W$2:$W49,"NAO ACEITO")=1,1,0))</f>
        <v/>
      </c>
    </row>
    <row r="50" spans="1:24" x14ac:dyDescent="0.3">
      <c r="A50" t="s">
        <v>402</v>
      </c>
      <c r="B50" t="s">
        <v>497</v>
      </c>
      <c r="C50" s="126">
        <v>2025</v>
      </c>
      <c r="D50" t="s">
        <v>476</v>
      </c>
      <c r="E50" t="s">
        <v>502</v>
      </c>
      <c r="F50" s="137">
        <v>86</v>
      </c>
      <c r="G50" s="138">
        <v>88.1</v>
      </c>
      <c r="H50" s="138">
        <v>1.5</v>
      </c>
      <c r="I50" s="139">
        <v>-1.4</v>
      </c>
      <c r="J50" s="137">
        <v>83</v>
      </c>
      <c r="K50" s="137">
        <v>93</v>
      </c>
      <c r="L50" t="s">
        <v>499</v>
      </c>
      <c r="M50" s="126">
        <v>897</v>
      </c>
      <c r="N50" t="s">
        <v>134</v>
      </c>
      <c r="O50" s="137">
        <f t="shared" si="0"/>
        <v>-2.3836549375709359</v>
      </c>
      <c r="P50" s="137">
        <f t="shared" si="1"/>
        <v>2.3836549375709359</v>
      </c>
      <c r="Q50" s="126">
        <v>3</v>
      </c>
      <c r="R50" t="s">
        <v>521</v>
      </c>
      <c r="S50" t="str">
        <f>IF($W50&lt;&gt;"NAO ACEITO","",COUNTIFS($W$2:$W50,"NAO ACEITO"))</f>
        <v/>
      </c>
      <c r="T50" t="str">
        <f>IF($B50="","",IF(COUNTIF($B$2:$B50,$B50)=1,MAX($T$1:$T49)+1,""))</f>
        <v/>
      </c>
      <c r="U50" t="str">
        <f>IF($D50="","",IF(COUNTIF($D$2:$D50,$D50)=1,MAX($U$1:$U49)+1,""))</f>
        <v/>
      </c>
      <c r="V50">
        <f>IF($D50="","",IF(COUNTIFS($B$2:$B50,$B50,$D$2:$D50,$D50)=1,1,0))</f>
        <v>0</v>
      </c>
      <c r="W50" t="str">
        <f>IF($D50="","",mEQA.PadronizarStatus($L50))</f>
        <v>ACEITO</v>
      </c>
      <c r="X50" t="str">
        <f>IF(OR($D50="",$W50&lt;&gt;"NAO ACEITO"),"",IF(COUNTIFS($D$2:$D50,$D50,$W$2:$W50,"NAO ACEITO")=1,1,0))</f>
        <v/>
      </c>
    </row>
    <row r="51" spans="1:24" x14ac:dyDescent="0.3">
      <c r="A51" t="s">
        <v>402</v>
      </c>
      <c r="B51" t="s">
        <v>497</v>
      </c>
      <c r="C51" s="126">
        <v>2025</v>
      </c>
      <c r="D51" t="s">
        <v>476</v>
      </c>
      <c r="E51" t="s">
        <v>503</v>
      </c>
      <c r="F51" s="137">
        <v>122</v>
      </c>
      <c r="G51" s="138">
        <v>116.2</v>
      </c>
      <c r="H51" s="138">
        <v>2</v>
      </c>
      <c r="I51" s="139">
        <v>2.9</v>
      </c>
      <c r="J51" s="137">
        <v>110</v>
      </c>
      <c r="K51" s="137">
        <v>122</v>
      </c>
      <c r="L51" t="s">
        <v>499</v>
      </c>
      <c r="M51" s="126">
        <v>879</v>
      </c>
      <c r="N51" t="s">
        <v>134</v>
      </c>
      <c r="O51" s="137">
        <f t="shared" si="0"/>
        <v>4.9913941480206514</v>
      </c>
      <c r="P51" s="137">
        <f t="shared" si="1"/>
        <v>4.9913941480206514</v>
      </c>
      <c r="Q51" s="126">
        <v>3</v>
      </c>
      <c r="R51" t="s">
        <v>521</v>
      </c>
      <c r="S51" t="str">
        <f>IF($W51&lt;&gt;"NAO ACEITO","",COUNTIFS($W$2:$W51,"NAO ACEITO"))</f>
        <v/>
      </c>
      <c r="T51" t="str">
        <f>IF($B51="","",IF(COUNTIF($B$2:$B51,$B51)=1,MAX($T$1:$T50)+1,""))</f>
        <v/>
      </c>
      <c r="U51" t="str">
        <f>IF($D51="","",IF(COUNTIF($D$2:$D51,$D51)=1,MAX($U$1:$U50)+1,""))</f>
        <v/>
      </c>
      <c r="V51">
        <f>IF($D51="","",IF(COUNTIFS($B$2:$B51,$B51,$D$2:$D51,$D51)=1,1,0))</f>
        <v>0</v>
      </c>
      <c r="W51" t="str">
        <f>IF($D51="","",mEQA.PadronizarStatus($L51))</f>
        <v>ACEITO</v>
      </c>
      <c r="X51" t="str">
        <f>IF(OR($D51="",$W51&lt;&gt;"NAO ACEITO"),"",IF(COUNTIFS($D$2:$D51,$D51,$W$2:$W51,"NAO ACEITO")=1,1,0))</f>
        <v/>
      </c>
    </row>
    <row r="52" spans="1:24" x14ac:dyDescent="0.3">
      <c r="A52" t="s">
        <v>402</v>
      </c>
      <c r="B52" t="s">
        <v>497</v>
      </c>
      <c r="C52" s="126">
        <v>2025</v>
      </c>
      <c r="D52" t="s">
        <v>477</v>
      </c>
      <c r="E52" t="s">
        <v>498</v>
      </c>
      <c r="F52" s="137">
        <v>202</v>
      </c>
      <c r="G52" s="138">
        <v>199.614</v>
      </c>
      <c r="H52" s="138">
        <v>4.9969999999999999</v>
      </c>
      <c r="I52" s="139">
        <v>0.5</v>
      </c>
      <c r="J52" s="137">
        <v>179.65</v>
      </c>
      <c r="K52" s="137">
        <v>219.58</v>
      </c>
      <c r="L52" t="s">
        <v>499</v>
      </c>
      <c r="M52" s="126">
        <v>4523</v>
      </c>
      <c r="N52" t="s">
        <v>112</v>
      </c>
      <c r="O52" s="137">
        <f t="shared" si="0"/>
        <v>1.1953069423988276</v>
      </c>
      <c r="P52" s="137">
        <f t="shared" si="1"/>
        <v>1.1953069423988276</v>
      </c>
      <c r="Q52" s="126">
        <v>3</v>
      </c>
      <c r="R52" t="s">
        <v>521</v>
      </c>
      <c r="S52" t="str">
        <f>IF($W52&lt;&gt;"NAO ACEITO","",COUNTIFS($W$2:$W52,"NAO ACEITO"))</f>
        <v/>
      </c>
      <c r="T52" t="str">
        <f>IF($B52="","",IF(COUNTIF($B$2:$B52,$B52)=1,MAX($T$1:$T51)+1,""))</f>
        <v/>
      </c>
      <c r="U52">
        <f>IF($D52="","",IF(COUNTIF($D$2:$D52,$D52)=1,MAX($U$1:$U51)+1,""))</f>
        <v>11</v>
      </c>
      <c r="V52">
        <f>IF($D52="","",IF(COUNTIFS($B$2:$B52,$B52,$D$2:$D52,$D52)=1,1,0))</f>
        <v>1</v>
      </c>
      <c r="W52" t="str">
        <f>IF($D52="","",mEQA.PadronizarStatus($L52))</f>
        <v>ACEITO</v>
      </c>
      <c r="X52" t="str">
        <f>IF(OR($D52="",$W52&lt;&gt;"NAO ACEITO"),"",IF(COUNTIFS($D$2:$D52,$D52,$W$2:$W52,"NAO ACEITO")=1,1,0))</f>
        <v/>
      </c>
    </row>
    <row r="53" spans="1:24" x14ac:dyDescent="0.3">
      <c r="A53" t="s">
        <v>402</v>
      </c>
      <c r="B53" t="s">
        <v>497</v>
      </c>
      <c r="C53" s="126">
        <v>2025</v>
      </c>
      <c r="D53" t="s">
        <v>477</v>
      </c>
      <c r="E53" t="s">
        <v>500</v>
      </c>
      <c r="F53" s="137">
        <v>160</v>
      </c>
      <c r="G53" s="138">
        <v>157.61199999999999</v>
      </c>
      <c r="H53" s="138">
        <v>4.3899999999999997</v>
      </c>
      <c r="I53" s="139">
        <v>0.5</v>
      </c>
      <c r="J53" s="137">
        <v>141.85</v>
      </c>
      <c r="K53" s="137">
        <v>173.38</v>
      </c>
      <c r="L53" t="s">
        <v>499</v>
      </c>
      <c r="M53" s="126">
        <v>4513</v>
      </c>
      <c r="N53" t="s">
        <v>112</v>
      </c>
      <c r="O53" s="137">
        <f t="shared" si="0"/>
        <v>1.5151130624571767</v>
      </c>
      <c r="P53" s="137">
        <f t="shared" si="1"/>
        <v>1.5151130624571767</v>
      </c>
      <c r="Q53" s="126">
        <v>3</v>
      </c>
      <c r="R53" t="s">
        <v>521</v>
      </c>
      <c r="S53" t="str">
        <f>IF($W53&lt;&gt;"NAO ACEITO","",COUNTIFS($W$2:$W53,"NAO ACEITO"))</f>
        <v/>
      </c>
      <c r="T53" t="str">
        <f>IF($B53="","",IF(COUNTIF($B$2:$B53,$B53)=1,MAX($T$1:$T52)+1,""))</f>
        <v/>
      </c>
      <c r="U53" t="str">
        <f>IF($D53="","",IF(COUNTIF($D$2:$D53,$D53)=1,MAX($U$1:$U52)+1,""))</f>
        <v/>
      </c>
      <c r="V53">
        <f>IF($D53="","",IF(COUNTIFS($B$2:$B53,$B53,$D$2:$D53,$D53)=1,1,0))</f>
        <v>0</v>
      </c>
      <c r="W53" t="str">
        <f>IF($D53="","",mEQA.PadronizarStatus($L53))</f>
        <v>ACEITO</v>
      </c>
      <c r="X53" t="str">
        <f>IF(OR($D53="",$W53&lt;&gt;"NAO ACEITO"),"",IF(COUNTIFS($D$2:$D53,$D53,$W$2:$W53,"NAO ACEITO")=1,1,0))</f>
        <v/>
      </c>
    </row>
    <row r="54" spans="1:24" x14ac:dyDescent="0.3">
      <c r="A54" t="s">
        <v>402</v>
      </c>
      <c r="B54" t="s">
        <v>497</v>
      </c>
      <c r="C54" s="126">
        <v>2025</v>
      </c>
      <c r="D54" t="s">
        <v>477</v>
      </c>
      <c r="E54" t="s">
        <v>501</v>
      </c>
      <c r="F54" s="137">
        <v>87</v>
      </c>
      <c r="G54" s="138">
        <v>88.555000000000007</v>
      </c>
      <c r="H54" s="138">
        <v>5.05</v>
      </c>
      <c r="I54" s="139">
        <v>-0.3</v>
      </c>
      <c r="J54" s="137">
        <v>79.69</v>
      </c>
      <c r="K54" s="137">
        <v>97.42</v>
      </c>
      <c r="L54" t="s">
        <v>499</v>
      </c>
      <c r="M54" s="126">
        <v>4511</v>
      </c>
      <c r="N54" t="s">
        <v>112</v>
      </c>
      <c r="O54" s="137">
        <f t="shared" si="0"/>
        <v>-1.7559708655637816</v>
      </c>
      <c r="P54" s="137">
        <f t="shared" si="1"/>
        <v>1.7559708655637816</v>
      </c>
      <c r="Q54" s="126">
        <v>3</v>
      </c>
      <c r="R54" t="s">
        <v>521</v>
      </c>
      <c r="S54" t="str">
        <f>IF($W54&lt;&gt;"NAO ACEITO","",COUNTIFS($W$2:$W54,"NAO ACEITO"))</f>
        <v/>
      </c>
      <c r="T54" t="str">
        <f>IF($B54="","",IF(COUNTIF($B$2:$B54,$B54)=1,MAX($T$1:$T53)+1,""))</f>
        <v/>
      </c>
      <c r="U54" t="str">
        <f>IF($D54="","",IF(COUNTIF($D$2:$D54,$D54)=1,MAX($U$1:$U53)+1,""))</f>
        <v/>
      </c>
      <c r="V54">
        <f>IF($D54="","",IF(COUNTIFS($B$2:$B54,$B54,$D$2:$D54,$D54)=1,1,0))</f>
        <v>0</v>
      </c>
      <c r="W54" t="str">
        <f>IF($D54="","",mEQA.PadronizarStatus($L54))</f>
        <v>ACEITO</v>
      </c>
      <c r="X54" t="str">
        <f>IF(OR($D54="",$W54&lt;&gt;"NAO ACEITO"),"",IF(COUNTIFS($D$2:$D54,$D54,$W$2:$W54,"NAO ACEITO")=1,1,0))</f>
        <v/>
      </c>
    </row>
    <row r="55" spans="1:24" x14ac:dyDescent="0.3">
      <c r="A55" t="s">
        <v>402</v>
      </c>
      <c r="B55" t="s">
        <v>497</v>
      </c>
      <c r="C55" s="126">
        <v>2025</v>
      </c>
      <c r="D55" t="s">
        <v>477</v>
      </c>
      <c r="E55" t="s">
        <v>502</v>
      </c>
      <c r="F55" s="137">
        <v>206</v>
      </c>
      <c r="G55" s="138">
        <v>201.78</v>
      </c>
      <c r="H55" s="138">
        <v>5.31</v>
      </c>
      <c r="I55" s="139">
        <v>0.8</v>
      </c>
      <c r="J55" s="137">
        <v>181.6</v>
      </c>
      <c r="K55" s="137">
        <v>221.96</v>
      </c>
      <c r="L55" t="s">
        <v>499</v>
      </c>
      <c r="M55" s="126">
        <v>4511</v>
      </c>
      <c r="N55" t="s">
        <v>112</v>
      </c>
      <c r="O55" s="137">
        <f t="shared" si="0"/>
        <v>2.0913866587372381</v>
      </c>
      <c r="P55" s="137">
        <f t="shared" si="1"/>
        <v>2.0913866587372381</v>
      </c>
      <c r="Q55" s="126">
        <v>3</v>
      </c>
      <c r="R55" t="s">
        <v>521</v>
      </c>
      <c r="S55" t="str">
        <f>IF($W55&lt;&gt;"NAO ACEITO","",COUNTIFS($W$2:$W55,"NAO ACEITO"))</f>
        <v/>
      </c>
      <c r="T55" t="str">
        <f>IF($B55="","",IF(COUNTIF($B$2:$B55,$B55)=1,MAX($T$1:$T54)+1,""))</f>
        <v/>
      </c>
      <c r="U55" t="str">
        <f>IF($D55="","",IF(COUNTIF($D$2:$D55,$D55)=1,MAX($U$1:$U54)+1,""))</f>
        <v/>
      </c>
      <c r="V55">
        <f>IF($D55="","",IF(COUNTIFS($B$2:$B55,$B55,$D$2:$D55,$D55)=1,1,0))</f>
        <v>0</v>
      </c>
      <c r="W55" t="str">
        <f>IF($D55="","",mEQA.PadronizarStatus($L55))</f>
        <v>ACEITO</v>
      </c>
      <c r="X55" t="str">
        <f>IF(OR($D55="",$W55&lt;&gt;"NAO ACEITO"),"",IF(COUNTIFS($D$2:$D55,$D55,$W$2:$W55,"NAO ACEITO")=1,1,0))</f>
        <v/>
      </c>
    </row>
    <row r="56" spans="1:24" x14ac:dyDescent="0.3">
      <c r="A56" t="s">
        <v>402</v>
      </c>
      <c r="B56" t="s">
        <v>497</v>
      </c>
      <c r="C56" s="126">
        <v>2025</v>
      </c>
      <c r="D56" t="s">
        <v>477</v>
      </c>
      <c r="E56" t="s">
        <v>503</v>
      </c>
      <c r="F56" s="137">
        <v>260</v>
      </c>
      <c r="G56" s="138">
        <v>253.33699999999999</v>
      </c>
      <c r="H56" s="138">
        <v>6.4740000000000002</v>
      </c>
      <c r="I56" s="139">
        <v>1</v>
      </c>
      <c r="J56" s="137">
        <v>228</v>
      </c>
      <c r="K56" s="137">
        <v>278.68</v>
      </c>
      <c r="L56" t="s">
        <v>499</v>
      </c>
      <c r="M56" s="126">
        <v>4516</v>
      </c>
      <c r="N56" t="s">
        <v>112</v>
      </c>
      <c r="O56" s="137">
        <f t="shared" si="0"/>
        <v>2.6300935118044388</v>
      </c>
      <c r="P56" s="137">
        <f t="shared" si="1"/>
        <v>2.6300935118044388</v>
      </c>
      <c r="Q56" s="126">
        <v>3</v>
      </c>
      <c r="R56" t="s">
        <v>521</v>
      </c>
      <c r="S56" t="str">
        <f>IF($W56&lt;&gt;"NAO ACEITO","",COUNTIFS($W$2:$W56,"NAO ACEITO"))</f>
        <v/>
      </c>
      <c r="T56" t="str">
        <f>IF($B56="","",IF(COUNTIF($B$2:$B56,$B56)=1,MAX($T$1:$T55)+1,""))</f>
        <v/>
      </c>
      <c r="U56" t="str">
        <f>IF($D56="","",IF(COUNTIF($D$2:$D56,$D56)=1,MAX($U$1:$U55)+1,""))</f>
        <v/>
      </c>
      <c r="V56">
        <f>IF($D56="","",IF(COUNTIFS($B$2:$B56,$B56,$D$2:$D56,$D56)=1,1,0))</f>
        <v>0</v>
      </c>
      <c r="W56" t="str">
        <f>IF($D56="","",mEQA.PadronizarStatus($L56))</f>
        <v>ACEITO</v>
      </c>
      <c r="X56" t="str">
        <f>IF(OR($D56="",$W56&lt;&gt;"NAO ACEITO"),"",IF(COUNTIFS($D$2:$D56,$D56,$W$2:$W56,"NAO ACEITO")=1,1,0))</f>
        <v/>
      </c>
    </row>
    <row r="57" spans="1:24" x14ac:dyDescent="0.3">
      <c r="A57" t="s">
        <v>402</v>
      </c>
      <c r="B57" t="s">
        <v>497</v>
      </c>
      <c r="C57" s="126">
        <v>2025</v>
      </c>
      <c r="D57" t="s">
        <v>478</v>
      </c>
      <c r="E57" t="s">
        <v>498</v>
      </c>
      <c r="F57" s="137">
        <v>307</v>
      </c>
      <c r="G57" s="138">
        <v>315.2</v>
      </c>
      <c r="H57" s="138">
        <v>12.5</v>
      </c>
      <c r="I57" s="139">
        <v>-0.7</v>
      </c>
      <c r="J57" s="137">
        <v>252</v>
      </c>
      <c r="K57" s="137">
        <v>379</v>
      </c>
      <c r="L57" t="s">
        <v>499</v>
      </c>
      <c r="M57" s="126">
        <v>359</v>
      </c>
      <c r="N57" t="s">
        <v>123</v>
      </c>
      <c r="O57" s="137">
        <f t="shared" si="0"/>
        <v>-2.6015228426395902</v>
      </c>
      <c r="P57" s="137">
        <f t="shared" si="1"/>
        <v>2.6015228426395902</v>
      </c>
      <c r="Q57" s="126">
        <v>7</v>
      </c>
      <c r="R57" t="s">
        <v>521</v>
      </c>
      <c r="S57" t="str">
        <f>IF($W57&lt;&gt;"NAO ACEITO","",COUNTIFS($W$2:$W57,"NAO ACEITO"))</f>
        <v/>
      </c>
      <c r="T57" t="str">
        <f>IF($B57="","",IF(COUNTIF($B$2:$B57,$B57)=1,MAX($T$1:$T56)+1,""))</f>
        <v/>
      </c>
      <c r="U57">
        <f>IF($D57="","",IF(COUNTIF($D$2:$D57,$D57)=1,MAX($U$1:$U56)+1,""))</f>
        <v>12</v>
      </c>
      <c r="V57">
        <f>IF($D57="","",IF(COUNTIFS($B$2:$B57,$B57,$D$2:$D57,$D57)=1,1,0))</f>
        <v>1</v>
      </c>
      <c r="W57" t="str">
        <f>IF($D57="","",mEQA.PadronizarStatus($L57))</f>
        <v>ACEITO</v>
      </c>
      <c r="X57" t="str">
        <f>IF(OR($D57="",$W57&lt;&gt;"NAO ACEITO"),"",IF(COUNTIFS($D$2:$D57,$D57,$W$2:$W57,"NAO ACEITO")=1,1,0))</f>
        <v/>
      </c>
    </row>
    <row r="58" spans="1:24" x14ac:dyDescent="0.3">
      <c r="A58" t="s">
        <v>402</v>
      </c>
      <c r="B58" t="s">
        <v>497</v>
      </c>
      <c r="C58" s="126">
        <v>2025</v>
      </c>
      <c r="D58" t="s">
        <v>478</v>
      </c>
      <c r="E58" t="s">
        <v>500</v>
      </c>
      <c r="F58" s="137">
        <v>183</v>
      </c>
      <c r="G58" s="138">
        <v>189.3</v>
      </c>
      <c r="H58" s="138">
        <v>6.6</v>
      </c>
      <c r="I58" s="139">
        <v>-0.9</v>
      </c>
      <c r="J58" s="137">
        <v>151</v>
      </c>
      <c r="K58" s="137">
        <v>228</v>
      </c>
      <c r="L58" t="s">
        <v>499</v>
      </c>
      <c r="M58" s="126">
        <v>356</v>
      </c>
      <c r="N58" t="s">
        <v>123</v>
      </c>
      <c r="O58" s="137">
        <f t="shared" si="0"/>
        <v>-3.3280507131537305</v>
      </c>
      <c r="P58" s="137">
        <f t="shared" si="1"/>
        <v>3.3280507131537305</v>
      </c>
      <c r="Q58" s="126">
        <v>7</v>
      </c>
      <c r="R58" t="s">
        <v>521</v>
      </c>
      <c r="S58" t="str">
        <f>IF($W58&lt;&gt;"NAO ACEITO","",COUNTIFS($W$2:$W58,"NAO ACEITO"))</f>
        <v/>
      </c>
      <c r="T58" t="str">
        <f>IF($B58="","",IF(COUNTIF($B$2:$B58,$B58)=1,MAX($T$1:$T57)+1,""))</f>
        <v/>
      </c>
      <c r="U58" t="str">
        <f>IF($D58="","",IF(COUNTIF($D$2:$D58,$D58)=1,MAX($U$1:$U57)+1,""))</f>
        <v/>
      </c>
      <c r="V58">
        <f>IF($D58="","",IF(COUNTIFS($B$2:$B58,$B58,$D$2:$D58,$D58)=1,1,0))</f>
        <v>0</v>
      </c>
      <c r="W58" t="str">
        <f>IF($D58="","",mEQA.PadronizarStatus($L58))</f>
        <v>ACEITO</v>
      </c>
      <c r="X58" t="str">
        <f>IF(OR($D58="",$W58&lt;&gt;"NAO ACEITO"),"",IF(COUNTIFS($D$2:$D58,$D58,$W$2:$W58,"NAO ACEITO")=1,1,0))</f>
        <v/>
      </c>
    </row>
    <row r="59" spans="1:24" x14ac:dyDescent="0.3">
      <c r="A59" t="s">
        <v>402</v>
      </c>
      <c r="B59" t="s">
        <v>497</v>
      </c>
      <c r="C59" s="126">
        <v>2025</v>
      </c>
      <c r="D59" t="s">
        <v>478</v>
      </c>
      <c r="E59" t="s">
        <v>501</v>
      </c>
      <c r="F59" s="137">
        <v>22</v>
      </c>
      <c r="G59" s="138">
        <v>24.5</v>
      </c>
      <c r="H59" s="138">
        <v>2.4</v>
      </c>
      <c r="I59" s="139">
        <v>-1.1000000000000001</v>
      </c>
      <c r="J59" s="137">
        <v>19</v>
      </c>
      <c r="K59" s="137">
        <v>30</v>
      </c>
      <c r="L59" t="s">
        <v>499</v>
      </c>
      <c r="M59" s="126">
        <v>356</v>
      </c>
      <c r="N59" t="s">
        <v>123</v>
      </c>
      <c r="O59" s="137">
        <f t="shared" si="0"/>
        <v>-10.204081632653061</v>
      </c>
      <c r="P59" s="137">
        <f t="shared" si="1"/>
        <v>10.204081632653061</v>
      </c>
      <c r="Q59" s="126">
        <v>7</v>
      </c>
      <c r="R59" t="s">
        <v>521</v>
      </c>
      <c r="S59" t="str">
        <f>IF($W59&lt;&gt;"NAO ACEITO","",COUNTIFS($W$2:$W59,"NAO ACEITO"))</f>
        <v/>
      </c>
      <c r="T59" t="str">
        <f>IF($B59="","",IF(COUNTIF($B$2:$B59,$B59)=1,MAX($T$1:$T58)+1,""))</f>
        <v/>
      </c>
      <c r="U59" t="str">
        <f>IF($D59="","",IF(COUNTIF($D$2:$D59,$D59)=1,MAX($U$1:$U58)+1,""))</f>
        <v/>
      </c>
      <c r="V59">
        <f>IF($D59="","",IF(COUNTIFS($B$2:$B59,$B59,$D$2:$D59,$D59)=1,1,0))</f>
        <v>0</v>
      </c>
      <c r="W59" t="str">
        <f>IF($D59="","",mEQA.PadronizarStatus($L59))</f>
        <v>ACEITO</v>
      </c>
      <c r="X59" t="str">
        <f>IF(OR($D59="",$W59&lt;&gt;"NAO ACEITO"),"",IF(COUNTIFS($D$2:$D59,$D59,$W$2:$W59,"NAO ACEITO")=1,1,0))</f>
        <v/>
      </c>
    </row>
    <row r="60" spans="1:24" x14ac:dyDescent="0.3">
      <c r="A60" t="s">
        <v>402</v>
      </c>
      <c r="B60" t="s">
        <v>497</v>
      </c>
      <c r="C60" s="126">
        <v>2025</v>
      </c>
      <c r="D60" t="s">
        <v>478</v>
      </c>
      <c r="E60" t="s">
        <v>502</v>
      </c>
      <c r="F60" s="137">
        <v>155</v>
      </c>
      <c r="G60" s="138">
        <v>151.1</v>
      </c>
      <c r="H60" s="138">
        <v>8.6</v>
      </c>
      <c r="I60" s="139">
        <v>0.5</v>
      </c>
      <c r="J60" s="137">
        <v>120</v>
      </c>
      <c r="K60" s="137">
        <v>182</v>
      </c>
      <c r="L60" t="s">
        <v>499</v>
      </c>
      <c r="M60" s="126">
        <v>356</v>
      </c>
      <c r="N60" t="s">
        <v>123</v>
      </c>
      <c r="O60" s="137">
        <f t="shared" si="0"/>
        <v>2.5810721376571846</v>
      </c>
      <c r="P60" s="137">
        <f t="shared" si="1"/>
        <v>2.5810721376571846</v>
      </c>
      <c r="Q60" s="126">
        <v>7</v>
      </c>
      <c r="R60" t="s">
        <v>521</v>
      </c>
      <c r="S60" t="str">
        <f>IF($W60&lt;&gt;"NAO ACEITO","",COUNTIFS($W$2:$W60,"NAO ACEITO"))</f>
        <v/>
      </c>
      <c r="T60" t="str">
        <f>IF($B60="","",IF(COUNTIF($B$2:$B60,$B60)=1,MAX($T$1:$T59)+1,""))</f>
        <v/>
      </c>
      <c r="U60" t="str">
        <f>IF($D60="","",IF(COUNTIF($D$2:$D60,$D60)=1,MAX($U$1:$U59)+1,""))</f>
        <v/>
      </c>
      <c r="V60">
        <f>IF($D60="","",IF(COUNTIFS($B$2:$B60,$B60,$D$2:$D60,$D60)=1,1,0))</f>
        <v>0</v>
      </c>
      <c r="W60" t="str">
        <f>IF($D60="","",mEQA.PadronizarStatus($L60))</f>
        <v>ACEITO</v>
      </c>
      <c r="X60" t="str">
        <f>IF(OR($D60="",$W60&lt;&gt;"NAO ACEITO"),"",IF(COUNTIFS($D$2:$D60,$D60,$W$2:$W60,"NAO ACEITO")=1,1,0))</f>
        <v/>
      </c>
    </row>
    <row r="61" spans="1:24" x14ac:dyDescent="0.3">
      <c r="A61" t="s">
        <v>402</v>
      </c>
      <c r="B61" t="s">
        <v>497</v>
      </c>
      <c r="C61" s="126">
        <v>2025</v>
      </c>
      <c r="D61" t="s">
        <v>478</v>
      </c>
      <c r="E61" t="s">
        <v>503</v>
      </c>
      <c r="F61" s="137">
        <v>521</v>
      </c>
      <c r="G61" s="138">
        <v>544.4</v>
      </c>
      <c r="H61" s="138">
        <v>17.399999999999999</v>
      </c>
      <c r="I61" s="139">
        <v>-1.3</v>
      </c>
      <c r="J61" s="137">
        <v>435</v>
      </c>
      <c r="K61" s="137">
        <v>654</v>
      </c>
      <c r="L61" t="s">
        <v>499</v>
      </c>
      <c r="M61" s="126">
        <v>358</v>
      </c>
      <c r="N61" t="s">
        <v>123</v>
      </c>
      <c r="O61" s="137">
        <f t="shared" si="0"/>
        <v>-4.2983100661278435</v>
      </c>
      <c r="P61" s="137">
        <f t="shared" si="1"/>
        <v>4.2983100661278435</v>
      </c>
      <c r="Q61" s="126">
        <v>7</v>
      </c>
      <c r="R61" t="s">
        <v>521</v>
      </c>
      <c r="S61" t="str">
        <f>IF($W61&lt;&gt;"NAO ACEITO","",COUNTIFS($W$2:$W61,"NAO ACEITO"))</f>
        <v/>
      </c>
      <c r="T61" t="str">
        <f>IF($B61="","",IF(COUNTIF($B$2:$B61,$B61)=1,MAX($T$1:$T60)+1,""))</f>
        <v/>
      </c>
      <c r="U61" t="str">
        <f>IF($D61="","",IF(COUNTIF($D$2:$D61,$D61)=1,MAX($U$1:$U60)+1,""))</f>
        <v/>
      </c>
      <c r="V61">
        <f>IF($D61="","",IF(COUNTIFS($B$2:$B61,$B61,$D$2:$D61,$D61)=1,1,0))</f>
        <v>0</v>
      </c>
      <c r="W61" t="str">
        <f>IF($D61="","",mEQA.PadronizarStatus($L61))</f>
        <v>ACEITO</v>
      </c>
      <c r="X61" t="str">
        <f>IF(OR($D61="",$W61&lt;&gt;"NAO ACEITO"),"",IF(COUNTIFS($D$2:$D61,$D61,$W$2:$W61,"NAO ACEITO")=1,1,0))</f>
        <v/>
      </c>
    </row>
    <row r="62" spans="1:24" x14ac:dyDescent="0.3">
      <c r="A62" t="s">
        <v>402</v>
      </c>
      <c r="B62" t="s">
        <v>497</v>
      </c>
      <c r="C62" s="126">
        <v>2025</v>
      </c>
      <c r="D62" t="s">
        <v>479</v>
      </c>
      <c r="E62" t="s">
        <v>498</v>
      </c>
      <c r="F62" s="137">
        <v>2.79</v>
      </c>
      <c r="G62" s="138">
        <v>2.7549999999999999</v>
      </c>
      <c r="H62" s="138">
        <v>6.8000000000000005E-2</v>
      </c>
      <c r="I62" s="139">
        <v>0.5</v>
      </c>
      <c r="J62" s="137">
        <v>2.4700000000000002</v>
      </c>
      <c r="K62" s="137">
        <v>3.03</v>
      </c>
      <c r="L62" t="s">
        <v>499</v>
      </c>
      <c r="M62" s="126">
        <v>378</v>
      </c>
      <c r="N62" t="s">
        <v>112</v>
      </c>
      <c r="O62" s="137">
        <f t="shared" si="0"/>
        <v>1.2704174228675189</v>
      </c>
      <c r="P62" s="137">
        <f t="shared" si="1"/>
        <v>1.2704174228675189</v>
      </c>
      <c r="Q62" s="126">
        <v>4</v>
      </c>
      <c r="R62" t="s">
        <v>521</v>
      </c>
      <c r="S62" t="str">
        <f>IF($W62&lt;&gt;"NAO ACEITO","",COUNTIFS($W$2:$W62,"NAO ACEITO"))</f>
        <v/>
      </c>
      <c r="T62" t="str">
        <f>IF($B62="","",IF(COUNTIF($B$2:$B62,$B62)=1,MAX($T$1:$T61)+1,""))</f>
        <v/>
      </c>
      <c r="U62">
        <f>IF($D62="","",IF(COUNTIF($D$2:$D62,$D62)=1,MAX($U$1:$U61)+1,""))</f>
        <v>13</v>
      </c>
      <c r="V62">
        <f>IF($D62="","",IF(COUNTIFS($B$2:$B62,$B62,$D$2:$D62,$D62)=1,1,0))</f>
        <v>1</v>
      </c>
      <c r="W62" t="str">
        <f>IF($D62="","",mEQA.PadronizarStatus($L62))</f>
        <v>ACEITO</v>
      </c>
      <c r="X62" t="str">
        <f>IF(OR($D62="",$W62&lt;&gt;"NAO ACEITO"),"",IF(COUNTIFS($D$2:$D62,$D62,$W$2:$W62,"NAO ACEITO")=1,1,0))</f>
        <v/>
      </c>
    </row>
    <row r="63" spans="1:24" x14ac:dyDescent="0.3">
      <c r="A63" t="s">
        <v>402</v>
      </c>
      <c r="B63" t="s">
        <v>497</v>
      </c>
      <c r="C63" s="126">
        <v>2025</v>
      </c>
      <c r="D63" t="s">
        <v>479</v>
      </c>
      <c r="E63" t="s">
        <v>500</v>
      </c>
      <c r="F63" s="137">
        <v>4.4800000000000004</v>
      </c>
      <c r="G63" s="138">
        <v>4.4800000000000004</v>
      </c>
      <c r="H63" s="138">
        <v>0.1</v>
      </c>
      <c r="I63" s="139">
        <v>0</v>
      </c>
      <c r="J63" s="137">
        <v>4.03</v>
      </c>
      <c r="K63" s="137">
        <v>4.93</v>
      </c>
      <c r="L63" t="s">
        <v>499</v>
      </c>
      <c r="M63" s="126">
        <v>380</v>
      </c>
      <c r="N63" t="s">
        <v>112</v>
      </c>
      <c r="O63" s="137">
        <f t="shared" si="0"/>
        <v>0</v>
      </c>
      <c r="P63" s="137">
        <f t="shared" si="1"/>
        <v>0</v>
      </c>
      <c r="Q63" s="126">
        <v>4</v>
      </c>
      <c r="R63" t="s">
        <v>521</v>
      </c>
      <c r="S63" t="str">
        <f>IF($W63&lt;&gt;"NAO ACEITO","",COUNTIFS($W$2:$W63,"NAO ACEITO"))</f>
        <v/>
      </c>
      <c r="T63" t="str">
        <f>IF($B63="","",IF(COUNTIF($B$2:$B63,$B63)=1,MAX($T$1:$T62)+1,""))</f>
        <v/>
      </c>
      <c r="U63" t="str">
        <f>IF($D63="","",IF(COUNTIF($D$2:$D63,$D63)=1,MAX($U$1:$U62)+1,""))</f>
        <v/>
      </c>
      <c r="V63">
        <f>IF($D63="","",IF(COUNTIFS($B$2:$B63,$B63,$D$2:$D63,$D63)=1,1,0))</f>
        <v>0</v>
      </c>
      <c r="W63" t="str">
        <f>IF($D63="","",mEQA.PadronizarStatus($L63))</f>
        <v>ACEITO</v>
      </c>
      <c r="X63" t="str">
        <f>IF(OR($D63="",$W63&lt;&gt;"NAO ACEITO"),"",IF(COUNTIFS($D$2:$D63,$D63,$W$2:$W63,"NAO ACEITO")=1,1,0))</f>
        <v/>
      </c>
    </row>
    <row r="64" spans="1:24" x14ac:dyDescent="0.3">
      <c r="A64" t="s">
        <v>402</v>
      </c>
      <c r="B64" t="s">
        <v>497</v>
      </c>
      <c r="C64" s="126">
        <v>2025</v>
      </c>
      <c r="D64" t="s">
        <v>479</v>
      </c>
      <c r="E64" t="s">
        <v>501</v>
      </c>
      <c r="F64" s="137">
        <v>7.59</v>
      </c>
      <c r="G64" s="138">
        <v>7.4829999999999997</v>
      </c>
      <c r="H64" s="138">
        <v>0.14699999999999999</v>
      </c>
      <c r="I64" s="139">
        <v>0.7</v>
      </c>
      <c r="J64" s="137">
        <v>6.73</v>
      </c>
      <c r="K64" s="137">
        <v>8.24</v>
      </c>
      <c r="L64" t="s">
        <v>499</v>
      </c>
      <c r="M64" s="126">
        <v>377</v>
      </c>
      <c r="N64" t="s">
        <v>112</v>
      </c>
      <c r="O64" s="137">
        <f t="shared" si="0"/>
        <v>1.4299077909929201</v>
      </c>
      <c r="P64" s="137">
        <f t="shared" si="1"/>
        <v>1.4299077909929201</v>
      </c>
      <c r="Q64" s="126">
        <v>4</v>
      </c>
      <c r="R64" t="s">
        <v>521</v>
      </c>
      <c r="S64" t="str">
        <f>IF($W64&lt;&gt;"NAO ACEITO","",COUNTIFS($W$2:$W64,"NAO ACEITO"))</f>
        <v/>
      </c>
      <c r="T64" t="str">
        <f>IF($B64="","",IF(COUNTIF($B$2:$B64,$B64)=1,MAX($T$1:$T63)+1,""))</f>
        <v/>
      </c>
      <c r="U64" t="str">
        <f>IF($D64="","",IF(COUNTIF($D$2:$D64,$D64)=1,MAX($U$1:$U63)+1,""))</f>
        <v/>
      </c>
      <c r="V64">
        <f>IF($D64="","",IF(COUNTIFS($B$2:$B64,$B64,$D$2:$D64,$D64)=1,1,0))</f>
        <v>0</v>
      </c>
      <c r="W64" t="str">
        <f>IF($D64="","",mEQA.PadronizarStatus($L64))</f>
        <v>ACEITO</v>
      </c>
      <c r="X64" t="str">
        <f>IF(OR($D64="",$W64&lt;&gt;"NAO ACEITO"),"",IF(COUNTIFS($D$2:$D64,$D64,$W$2:$W64,"NAO ACEITO")=1,1,0))</f>
        <v/>
      </c>
    </row>
    <row r="65" spans="1:24" x14ac:dyDescent="0.3">
      <c r="A65" t="s">
        <v>402</v>
      </c>
      <c r="B65" t="s">
        <v>497</v>
      </c>
      <c r="C65" s="126">
        <v>2025</v>
      </c>
      <c r="D65" t="s">
        <v>479</v>
      </c>
      <c r="E65" t="s">
        <v>502</v>
      </c>
      <c r="F65" s="137">
        <v>2.16</v>
      </c>
      <c r="G65" s="138">
        <v>2.0979999999999999</v>
      </c>
      <c r="H65" s="138">
        <v>6.5000000000000002E-2</v>
      </c>
      <c r="I65" s="139">
        <v>1</v>
      </c>
      <c r="J65" s="137">
        <v>1.88</v>
      </c>
      <c r="K65" s="137">
        <v>2.31</v>
      </c>
      <c r="L65" t="s">
        <v>499</v>
      </c>
      <c r="M65" s="126">
        <v>380</v>
      </c>
      <c r="N65" t="s">
        <v>112</v>
      </c>
      <c r="O65" s="137">
        <f t="shared" si="0"/>
        <v>2.9551954242135503</v>
      </c>
      <c r="P65" s="137">
        <f t="shared" si="1"/>
        <v>2.9551954242135503</v>
      </c>
      <c r="Q65" s="126">
        <v>4</v>
      </c>
      <c r="R65" t="s">
        <v>521</v>
      </c>
      <c r="S65" t="str">
        <f>IF($W65&lt;&gt;"NAO ACEITO","",COUNTIFS($W$2:$W65,"NAO ACEITO"))</f>
        <v/>
      </c>
      <c r="T65" t="str">
        <f>IF($B65="","",IF(COUNTIF($B$2:$B65,$B65)=1,MAX($T$1:$T64)+1,""))</f>
        <v/>
      </c>
      <c r="U65" t="str">
        <f>IF($D65="","",IF(COUNTIF($D$2:$D65,$D65)=1,MAX($U$1:$U64)+1,""))</f>
        <v/>
      </c>
      <c r="V65">
        <f>IF($D65="","",IF(COUNTIFS($B$2:$B65,$B65,$D$2:$D65,$D65)=1,1,0))</f>
        <v>0</v>
      </c>
      <c r="W65" t="str">
        <f>IF($D65="","",mEQA.PadronizarStatus($L65))</f>
        <v>ACEITO</v>
      </c>
      <c r="X65" t="str">
        <f>IF(OR($D65="",$W65&lt;&gt;"NAO ACEITO"),"",IF(COUNTIFS($D$2:$D65,$D65,$W$2:$W65,"NAO ACEITO")=1,1,0))</f>
        <v/>
      </c>
    </row>
    <row r="66" spans="1:24" x14ac:dyDescent="0.3">
      <c r="A66" t="s">
        <v>402</v>
      </c>
      <c r="B66" t="s">
        <v>497</v>
      </c>
      <c r="C66" s="126">
        <v>2025</v>
      </c>
      <c r="D66" t="s">
        <v>479</v>
      </c>
      <c r="E66" t="s">
        <v>503</v>
      </c>
      <c r="F66" s="137">
        <v>0.81</v>
      </c>
      <c r="G66" s="138">
        <v>0.74099999999999999</v>
      </c>
      <c r="H66" s="138">
        <v>5.2999999999999999E-2</v>
      </c>
      <c r="I66" s="139">
        <v>1.3</v>
      </c>
      <c r="J66" s="137">
        <v>0.54</v>
      </c>
      <c r="K66" s="137">
        <v>0.95</v>
      </c>
      <c r="L66" t="s">
        <v>499</v>
      </c>
      <c r="M66" s="126">
        <v>383</v>
      </c>
      <c r="N66" t="s">
        <v>112</v>
      </c>
      <c r="O66" s="137">
        <f t="shared" ref="O66:O129" si="2">IFERROR((F66-G66)/G66*100,"")</f>
        <v>9.3117408906882684</v>
      </c>
      <c r="P66" s="137">
        <f t="shared" ref="P66:P129" si="3">IF(O66="","",ABS(O66))</f>
        <v>9.3117408906882684</v>
      </c>
      <c r="Q66" s="126">
        <v>4</v>
      </c>
      <c r="R66" t="s">
        <v>521</v>
      </c>
      <c r="S66" t="str">
        <f>IF($W66&lt;&gt;"NAO ACEITO","",COUNTIFS($W$2:$W66,"NAO ACEITO"))</f>
        <v/>
      </c>
      <c r="T66" t="str">
        <f>IF($B66="","",IF(COUNTIF($B$2:$B66,$B66)=1,MAX($T$1:$T65)+1,""))</f>
        <v/>
      </c>
      <c r="U66" t="str">
        <f>IF($D66="","",IF(COUNTIF($D$2:$D66,$D66)=1,MAX($U$1:$U65)+1,""))</f>
        <v/>
      </c>
      <c r="V66">
        <f>IF($D66="","",IF(COUNTIFS($B$2:$B66,$B66,$D$2:$D66,$D66)=1,1,0))</f>
        <v>0</v>
      </c>
      <c r="W66" t="str">
        <f>IF($D66="","",mEQA.PadronizarStatus($L66))</f>
        <v>ACEITO</v>
      </c>
      <c r="X66" t="str">
        <f>IF(OR($D66="",$W66&lt;&gt;"NAO ACEITO"),"",IF(COUNTIFS($D$2:$D66,$D66,$W$2:$W66,"NAO ACEITO")=1,1,0))</f>
        <v/>
      </c>
    </row>
    <row r="67" spans="1:24" x14ac:dyDescent="0.3">
      <c r="A67" t="s">
        <v>402</v>
      </c>
      <c r="B67" t="s">
        <v>497</v>
      </c>
      <c r="C67" s="126">
        <v>2025</v>
      </c>
      <c r="D67" t="s">
        <v>480</v>
      </c>
      <c r="E67" t="s">
        <v>498</v>
      </c>
      <c r="F67" s="137">
        <v>140</v>
      </c>
      <c r="G67" s="138">
        <v>132.9</v>
      </c>
      <c r="H67" s="138">
        <v>4.8</v>
      </c>
      <c r="I67" s="139">
        <v>1.5</v>
      </c>
      <c r="J67" s="137">
        <v>106</v>
      </c>
      <c r="K67" s="137">
        <v>160</v>
      </c>
      <c r="L67" t="s">
        <v>499</v>
      </c>
      <c r="M67" s="126">
        <v>81</v>
      </c>
      <c r="N67" t="s">
        <v>504</v>
      </c>
      <c r="O67" s="137">
        <f t="shared" si="2"/>
        <v>5.342362678705789</v>
      </c>
      <c r="P67" s="137">
        <f t="shared" si="3"/>
        <v>5.342362678705789</v>
      </c>
      <c r="Q67" s="126">
        <v>9</v>
      </c>
      <c r="R67" t="s">
        <v>521</v>
      </c>
      <c r="S67" t="str">
        <f>IF($W67&lt;&gt;"NAO ACEITO","",COUNTIFS($W$2:$W67,"NAO ACEITO"))</f>
        <v/>
      </c>
      <c r="T67" t="str">
        <f>IF($B67="","",IF(COUNTIF($B$2:$B67,$B67)=1,MAX($T$1:$T66)+1,""))</f>
        <v/>
      </c>
      <c r="U67">
        <f>IF($D67="","",IF(COUNTIF($D$2:$D67,$D67)=1,MAX($U$1:$U66)+1,""))</f>
        <v>14</v>
      </c>
      <c r="V67">
        <f>IF($D67="","",IF(COUNTIFS($B$2:$B67,$B67,$D$2:$D67,$D67)=1,1,0))</f>
        <v>1</v>
      </c>
      <c r="W67" t="str">
        <f>IF($D67="","",mEQA.PadronizarStatus($L67))</f>
        <v>ACEITO</v>
      </c>
      <c r="X67" t="str">
        <f>IF(OR($D67="",$W67&lt;&gt;"NAO ACEITO"),"",IF(COUNTIFS($D$2:$D67,$D67,$W$2:$W67,"NAO ACEITO")=1,1,0))</f>
        <v/>
      </c>
    </row>
    <row r="68" spans="1:24" x14ac:dyDescent="0.3">
      <c r="A68" t="s">
        <v>402</v>
      </c>
      <c r="B68" t="s">
        <v>497</v>
      </c>
      <c r="C68" s="126">
        <v>2025</v>
      </c>
      <c r="D68" t="s">
        <v>480</v>
      </c>
      <c r="E68" t="s">
        <v>500</v>
      </c>
      <c r="F68" s="137">
        <v>87</v>
      </c>
      <c r="G68" s="138">
        <v>82.7</v>
      </c>
      <c r="H68" s="138">
        <v>3.4</v>
      </c>
      <c r="I68" s="139">
        <v>1.3</v>
      </c>
      <c r="J68" s="137">
        <v>66</v>
      </c>
      <c r="K68" s="137">
        <v>100</v>
      </c>
      <c r="L68" t="s">
        <v>499</v>
      </c>
      <c r="M68" s="126">
        <v>81</v>
      </c>
      <c r="N68" t="s">
        <v>504</v>
      </c>
      <c r="O68" s="137">
        <f t="shared" si="2"/>
        <v>5.1995163240628743</v>
      </c>
      <c r="P68" s="137">
        <f t="shared" si="3"/>
        <v>5.1995163240628743</v>
      </c>
      <c r="Q68" s="126">
        <v>9</v>
      </c>
      <c r="R68" t="s">
        <v>521</v>
      </c>
      <c r="S68" t="str">
        <f>IF($W68&lt;&gt;"NAO ACEITO","",COUNTIFS($W$2:$W68,"NAO ACEITO"))</f>
        <v/>
      </c>
      <c r="T68" t="str">
        <f>IF($B68="","",IF(COUNTIF($B$2:$B68,$B68)=1,MAX($T$1:$T67)+1,""))</f>
        <v/>
      </c>
      <c r="U68" t="str">
        <f>IF($D68="","",IF(COUNTIF($D$2:$D68,$D68)=1,MAX($U$1:$U67)+1,""))</f>
        <v/>
      </c>
      <c r="V68">
        <f>IF($D68="","",IF(COUNTIFS($B$2:$B68,$B68,$D$2:$D68,$D68)=1,1,0))</f>
        <v>0</v>
      </c>
      <c r="W68" t="str">
        <f>IF($D68="","",mEQA.PadronizarStatus($L68))</f>
        <v>ACEITO</v>
      </c>
      <c r="X68" t="str">
        <f>IF(OR($D68="",$W68&lt;&gt;"NAO ACEITO"),"",IF(COUNTIFS($D$2:$D68,$D68,$W$2:$W68,"NAO ACEITO")=1,1,0))</f>
        <v/>
      </c>
    </row>
    <row r="69" spans="1:24" x14ac:dyDescent="0.3">
      <c r="A69" t="s">
        <v>402</v>
      </c>
      <c r="B69" t="s">
        <v>497</v>
      </c>
      <c r="C69" s="126">
        <v>2025</v>
      </c>
      <c r="D69" t="s">
        <v>480</v>
      </c>
      <c r="E69" t="s">
        <v>501</v>
      </c>
      <c r="F69" s="137">
        <v>19</v>
      </c>
      <c r="G69" s="138">
        <v>17.7</v>
      </c>
      <c r="H69" s="138">
        <v>0.9</v>
      </c>
      <c r="I69" s="139">
        <v>1.5</v>
      </c>
      <c r="J69" s="137">
        <v>14</v>
      </c>
      <c r="K69" s="137">
        <v>22</v>
      </c>
      <c r="L69" t="s">
        <v>499</v>
      </c>
      <c r="M69" s="126">
        <v>80</v>
      </c>
      <c r="N69" t="s">
        <v>504</v>
      </c>
      <c r="O69" s="137">
        <f t="shared" si="2"/>
        <v>7.3446327683615866</v>
      </c>
      <c r="P69" s="137">
        <f t="shared" si="3"/>
        <v>7.3446327683615866</v>
      </c>
      <c r="Q69" s="126">
        <v>9</v>
      </c>
      <c r="R69" t="s">
        <v>521</v>
      </c>
      <c r="S69" t="str">
        <f>IF($W69&lt;&gt;"NAO ACEITO","",COUNTIFS($W$2:$W69,"NAO ACEITO"))</f>
        <v/>
      </c>
      <c r="T69" t="str">
        <f>IF($B69="","",IF(COUNTIF($B$2:$B69,$B69)=1,MAX($T$1:$T68)+1,""))</f>
        <v/>
      </c>
      <c r="U69" t="str">
        <f>IF($D69="","",IF(COUNTIF($D$2:$D69,$D69)=1,MAX($U$1:$U68)+1,""))</f>
        <v/>
      </c>
      <c r="V69">
        <f>IF($D69="","",IF(COUNTIFS($B$2:$B69,$B69,$D$2:$D69,$D69)=1,1,0))</f>
        <v>0</v>
      </c>
      <c r="W69" t="str">
        <f>IF($D69="","",mEQA.PadronizarStatus($L69))</f>
        <v>ACEITO</v>
      </c>
      <c r="X69" t="str">
        <f>IF(OR($D69="",$W69&lt;&gt;"NAO ACEITO"),"",IF(COUNTIFS($D$2:$D69,$D69,$W$2:$W69,"NAO ACEITO")=1,1,0))</f>
        <v/>
      </c>
    </row>
    <row r="70" spans="1:24" x14ac:dyDescent="0.3">
      <c r="A70" t="s">
        <v>402</v>
      </c>
      <c r="B70" t="s">
        <v>497</v>
      </c>
      <c r="C70" s="126">
        <v>2025</v>
      </c>
      <c r="D70" t="s">
        <v>480</v>
      </c>
      <c r="E70" t="s">
        <v>502</v>
      </c>
      <c r="F70" s="137">
        <v>63</v>
      </c>
      <c r="G70" s="138">
        <v>57.9</v>
      </c>
      <c r="H70" s="138">
        <v>2.5</v>
      </c>
      <c r="I70" s="139">
        <v>2.1</v>
      </c>
      <c r="J70" s="137">
        <v>46</v>
      </c>
      <c r="K70" s="137">
        <v>70</v>
      </c>
      <c r="L70" t="s">
        <v>499</v>
      </c>
      <c r="M70" s="126">
        <v>81</v>
      </c>
      <c r="N70" t="s">
        <v>504</v>
      </c>
      <c r="O70" s="137">
        <f t="shared" si="2"/>
        <v>8.8082901554404174</v>
      </c>
      <c r="P70" s="137">
        <f t="shared" si="3"/>
        <v>8.8082901554404174</v>
      </c>
      <c r="Q70" s="126">
        <v>9</v>
      </c>
      <c r="R70" t="s">
        <v>521</v>
      </c>
      <c r="S70" t="str">
        <f>IF($W70&lt;&gt;"NAO ACEITO","",COUNTIFS($W$2:$W70,"NAO ACEITO"))</f>
        <v/>
      </c>
      <c r="T70" t="str">
        <f>IF($B70="","",IF(COUNTIF($B$2:$B70,$B70)=1,MAX($T$1:$T69)+1,""))</f>
        <v/>
      </c>
      <c r="U70" t="str">
        <f>IF($D70="","",IF(COUNTIF($D$2:$D70,$D70)=1,MAX($U$1:$U69)+1,""))</f>
        <v/>
      </c>
      <c r="V70">
        <f>IF($D70="","",IF(COUNTIFS($B$2:$B70,$B70,$D$2:$D70,$D70)=1,1,0))</f>
        <v>0</v>
      </c>
      <c r="W70" t="str">
        <f>IF($D70="","",mEQA.PadronizarStatus($L70))</f>
        <v>ACEITO</v>
      </c>
      <c r="X70" t="str">
        <f>IF(OR($D70="",$W70&lt;&gt;"NAO ACEITO"),"",IF(COUNTIFS($D$2:$D70,$D70,$W$2:$W70,"NAO ACEITO")=1,1,0))</f>
        <v/>
      </c>
    </row>
    <row r="71" spans="1:24" x14ac:dyDescent="0.3">
      <c r="A71" t="s">
        <v>402</v>
      </c>
      <c r="B71" t="s">
        <v>497</v>
      </c>
      <c r="C71" s="126">
        <v>2025</v>
      </c>
      <c r="D71" t="s">
        <v>480</v>
      </c>
      <c r="E71" t="s">
        <v>503</v>
      </c>
      <c r="F71" s="137">
        <v>230</v>
      </c>
      <c r="G71" s="138">
        <v>218.8</v>
      </c>
      <c r="H71" s="138">
        <v>8.1999999999999993</v>
      </c>
      <c r="I71" s="139">
        <v>1.4</v>
      </c>
      <c r="J71" s="137">
        <v>175</v>
      </c>
      <c r="K71" s="137">
        <v>263</v>
      </c>
      <c r="L71" t="s">
        <v>499</v>
      </c>
      <c r="M71" s="126">
        <v>80</v>
      </c>
      <c r="N71" t="s">
        <v>504</v>
      </c>
      <c r="O71" s="137">
        <f t="shared" si="2"/>
        <v>5.1188299817184593</v>
      </c>
      <c r="P71" s="137">
        <f t="shared" si="3"/>
        <v>5.1188299817184593</v>
      </c>
      <c r="Q71" s="126">
        <v>9</v>
      </c>
      <c r="R71" t="s">
        <v>521</v>
      </c>
      <c r="S71" t="str">
        <f>IF($W71&lt;&gt;"NAO ACEITO","",COUNTIFS($W$2:$W71,"NAO ACEITO"))</f>
        <v/>
      </c>
      <c r="T71" t="str">
        <f>IF($B71="","",IF(COUNTIF($B$2:$B71,$B71)=1,MAX($T$1:$T70)+1,""))</f>
        <v/>
      </c>
      <c r="U71" t="str">
        <f>IF($D71="","",IF(COUNTIF($D$2:$D71,$D71)=1,MAX($U$1:$U70)+1,""))</f>
        <v/>
      </c>
      <c r="V71">
        <f>IF($D71="","",IF(COUNTIFS($B$2:$B71,$B71,$D$2:$D71,$D71)=1,1,0))</f>
        <v>0</v>
      </c>
      <c r="W71" t="str">
        <f>IF($D71="","",mEQA.PadronizarStatus($L71))</f>
        <v>ACEITO</v>
      </c>
      <c r="X71" t="str">
        <f>IF(OR($D71="",$W71&lt;&gt;"NAO ACEITO"),"",IF(COUNTIFS($D$2:$D71,$D71,$W$2:$W71,"NAO ACEITO")=1,1,0))</f>
        <v/>
      </c>
    </row>
    <row r="72" spans="1:24" x14ac:dyDescent="0.3">
      <c r="A72" t="s">
        <v>402</v>
      </c>
      <c r="B72" t="s">
        <v>497</v>
      </c>
      <c r="C72" s="126">
        <v>2025</v>
      </c>
      <c r="D72" t="s">
        <v>481</v>
      </c>
      <c r="E72" t="s">
        <v>498</v>
      </c>
      <c r="F72" s="137">
        <v>165</v>
      </c>
      <c r="G72" s="138">
        <v>161.4</v>
      </c>
      <c r="H72" s="138">
        <v>3.9</v>
      </c>
      <c r="I72" s="139">
        <v>0.9</v>
      </c>
      <c r="J72" s="137">
        <v>137</v>
      </c>
      <c r="K72" s="137">
        <v>186</v>
      </c>
      <c r="L72" t="s">
        <v>499</v>
      </c>
      <c r="M72" s="126">
        <v>157</v>
      </c>
      <c r="N72" t="s">
        <v>123</v>
      </c>
      <c r="O72" s="137">
        <f t="shared" si="2"/>
        <v>2.2304832713754612</v>
      </c>
      <c r="P72" s="137">
        <f t="shared" si="3"/>
        <v>2.2304832713754612</v>
      </c>
      <c r="Q72" s="126">
        <v>8</v>
      </c>
      <c r="R72" t="s">
        <v>521</v>
      </c>
      <c r="S72" t="str">
        <f>IF($W72&lt;&gt;"NAO ACEITO","",COUNTIFS($W$2:$W72,"NAO ACEITO"))</f>
        <v/>
      </c>
      <c r="T72" t="str">
        <f>IF($B72="","",IF(COUNTIF($B$2:$B72,$B72)=1,MAX($T$1:$T71)+1,""))</f>
        <v/>
      </c>
      <c r="U72">
        <f>IF($D72="","",IF(COUNTIF($D$2:$D72,$D72)=1,MAX($U$1:$U71)+1,""))</f>
        <v>15</v>
      </c>
      <c r="V72">
        <f>IF($D72="","",IF(COUNTIFS($B$2:$B72,$B72,$D$2:$D72,$D72)=1,1,0))</f>
        <v>1</v>
      </c>
      <c r="W72" t="str">
        <f>IF($D72="","",mEQA.PadronizarStatus($L72))</f>
        <v>ACEITO</v>
      </c>
      <c r="X72" t="str">
        <f>IF(OR($D72="",$W72&lt;&gt;"NAO ACEITO"),"",IF(COUNTIFS($D$2:$D72,$D72,$W$2:$W72,"NAO ACEITO")=1,1,0))</f>
        <v/>
      </c>
    </row>
    <row r="73" spans="1:24" x14ac:dyDescent="0.3">
      <c r="A73" t="s">
        <v>402</v>
      </c>
      <c r="B73" t="s">
        <v>497</v>
      </c>
      <c r="C73" s="126">
        <v>2025</v>
      </c>
      <c r="D73" t="s">
        <v>481</v>
      </c>
      <c r="E73" t="s">
        <v>500</v>
      </c>
      <c r="F73" s="137">
        <v>133</v>
      </c>
      <c r="G73" s="138">
        <v>131.80000000000001</v>
      </c>
      <c r="H73" s="138">
        <v>3.5</v>
      </c>
      <c r="I73" s="139">
        <v>0.4</v>
      </c>
      <c r="J73" s="137">
        <v>112</v>
      </c>
      <c r="K73" s="137">
        <v>152</v>
      </c>
      <c r="L73" t="s">
        <v>499</v>
      </c>
      <c r="M73" s="126">
        <v>160</v>
      </c>
      <c r="N73" t="s">
        <v>123</v>
      </c>
      <c r="O73" s="137">
        <f t="shared" si="2"/>
        <v>0.9104704097116757</v>
      </c>
      <c r="P73" s="137">
        <f t="shared" si="3"/>
        <v>0.9104704097116757</v>
      </c>
      <c r="Q73" s="126">
        <v>8</v>
      </c>
      <c r="R73" t="s">
        <v>521</v>
      </c>
      <c r="S73" t="str">
        <f>IF($W73&lt;&gt;"NAO ACEITO","",COUNTIFS($W$2:$W73,"NAO ACEITO"))</f>
        <v/>
      </c>
      <c r="T73" t="str">
        <f>IF($B73="","",IF(COUNTIF($B$2:$B73,$B73)=1,MAX($T$1:$T72)+1,""))</f>
        <v/>
      </c>
      <c r="U73" t="str">
        <f>IF($D73="","",IF(COUNTIF($D$2:$D73,$D73)=1,MAX($U$1:$U72)+1,""))</f>
        <v/>
      </c>
      <c r="V73">
        <f>IF($D73="","",IF(COUNTIFS($B$2:$B73,$B73,$D$2:$D73,$D73)=1,1,0))</f>
        <v>0</v>
      </c>
      <c r="W73" t="str">
        <f>IF($D73="","",mEQA.PadronizarStatus($L73))</f>
        <v>ACEITO</v>
      </c>
      <c r="X73" t="str">
        <f>IF(OR($D73="",$W73&lt;&gt;"NAO ACEITO"),"",IF(COUNTIFS($D$2:$D73,$D73,$W$2:$W73,"NAO ACEITO")=1,1,0))</f>
        <v/>
      </c>
    </row>
    <row r="74" spans="1:24" x14ac:dyDescent="0.3">
      <c r="A74" t="s">
        <v>402</v>
      </c>
      <c r="B74" t="s">
        <v>497</v>
      </c>
      <c r="C74" s="126">
        <v>2025</v>
      </c>
      <c r="D74" t="s">
        <v>481</v>
      </c>
      <c r="E74" t="s">
        <v>501</v>
      </c>
      <c r="F74" s="137">
        <v>40</v>
      </c>
      <c r="G74" s="138">
        <v>42.2</v>
      </c>
      <c r="H74" s="138">
        <v>2</v>
      </c>
      <c r="I74" s="139">
        <v>-1.1000000000000001</v>
      </c>
      <c r="J74" s="137">
        <v>35</v>
      </c>
      <c r="K74" s="137">
        <v>49</v>
      </c>
      <c r="L74" t="s">
        <v>499</v>
      </c>
      <c r="M74" s="126">
        <v>160</v>
      </c>
      <c r="N74" t="s">
        <v>123</v>
      </c>
      <c r="O74" s="137">
        <f t="shared" si="2"/>
        <v>-5.2132701421801011</v>
      </c>
      <c r="P74" s="137">
        <f t="shared" si="3"/>
        <v>5.2132701421801011</v>
      </c>
      <c r="Q74" s="126">
        <v>8</v>
      </c>
      <c r="R74" t="s">
        <v>521</v>
      </c>
      <c r="S74" t="str">
        <f>IF($W74&lt;&gt;"NAO ACEITO","",COUNTIFS($W$2:$W74,"NAO ACEITO"))</f>
        <v/>
      </c>
      <c r="T74" t="str">
        <f>IF($B74="","",IF(COUNTIF($B$2:$B74,$B74)=1,MAX($T$1:$T73)+1,""))</f>
        <v/>
      </c>
      <c r="U74" t="str">
        <f>IF($D74="","",IF(COUNTIF($D$2:$D74,$D74)=1,MAX($U$1:$U73)+1,""))</f>
        <v/>
      </c>
      <c r="V74">
        <f>IF($D74="","",IF(COUNTIFS($B$2:$B74,$B74,$D$2:$D74,$D74)=1,1,0))</f>
        <v>0</v>
      </c>
      <c r="W74" t="str">
        <f>IF($D74="","",mEQA.PadronizarStatus($L74))</f>
        <v>ACEITO</v>
      </c>
      <c r="X74" t="str">
        <f>IF(OR($D74="",$W74&lt;&gt;"NAO ACEITO"),"",IF(COUNTIFS($D$2:$D74,$D74,$W$2:$W74,"NAO ACEITO")=1,1,0))</f>
        <v/>
      </c>
    </row>
    <row r="75" spans="1:24" x14ac:dyDescent="0.3">
      <c r="A75" t="s">
        <v>402</v>
      </c>
      <c r="B75" t="s">
        <v>497</v>
      </c>
      <c r="C75" s="126">
        <v>2025</v>
      </c>
      <c r="D75" t="s">
        <v>481</v>
      </c>
      <c r="E75" t="s">
        <v>502</v>
      </c>
      <c r="F75" s="137">
        <v>297</v>
      </c>
      <c r="G75" s="138">
        <v>286.60000000000002</v>
      </c>
      <c r="H75" s="138">
        <v>6.5</v>
      </c>
      <c r="I75" s="139">
        <v>1.6</v>
      </c>
      <c r="J75" s="137">
        <v>243</v>
      </c>
      <c r="K75" s="137">
        <v>330</v>
      </c>
      <c r="L75" t="s">
        <v>499</v>
      </c>
      <c r="M75" s="126">
        <v>159</v>
      </c>
      <c r="N75" t="s">
        <v>123</v>
      </c>
      <c r="O75" s="137">
        <f t="shared" si="2"/>
        <v>3.6287508722958743</v>
      </c>
      <c r="P75" s="137">
        <f t="shared" si="3"/>
        <v>3.6287508722958743</v>
      </c>
      <c r="Q75" s="126">
        <v>8</v>
      </c>
      <c r="R75" t="s">
        <v>521</v>
      </c>
      <c r="S75" t="str">
        <f>IF($W75&lt;&gt;"NAO ACEITO","",COUNTIFS($W$2:$W75,"NAO ACEITO"))</f>
        <v/>
      </c>
      <c r="T75" t="str">
        <f>IF($B75="","",IF(COUNTIF($B$2:$B75,$B75)=1,MAX($T$1:$T74)+1,""))</f>
        <v/>
      </c>
      <c r="U75" t="str">
        <f>IF($D75="","",IF(COUNTIF($D$2:$D75,$D75)=1,MAX($U$1:$U74)+1,""))</f>
        <v/>
      </c>
      <c r="V75">
        <f>IF($D75="","",IF(COUNTIFS($B$2:$B75,$B75,$D$2:$D75,$D75)=1,1,0))</f>
        <v>0</v>
      </c>
      <c r="W75" t="str">
        <f>IF($D75="","",mEQA.PadronizarStatus($L75))</f>
        <v>ACEITO</v>
      </c>
      <c r="X75" t="str">
        <f>IF(OR($D75="",$W75&lt;&gt;"NAO ACEITO"),"",IF(COUNTIFS($D$2:$D75,$D75,$W$2:$W75,"NAO ACEITO")=1,1,0))</f>
        <v/>
      </c>
    </row>
    <row r="76" spans="1:24" x14ac:dyDescent="0.3">
      <c r="A76" t="s">
        <v>402</v>
      </c>
      <c r="B76" t="s">
        <v>497</v>
      </c>
      <c r="C76" s="126">
        <v>2025</v>
      </c>
      <c r="D76" t="s">
        <v>481</v>
      </c>
      <c r="E76" t="s">
        <v>503</v>
      </c>
      <c r="F76" s="137">
        <v>164</v>
      </c>
      <c r="G76" s="138">
        <v>158</v>
      </c>
      <c r="H76" s="138">
        <v>4</v>
      </c>
      <c r="I76" s="139">
        <v>1.5</v>
      </c>
      <c r="J76" s="137">
        <v>134</v>
      </c>
      <c r="K76" s="137">
        <v>182</v>
      </c>
      <c r="L76" t="s">
        <v>499</v>
      </c>
      <c r="M76" s="126">
        <v>159</v>
      </c>
      <c r="N76" t="s">
        <v>123</v>
      </c>
      <c r="O76" s="137">
        <f t="shared" si="2"/>
        <v>3.79746835443038</v>
      </c>
      <c r="P76" s="137">
        <f t="shared" si="3"/>
        <v>3.79746835443038</v>
      </c>
      <c r="Q76" s="126">
        <v>8</v>
      </c>
      <c r="R76" t="s">
        <v>521</v>
      </c>
      <c r="S76" t="str">
        <f>IF($W76&lt;&gt;"NAO ACEITO","",COUNTIFS($W$2:$W76,"NAO ACEITO"))</f>
        <v/>
      </c>
      <c r="T76" t="str">
        <f>IF($B76="","",IF(COUNTIF($B$2:$B76,$B76)=1,MAX($T$1:$T75)+1,""))</f>
        <v/>
      </c>
      <c r="U76" t="str">
        <f>IF($D76="","",IF(COUNTIF($D$2:$D76,$D76)=1,MAX($U$1:$U75)+1,""))</f>
        <v/>
      </c>
      <c r="V76">
        <f>IF($D76="","",IF(COUNTIFS($B$2:$B76,$B76,$D$2:$D76,$D76)=1,1,0))</f>
        <v>0</v>
      </c>
      <c r="W76" t="str">
        <f>IF($D76="","",mEQA.PadronizarStatus($L76))</f>
        <v>ACEITO</v>
      </c>
      <c r="X76" t="str">
        <f>IF(OR($D76="",$W76&lt;&gt;"NAO ACEITO"),"",IF(COUNTIFS($D$2:$D76,$D76,$W$2:$W76,"NAO ACEITO")=1,1,0))</f>
        <v/>
      </c>
    </row>
    <row r="77" spans="1:24" x14ac:dyDescent="0.3">
      <c r="A77" t="s">
        <v>402</v>
      </c>
      <c r="B77" t="s">
        <v>497</v>
      </c>
      <c r="C77" s="126">
        <v>2025</v>
      </c>
      <c r="D77" t="s">
        <v>482</v>
      </c>
      <c r="E77" t="s">
        <v>498</v>
      </c>
      <c r="F77" s="137">
        <v>118</v>
      </c>
      <c r="G77" s="138">
        <v>120.53</v>
      </c>
      <c r="H77" s="138">
        <v>2.11</v>
      </c>
      <c r="I77" s="139">
        <v>-1.2</v>
      </c>
      <c r="J77" s="137">
        <v>110.8</v>
      </c>
      <c r="K77" s="137">
        <v>130.19999999999999</v>
      </c>
      <c r="L77" t="s">
        <v>499</v>
      </c>
      <c r="M77" s="126">
        <v>30</v>
      </c>
      <c r="N77" t="s">
        <v>112</v>
      </c>
      <c r="O77" s="137">
        <f t="shared" si="2"/>
        <v>-2.0990624740728459</v>
      </c>
      <c r="P77" s="137">
        <f t="shared" si="3"/>
        <v>2.0990624740728459</v>
      </c>
      <c r="Q77" s="126">
        <v>4</v>
      </c>
      <c r="R77" t="s">
        <v>521</v>
      </c>
      <c r="S77" t="str">
        <f>IF($W77&lt;&gt;"NAO ACEITO","",COUNTIFS($W$2:$W77,"NAO ACEITO"))</f>
        <v/>
      </c>
      <c r="T77" t="str">
        <f>IF($B77="","",IF(COUNTIF($B$2:$B77,$B77)=1,MAX($T$1:$T76)+1,""))</f>
        <v/>
      </c>
      <c r="U77">
        <f>IF($D77="","",IF(COUNTIF($D$2:$D77,$D77)=1,MAX($U$1:$U76)+1,""))</f>
        <v>16</v>
      </c>
      <c r="V77">
        <f>IF($D77="","",IF(COUNTIFS($B$2:$B77,$B77,$D$2:$D77,$D77)=1,1,0))</f>
        <v>1</v>
      </c>
      <c r="W77" t="str">
        <f>IF($D77="","",mEQA.PadronizarStatus($L77))</f>
        <v>ACEITO</v>
      </c>
      <c r="X77" t="str">
        <f>IF(OR($D77="",$W77&lt;&gt;"NAO ACEITO"),"",IF(COUNTIFS($D$2:$D77,$D77,$W$2:$W77,"NAO ACEITO")=1,1,0))</f>
        <v/>
      </c>
    </row>
    <row r="78" spans="1:24" x14ac:dyDescent="0.3">
      <c r="A78" t="s">
        <v>402</v>
      </c>
      <c r="B78" t="s">
        <v>497</v>
      </c>
      <c r="C78" s="126">
        <v>2025</v>
      </c>
      <c r="D78" t="s">
        <v>482</v>
      </c>
      <c r="E78" t="s">
        <v>500</v>
      </c>
      <c r="F78" s="137">
        <v>127</v>
      </c>
      <c r="G78" s="138">
        <v>127.67</v>
      </c>
      <c r="H78" s="138">
        <v>2.34</v>
      </c>
      <c r="I78" s="139">
        <v>-0.3</v>
      </c>
      <c r="J78" s="137">
        <v>117.4</v>
      </c>
      <c r="K78" s="137">
        <v>137.9</v>
      </c>
      <c r="L78" t="s">
        <v>499</v>
      </c>
      <c r="M78" s="126">
        <v>30</v>
      </c>
      <c r="N78" t="s">
        <v>112</v>
      </c>
      <c r="O78" s="137">
        <f t="shared" si="2"/>
        <v>-0.52479047544450663</v>
      </c>
      <c r="P78" s="137">
        <f t="shared" si="3"/>
        <v>0.52479047544450663</v>
      </c>
      <c r="Q78" s="126">
        <v>4</v>
      </c>
      <c r="R78" t="s">
        <v>521</v>
      </c>
      <c r="S78" t="str">
        <f>IF($W78&lt;&gt;"NAO ACEITO","",COUNTIFS($W$2:$W78,"NAO ACEITO"))</f>
        <v/>
      </c>
      <c r="T78" t="str">
        <f>IF($B78="","",IF(COUNTIF($B$2:$B78,$B78)=1,MAX($T$1:$T77)+1,""))</f>
        <v/>
      </c>
      <c r="U78" t="str">
        <f>IF($D78="","",IF(COUNTIF($D$2:$D78,$D78)=1,MAX($U$1:$U77)+1,""))</f>
        <v/>
      </c>
      <c r="V78">
        <f>IF($D78="","",IF(COUNTIFS($B$2:$B78,$B78,$D$2:$D78,$D78)=1,1,0))</f>
        <v>0</v>
      </c>
      <c r="W78" t="str">
        <f>IF($D78="","",mEQA.PadronizarStatus($L78))</f>
        <v>ACEITO</v>
      </c>
      <c r="X78" t="str">
        <f>IF(OR($D78="",$W78&lt;&gt;"NAO ACEITO"),"",IF(COUNTIFS($D$2:$D78,$D78,$W$2:$W78,"NAO ACEITO")=1,1,0))</f>
        <v/>
      </c>
    </row>
    <row r="79" spans="1:24" x14ac:dyDescent="0.3">
      <c r="A79" t="s">
        <v>402</v>
      </c>
      <c r="B79" t="s">
        <v>497</v>
      </c>
      <c r="C79" s="126">
        <v>2025</v>
      </c>
      <c r="D79" t="s">
        <v>482</v>
      </c>
      <c r="E79" t="s">
        <v>501</v>
      </c>
      <c r="F79" s="137">
        <v>92</v>
      </c>
      <c r="G79" s="138">
        <v>90.1</v>
      </c>
      <c r="H79" s="138">
        <v>1.83</v>
      </c>
      <c r="I79" s="139">
        <v>1</v>
      </c>
      <c r="J79" s="137">
        <v>82.8</v>
      </c>
      <c r="K79" s="137">
        <v>97.4</v>
      </c>
      <c r="L79" t="s">
        <v>499</v>
      </c>
      <c r="M79" s="126">
        <v>30</v>
      </c>
      <c r="N79" t="s">
        <v>112</v>
      </c>
      <c r="O79" s="137">
        <f t="shared" si="2"/>
        <v>2.1087680355160994</v>
      </c>
      <c r="P79" s="137">
        <f t="shared" si="3"/>
        <v>2.1087680355160994</v>
      </c>
      <c r="Q79" s="126">
        <v>4</v>
      </c>
      <c r="R79" t="s">
        <v>521</v>
      </c>
      <c r="S79" t="str">
        <f>IF($W79&lt;&gt;"NAO ACEITO","",COUNTIFS($W$2:$W79,"NAO ACEITO"))</f>
        <v/>
      </c>
      <c r="T79" t="str">
        <f>IF($B79="","",IF(COUNTIF($B$2:$B79,$B79)=1,MAX($T$1:$T78)+1,""))</f>
        <v/>
      </c>
      <c r="U79" t="str">
        <f>IF($D79="","",IF(COUNTIF($D$2:$D79,$D79)=1,MAX($U$1:$U78)+1,""))</f>
        <v/>
      </c>
      <c r="V79">
        <f>IF($D79="","",IF(COUNTIFS($B$2:$B79,$B79,$D$2:$D79,$D79)=1,1,0))</f>
        <v>0</v>
      </c>
      <c r="W79" t="str">
        <f>IF($D79="","",mEQA.PadronizarStatus($L79))</f>
        <v>ACEITO</v>
      </c>
      <c r="X79" t="str">
        <f>IF(OR($D79="",$W79&lt;&gt;"NAO ACEITO"),"",IF(COUNTIFS($D$2:$D79,$D79,$W$2:$W79,"NAO ACEITO")=1,1,0))</f>
        <v/>
      </c>
    </row>
    <row r="80" spans="1:24" x14ac:dyDescent="0.3">
      <c r="A80" t="s">
        <v>402</v>
      </c>
      <c r="B80" t="s">
        <v>497</v>
      </c>
      <c r="C80" s="126">
        <v>2025</v>
      </c>
      <c r="D80" t="s">
        <v>482</v>
      </c>
      <c r="E80" t="s">
        <v>502</v>
      </c>
      <c r="F80" s="137">
        <v>272</v>
      </c>
      <c r="G80" s="138">
        <v>267.87</v>
      </c>
      <c r="H80" s="138">
        <v>4.7</v>
      </c>
      <c r="I80" s="139">
        <v>0.9</v>
      </c>
      <c r="J80" s="137">
        <v>246.4</v>
      </c>
      <c r="K80" s="137">
        <v>289.3</v>
      </c>
      <c r="L80" t="s">
        <v>499</v>
      </c>
      <c r="M80" s="126">
        <v>31</v>
      </c>
      <c r="N80" t="s">
        <v>112</v>
      </c>
      <c r="O80" s="137">
        <f t="shared" si="2"/>
        <v>1.5417926606189551</v>
      </c>
      <c r="P80" s="137">
        <f t="shared" si="3"/>
        <v>1.5417926606189551</v>
      </c>
      <c r="Q80" s="126">
        <v>4</v>
      </c>
      <c r="R80" t="s">
        <v>521</v>
      </c>
      <c r="S80" t="str">
        <f>IF($W80&lt;&gt;"NAO ACEITO","",COUNTIFS($W$2:$W80,"NAO ACEITO"))</f>
        <v/>
      </c>
      <c r="T80" t="str">
        <f>IF($B80="","",IF(COUNTIF($B$2:$B80,$B80)=1,MAX($T$1:$T79)+1,""))</f>
        <v/>
      </c>
      <c r="U80" t="str">
        <f>IF($D80="","",IF(COUNTIF($D$2:$D80,$D80)=1,MAX($U$1:$U79)+1,""))</f>
        <v/>
      </c>
      <c r="V80">
        <f>IF($D80="","",IF(COUNTIFS($B$2:$B80,$B80,$D$2:$D80,$D80)=1,1,0))</f>
        <v>0</v>
      </c>
      <c r="W80" t="str">
        <f>IF($D80="","",mEQA.PadronizarStatus($L80))</f>
        <v>ACEITO</v>
      </c>
      <c r="X80" t="str">
        <f>IF(OR($D80="",$W80&lt;&gt;"NAO ACEITO"),"",IF(COUNTIFS($D$2:$D80,$D80,$W$2:$W80,"NAO ACEITO")=1,1,0))</f>
        <v/>
      </c>
    </row>
    <row r="81" spans="1:24" x14ac:dyDescent="0.3">
      <c r="A81" t="s">
        <v>402</v>
      </c>
      <c r="B81" t="s">
        <v>497</v>
      </c>
      <c r="C81" s="126">
        <v>2025</v>
      </c>
      <c r="D81" t="s">
        <v>482</v>
      </c>
      <c r="E81" t="s">
        <v>503</v>
      </c>
      <c r="F81" s="137">
        <v>60</v>
      </c>
      <c r="G81" s="138">
        <v>59.3</v>
      </c>
      <c r="H81" s="138">
        <v>1.53</v>
      </c>
      <c r="I81" s="139">
        <v>0.5</v>
      </c>
      <c r="J81" s="137">
        <v>53.2</v>
      </c>
      <c r="K81" s="137">
        <v>65.3</v>
      </c>
      <c r="L81" t="s">
        <v>499</v>
      </c>
      <c r="M81" s="126">
        <v>30</v>
      </c>
      <c r="N81" t="s">
        <v>112</v>
      </c>
      <c r="O81" s="137">
        <f t="shared" si="2"/>
        <v>1.1804384485666153</v>
      </c>
      <c r="P81" s="137">
        <f t="shared" si="3"/>
        <v>1.1804384485666153</v>
      </c>
      <c r="Q81" s="126">
        <v>4</v>
      </c>
      <c r="R81" t="s">
        <v>521</v>
      </c>
      <c r="S81" t="str">
        <f>IF($W81&lt;&gt;"NAO ACEITO","",COUNTIFS($W$2:$W81,"NAO ACEITO"))</f>
        <v/>
      </c>
      <c r="T81" t="str">
        <f>IF($B81="","",IF(COUNTIF($B$2:$B81,$B81)=1,MAX($T$1:$T80)+1,""))</f>
        <v/>
      </c>
      <c r="U81" t="str">
        <f>IF($D81="","",IF(COUNTIF($D$2:$D81,$D81)=1,MAX($U$1:$U80)+1,""))</f>
        <v/>
      </c>
      <c r="V81">
        <f>IF($D81="","",IF(COUNTIFS($B$2:$B81,$B81,$D$2:$D81,$D81)=1,1,0))</f>
        <v>0</v>
      </c>
      <c r="W81" t="str">
        <f>IF($D81="","",mEQA.PadronizarStatus($L81))</f>
        <v>ACEITO</v>
      </c>
      <c r="X81" t="str">
        <f>IF(OR($D81="",$W81&lt;&gt;"NAO ACEITO"),"",IF(COUNTIFS($D$2:$D81,$D81,$W$2:$W81,"NAO ACEITO")=1,1,0))</f>
        <v/>
      </c>
    </row>
    <row r="82" spans="1:24" x14ac:dyDescent="0.3">
      <c r="A82" t="s">
        <v>402</v>
      </c>
      <c r="B82" t="s">
        <v>497</v>
      </c>
      <c r="C82" s="126">
        <v>2025</v>
      </c>
      <c r="D82" t="s">
        <v>483</v>
      </c>
      <c r="E82" t="s">
        <v>498</v>
      </c>
      <c r="F82" s="137">
        <v>54</v>
      </c>
      <c r="G82" s="138">
        <v>55.689</v>
      </c>
      <c r="H82" s="138">
        <v>2.2829999999999999</v>
      </c>
      <c r="I82" s="139">
        <v>-0.7</v>
      </c>
      <c r="J82" s="137">
        <v>44.55</v>
      </c>
      <c r="K82" s="137">
        <v>66.83</v>
      </c>
      <c r="L82" t="s">
        <v>499</v>
      </c>
      <c r="M82" s="126">
        <v>270</v>
      </c>
      <c r="N82" t="s">
        <v>112</v>
      </c>
      <c r="O82" s="137">
        <f t="shared" si="2"/>
        <v>-3.0329149383181599</v>
      </c>
      <c r="P82" s="137">
        <f t="shared" si="3"/>
        <v>3.0329149383181599</v>
      </c>
      <c r="Q82" s="126">
        <v>4</v>
      </c>
      <c r="R82" t="s">
        <v>521</v>
      </c>
      <c r="S82" t="str">
        <f>IF($W82&lt;&gt;"NAO ACEITO","",COUNTIFS($W$2:$W82,"NAO ACEITO"))</f>
        <v/>
      </c>
      <c r="T82" t="str">
        <f>IF($B82="","",IF(COUNTIF($B$2:$B82,$B82)=1,MAX($T$1:$T81)+1,""))</f>
        <v/>
      </c>
      <c r="U82">
        <f>IF($D82="","",IF(COUNTIF($D$2:$D82,$D82)=1,MAX($U$1:$U81)+1,""))</f>
        <v>17</v>
      </c>
      <c r="V82">
        <f>IF($D82="","",IF(COUNTIFS($B$2:$B82,$B82,$D$2:$D82,$D82)=1,1,0))</f>
        <v>1</v>
      </c>
      <c r="W82" t="str">
        <f>IF($D82="","",mEQA.PadronizarStatus($L82))</f>
        <v>ACEITO</v>
      </c>
      <c r="X82" t="str">
        <f>IF(OR($D82="",$W82&lt;&gt;"NAO ACEITO"),"",IF(COUNTIFS($D$2:$D82,$D82,$W$2:$W82,"NAO ACEITO")=1,1,0))</f>
        <v/>
      </c>
    </row>
    <row r="83" spans="1:24" x14ac:dyDescent="0.3">
      <c r="A83" t="s">
        <v>402</v>
      </c>
      <c r="B83" t="s">
        <v>497</v>
      </c>
      <c r="C83" s="126">
        <v>2025</v>
      </c>
      <c r="D83" t="s">
        <v>483</v>
      </c>
      <c r="E83" t="s">
        <v>500</v>
      </c>
      <c r="F83" s="137">
        <v>51</v>
      </c>
      <c r="G83" s="138">
        <v>51.649000000000001</v>
      </c>
      <c r="H83" s="138">
        <v>1.772</v>
      </c>
      <c r="I83" s="139">
        <v>-0.4</v>
      </c>
      <c r="J83" s="137">
        <v>41.31</v>
      </c>
      <c r="K83" s="137">
        <v>61.98</v>
      </c>
      <c r="L83" t="s">
        <v>499</v>
      </c>
      <c r="M83" s="126">
        <v>271</v>
      </c>
      <c r="N83" t="s">
        <v>112</v>
      </c>
      <c r="O83" s="137">
        <f t="shared" si="2"/>
        <v>-1.2565586942632014</v>
      </c>
      <c r="P83" s="137">
        <f t="shared" si="3"/>
        <v>1.2565586942632014</v>
      </c>
      <c r="Q83" s="126">
        <v>4</v>
      </c>
      <c r="R83" t="s">
        <v>521</v>
      </c>
      <c r="S83" t="str">
        <f>IF($W83&lt;&gt;"NAO ACEITO","",COUNTIFS($W$2:$W83,"NAO ACEITO"))</f>
        <v/>
      </c>
      <c r="T83" t="str">
        <f>IF($B83="","",IF(COUNTIF($B$2:$B83,$B83)=1,MAX($T$1:$T82)+1,""))</f>
        <v/>
      </c>
      <c r="U83" t="str">
        <f>IF($D83="","",IF(COUNTIF($D$2:$D83,$D83)=1,MAX($U$1:$U82)+1,""))</f>
        <v/>
      </c>
      <c r="V83">
        <f>IF($D83="","",IF(COUNTIFS($B$2:$B83,$B83,$D$2:$D83,$D83)=1,1,0))</f>
        <v>0</v>
      </c>
      <c r="W83" t="str">
        <f>IF($D83="","",mEQA.PadronizarStatus($L83))</f>
        <v>ACEITO</v>
      </c>
      <c r="X83" t="str">
        <f>IF(OR($D83="",$W83&lt;&gt;"NAO ACEITO"),"",IF(COUNTIFS($D$2:$D83,$D83,$W$2:$W83,"NAO ACEITO")=1,1,0))</f>
        <v/>
      </c>
    </row>
    <row r="84" spans="1:24" x14ac:dyDescent="0.3">
      <c r="A84" t="s">
        <v>402</v>
      </c>
      <c r="B84" t="s">
        <v>497</v>
      </c>
      <c r="C84" s="126">
        <v>2025</v>
      </c>
      <c r="D84" t="s">
        <v>483</v>
      </c>
      <c r="E84" t="s">
        <v>501</v>
      </c>
      <c r="F84" s="137">
        <v>41</v>
      </c>
      <c r="G84" s="138">
        <v>40.024000000000001</v>
      </c>
      <c r="H84" s="138">
        <v>1.32</v>
      </c>
      <c r="I84" s="139">
        <v>0.7</v>
      </c>
      <c r="J84" s="137">
        <v>32.01</v>
      </c>
      <c r="K84" s="137">
        <v>48.03</v>
      </c>
      <c r="L84" t="s">
        <v>499</v>
      </c>
      <c r="M84" s="126">
        <v>268</v>
      </c>
      <c r="N84" t="s">
        <v>112</v>
      </c>
      <c r="O84" s="137">
        <f t="shared" si="2"/>
        <v>2.4385368778732737</v>
      </c>
      <c r="P84" s="137">
        <f t="shared" si="3"/>
        <v>2.4385368778732737</v>
      </c>
      <c r="Q84" s="126">
        <v>4</v>
      </c>
      <c r="R84" t="s">
        <v>521</v>
      </c>
      <c r="S84" t="str">
        <f>IF($W84&lt;&gt;"NAO ACEITO","",COUNTIFS($W$2:$W84,"NAO ACEITO"))</f>
        <v/>
      </c>
      <c r="T84" t="str">
        <f>IF($B84="","",IF(COUNTIF($B$2:$B84,$B84)=1,MAX($T$1:$T83)+1,""))</f>
        <v/>
      </c>
      <c r="U84" t="str">
        <f>IF($D84="","",IF(COUNTIF($D$2:$D84,$D84)=1,MAX($U$1:$U83)+1,""))</f>
        <v/>
      </c>
      <c r="V84">
        <f>IF($D84="","",IF(COUNTIFS($B$2:$B84,$B84,$D$2:$D84,$D84)=1,1,0))</f>
        <v>0</v>
      </c>
      <c r="W84" t="str">
        <f>IF($D84="","",mEQA.PadronizarStatus($L84))</f>
        <v>ACEITO</v>
      </c>
      <c r="X84" t="str">
        <f>IF(OR($D84="",$W84&lt;&gt;"NAO ACEITO"),"",IF(COUNTIFS($D$2:$D84,$D84,$W$2:$W84,"NAO ACEITO")=1,1,0))</f>
        <v/>
      </c>
    </row>
    <row r="85" spans="1:24" x14ac:dyDescent="0.3">
      <c r="A85" t="s">
        <v>402</v>
      </c>
      <c r="B85" t="s">
        <v>497</v>
      </c>
      <c r="C85" s="126">
        <v>2025</v>
      </c>
      <c r="D85" t="s">
        <v>483</v>
      </c>
      <c r="E85" t="s">
        <v>502</v>
      </c>
      <c r="F85" s="137">
        <v>71</v>
      </c>
      <c r="G85" s="138">
        <v>69.584000000000003</v>
      </c>
      <c r="H85" s="138">
        <v>2.35</v>
      </c>
      <c r="I85" s="139">
        <v>0.6</v>
      </c>
      <c r="J85" s="137">
        <v>55.66</v>
      </c>
      <c r="K85" s="137">
        <v>83.51</v>
      </c>
      <c r="L85" t="s">
        <v>499</v>
      </c>
      <c r="M85" s="126">
        <v>271</v>
      </c>
      <c r="N85" t="s">
        <v>112</v>
      </c>
      <c r="O85" s="137">
        <f t="shared" si="2"/>
        <v>2.0349505633478917</v>
      </c>
      <c r="P85" s="137">
        <f t="shared" si="3"/>
        <v>2.0349505633478917</v>
      </c>
      <c r="Q85" s="126">
        <v>4</v>
      </c>
      <c r="R85" t="s">
        <v>521</v>
      </c>
      <c r="S85" t="str">
        <f>IF($W85&lt;&gt;"NAO ACEITO","",COUNTIFS($W$2:$W85,"NAO ACEITO"))</f>
        <v/>
      </c>
      <c r="T85" t="str">
        <f>IF($B85="","",IF(COUNTIF($B$2:$B85,$B85)=1,MAX($T$1:$T84)+1,""))</f>
        <v/>
      </c>
      <c r="U85" t="str">
        <f>IF($D85="","",IF(COUNTIF($D$2:$D85,$D85)=1,MAX($U$1:$U84)+1,""))</f>
        <v/>
      </c>
      <c r="V85">
        <f>IF($D85="","",IF(COUNTIFS($B$2:$B85,$B85,$D$2:$D85,$D85)=1,1,0))</f>
        <v>0</v>
      </c>
      <c r="W85" t="str">
        <f>IF($D85="","",mEQA.PadronizarStatus($L85))</f>
        <v>ACEITO</v>
      </c>
      <c r="X85" t="str">
        <f>IF(OR($D85="",$W85&lt;&gt;"NAO ACEITO"),"",IF(COUNTIFS($D$2:$D85,$D85,$W$2:$W85,"NAO ACEITO")=1,1,0))</f>
        <v/>
      </c>
    </row>
    <row r="86" spans="1:24" x14ac:dyDescent="0.3">
      <c r="A86" t="s">
        <v>402</v>
      </c>
      <c r="B86" t="s">
        <v>497</v>
      </c>
      <c r="C86" s="126">
        <v>2025</v>
      </c>
      <c r="D86" t="s">
        <v>483</v>
      </c>
      <c r="E86" t="s">
        <v>503</v>
      </c>
      <c r="F86" s="137">
        <v>53</v>
      </c>
      <c r="G86" s="138">
        <v>56.747999999999998</v>
      </c>
      <c r="H86" s="138">
        <v>2.669</v>
      </c>
      <c r="I86" s="139">
        <v>-1.4</v>
      </c>
      <c r="J86" s="137">
        <v>45.39</v>
      </c>
      <c r="K86" s="137">
        <v>68.099999999999994</v>
      </c>
      <c r="L86" t="s">
        <v>499</v>
      </c>
      <c r="M86" s="126">
        <v>267</v>
      </c>
      <c r="N86" t="s">
        <v>112</v>
      </c>
      <c r="O86" s="137">
        <f t="shared" si="2"/>
        <v>-6.6046380489180194</v>
      </c>
      <c r="P86" s="137">
        <f t="shared" si="3"/>
        <v>6.6046380489180194</v>
      </c>
      <c r="Q86" s="126">
        <v>4</v>
      </c>
      <c r="R86" t="s">
        <v>521</v>
      </c>
      <c r="S86" t="str">
        <f>IF($W86&lt;&gt;"NAO ACEITO","",COUNTIFS($W$2:$W86,"NAO ACEITO"))</f>
        <v/>
      </c>
      <c r="T86" t="str">
        <f>IF($B86="","",IF(COUNTIF($B$2:$B86,$B86)=1,MAX($T$1:$T85)+1,""))</f>
        <v/>
      </c>
      <c r="U86" t="str">
        <f>IF($D86="","",IF(COUNTIF($D$2:$D86,$D86)=1,MAX($U$1:$U85)+1,""))</f>
        <v/>
      </c>
      <c r="V86">
        <f>IF($D86="","",IF(COUNTIFS($B$2:$B86,$B86,$D$2:$D86,$D86)=1,1,0))</f>
        <v>0</v>
      </c>
      <c r="W86" t="str">
        <f>IF($D86="","",mEQA.PadronizarStatus($L86))</f>
        <v>ACEITO</v>
      </c>
      <c r="X86" t="str">
        <f>IF(OR($D86="",$W86&lt;&gt;"NAO ACEITO"),"",IF(COUNTIFS($D$2:$D86,$D86,$W$2:$W86,"NAO ACEITO")=1,1,0))</f>
        <v/>
      </c>
    </row>
    <row r="87" spans="1:24" x14ac:dyDescent="0.3">
      <c r="A87" t="s">
        <v>402</v>
      </c>
      <c r="B87" t="s">
        <v>497</v>
      </c>
      <c r="C87" s="126">
        <v>2025</v>
      </c>
      <c r="D87" t="s">
        <v>484</v>
      </c>
      <c r="E87" t="s">
        <v>498</v>
      </c>
      <c r="F87" s="137">
        <v>155</v>
      </c>
      <c r="G87" s="138">
        <v>156.6</v>
      </c>
      <c r="H87" s="138">
        <v>2.2000000000000002</v>
      </c>
      <c r="I87" s="139">
        <v>-0.7</v>
      </c>
      <c r="J87" s="137">
        <v>133</v>
      </c>
      <c r="K87" s="137">
        <v>181</v>
      </c>
      <c r="L87" t="s">
        <v>499</v>
      </c>
      <c r="M87" s="126">
        <v>146</v>
      </c>
      <c r="N87" t="s">
        <v>505</v>
      </c>
      <c r="O87" s="137">
        <f t="shared" si="2"/>
        <v>-1.0217113665389492</v>
      </c>
      <c r="P87" s="137">
        <f t="shared" si="3"/>
        <v>1.0217113665389492</v>
      </c>
      <c r="Q87" s="126">
        <v>8</v>
      </c>
      <c r="R87" t="s">
        <v>521</v>
      </c>
      <c r="S87" t="str">
        <f>IF($W87&lt;&gt;"NAO ACEITO","",COUNTIFS($W$2:$W87,"NAO ACEITO"))</f>
        <v/>
      </c>
      <c r="T87" t="str">
        <f>IF($B87="","",IF(COUNTIF($B$2:$B87,$B87)=1,MAX($T$1:$T86)+1,""))</f>
        <v/>
      </c>
      <c r="U87">
        <f>IF($D87="","",IF(COUNTIF($D$2:$D87,$D87)=1,MAX($U$1:$U86)+1,""))</f>
        <v>18</v>
      </c>
      <c r="V87">
        <f>IF($D87="","",IF(COUNTIFS($B$2:$B87,$B87,$D$2:$D87,$D87)=1,1,0))</f>
        <v>1</v>
      </c>
      <c r="W87" t="str">
        <f>IF($D87="","",mEQA.PadronizarStatus($L87))</f>
        <v>ACEITO</v>
      </c>
      <c r="X87" t="str">
        <f>IF(OR($D87="",$W87&lt;&gt;"NAO ACEITO"),"",IF(COUNTIFS($D$2:$D87,$D87,$W$2:$W87,"NAO ACEITO")=1,1,0))</f>
        <v/>
      </c>
    </row>
    <row r="88" spans="1:24" x14ac:dyDescent="0.3">
      <c r="A88" t="s">
        <v>402</v>
      </c>
      <c r="B88" t="s">
        <v>497</v>
      </c>
      <c r="C88" s="126">
        <v>2025</v>
      </c>
      <c r="D88" t="s">
        <v>484</v>
      </c>
      <c r="E88" t="s">
        <v>500</v>
      </c>
      <c r="F88" s="137">
        <v>107</v>
      </c>
      <c r="G88" s="138">
        <v>108.1</v>
      </c>
      <c r="H88" s="138">
        <v>1.8</v>
      </c>
      <c r="I88" s="139">
        <v>-0.6</v>
      </c>
      <c r="J88" s="137">
        <v>91</v>
      </c>
      <c r="K88" s="137">
        <v>125</v>
      </c>
      <c r="L88" t="s">
        <v>499</v>
      </c>
      <c r="M88" s="126">
        <v>142</v>
      </c>
      <c r="N88" t="s">
        <v>505</v>
      </c>
      <c r="O88" s="137">
        <f t="shared" si="2"/>
        <v>-1.0175763182238615</v>
      </c>
      <c r="P88" s="137">
        <f t="shared" si="3"/>
        <v>1.0175763182238615</v>
      </c>
      <c r="Q88" s="126">
        <v>8</v>
      </c>
      <c r="R88" t="s">
        <v>521</v>
      </c>
      <c r="S88" t="str">
        <f>IF($W88&lt;&gt;"NAO ACEITO","",COUNTIFS($W$2:$W88,"NAO ACEITO"))</f>
        <v/>
      </c>
      <c r="T88" t="str">
        <f>IF($B88="","",IF(COUNTIF($B$2:$B88,$B88)=1,MAX($T$1:$T87)+1,""))</f>
        <v/>
      </c>
      <c r="U88" t="str">
        <f>IF($D88="","",IF(COUNTIF($D$2:$D88,$D88)=1,MAX($U$1:$U87)+1,""))</f>
        <v/>
      </c>
      <c r="V88">
        <f>IF($D88="","",IF(COUNTIFS($B$2:$B88,$B88,$D$2:$D88,$D88)=1,1,0))</f>
        <v>0</v>
      </c>
      <c r="W88" t="str">
        <f>IF($D88="","",mEQA.PadronizarStatus($L88))</f>
        <v>ACEITO</v>
      </c>
      <c r="X88" t="str">
        <f>IF(OR($D88="",$W88&lt;&gt;"NAO ACEITO"),"",IF(COUNTIFS($D$2:$D88,$D88,$W$2:$W88,"NAO ACEITO")=1,1,0))</f>
        <v/>
      </c>
    </row>
    <row r="89" spans="1:24" x14ac:dyDescent="0.3">
      <c r="A89" t="s">
        <v>402</v>
      </c>
      <c r="B89" t="s">
        <v>497</v>
      </c>
      <c r="C89" s="126">
        <v>2025</v>
      </c>
      <c r="D89" t="s">
        <v>484</v>
      </c>
      <c r="E89" t="s">
        <v>501</v>
      </c>
      <c r="F89" s="137">
        <v>32</v>
      </c>
      <c r="G89" s="138">
        <v>33.5</v>
      </c>
      <c r="H89" s="138">
        <v>1.5</v>
      </c>
      <c r="I89" s="139">
        <v>-1</v>
      </c>
      <c r="J89" s="137">
        <v>28</v>
      </c>
      <c r="K89" s="137">
        <v>39</v>
      </c>
      <c r="L89" t="s">
        <v>499</v>
      </c>
      <c r="M89" s="126">
        <v>144</v>
      </c>
      <c r="N89" t="s">
        <v>505</v>
      </c>
      <c r="O89" s="137">
        <f t="shared" si="2"/>
        <v>-4.4776119402985071</v>
      </c>
      <c r="P89" s="137">
        <f t="shared" si="3"/>
        <v>4.4776119402985071</v>
      </c>
      <c r="Q89" s="126">
        <v>8</v>
      </c>
      <c r="R89" t="s">
        <v>521</v>
      </c>
      <c r="S89" t="str">
        <f>IF($W89&lt;&gt;"NAO ACEITO","",COUNTIFS($W$2:$W89,"NAO ACEITO"))</f>
        <v/>
      </c>
      <c r="T89" t="str">
        <f>IF($B89="","",IF(COUNTIF($B$2:$B89,$B89)=1,MAX($T$1:$T88)+1,""))</f>
        <v/>
      </c>
      <c r="U89" t="str">
        <f>IF($D89="","",IF(COUNTIF($D$2:$D89,$D89)=1,MAX($U$1:$U88)+1,""))</f>
        <v/>
      </c>
      <c r="V89">
        <f>IF($D89="","",IF(COUNTIFS($B$2:$B89,$B89,$D$2:$D89,$D89)=1,1,0))</f>
        <v>0</v>
      </c>
      <c r="W89" t="str">
        <f>IF($D89="","",mEQA.PadronizarStatus($L89))</f>
        <v>ACEITO</v>
      </c>
      <c r="X89" t="str">
        <f>IF(OR($D89="",$W89&lt;&gt;"NAO ACEITO"),"",IF(COUNTIFS($D$2:$D89,$D89,$W$2:$W89,"NAO ACEITO")=1,1,0))</f>
        <v/>
      </c>
    </row>
    <row r="90" spans="1:24" x14ac:dyDescent="0.3">
      <c r="A90" t="s">
        <v>402</v>
      </c>
      <c r="B90" t="s">
        <v>497</v>
      </c>
      <c r="C90" s="126">
        <v>2025</v>
      </c>
      <c r="D90" t="s">
        <v>484</v>
      </c>
      <c r="E90" t="s">
        <v>502</v>
      </c>
      <c r="F90" s="137">
        <v>141</v>
      </c>
      <c r="G90" s="138">
        <v>139.80000000000001</v>
      </c>
      <c r="H90" s="138">
        <v>2.1</v>
      </c>
      <c r="I90" s="139">
        <v>0.6</v>
      </c>
      <c r="J90" s="137">
        <v>118</v>
      </c>
      <c r="K90" s="137">
        <v>161</v>
      </c>
      <c r="L90" t="s">
        <v>499</v>
      </c>
      <c r="M90" s="126">
        <v>143</v>
      </c>
      <c r="N90" t="s">
        <v>505</v>
      </c>
      <c r="O90" s="137">
        <f t="shared" si="2"/>
        <v>0.85836909871243816</v>
      </c>
      <c r="P90" s="137">
        <f t="shared" si="3"/>
        <v>0.85836909871243816</v>
      </c>
      <c r="Q90" s="126">
        <v>8</v>
      </c>
      <c r="R90" t="s">
        <v>521</v>
      </c>
      <c r="S90" t="str">
        <f>IF($W90&lt;&gt;"NAO ACEITO","",COUNTIFS($W$2:$W90,"NAO ACEITO"))</f>
        <v/>
      </c>
      <c r="T90" t="str">
        <f>IF($B90="","",IF(COUNTIF($B$2:$B90,$B90)=1,MAX($T$1:$T89)+1,""))</f>
        <v/>
      </c>
      <c r="U90" t="str">
        <f>IF($D90="","",IF(COUNTIF($D$2:$D90,$D90)=1,MAX($U$1:$U89)+1,""))</f>
        <v/>
      </c>
      <c r="V90">
        <f>IF($D90="","",IF(COUNTIFS($B$2:$B90,$B90,$D$2:$D90,$D90)=1,1,0))</f>
        <v>0</v>
      </c>
      <c r="W90" t="str">
        <f>IF($D90="","",mEQA.PadronizarStatus($L90))</f>
        <v>ACEITO</v>
      </c>
      <c r="X90" t="str">
        <f>IF(OR($D90="",$W90&lt;&gt;"NAO ACEITO"),"",IF(COUNTIFS($D$2:$D90,$D90,$W$2:$W90,"NAO ACEITO")=1,1,0))</f>
        <v/>
      </c>
    </row>
    <row r="91" spans="1:24" x14ac:dyDescent="0.3">
      <c r="A91" t="s">
        <v>402</v>
      </c>
      <c r="B91" t="s">
        <v>497</v>
      </c>
      <c r="C91" s="126">
        <v>2025</v>
      </c>
      <c r="D91" t="s">
        <v>484</v>
      </c>
      <c r="E91" t="s">
        <v>503</v>
      </c>
      <c r="F91" s="137">
        <v>231</v>
      </c>
      <c r="G91" s="138">
        <v>227.3</v>
      </c>
      <c r="H91" s="138">
        <v>3</v>
      </c>
      <c r="I91" s="139">
        <v>1.2</v>
      </c>
      <c r="J91" s="137">
        <v>193</v>
      </c>
      <c r="K91" s="137">
        <v>262</v>
      </c>
      <c r="L91" t="s">
        <v>499</v>
      </c>
      <c r="M91" s="126">
        <v>143</v>
      </c>
      <c r="N91" t="s">
        <v>505</v>
      </c>
      <c r="O91" s="137">
        <f t="shared" si="2"/>
        <v>1.6278046634403822</v>
      </c>
      <c r="P91" s="137">
        <f t="shared" si="3"/>
        <v>1.6278046634403822</v>
      </c>
      <c r="Q91" s="126">
        <v>8</v>
      </c>
      <c r="R91" t="s">
        <v>521</v>
      </c>
      <c r="S91" t="str">
        <f>IF($W91&lt;&gt;"NAO ACEITO","",COUNTIFS($W$2:$W91,"NAO ACEITO"))</f>
        <v/>
      </c>
      <c r="T91" t="str">
        <f>IF($B91="","",IF(COUNTIF($B$2:$B91,$B91)=1,MAX($T$1:$T90)+1,""))</f>
        <v/>
      </c>
      <c r="U91" t="str">
        <f>IF($D91="","",IF(COUNTIF($D$2:$D91,$D91)=1,MAX($U$1:$U90)+1,""))</f>
        <v/>
      </c>
      <c r="V91">
        <f>IF($D91="","",IF(COUNTIFS($B$2:$B91,$B91,$D$2:$D91,$D91)=1,1,0))</f>
        <v>0</v>
      </c>
      <c r="W91" t="str">
        <f>IF($D91="","",mEQA.PadronizarStatus($L91))</f>
        <v>ACEITO</v>
      </c>
      <c r="X91" t="str">
        <f>IF(OR($D91="",$W91&lt;&gt;"NAO ACEITO"),"",IF(COUNTIFS($D$2:$D91,$D91,$W$2:$W91,"NAO ACEITO")=1,1,0))</f>
        <v/>
      </c>
    </row>
    <row r="92" spans="1:24" x14ac:dyDescent="0.3">
      <c r="A92" t="s">
        <v>402</v>
      </c>
      <c r="B92" t="s">
        <v>497</v>
      </c>
      <c r="C92" s="126">
        <v>2025</v>
      </c>
      <c r="D92" t="s">
        <v>485</v>
      </c>
      <c r="E92" t="s">
        <v>498</v>
      </c>
      <c r="F92" s="137">
        <v>7.8</v>
      </c>
      <c r="G92" s="138">
        <v>7.74</v>
      </c>
      <c r="H92" s="138">
        <v>0.26</v>
      </c>
      <c r="I92" s="139">
        <v>0.2</v>
      </c>
      <c r="J92" s="137">
        <v>6.9</v>
      </c>
      <c r="K92" s="137">
        <v>8.6</v>
      </c>
      <c r="L92" t="s">
        <v>499</v>
      </c>
      <c r="M92" s="126">
        <v>279</v>
      </c>
      <c r="N92" t="s">
        <v>134</v>
      </c>
      <c r="O92" s="137">
        <f t="shared" si="2"/>
        <v>0.77519379844960734</v>
      </c>
      <c r="P92" s="137">
        <f t="shared" si="3"/>
        <v>0.77519379844960734</v>
      </c>
      <c r="Q92" s="126">
        <v>9</v>
      </c>
      <c r="R92" t="s">
        <v>521</v>
      </c>
      <c r="S92" t="str">
        <f>IF($W92&lt;&gt;"NAO ACEITO","",COUNTIFS($W$2:$W92,"NAO ACEITO"))</f>
        <v/>
      </c>
      <c r="T92" t="str">
        <f>IF($B92="","",IF(COUNTIF($B$2:$B92,$B92)=1,MAX($T$1:$T91)+1,""))</f>
        <v/>
      </c>
      <c r="U92">
        <f>IF($D92="","",IF(COUNTIF($D$2:$D92,$D92)=1,MAX($U$1:$U91)+1,""))</f>
        <v>19</v>
      </c>
      <c r="V92">
        <f>IF($D92="","",IF(COUNTIFS($B$2:$B92,$B92,$D$2:$D92,$D92)=1,1,0))</f>
        <v>1</v>
      </c>
      <c r="W92" t="str">
        <f>IF($D92="","",mEQA.PadronizarStatus($L92))</f>
        <v>ACEITO</v>
      </c>
      <c r="X92" t="str">
        <f>IF(OR($D92="",$W92&lt;&gt;"NAO ACEITO"),"",IF(COUNTIFS($D$2:$D92,$D92,$W$2:$W92,"NAO ACEITO")=1,1,0))</f>
        <v/>
      </c>
    </row>
    <row r="93" spans="1:24" x14ac:dyDescent="0.3">
      <c r="A93" t="s">
        <v>402</v>
      </c>
      <c r="B93" t="s">
        <v>497</v>
      </c>
      <c r="C93" s="126">
        <v>2025</v>
      </c>
      <c r="D93" t="s">
        <v>485</v>
      </c>
      <c r="E93" t="s">
        <v>500</v>
      </c>
      <c r="F93" s="137">
        <v>5</v>
      </c>
      <c r="G93" s="138">
        <v>5</v>
      </c>
      <c r="H93" s="138">
        <v>0.19</v>
      </c>
      <c r="I93" s="139">
        <v>0</v>
      </c>
      <c r="J93" s="137">
        <v>4.4000000000000004</v>
      </c>
      <c r="K93" s="137">
        <v>5.6</v>
      </c>
      <c r="L93" t="s">
        <v>499</v>
      </c>
      <c r="M93" s="126">
        <v>280</v>
      </c>
      <c r="N93" t="s">
        <v>134</v>
      </c>
      <c r="O93" s="137">
        <f t="shared" si="2"/>
        <v>0</v>
      </c>
      <c r="P93" s="137">
        <f t="shared" si="3"/>
        <v>0</v>
      </c>
      <c r="Q93" s="126">
        <v>9</v>
      </c>
      <c r="R93" t="s">
        <v>521</v>
      </c>
      <c r="S93" t="str">
        <f>IF($W93&lt;&gt;"NAO ACEITO","",COUNTIFS($W$2:$W93,"NAO ACEITO"))</f>
        <v/>
      </c>
      <c r="T93" t="str">
        <f>IF($B93="","",IF(COUNTIF($B$2:$B93,$B93)=1,MAX($T$1:$T92)+1,""))</f>
        <v/>
      </c>
      <c r="U93" t="str">
        <f>IF($D93="","",IF(COUNTIF($D$2:$D93,$D93)=1,MAX($U$1:$U92)+1,""))</f>
        <v/>
      </c>
      <c r="V93">
        <f>IF($D93="","",IF(COUNTIFS($B$2:$B93,$B93,$D$2:$D93,$D93)=1,1,0))</f>
        <v>0</v>
      </c>
      <c r="W93" t="str">
        <f>IF($D93="","",mEQA.PadronizarStatus($L93))</f>
        <v>ACEITO</v>
      </c>
      <c r="X93" t="str">
        <f>IF(OR($D93="",$W93&lt;&gt;"NAO ACEITO"),"",IF(COUNTIFS($D$2:$D93,$D93,$W$2:$W93,"NAO ACEITO")=1,1,0))</f>
        <v/>
      </c>
    </row>
    <row r="94" spans="1:24" x14ac:dyDescent="0.3">
      <c r="A94" t="s">
        <v>402</v>
      </c>
      <c r="B94" t="s">
        <v>497</v>
      </c>
      <c r="C94" s="126">
        <v>2025</v>
      </c>
      <c r="D94" t="s">
        <v>485</v>
      </c>
      <c r="E94" t="s">
        <v>501</v>
      </c>
      <c r="F94" s="137">
        <v>1.7</v>
      </c>
      <c r="G94" s="138">
        <v>1.58</v>
      </c>
      <c r="H94" s="138">
        <v>0.11</v>
      </c>
      <c r="I94" s="139">
        <v>1.1000000000000001</v>
      </c>
      <c r="J94" s="137">
        <v>1.1000000000000001</v>
      </c>
      <c r="K94" s="137">
        <v>2</v>
      </c>
      <c r="L94" t="s">
        <v>499</v>
      </c>
      <c r="M94" s="126">
        <v>278</v>
      </c>
      <c r="N94" t="s">
        <v>134</v>
      </c>
      <c r="O94" s="137">
        <f t="shared" si="2"/>
        <v>7.5949367088607511</v>
      </c>
      <c r="P94" s="137">
        <f t="shared" si="3"/>
        <v>7.5949367088607511</v>
      </c>
      <c r="Q94" s="126">
        <v>9</v>
      </c>
      <c r="R94" t="s">
        <v>521</v>
      </c>
      <c r="S94" t="str">
        <f>IF($W94&lt;&gt;"NAO ACEITO","",COUNTIFS($W$2:$W94,"NAO ACEITO"))</f>
        <v/>
      </c>
      <c r="T94" t="str">
        <f>IF($B94="","",IF(COUNTIF($B$2:$B94,$B94)=1,MAX($T$1:$T93)+1,""))</f>
        <v/>
      </c>
      <c r="U94" t="str">
        <f>IF($D94="","",IF(COUNTIF($D$2:$D94,$D94)=1,MAX($U$1:$U93)+1,""))</f>
        <v/>
      </c>
      <c r="V94">
        <f>IF($D94="","",IF(COUNTIFS($B$2:$B94,$B94,$D$2:$D94,$D94)=1,1,0))</f>
        <v>0</v>
      </c>
      <c r="W94" t="str">
        <f>IF($D94="","",mEQA.PadronizarStatus($L94))</f>
        <v>ACEITO</v>
      </c>
      <c r="X94" t="str">
        <f>IF(OR($D94="",$W94&lt;&gt;"NAO ACEITO"),"",IF(COUNTIFS($D$2:$D94,$D94,$W$2:$W94,"NAO ACEITO")=1,1,0))</f>
        <v/>
      </c>
    </row>
    <row r="95" spans="1:24" x14ac:dyDescent="0.3">
      <c r="A95" t="s">
        <v>402</v>
      </c>
      <c r="B95" t="s">
        <v>497</v>
      </c>
      <c r="C95" s="126">
        <v>2025</v>
      </c>
      <c r="D95" t="s">
        <v>485</v>
      </c>
      <c r="E95" t="s">
        <v>502</v>
      </c>
      <c r="F95" s="137">
        <v>4.3</v>
      </c>
      <c r="G95" s="138">
        <v>4.25</v>
      </c>
      <c r="H95" s="138">
        <v>0.18</v>
      </c>
      <c r="I95" s="139">
        <v>0.3</v>
      </c>
      <c r="J95" s="137">
        <v>3.7</v>
      </c>
      <c r="K95" s="137">
        <v>4.8</v>
      </c>
      <c r="L95" t="s">
        <v>499</v>
      </c>
      <c r="M95" s="126">
        <v>277</v>
      </c>
      <c r="N95" t="s">
        <v>134</v>
      </c>
      <c r="O95" s="137">
        <f t="shared" si="2"/>
        <v>1.1764705882352899</v>
      </c>
      <c r="P95" s="137">
        <f t="shared" si="3"/>
        <v>1.1764705882352899</v>
      </c>
      <c r="Q95" s="126">
        <v>9</v>
      </c>
      <c r="R95" t="s">
        <v>521</v>
      </c>
      <c r="S95" t="str">
        <f>IF($W95&lt;&gt;"NAO ACEITO","",COUNTIFS($W$2:$W95,"NAO ACEITO"))</f>
        <v/>
      </c>
      <c r="T95" t="str">
        <f>IF($B95="","",IF(COUNTIF($B$2:$B95,$B95)=1,MAX($T$1:$T94)+1,""))</f>
        <v/>
      </c>
      <c r="U95" t="str">
        <f>IF($D95="","",IF(COUNTIF($D$2:$D95,$D95)=1,MAX($U$1:$U94)+1,""))</f>
        <v/>
      </c>
      <c r="V95">
        <f>IF($D95="","",IF(COUNTIFS($B$2:$B95,$B95,$D$2:$D95,$D95)=1,1,0))</f>
        <v>0</v>
      </c>
      <c r="W95" t="str">
        <f>IF($D95="","",mEQA.PadronizarStatus($L95))</f>
        <v>ACEITO</v>
      </c>
      <c r="X95" t="str">
        <f>IF(OR($D95="",$W95&lt;&gt;"NAO ACEITO"),"",IF(COUNTIFS($D$2:$D95,$D95,$W$2:$W95,"NAO ACEITO")=1,1,0))</f>
        <v/>
      </c>
    </row>
    <row r="96" spans="1:24" x14ac:dyDescent="0.3">
      <c r="A96" t="s">
        <v>402</v>
      </c>
      <c r="B96" t="s">
        <v>497</v>
      </c>
      <c r="C96" s="126">
        <v>2025</v>
      </c>
      <c r="D96" t="s">
        <v>485</v>
      </c>
      <c r="E96" t="s">
        <v>503</v>
      </c>
      <c r="F96" s="137">
        <v>13.5</v>
      </c>
      <c r="G96" s="138">
        <v>12.64</v>
      </c>
      <c r="H96" s="138">
        <v>0.44</v>
      </c>
      <c r="I96" s="139">
        <v>2</v>
      </c>
      <c r="J96" s="137">
        <v>11.3</v>
      </c>
      <c r="K96" s="137">
        <v>14</v>
      </c>
      <c r="L96" t="s">
        <v>499</v>
      </c>
      <c r="M96" s="126">
        <v>276</v>
      </c>
      <c r="N96" t="s">
        <v>134</v>
      </c>
      <c r="O96" s="137">
        <f t="shared" si="2"/>
        <v>6.8037974683544249</v>
      </c>
      <c r="P96" s="137">
        <f t="shared" si="3"/>
        <v>6.8037974683544249</v>
      </c>
      <c r="Q96" s="126">
        <v>9</v>
      </c>
      <c r="R96" t="s">
        <v>521</v>
      </c>
      <c r="S96" t="str">
        <f>IF($W96&lt;&gt;"NAO ACEITO","",COUNTIFS($W$2:$W96,"NAO ACEITO"))</f>
        <v/>
      </c>
      <c r="T96" t="str">
        <f>IF($B96="","",IF(COUNTIF($B$2:$B96,$B96)=1,MAX($T$1:$T95)+1,""))</f>
        <v/>
      </c>
      <c r="U96" t="str">
        <f>IF($D96="","",IF(COUNTIF($D$2:$D96,$D96)=1,MAX($U$1:$U95)+1,""))</f>
        <v/>
      </c>
      <c r="V96">
        <f>IF($D96="","",IF(COUNTIFS($B$2:$B96,$B96,$D$2:$D96,$D96)=1,1,0))</f>
        <v>0</v>
      </c>
      <c r="W96" t="str">
        <f>IF($D96="","",mEQA.PadronizarStatus($L96))</f>
        <v>ACEITO</v>
      </c>
      <c r="X96" t="str">
        <f>IF(OR($D96="",$W96&lt;&gt;"NAO ACEITO"),"",IF(COUNTIFS($D$2:$D96,$D96,$W$2:$W96,"NAO ACEITO")=1,1,0))</f>
        <v/>
      </c>
    </row>
    <row r="97" spans="1:24" x14ac:dyDescent="0.3">
      <c r="A97" t="s">
        <v>402</v>
      </c>
      <c r="B97" t="s">
        <v>497</v>
      </c>
      <c r="C97" s="126">
        <v>2025</v>
      </c>
      <c r="D97" t="s">
        <v>486</v>
      </c>
      <c r="E97" t="s">
        <v>498</v>
      </c>
      <c r="F97" s="137">
        <v>277</v>
      </c>
      <c r="G97" s="138">
        <v>280</v>
      </c>
      <c r="H97" s="138">
        <v>9.6</v>
      </c>
      <c r="I97" s="139">
        <v>-0.3</v>
      </c>
      <c r="J97" s="137">
        <v>238</v>
      </c>
      <c r="K97" s="137">
        <v>323</v>
      </c>
      <c r="L97" t="s">
        <v>499</v>
      </c>
      <c r="M97" s="126">
        <v>244</v>
      </c>
      <c r="N97" t="s">
        <v>123</v>
      </c>
      <c r="O97" s="137">
        <f t="shared" si="2"/>
        <v>-1.0714285714285714</v>
      </c>
      <c r="P97" s="137">
        <f t="shared" si="3"/>
        <v>1.0714285714285714</v>
      </c>
      <c r="Q97" s="126">
        <v>8</v>
      </c>
      <c r="R97" t="s">
        <v>521</v>
      </c>
      <c r="S97" t="str">
        <f>IF($W97&lt;&gt;"NAO ACEITO","",COUNTIFS($W$2:$W97,"NAO ACEITO"))</f>
        <v/>
      </c>
      <c r="T97" t="str">
        <f>IF($B97="","",IF(COUNTIF($B$2:$B97,$B97)=1,MAX($T$1:$T96)+1,""))</f>
        <v/>
      </c>
      <c r="U97">
        <f>IF($D97="","",IF(COUNTIF($D$2:$D97,$D97)=1,MAX($U$1:$U96)+1,""))</f>
        <v>20</v>
      </c>
      <c r="V97">
        <f>IF($D97="","",IF(COUNTIFS($B$2:$B97,$B97,$D$2:$D97,$D97)=1,1,0))</f>
        <v>1</v>
      </c>
      <c r="W97" t="str">
        <f>IF($D97="","",mEQA.PadronizarStatus($L97))</f>
        <v>ACEITO</v>
      </c>
      <c r="X97" t="str">
        <f>IF(OR($D97="",$W97&lt;&gt;"NAO ACEITO"),"",IF(COUNTIFS($D$2:$D97,$D97,$W$2:$W97,"NAO ACEITO")=1,1,0))</f>
        <v/>
      </c>
    </row>
    <row r="98" spans="1:24" x14ac:dyDescent="0.3">
      <c r="A98" t="s">
        <v>402</v>
      </c>
      <c r="B98" t="s">
        <v>497</v>
      </c>
      <c r="C98" s="126">
        <v>2025</v>
      </c>
      <c r="D98" t="s">
        <v>486</v>
      </c>
      <c r="E98" t="s">
        <v>500</v>
      </c>
      <c r="F98" s="137">
        <v>247</v>
      </c>
      <c r="G98" s="138">
        <v>251.5</v>
      </c>
      <c r="H98" s="138">
        <v>8.9</v>
      </c>
      <c r="I98" s="139">
        <v>-0.5</v>
      </c>
      <c r="J98" s="137">
        <v>213</v>
      </c>
      <c r="K98" s="137">
        <v>290</v>
      </c>
      <c r="L98" t="s">
        <v>499</v>
      </c>
      <c r="M98" s="126">
        <v>248</v>
      </c>
      <c r="N98" t="s">
        <v>123</v>
      </c>
      <c r="O98" s="137">
        <f t="shared" si="2"/>
        <v>-1.7892644135188867</v>
      </c>
      <c r="P98" s="137">
        <f t="shared" si="3"/>
        <v>1.7892644135188867</v>
      </c>
      <c r="Q98" s="126">
        <v>8</v>
      </c>
      <c r="R98" t="s">
        <v>521</v>
      </c>
      <c r="S98" t="str">
        <f>IF($W98&lt;&gt;"NAO ACEITO","",COUNTIFS($W$2:$W98,"NAO ACEITO"))</f>
        <v/>
      </c>
      <c r="T98" t="str">
        <f>IF($B98="","",IF(COUNTIF($B$2:$B98,$B98)=1,MAX($T$1:$T97)+1,""))</f>
        <v/>
      </c>
      <c r="U98" t="str">
        <f>IF($D98="","",IF(COUNTIF($D$2:$D98,$D98)=1,MAX($U$1:$U97)+1,""))</f>
        <v/>
      </c>
      <c r="V98">
        <f>IF($D98="","",IF(COUNTIFS($B$2:$B98,$B98,$D$2:$D98,$D98)=1,1,0))</f>
        <v>0</v>
      </c>
      <c r="W98" t="str">
        <f>IF($D98="","",mEQA.PadronizarStatus($L98))</f>
        <v>ACEITO</v>
      </c>
      <c r="X98" t="str">
        <f>IF(OR($D98="",$W98&lt;&gt;"NAO ACEITO"),"",IF(COUNTIFS($D$2:$D98,$D98,$W$2:$W98,"NAO ACEITO")=1,1,0))</f>
        <v/>
      </c>
    </row>
    <row r="99" spans="1:24" x14ac:dyDescent="0.3">
      <c r="A99" t="s">
        <v>402</v>
      </c>
      <c r="B99" t="s">
        <v>497</v>
      </c>
      <c r="C99" s="126">
        <v>2025</v>
      </c>
      <c r="D99" t="s">
        <v>486</v>
      </c>
      <c r="E99" t="s">
        <v>501</v>
      </c>
      <c r="F99" s="137">
        <v>141</v>
      </c>
      <c r="G99" s="138">
        <v>137</v>
      </c>
      <c r="H99" s="138">
        <v>7.1</v>
      </c>
      <c r="I99" s="139">
        <v>0.6</v>
      </c>
      <c r="J99" s="137">
        <v>116</v>
      </c>
      <c r="K99" s="137">
        <v>158</v>
      </c>
      <c r="L99" t="s">
        <v>499</v>
      </c>
      <c r="M99" s="126">
        <v>246</v>
      </c>
      <c r="N99" t="s">
        <v>123</v>
      </c>
      <c r="O99" s="137">
        <f t="shared" si="2"/>
        <v>2.9197080291970803</v>
      </c>
      <c r="P99" s="137">
        <f t="shared" si="3"/>
        <v>2.9197080291970803</v>
      </c>
      <c r="Q99" s="126">
        <v>8</v>
      </c>
      <c r="R99" t="s">
        <v>521</v>
      </c>
      <c r="S99" t="str">
        <f>IF($W99&lt;&gt;"NAO ACEITO","",COUNTIFS($W$2:$W99,"NAO ACEITO"))</f>
        <v/>
      </c>
      <c r="T99" t="str">
        <f>IF($B99="","",IF(COUNTIF($B$2:$B99,$B99)=1,MAX($T$1:$T98)+1,""))</f>
        <v/>
      </c>
      <c r="U99" t="str">
        <f>IF($D99="","",IF(COUNTIF($D$2:$D99,$D99)=1,MAX($U$1:$U98)+1,""))</f>
        <v/>
      </c>
      <c r="V99">
        <f>IF($D99="","",IF(COUNTIFS($B$2:$B99,$B99,$D$2:$D99,$D99)=1,1,0))</f>
        <v>0</v>
      </c>
      <c r="W99" t="str">
        <f>IF($D99="","",mEQA.PadronizarStatus($L99))</f>
        <v>ACEITO</v>
      </c>
      <c r="X99" t="str">
        <f>IF(OR($D99="",$W99&lt;&gt;"NAO ACEITO"),"",IF(COUNTIFS($D$2:$D99,$D99,$W$2:$W99,"NAO ACEITO")=1,1,0))</f>
        <v/>
      </c>
    </row>
    <row r="100" spans="1:24" x14ac:dyDescent="0.3">
      <c r="A100" t="s">
        <v>402</v>
      </c>
      <c r="B100" t="s">
        <v>497</v>
      </c>
      <c r="C100" s="126">
        <v>2025</v>
      </c>
      <c r="D100" t="s">
        <v>486</v>
      </c>
      <c r="E100" t="s">
        <v>502</v>
      </c>
      <c r="F100" s="137">
        <v>489</v>
      </c>
      <c r="G100" s="138">
        <v>478.4</v>
      </c>
      <c r="H100" s="138">
        <v>14.3</v>
      </c>
      <c r="I100" s="139">
        <v>0.7</v>
      </c>
      <c r="J100" s="137">
        <v>406</v>
      </c>
      <c r="K100" s="137">
        <v>551</v>
      </c>
      <c r="L100" t="s">
        <v>499</v>
      </c>
      <c r="M100" s="126">
        <v>243</v>
      </c>
      <c r="N100" t="s">
        <v>123</v>
      </c>
      <c r="O100" s="137">
        <f t="shared" si="2"/>
        <v>2.2157190635451554</v>
      </c>
      <c r="P100" s="137">
        <f t="shared" si="3"/>
        <v>2.2157190635451554</v>
      </c>
      <c r="Q100" s="126">
        <v>8</v>
      </c>
      <c r="R100" t="s">
        <v>521</v>
      </c>
      <c r="S100" t="str">
        <f>IF($W100&lt;&gt;"NAO ACEITO","",COUNTIFS($W$2:$W100,"NAO ACEITO"))</f>
        <v/>
      </c>
      <c r="T100" t="str">
        <f>IF($B100="","",IF(COUNTIF($B$2:$B100,$B100)=1,MAX($T$1:$T99)+1,""))</f>
        <v/>
      </c>
      <c r="U100" t="str">
        <f>IF($D100="","",IF(COUNTIF($D$2:$D100,$D100)=1,MAX($U$1:$U99)+1,""))</f>
        <v/>
      </c>
      <c r="V100">
        <f>IF($D100="","",IF(COUNTIFS($B$2:$B100,$B100,$D$2:$D100,$D100)=1,1,0))</f>
        <v>0</v>
      </c>
      <c r="W100" t="str">
        <f>IF($D100="","",mEQA.PadronizarStatus($L100))</f>
        <v>ACEITO</v>
      </c>
      <c r="X100" t="str">
        <f>IF(OR($D100="",$W100&lt;&gt;"NAO ACEITO"),"",IF(COUNTIFS($D$2:$D100,$D100,$W$2:$W100,"NAO ACEITO")=1,1,0))</f>
        <v/>
      </c>
    </row>
    <row r="101" spans="1:24" x14ac:dyDescent="0.3">
      <c r="A101" t="s">
        <v>402</v>
      </c>
      <c r="B101" t="s">
        <v>497</v>
      </c>
      <c r="C101" s="126">
        <v>2025</v>
      </c>
      <c r="D101" t="s">
        <v>486</v>
      </c>
      <c r="E101" t="s">
        <v>503</v>
      </c>
      <c r="F101" s="137">
        <v>249</v>
      </c>
      <c r="G101" s="138">
        <v>251.1</v>
      </c>
      <c r="H101" s="138">
        <v>8.6</v>
      </c>
      <c r="I101" s="139">
        <v>-0.2</v>
      </c>
      <c r="J101" s="137">
        <v>213</v>
      </c>
      <c r="K101" s="137">
        <v>289</v>
      </c>
      <c r="L101" t="s">
        <v>499</v>
      </c>
      <c r="M101" s="126">
        <v>245</v>
      </c>
      <c r="N101" t="s">
        <v>123</v>
      </c>
      <c r="O101" s="137">
        <f t="shared" si="2"/>
        <v>-0.83632019115889855</v>
      </c>
      <c r="P101" s="137">
        <f t="shared" si="3"/>
        <v>0.83632019115889855</v>
      </c>
      <c r="Q101" s="126">
        <v>8</v>
      </c>
      <c r="R101" t="s">
        <v>521</v>
      </c>
      <c r="S101" t="str">
        <f>IF($W101&lt;&gt;"NAO ACEITO","",COUNTIFS($W$2:$W101,"NAO ACEITO"))</f>
        <v/>
      </c>
      <c r="T101" t="str">
        <f>IF($B101="","",IF(COUNTIF($B$2:$B101,$B101)=1,MAX($T$1:$T100)+1,""))</f>
        <v/>
      </c>
      <c r="U101" t="str">
        <f>IF($D101="","",IF(COUNTIF($D$2:$D101,$D101)=1,MAX($U$1:$U100)+1,""))</f>
        <v/>
      </c>
      <c r="V101">
        <f>IF($D101="","",IF(COUNTIFS($B$2:$B101,$B101,$D$2:$D101,$D101)=1,1,0))</f>
        <v>0</v>
      </c>
      <c r="W101" t="str">
        <f>IF($D101="","",mEQA.PadronizarStatus($L101))</f>
        <v>ACEITO</v>
      </c>
      <c r="X101" t="str">
        <f>IF(OR($D101="",$W101&lt;&gt;"NAO ACEITO"),"",IF(COUNTIFS($D$2:$D101,$D101,$W$2:$W101,"NAO ACEITO")=1,1,0))</f>
        <v/>
      </c>
    </row>
    <row r="102" spans="1:24" x14ac:dyDescent="0.3">
      <c r="A102" t="s">
        <v>402</v>
      </c>
      <c r="B102" t="s">
        <v>497</v>
      </c>
      <c r="C102" s="126">
        <v>2025</v>
      </c>
      <c r="D102" t="s">
        <v>350</v>
      </c>
      <c r="E102" t="s">
        <v>498</v>
      </c>
      <c r="F102" s="137">
        <v>106</v>
      </c>
      <c r="G102" s="138">
        <v>117.9</v>
      </c>
      <c r="H102" s="138">
        <v>5.0999999999999996</v>
      </c>
      <c r="I102" s="139">
        <v>-2.2999999999999998</v>
      </c>
      <c r="J102" s="137">
        <v>82</v>
      </c>
      <c r="K102" s="137">
        <v>154</v>
      </c>
      <c r="L102" t="s">
        <v>499</v>
      </c>
      <c r="M102" s="126">
        <v>353</v>
      </c>
      <c r="N102" t="s">
        <v>123</v>
      </c>
      <c r="O102" s="137">
        <f t="shared" si="2"/>
        <v>-10.093299406276509</v>
      </c>
      <c r="P102" s="137">
        <f t="shared" si="3"/>
        <v>10.093299406276509</v>
      </c>
      <c r="Q102" s="126">
        <v>10</v>
      </c>
      <c r="R102" t="s">
        <v>521</v>
      </c>
      <c r="S102" t="str">
        <f>IF($W102&lt;&gt;"NAO ACEITO","",COUNTIFS($W$2:$W102,"NAO ACEITO"))</f>
        <v/>
      </c>
      <c r="T102" t="str">
        <f>IF($B102="","",IF(COUNTIF($B$2:$B102,$B102)=1,MAX($T$1:$T101)+1,""))</f>
        <v/>
      </c>
      <c r="U102">
        <f>IF($D102="","",IF(COUNTIF($D$2:$D102,$D102)=1,MAX($U$1:$U101)+1,""))</f>
        <v>21</v>
      </c>
      <c r="V102">
        <f>IF($D102="","",IF(COUNTIFS($B$2:$B102,$B102,$D$2:$D102,$D102)=1,1,0))</f>
        <v>1</v>
      </c>
      <c r="W102" t="str">
        <f>IF($D102="","",mEQA.PadronizarStatus($L102))</f>
        <v>ACEITO</v>
      </c>
      <c r="X102" t="str">
        <f>IF(OR($D102="",$W102&lt;&gt;"NAO ACEITO"),"",IF(COUNTIFS($D$2:$D102,$D102,$W$2:$W102,"NAO ACEITO")=1,1,0))</f>
        <v/>
      </c>
    </row>
    <row r="103" spans="1:24" x14ac:dyDescent="0.3">
      <c r="A103" t="s">
        <v>402</v>
      </c>
      <c r="B103" t="s">
        <v>497</v>
      </c>
      <c r="C103" s="126">
        <v>2025</v>
      </c>
      <c r="D103" t="s">
        <v>350</v>
      </c>
      <c r="E103" t="s">
        <v>500</v>
      </c>
      <c r="F103" s="137">
        <v>60</v>
      </c>
      <c r="G103" s="138">
        <v>67.900000000000006</v>
      </c>
      <c r="H103" s="138">
        <v>3.1</v>
      </c>
      <c r="I103" s="139">
        <v>-2.6</v>
      </c>
      <c r="J103" s="137">
        <v>47</v>
      </c>
      <c r="K103" s="137">
        <v>89</v>
      </c>
      <c r="L103" t="s">
        <v>499</v>
      </c>
      <c r="M103" s="126">
        <v>351</v>
      </c>
      <c r="N103" t="s">
        <v>123</v>
      </c>
      <c r="O103" s="137">
        <f t="shared" si="2"/>
        <v>-11.634756995581744</v>
      </c>
      <c r="P103" s="137">
        <f t="shared" si="3"/>
        <v>11.634756995581744</v>
      </c>
      <c r="Q103" s="126">
        <v>10</v>
      </c>
      <c r="R103" t="s">
        <v>521</v>
      </c>
      <c r="S103" t="str">
        <f>IF($W103&lt;&gt;"NAO ACEITO","",COUNTIFS($W$2:$W103,"NAO ACEITO"))</f>
        <v/>
      </c>
      <c r="T103" t="str">
        <f>IF($B103="","",IF(COUNTIF($B$2:$B103,$B103)=1,MAX($T$1:$T102)+1,""))</f>
        <v/>
      </c>
      <c r="U103" t="str">
        <f>IF($D103="","",IF(COUNTIF($D$2:$D103,$D103)=1,MAX($U$1:$U102)+1,""))</f>
        <v/>
      </c>
      <c r="V103">
        <f>IF($D103="","",IF(COUNTIFS($B$2:$B103,$B103,$D$2:$D103,$D103)=1,1,0))</f>
        <v>0</v>
      </c>
      <c r="W103" t="str">
        <f>IF($D103="","",mEQA.PadronizarStatus($L103))</f>
        <v>ACEITO</v>
      </c>
      <c r="X103" t="str">
        <f>IF(OR($D103="",$W103&lt;&gt;"NAO ACEITO"),"",IF(COUNTIFS($D$2:$D103,$D103,$W$2:$W103,"NAO ACEITO")=1,1,0))</f>
        <v/>
      </c>
    </row>
    <row r="104" spans="1:24" x14ac:dyDescent="0.3">
      <c r="A104" t="s">
        <v>402</v>
      </c>
      <c r="B104" t="s">
        <v>497</v>
      </c>
      <c r="C104" s="126">
        <v>2025</v>
      </c>
      <c r="D104" t="s">
        <v>350</v>
      </c>
      <c r="E104" t="s">
        <v>501</v>
      </c>
      <c r="F104" s="137">
        <v>9</v>
      </c>
      <c r="G104" s="138">
        <v>10.6</v>
      </c>
      <c r="H104" s="138">
        <v>0.8</v>
      </c>
      <c r="I104" s="139">
        <v>-2.1</v>
      </c>
      <c r="J104" s="137">
        <v>7</v>
      </c>
      <c r="K104" s="137">
        <v>14</v>
      </c>
      <c r="L104" t="s">
        <v>499</v>
      </c>
      <c r="M104" s="126">
        <v>349</v>
      </c>
      <c r="N104" t="s">
        <v>123</v>
      </c>
      <c r="O104" s="137">
        <f t="shared" si="2"/>
        <v>-15.094339622641506</v>
      </c>
      <c r="P104" s="137">
        <f t="shared" si="3"/>
        <v>15.094339622641506</v>
      </c>
      <c r="Q104" s="126">
        <v>10</v>
      </c>
      <c r="R104" t="s">
        <v>521</v>
      </c>
      <c r="S104" t="str">
        <f>IF($W104&lt;&gt;"NAO ACEITO","",COUNTIFS($W$2:$W104,"NAO ACEITO"))</f>
        <v/>
      </c>
      <c r="T104" t="str">
        <f>IF($B104="","",IF(COUNTIF($B$2:$B104,$B104)=1,MAX($T$1:$T103)+1,""))</f>
        <v/>
      </c>
      <c r="U104" t="str">
        <f>IF($D104="","",IF(COUNTIF($D$2:$D104,$D104)=1,MAX($U$1:$U103)+1,""))</f>
        <v/>
      </c>
      <c r="V104">
        <f>IF($D104="","",IF(COUNTIFS($B$2:$B104,$B104,$D$2:$D104,$D104)=1,1,0))</f>
        <v>0</v>
      </c>
      <c r="W104" t="str">
        <f>IF($D104="","",mEQA.PadronizarStatus($L104))</f>
        <v>ACEITO</v>
      </c>
      <c r="X104" t="str">
        <f>IF(OR($D104="",$W104&lt;&gt;"NAO ACEITO"),"",IF(COUNTIFS($D$2:$D104,$D104,$W$2:$W104,"NAO ACEITO")=1,1,0))</f>
        <v/>
      </c>
    </row>
    <row r="105" spans="1:24" x14ac:dyDescent="0.3">
      <c r="A105" t="s">
        <v>402</v>
      </c>
      <c r="B105" t="s">
        <v>497</v>
      </c>
      <c r="C105" s="126">
        <v>2025</v>
      </c>
      <c r="D105" t="s">
        <v>350</v>
      </c>
      <c r="E105" t="s">
        <v>502</v>
      </c>
      <c r="F105" s="137">
        <v>27</v>
      </c>
      <c r="G105" s="138">
        <v>30.9</v>
      </c>
      <c r="H105" s="138">
        <v>1.5</v>
      </c>
      <c r="I105" s="139">
        <v>-2.7</v>
      </c>
      <c r="J105" s="137">
        <v>21</v>
      </c>
      <c r="K105" s="137">
        <v>41</v>
      </c>
      <c r="L105" t="s">
        <v>499</v>
      </c>
      <c r="M105" s="126">
        <v>351</v>
      </c>
      <c r="N105" t="s">
        <v>123</v>
      </c>
      <c r="O105" s="137">
        <f t="shared" si="2"/>
        <v>-12.621359223300969</v>
      </c>
      <c r="P105" s="137">
        <f t="shared" si="3"/>
        <v>12.621359223300969</v>
      </c>
      <c r="Q105" s="126">
        <v>10</v>
      </c>
      <c r="R105" t="s">
        <v>521</v>
      </c>
      <c r="S105" t="str">
        <f>IF($W105&lt;&gt;"NAO ACEITO","",COUNTIFS($W$2:$W105,"NAO ACEITO"))</f>
        <v/>
      </c>
      <c r="T105" t="str">
        <f>IF($B105="","",IF(COUNTIF($B$2:$B105,$B105)=1,MAX($T$1:$T104)+1,""))</f>
        <v/>
      </c>
      <c r="U105" t="str">
        <f>IF($D105="","",IF(COUNTIF($D$2:$D105,$D105)=1,MAX($U$1:$U104)+1,""))</f>
        <v/>
      </c>
      <c r="V105">
        <f>IF($D105="","",IF(COUNTIFS($B$2:$B105,$B105,$D$2:$D105,$D105)=1,1,0))</f>
        <v>0</v>
      </c>
      <c r="W105" t="str">
        <f>IF($D105="","",mEQA.PadronizarStatus($L105))</f>
        <v>ACEITO</v>
      </c>
      <c r="X105" t="str">
        <f>IF(OR($D105="",$W105&lt;&gt;"NAO ACEITO"),"",IF(COUNTIFS($D$2:$D105,$D105,$W$2:$W105,"NAO ACEITO")=1,1,0))</f>
        <v/>
      </c>
    </row>
    <row r="106" spans="1:24" x14ac:dyDescent="0.3">
      <c r="A106" t="s">
        <v>402</v>
      </c>
      <c r="B106" t="s">
        <v>497</v>
      </c>
      <c r="C106" s="126">
        <v>2025</v>
      </c>
      <c r="D106" t="s">
        <v>350</v>
      </c>
      <c r="E106" t="s">
        <v>503</v>
      </c>
      <c r="F106" s="137">
        <v>189</v>
      </c>
      <c r="G106" s="138">
        <v>209.9</v>
      </c>
      <c r="H106" s="138">
        <v>9.1</v>
      </c>
      <c r="I106" s="139">
        <v>-2.2999999999999998</v>
      </c>
      <c r="J106" s="137">
        <v>146</v>
      </c>
      <c r="K106" s="137">
        <v>273</v>
      </c>
      <c r="L106" t="s">
        <v>499</v>
      </c>
      <c r="M106" s="126">
        <v>351</v>
      </c>
      <c r="N106" t="s">
        <v>123</v>
      </c>
      <c r="O106" s="137">
        <f t="shared" si="2"/>
        <v>-9.957122439256791</v>
      </c>
      <c r="P106" s="137">
        <f t="shared" si="3"/>
        <v>9.957122439256791</v>
      </c>
      <c r="Q106" s="126">
        <v>10</v>
      </c>
      <c r="R106" t="s">
        <v>521</v>
      </c>
      <c r="S106" t="str">
        <f>IF($W106&lt;&gt;"NAO ACEITO","",COUNTIFS($W$2:$W106,"NAO ACEITO"))</f>
        <v/>
      </c>
      <c r="T106" t="str">
        <f>IF($B106="","",IF(COUNTIF($B$2:$B106,$B106)=1,MAX($T$1:$T105)+1,""))</f>
        <v/>
      </c>
      <c r="U106" t="str">
        <f>IF($D106="","",IF(COUNTIF($D$2:$D106,$D106)=1,MAX($U$1:$U105)+1,""))</f>
        <v/>
      </c>
      <c r="V106">
        <f>IF($D106="","",IF(COUNTIFS($B$2:$B106,$B106,$D$2:$D106,$D106)=1,1,0))</f>
        <v>0</v>
      </c>
      <c r="W106" t="str">
        <f>IF($D106="","",mEQA.PadronizarStatus($L106))</f>
        <v>ACEITO</v>
      </c>
      <c r="X106" t="str">
        <f>IF(OR($D106="",$W106&lt;&gt;"NAO ACEITO"),"",IF(COUNTIFS($D$2:$D106,$D106,$W$2:$W106,"NAO ACEITO")=1,1,0))</f>
        <v/>
      </c>
    </row>
    <row r="107" spans="1:24" x14ac:dyDescent="0.3">
      <c r="A107" t="s">
        <v>402</v>
      </c>
      <c r="B107" t="s">
        <v>497</v>
      </c>
      <c r="C107" s="126">
        <v>2025</v>
      </c>
      <c r="D107" t="s">
        <v>487</v>
      </c>
      <c r="E107" t="s">
        <v>498</v>
      </c>
      <c r="F107" s="137">
        <v>3.59</v>
      </c>
      <c r="G107" s="138">
        <v>3.3769999999999998</v>
      </c>
      <c r="H107" s="138">
        <v>9.5000000000000001E-2</v>
      </c>
      <c r="I107" s="139">
        <v>2.2999999999999998</v>
      </c>
      <c r="J107" s="137">
        <v>2.87</v>
      </c>
      <c r="K107" s="137">
        <v>3.89</v>
      </c>
      <c r="L107" t="s">
        <v>499</v>
      </c>
      <c r="M107" s="126">
        <v>408</v>
      </c>
      <c r="N107" t="s">
        <v>112</v>
      </c>
      <c r="O107" s="137">
        <f t="shared" si="2"/>
        <v>6.3073734083506094</v>
      </c>
      <c r="P107" s="137">
        <f t="shared" si="3"/>
        <v>6.3073734083506094</v>
      </c>
      <c r="Q107" s="126">
        <v>8</v>
      </c>
      <c r="R107" t="s">
        <v>521</v>
      </c>
      <c r="S107" t="str">
        <f>IF($W107&lt;&gt;"NAO ACEITO","",COUNTIFS($W$2:$W107,"NAO ACEITO"))</f>
        <v/>
      </c>
      <c r="T107" t="str">
        <f>IF($B107="","",IF(COUNTIF($B$2:$B107,$B107)=1,MAX($T$1:$T106)+1,""))</f>
        <v/>
      </c>
      <c r="U107">
        <f>IF($D107="","",IF(COUNTIF($D$2:$D107,$D107)=1,MAX($U$1:$U106)+1,""))</f>
        <v>22</v>
      </c>
      <c r="V107">
        <f>IF($D107="","",IF(COUNTIFS($B$2:$B107,$B107,$D$2:$D107,$D107)=1,1,0))</f>
        <v>1</v>
      </c>
      <c r="W107" t="str">
        <f>IF($D107="","",mEQA.PadronizarStatus($L107))</f>
        <v>ACEITO</v>
      </c>
      <c r="X107" t="str">
        <f>IF(OR($D107="",$W107&lt;&gt;"NAO ACEITO"),"",IF(COUNTIFS($D$2:$D107,$D107,$W$2:$W107,"NAO ACEITO")=1,1,0))</f>
        <v/>
      </c>
    </row>
    <row r="108" spans="1:24" x14ac:dyDescent="0.3">
      <c r="A108" t="s">
        <v>402</v>
      </c>
      <c r="B108" t="s">
        <v>497</v>
      </c>
      <c r="C108" s="126">
        <v>2025</v>
      </c>
      <c r="D108" t="s">
        <v>487</v>
      </c>
      <c r="E108" t="s">
        <v>500</v>
      </c>
      <c r="F108" s="137">
        <v>4.3099999999999996</v>
      </c>
      <c r="G108" s="138">
        <v>4.0659999999999998</v>
      </c>
      <c r="H108" s="138">
        <v>0.108</v>
      </c>
      <c r="I108" s="139">
        <v>2.2999999999999998</v>
      </c>
      <c r="J108" s="137">
        <v>3.45</v>
      </c>
      <c r="K108" s="137">
        <v>4.68</v>
      </c>
      <c r="L108" t="s">
        <v>499</v>
      </c>
      <c r="M108" s="126">
        <v>412</v>
      </c>
      <c r="N108" t="s">
        <v>112</v>
      </c>
      <c r="O108" s="137">
        <f t="shared" si="2"/>
        <v>6.0009837678307862</v>
      </c>
      <c r="P108" s="137">
        <f t="shared" si="3"/>
        <v>6.0009837678307862</v>
      </c>
      <c r="Q108" s="126">
        <v>8</v>
      </c>
      <c r="R108" t="s">
        <v>521</v>
      </c>
      <c r="S108" t="str">
        <f>IF($W108&lt;&gt;"NAO ACEITO","",COUNTIFS($W$2:$W108,"NAO ACEITO"))</f>
        <v/>
      </c>
      <c r="T108" t="str">
        <f>IF($B108="","",IF(COUNTIF($B$2:$B108,$B108)=1,MAX($T$1:$T107)+1,""))</f>
        <v/>
      </c>
      <c r="U108" t="str">
        <f>IF($D108="","",IF(COUNTIF($D$2:$D108,$D108)=1,MAX($U$1:$U107)+1,""))</f>
        <v/>
      </c>
      <c r="V108">
        <f>IF($D108="","",IF(COUNTIFS($B$2:$B108,$B108,$D$2:$D108,$D108)=1,1,0))</f>
        <v>0</v>
      </c>
      <c r="W108" t="str">
        <f>IF($D108="","",mEQA.PadronizarStatus($L108))</f>
        <v>ACEITO</v>
      </c>
      <c r="X108" t="str">
        <f>IF(OR($D108="",$W108&lt;&gt;"NAO ACEITO"),"",IF(COUNTIFS($D$2:$D108,$D108,$W$2:$W108,"NAO ACEITO")=1,1,0))</f>
        <v/>
      </c>
    </row>
    <row r="109" spans="1:24" x14ac:dyDescent="0.3">
      <c r="A109" t="s">
        <v>402</v>
      </c>
      <c r="B109" t="s">
        <v>497</v>
      </c>
      <c r="C109" s="126">
        <v>2025</v>
      </c>
      <c r="D109" t="s">
        <v>487</v>
      </c>
      <c r="E109" t="s">
        <v>501</v>
      </c>
      <c r="F109" s="137">
        <v>6.03</v>
      </c>
      <c r="G109" s="138">
        <v>5.8650000000000002</v>
      </c>
      <c r="H109" s="138">
        <v>0.13700000000000001</v>
      </c>
      <c r="I109" s="139">
        <v>1.2</v>
      </c>
      <c r="J109" s="137">
        <v>4.9800000000000004</v>
      </c>
      <c r="K109" s="137">
        <v>6.75</v>
      </c>
      <c r="L109" t="s">
        <v>499</v>
      </c>
      <c r="M109" s="126">
        <v>406</v>
      </c>
      <c r="N109" t="s">
        <v>112</v>
      </c>
      <c r="O109" s="137">
        <f t="shared" si="2"/>
        <v>2.8132992327365733</v>
      </c>
      <c r="P109" s="137">
        <f t="shared" si="3"/>
        <v>2.8132992327365733</v>
      </c>
      <c r="Q109" s="126">
        <v>8</v>
      </c>
      <c r="R109" t="s">
        <v>521</v>
      </c>
      <c r="S109" t="str">
        <f>IF($W109&lt;&gt;"NAO ACEITO","",COUNTIFS($W$2:$W109,"NAO ACEITO"))</f>
        <v/>
      </c>
      <c r="T109" t="str">
        <f>IF($B109="","",IF(COUNTIF($B$2:$B109,$B109)=1,MAX($T$1:$T108)+1,""))</f>
        <v/>
      </c>
      <c r="U109" t="str">
        <f>IF($D109="","",IF(COUNTIF($D$2:$D109,$D109)=1,MAX($U$1:$U108)+1,""))</f>
        <v/>
      </c>
      <c r="V109">
        <f>IF($D109="","",IF(COUNTIFS($B$2:$B109,$B109,$D$2:$D109,$D109)=1,1,0))</f>
        <v>0</v>
      </c>
      <c r="W109" t="str">
        <f>IF($D109="","",mEQA.PadronizarStatus($L109))</f>
        <v>ACEITO</v>
      </c>
      <c r="X109" t="str">
        <f>IF(OR($D109="",$W109&lt;&gt;"NAO ACEITO"),"",IF(COUNTIFS($D$2:$D109,$D109,$W$2:$W109,"NAO ACEITO")=1,1,0))</f>
        <v/>
      </c>
    </row>
    <row r="110" spans="1:24" x14ac:dyDescent="0.3">
      <c r="A110" t="s">
        <v>402</v>
      </c>
      <c r="B110" t="s">
        <v>497</v>
      </c>
      <c r="C110" s="126">
        <v>2025</v>
      </c>
      <c r="D110" t="s">
        <v>487</v>
      </c>
      <c r="E110" t="s">
        <v>502</v>
      </c>
      <c r="F110" s="137">
        <v>1.45</v>
      </c>
      <c r="G110" s="138">
        <v>1.284</v>
      </c>
      <c r="H110" s="138">
        <v>7.0000000000000007E-2</v>
      </c>
      <c r="I110" s="139">
        <v>2.4</v>
      </c>
      <c r="J110" s="137">
        <v>1.0900000000000001</v>
      </c>
      <c r="K110" s="137">
        <v>1.48</v>
      </c>
      <c r="L110" t="s">
        <v>499</v>
      </c>
      <c r="M110" s="126">
        <v>410</v>
      </c>
      <c r="N110" t="s">
        <v>112</v>
      </c>
      <c r="O110" s="137">
        <f t="shared" si="2"/>
        <v>12.928348909657315</v>
      </c>
      <c r="P110" s="137">
        <f t="shared" si="3"/>
        <v>12.928348909657315</v>
      </c>
      <c r="Q110" s="126">
        <v>8</v>
      </c>
      <c r="R110" t="s">
        <v>521</v>
      </c>
      <c r="S110" t="str">
        <f>IF($W110&lt;&gt;"NAO ACEITO","",COUNTIFS($W$2:$W110,"NAO ACEITO"))</f>
        <v/>
      </c>
      <c r="T110" t="str">
        <f>IF($B110="","",IF(COUNTIF($B$2:$B110,$B110)=1,MAX($T$1:$T109)+1,""))</f>
        <v/>
      </c>
      <c r="U110" t="str">
        <f>IF($D110="","",IF(COUNTIF($D$2:$D110,$D110)=1,MAX($U$1:$U109)+1,""))</f>
        <v/>
      </c>
      <c r="V110">
        <f>IF($D110="","",IF(COUNTIFS($B$2:$B110,$B110,$D$2:$D110,$D110)=1,1,0))</f>
        <v>0</v>
      </c>
      <c r="W110" t="str">
        <f>IF($D110="","",mEQA.PadronizarStatus($L110))</f>
        <v>ACEITO</v>
      </c>
      <c r="X110" t="str">
        <f>IF(OR($D110="",$W110&lt;&gt;"NAO ACEITO"),"",IF(COUNTIFS($D$2:$D110,$D110,$W$2:$W110,"NAO ACEITO")=1,1,0))</f>
        <v/>
      </c>
    </row>
    <row r="111" spans="1:24" x14ac:dyDescent="0.3">
      <c r="A111" t="s">
        <v>402</v>
      </c>
      <c r="B111" t="s">
        <v>497</v>
      </c>
      <c r="C111" s="126">
        <v>2025</v>
      </c>
      <c r="D111" t="s">
        <v>487</v>
      </c>
      <c r="E111" t="s">
        <v>503</v>
      </c>
      <c r="F111" s="137">
        <v>3.29</v>
      </c>
      <c r="G111" s="138">
        <v>3.1960000000000002</v>
      </c>
      <c r="H111" s="138">
        <v>9.0999999999999998E-2</v>
      </c>
      <c r="I111" s="139">
        <v>1</v>
      </c>
      <c r="J111" s="137">
        <v>2.71</v>
      </c>
      <c r="K111" s="137">
        <v>3.68</v>
      </c>
      <c r="L111" t="s">
        <v>499</v>
      </c>
      <c r="M111" s="126">
        <v>408</v>
      </c>
      <c r="N111" t="s">
        <v>112</v>
      </c>
      <c r="O111" s="137">
        <f t="shared" si="2"/>
        <v>2.9411764705882306</v>
      </c>
      <c r="P111" s="137">
        <f t="shared" si="3"/>
        <v>2.9411764705882306</v>
      </c>
      <c r="Q111" s="126">
        <v>8</v>
      </c>
      <c r="R111" t="s">
        <v>521</v>
      </c>
      <c r="S111" t="str">
        <f>IF($W111&lt;&gt;"NAO ACEITO","",COUNTIFS($W$2:$W111,"NAO ACEITO"))</f>
        <v/>
      </c>
      <c r="T111" t="str">
        <f>IF($B111="","",IF(COUNTIF($B$2:$B111,$B111)=1,MAX($T$1:$T110)+1,""))</f>
        <v/>
      </c>
      <c r="U111" t="str">
        <f>IF($D111="","",IF(COUNTIF($D$2:$D111,$D111)=1,MAX($U$1:$U110)+1,""))</f>
        <v/>
      </c>
      <c r="V111">
        <f>IF($D111="","",IF(COUNTIFS($B$2:$B111,$B111,$D$2:$D111,$D111)=1,1,0))</f>
        <v>0</v>
      </c>
      <c r="W111" t="str">
        <f>IF($D111="","",mEQA.PadronizarStatus($L111))</f>
        <v>ACEITO</v>
      </c>
      <c r="X111" t="str">
        <f>IF(OR($D111="",$W111&lt;&gt;"NAO ACEITO"),"",IF(COUNTIFS($D$2:$D111,$D111,$W$2:$W111,"NAO ACEITO")=1,1,0))</f>
        <v/>
      </c>
    </row>
    <row r="112" spans="1:24" x14ac:dyDescent="0.3">
      <c r="A112" t="s">
        <v>402</v>
      </c>
      <c r="B112" t="s">
        <v>497</v>
      </c>
      <c r="C112" s="126">
        <v>2025</v>
      </c>
      <c r="D112" t="s">
        <v>488</v>
      </c>
      <c r="E112" t="s">
        <v>498</v>
      </c>
      <c r="F112" s="137">
        <v>4.2300000000000004</v>
      </c>
      <c r="G112" s="138">
        <v>4.1219999999999999</v>
      </c>
      <c r="H112" s="138">
        <v>9.5000000000000001E-2</v>
      </c>
      <c r="I112" s="139">
        <v>1.1000000000000001</v>
      </c>
      <c r="J112" s="137">
        <v>3.7</v>
      </c>
      <c r="K112" s="137">
        <v>4.54</v>
      </c>
      <c r="L112" t="s">
        <v>499</v>
      </c>
      <c r="M112" s="126">
        <v>39</v>
      </c>
      <c r="N112" t="s">
        <v>112</v>
      </c>
      <c r="O112" s="137">
        <f t="shared" si="2"/>
        <v>2.6200873362445547</v>
      </c>
      <c r="P112" s="137">
        <f t="shared" si="3"/>
        <v>2.6200873362445547</v>
      </c>
      <c r="Q112" s="126">
        <v>9</v>
      </c>
      <c r="R112" t="s">
        <v>521</v>
      </c>
      <c r="S112" t="str">
        <f>IF($W112&lt;&gt;"NAO ACEITO","",COUNTIFS($W$2:$W112,"NAO ACEITO"))</f>
        <v/>
      </c>
      <c r="T112" t="str">
        <f>IF($B112="","",IF(COUNTIF($B$2:$B112,$B112)=1,MAX($T$1:$T111)+1,""))</f>
        <v/>
      </c>
      <c r="U112">
        <f>IF($D112="","",IF(COUNTIF($D$2:$D112,$D112)=1,MAX($U$1:$U111)+1,""))</f>
        <v>23</v>
      </c>
      <c r="V112">
        <f>IF($D112="","",IF(COUNTIFS($B$2:$B112,$B112,$D$2:$D112,$D112)=1,1,0))</f>
        <v>1</v>
      </c>
      <c r="W112" t="str">
        <f>IF($D112="","",mEQA.PadronizarStatus($L112))</f>
        <v>ACEITO</v>
      </c>
      <c r="X112" t="str">
        <f>IF(OR($D112="",$W112&lt;&gt;"NAO ACEITO"),"",IF(COUNTIFS($D$2:$D112,$D112,$W$2:$W112,"NAO ACEITO")=1,1,0))</f>
        <v/>
      </c>
    </row>
    <row r="113" spans="1:24" x14ac:dyDescent="0.3">
      <c r="A113" t="s">
        <v>402</v>
      </c>
      <c r="B113" t="s">
        <v>497</v>
      </c>
      <c r="C113" s="126">
        <v>2025</v>
      </c>
      <c r="D113" t="s">
        <v>488</v>
      </c>
      <c r="E113" t="s">
        <v>500</v>
      </c>
      <c r="F113" s="137">
        <v>4.96</v>
      </c>
      <c r="G113" s="138">
        <v>4.8419999999999996</v>
      </c>
      <c r="H113" s="138">
        <v>0.13600000000000001</v>
      </c>
      <c r="I113" s="139">
        <v>0.9</v>
      </c>
      <c r="J113" s="137">
        <v>4.3499999999999996</v>
      </c>
      <c r="K113" s="137">
        <v>5.33</v>
      </c>
      <c r="L113" t="s">
        <v>499</v>
      </c>
      <c r="M113" s="126">
        <v>40</v>
      </c>
      <c r="N113" t="s">
        <v>112</v>
      </c>
      <c r="O113" s="137">
        <f t="shared" si="2"/>
        <v>2.4370095002065333</v>
      </c>
      <c r="P113" s="137">
        <f t="shared" si="3"/>
        <v>2.4370095002065333</v>
      </c>
      <c r="Q113" s="126">
        <v>9</v>
      </c>
      <c r="R113" t="s">
        <v>521</v>
      </c>
      <c r="S113" t="str">
        <f>IF($W113&lt;&gt;"NAO ACEITO","",COUNTIFS($W$2:$W113,"NAO ACEITO"))</f>
        <v/>
      </c>
      <c r="T113" t="str">
        <f>IF($B113="","",IF(COUNTIF($B$2:$B113,$B113)=1,MAX($T$1:$T112)+1,""))</f>
        <v/>
      </c>
      <c r="U113" t="str">
        <f>IF($D113="","",IF(COUNTIF($D$2:$D113,$D113)=1,MAX($U$1:$U112)+1,""))</f>
        <v/>
      </c>
      <c r="V113">
        <f>IF($D113="","",IF(COUNTIFS($B$2:$B113,$B113,$D$2:$D113,$D113)=1,1,0))</f>
        <v>0</v>
      </c>
      <c r="W113" t="str">
        <f>IF($D113="","",mEQA.PadronizarStatus($L113))</f>
        <v>ACEITO</v>
      </c>
      <c r="X113" t="str">
        <f>IF(OR($D113="",$W113&lt;&gt;"NAO ACEITO"),"",IF(COUNTIFS($D$2:$D113,$D113,$W$2:$W113,"NAO ACEITO")=1,1,0))</f>
        <v/>
      </c>
    </row>
    <row r="114" spans="1:24" x14ac:dyDescent="0.3">
      <c r="A114" t="s">
        <v>402</v>
      </c>
      <c r="B114" t="s">
        <v>497</v>
      </c>
      <c r="C114" s="126">
        <v>2025</v>
      </c>
      <c r="D114" t="s">
        <v>488</v>
      </c>
      <c r="E114" t="s">
        <v>501</v>
      </c>
      <c r="F114" s="137">
        <v>6.8</v>
      </c>
      <c r="G114" s="138">
        <v>6.36</v>
      </c>
      <c r="H114" s="138">
        <v>0.157</v>
      </c>
      <c r="I114" s="139">
        <v>2.8</v>
      </c>
      <c r="J114" s="137">
        <v>5.72</v>
      </c>
      <c r="K114" s="137">
        <v>7</v>
      </c>
      <c r="L114" t="s">
        <v>499</v>
      </c>
      <c r="M114" s="126">
        <v>39</v>
      </c>
      <c r="N114" t="s">
        <v>112</v>
      </c>
      <c r="O114" s="137">
        <f t="shared" si="2"/>
        <v>6.9182389937106832</v>
      </c>
      <c r="P114" s="137">
        <f t="shared" si="3"/>
        <v>6.9182389937106832</v>
      </c>
      <c r="Q114" s="126">
        <v>9</v>
      </c>
      <c r="R114" t="s">
        <v>521</v>
      </c>
      <c r="S114" t="str">
        <f>IF($W114&lt;&gt;"NAO ACEITO","",COUNTIFS($W$2:$W114,"NAO ACEITO"))</f>
        <v/>
      </c>
      <c r="T114" t="str">
        <f>IF($B114="","",IF(COUNTIF($B$2:$B114,$B114)=1,MAX($T$1:$T113)+1,""))</f>
        <v/>
      </c>
      <c r="U114" t="str">
        <f>IF($D114="","",IF(COUNTIF($D$2:$D114,$D114)=1,MAX($U$1:$U113)+1,""))</f>
        <v/>
      </c>
      <c r="V114">
        <f>IF($D114="","",IF(COUNTIFS($B$2:$B114,$B114,$D$2:$D114,$D114)=1,1,0))</f>
        <v>0</v>
      </c>
      <c r="W114" t="str">
        <f>IF($D114="","",mEQA.PadronizarStatus($L114))</f>
        <v>ACEITO</v>
      </c>
      <c r="X114" t="str">
        <f>IF(OR($D114="",$W114&lt;&gt;"NAO ACEITO"),"",IF(COUNTIFS($D$2:$D114,$D114,$W$2:$W114,"NAO ACEITO")=1,1,0))</f>
        <v/>
      </c>
    </row>
    <row r="115" spans="1:24" x14ac:dyDescent="0.3">
      <c r="A115" t="s">
        <v>402</v>
      </c>
      <c r="B115" t="s">
        <v>497</v>
      </c>
      <c r="C115" s="126">
        <v>2025</v>
      </c>
      <c r="D115" t="s">
        <v>488</v>
      </c>
      <c r="E115" t="s">
        <v>502</v>
      </c>
      <c r="F115" s="137">
        <v>2.09</v>
      </c>
      <c r="G115" s="138">
        <v>2.0259999999999998</v>
      </c>
      <c r="H115" s="138">
        <v>9.6000000000000002E-2</v>
      </c>
      <c r="I115" s="139">
        <v>0.7</v>
      </c>
      <c r="J115" s="137">
        <v>1.72</v>
      </c>
      <c r="K115" s="137">
        <v>2.33</v>
      </c>
      <c r="L115" t="s">
        <v>499</v>
      </c>
      <c r="M115" s="126">
        <v>41</v>
      </c>
      <c r="N115" t="s">
        <v>112</v>
      </c>
      <c r="O115" s="137">
        <f t="shared" si="2"/>
        <v>3.1589338598223131</v>
      </c>
      <c r="P115" s="137">
        <f t="shared" si="3"/>
        <v>3.1589338598223131</v>
      </c>
      <c r="Q115" s="126">
        <v>9</v>
      </c>
      <c r="R115" t="s">
        <v>521</v>
      </c>
      <c r="S115" t="str">
        <f>IF($W115&lt;&gt;"NAO ACEITO","",COUNTIFS($W$2:$W115,"NAO ACEITO"))</f>
        <v/>
      </c>
      <c r="T115" t="str">
        <f>IF($B115="","",IF(COUNTIF($B$2:$B115,$B115)=1,MAX($T$1:$T114)+1,""))</f>
        <v/>
      </c>
      <c r="U115" t="str">
        <f>IF($D115="","",IF(COUNTIF($D$2:$D115,$D115)=1,MAX($U$1:$U114)+1,""))</f>
        <v/>
      </c>
      <c r="V115">
        <f>IF($D115="","",IF(COUNTIFS($B$2:$B115,$B115,$D$2:$D115,$D115)=1,1,0))</f>
        <v>0</v>
      </c>
      <c r="W115" t="str">
        <f>IF($D115="","",mEQA.PadronizarStatus($L115))</f>
        <v>ACEITO</v>
      </c>
      <c r="X115" t="str">
        <f>IF(OR($D115="",$W115&lt;&gt;"NAO ACEITO"),"",IF(COUNTIFS($D$2:$D115,$D115,$W$2:$W115,"NAO ACEITO")=1,1,0))</f>
        <v/>
      </c>
    </row>
    <row r="116" spans="1:24" x14ac:dyDescent="0.3">
      <c r="A116" t="s">
        <v>402</v>
      </c>
      <c r="B116" t="s">
        <v>497</v>
      </c>
      <c r="C116" s="126">
        <v>2025</v>
      </c>
      <c r="D116" t="s">
        <v>488</v>
      </c>
      <c r="E116" t="s">
        <v>503</v>
      </c>
      <c r="F116" s="137">
        <v>4.09</v>
      </c>
      <c r="G116" s="138">
        <v>3.9369999999999998</v>
      </c>
      <c r="H116" s="138">
        <v>9.4E-2</v>
      </c>
      <c r="I116" s="139">
        <v>1.6</v>
      </c>
      <c r="J116" s="137">
        <v>3.54</v>
      </c>
      <c r="K116" s="137">
        <v>4.34</v>
      </c>
      <c r="L116" t="s">
        <v>499</v>
      </c>
      <c r="M116" s="126">
        <v>39</v>
      </c>
      <c r="N116" t="s">
        <v>112</v>
      </c>
      <c r="O116" s="137">
        <f t="shared" si="2"/>
        <v>3.8862077724155459</v>
      </c>
      <c r="P116" s="137">
        <f t="shared" si="3"/>
        <v>3.8862077724155459</v>
      </c>
      <c r="Q116" s="126">
        <v>9</v>
      </c>
      <c r="R116" t="s">
        <v>521</v>
      </c>
      <c r="S116" t="str">
        <f>IF($W116&lt;&gt;"NAO ACEITO","",COUNTIFS($W$2:$W116,"NAO ACEITO"))</f>
        <v/>
      </c>
      <c r="T116" t="str">
        <f>IF($B116="","",IF(COUNTIF($B$2:$B116,$B116)=1,MAX($T$1:$T115)+1,""))</f>
        <v/>
      </c>
      <c r="U116" t="str">
        <f>IF($D116="","",IF(COUNTIF($D$2:$D116,$D116)=1,MAX($U$1:$U115)+1,""))</f>
        <v/>
      </c>
      <c r="V116">
        <f>IF($D116="","",IF(COUNTIFS($B$2:$B116,$B116,$D$2:$D116,$D116)=1,1,0))</f>
        <v>0</v>
      </c>
      <c r="W116" t="str">
        <f>IF($D116="","",mEQA.PadronizarStatus($L116))</f>
        <v>ACEITO</v>
      </c>
      <c r="X116" t="str">
        <f>IF(OR($D116="",$W116&lt;&gt;"NAO ACEITO"),"",IF(COUNTIFS($D$2:$D116,$D116,$W$2:$W116,"NAO ACEITO")=1,1,0))</f>
        <v/>
      </c>
    </row>
    <row r="117" spans="1:24" x14ac:dyDescent="0.3">
      <c r="A117" t="s">
        <v>402</v>
      </c>
      <c r="B117" t="s">
        <v>497</v>
      </c>
      <c r="C117" s="126">
        <v>2025</v>
      </c>
      <c r="D117" t="s">
        <v>489</v>
      </c>
      <c r="E117" t="s">
        <v>498</v>
      </c>
      <c r="F117" s="137">
        <v>4.5999999999999996</v>
      </c>
      <c r="G117" s="138">
        <v>4.68</v>
      </c>
      <c r="H117" s="138">
        <v>7.0000000000000007E-2</v>
      </c>
      <c r="I117" s="139">
        <v>-1.1000000000000001</v>
      </c>
      <c r="J117" s="137">
        <v>4.3</v>
      </c>
      <c r="K117" s="137">
        <v>5</v>
      </c>
      <c r="L117" t="s">
        <v>499</v>
      </c>
      <c r="M117" s="126">
        <v>913</v>
      </c>
      <c r="N117" t="s">
        <v>134</v>
      </c>
      <c r="O117" s="137">
        <f t="shared" si="2"/>
        <v>-1.7094017094017109</v>
      </c>
      <c r="P117" s="137">
        <f t="shared" si="3"/>
        <v>1.7094017094017109</v>
      </c>
      <c r="Q117" s="126">
        <v>5</v>
      </c>
      <c r="R117" t="s">
        <v>521</v>
      </c>
      <c r="S117" t="str">
        <f>IF($W117&lt;&gt;"NAO ACEITO","",COUNTIFS($W$2:$W117,"NAO ACEITO"))</f>
        <v/>
      </c>
      <c r="T117" t="str">
        <f>IF($B117="","",IF(COUNTIF($B$2:$B117,$B117)=1,MAX($T$1:$T116)+1,""))</f>
        <v/>
      </c>
      <c r="U117">
        <f>IF($D117="","",IF(COUNTIF($D$2:$D117,$D117)=1,MAX($U$1:$U116)+1,""))</f>
        <v>24</v>
      </c>
      <c r="V117">
        <f>IF($D117="","",IF(COUNTIFS($B$2:$B117,$B117,$D$2:$D117,$D117)=1,1,0))</f>
        <v>1</v>
      </c>
      <c r="W117" t="str">
        <f>IF($D117="","",mEQA.PadronizarStatus($L117))</f>
        <v>ACEITO</v>
      </c>
      <c r="X117" t="str">
        <f>IF(OR($D117="",$W117&lt;&gt;"NAO ACEITO"),"",IF(COUNTIFS($D$2:$D117,$D117,$W$2:$W117,"NAO ACEITO")=1,1,0))</f>
        <v/>
      </c>
    </row>
    <row r="118" spans="1:24" x14ac:dyDescent="0.3">
      <c r="A118" t="s">
        <v>402</v>
      </c>
      <c r="B118" t="s">
        <v>497</v>
      </c>
      <c r="C118" s="126">
        <v>2025</v>
      </c>
      <c r="D118" t="s">
        <v>489</v>
      </c>
      <c r="E118" t="s">
        <v>500</v>
      </c>
      <c r="F118" s="137">
        <v>5.0999999999999996</v>
      </c>
      <c r="G118" s="138">
        <v>5.0599999999999996</v>
      </c>
      <c r="H118" s="138">
        <v>7.0000000000000007E-2</v>
      </c>
      <c r="I118" s="139">
        <v>0.5</v>
      </c>
      <c r="J118" s="137">
        <v>4.7</v>
      </c>
      <c r="K118" s="137">
        <v>5.4</v>
      </c>
      <c r="L118" t="s">
        <v>499</v>
      </c>
      <c r="M118" s="126">
        <v>915</v>
      </c>
      <c r="N118" t="s">
        <v>134</v>
      </c>
      <c r="O118" s="137">
        <f t="shared" si="2"/>
        <v>0.79051383399209563</v>
      </c>
      <c r="P118" s="137">
        <f t="shared" si="3"/>
        <v>0.79051383399209563</v>
      </c>
      <c r="Q118" s="126">
        <v>5</v>
      </c>
      <c r="R118" t="s">
        <v>521</v>
      </c>
      <c r="S118" t="str">
        <f>IF($W118&lt;&gt;"NAO ACEITO","",COUNTIFS($W$2:$W118,"NAO ACEITO"))</f>
        <v/>
      </c>
      <c r="T118" t="str">
        <f>IF($B118="","",IF(COUNTIF($B$2:$B118,$B118)=1,MAX($T$1:$T117)+1,""))</f>
        <v/>
      </c>
      <c r="U118" t="str">
        <f>IF($D118="","",IF(COUNTIF($D$2:$D118,$D118)=1,MAX($U$1:$U117)+1,""))</f>
        <v/>
      </c>
      <c r="V118">
        <f>IF($D118="","",IF(COUNTIFS($B$2:$B118,$B118,$D$2:$D118,$D118)=1,1,0))</f>
        <v>0</v>
      </c>
      <c r="W118" t="str">
        <f>IF($D118="","",mEQA.PadronizarStatus($L118))</f>
        <v>ACEITO</v>
      </c>
      <c r="X118" t="str">
        <f>IF(OR($D118="",$W118&lt;&gt;"NAO ACEITO"),"",IF(COUNTIFS($D$2:$D118,$D118,$W$2:$W118,"NAO ACEITO")=1,1,0))</f>
        <v/>
      </c>
    </row>
    <row r="119" spans="1:24" x14ac:dyDescent="0.3">
      <c r="A119" t="s">
        <v>402</v>
      </c>
      <c r="B119" t="s">
        <v>497</v>
      </c>
      <c r="C119" s="126">
        <v>2025</v>
      </c>
      <c r="D119" t="s">
        <v>489</v>
      </c>
      <c r="E119" t="s">
        <v>501</v>
      </c>
      <c r="F119" s="137">
        <v>6.7</v>
      </c>
      <c r="G119" s="138">
        <v>6.44</v>
      </c>
      <c r="H119" s="138">
        <v>0.09</v>
      </c>
      <c r="I119" s="139">
        <v>2.8</v>
      </c>
      <c r="J119" s="137">
        <v>6.1</v>
      </c>
      <c r="K119" s="137">
        <v>6.8</v>
      </c>
      <c r="L119" t="s">
        <v>499</v>
      </c>
      <c r="M119" s="126">
        <v>904</v>
      </c>
      <c r="N119" t="s">
        <v>134</v>
      </c>
      <c r="O119" s="137">
        <f t="shared" si="2"/>
        <v>4.0372670807453384</v>
      </c>
      <c r="P119" s="137">
        <f t="shared" si="3"/>
        <v>4.0372670807453384</v>
      </c>
      <c r="Q119" s="126">
        <v>5</v>
      </c>
      <c r="R119" t="s">
        <v>521</v>
      </c>
      <c r="S119" t="str">
        <f>IF($W119&lt;&gt;"NAO ACEITO","",COUNTIFS($W$2:$W119,"NAO ACEITO"))</f>
        <v/>
      </c>
      <c r="T119" t="str">
        <f>IF($B119="","",IF(COUNTIF($B$2:$B119,$B119)=1,MAX($T$1:$T118)+1,""))</f>
        <v/>
      </c>
      <c r="U119" t="str">
        <f>IF($D119="","",IF(COUNTIF($D$2:$D119,$D119)=1,MAX($U$1:$U118)+1,""))</f>
        <v/>
      </c>
      <c r="V119">
        <f>IF($D119="","",IF(COUNTIFS($B$2:$B119,$B119,$D$2:$D119,$D119)=1,1,0))</f>
        <v>0</v>
      </c>
      <c r="W119" t="str">
        <f>IF($D119="","",mEQA.PadronizarStatus($L119))</f>
        <v>ACEITO</v>
      </c>
      <c r="X119" t="str">
        <f>IF(OR($D119="",$W119&lt;&gt;"NAO ACEITO"),"",IF(COUNTIFS($D$2:$D119,$D119,$W$2:$W119,"NAO ACEITO")=1,1,0))</f>
        <v/>
      </c>
    </row>
    <row r="120" spans="1:24" x14ac:dyDescent="0.3">
      <c r="A120" t="s">
        <v>402</v>
      </c>
      <c r="B120" t="s">
        <v>497</v>
      </c>
      <c r="C120" s="126">
        <v>2025</v>
      </c>
      <c r="D120" t="s">
        <v>489</v>
      </c>
      <c r="E120" t="s">
        <v>502</v>
      </c>
      <c r="F120" s="137">
        <v>2.2000000000000002</v>
      </c>
      <c r="G120" s="138">
        <v>2.2999999999999998</v>
      </c>
      <c r="H120" s="138">
        <v>0.04</v>
      </c>
      <c r="I120" s="139">
        <v>-2.2000000000000002</v>
      </c>
      <c r="J120" s="137">
        <v>1.9</v>
      </c>
      <c r="K120" s="137">
        <v>2.6</v>
      </c>
      <c r="L120" t="s">
        <v>499</v>
      </c>
      <c r="M120" s="126">
        <v>915</v>
      </c>
      <c r="N120" t="s">
        <v>134</v>
      </c>
      <c r="O120" s="137">
        <f t="shared" si="2"/>
        <v>-4.3478260869565064</v>
      </c>
      <c r="P120" s="137">
        <f t="shared" si="3"/>
        <v>4.3478260869565064</v>
      </c>
      <c r="Q120" s="126">
        <v>5</v>
      </c>
      <c r="R120" t="s">
        <v>521</v>
      </c>
      <c r="S120" t="str">
        <f>IF($W120&lt;&gt;"NAO ACEITO","",COUNTIFS($W$2:$W120,"NAO ACEITO"))</f>
        <v/>
      </c>
      <c r="T120" t="str">
        <f>IF($B120="","",IF(COUNTIF($B$2:$B120,$B120)=1,MAX($T$1:$T119)+1,""))</f>
        <v/>
      </c>
      <c r="U120" t="str">
        <f>IF($D120="","",IF(COUNTIF($D$2:$D120,$D120)=1,MAX($U$1:$U119)+1,""))</f>
        <v/>
      </c>
      <c r="V120">
        <f>IF($D120="","",IF(COUNTIFS($B$2:$B120,$B120,$D$2:$D120,$D120)=1,1,0))</f>
        <v>0</v>
      </c>
      <c r="W120" t="str">
        <f>IF($D120="","",mEQA.PadronizarStatus($L120))</f>
        <v>ACEITO</v>
      </c>
      <c r="X120" t="str">
        <f>IF(OR($D120="",$W120&lt;&gt;"NAO ACEITO"),"",IF(COUNTIFS($D$2:$D120,$D120,$W$2:$W120,"NAO ACEITO")=1,1,0))</f>
        <v/>
      </c>
    </row>
    <row r="121" spans="1:24" x14ac:dyDescent="0.3">
      <c r="A121" t="s">
        <v>402</v>
      </c>
      <c r="B121" t="s">
        <v>497</v>
      </c>
      <c r="C121" s="126">
        <v>2025</v>
      </c>
      <c r="D121" t="s">
        <v>489</v>
      </c>
      <c r="E121" t="s">
        <v>503</v>
      </c>
      <c r="F121" s="137">
        <v>4.8</v>
      </c>
      <c r="G121" s="138">
        <v>5.01</v>
      </c>
      <c r="H121" s="138">
        <v>0.08</v>
      </c>
      <c r="I121" s="139">
        <v>-2.6</v>
      </c>
      <c r="J121" s="137">
        <v>4.7</v>
      </c>
      <c r="K121" s="137">
        <v>5.4</v>
      </c>
      <c r="L121" t="s">
        <v>499</v>
      </c>
      <c r="M121" s="126">
        <v>906</v>
      </c>
      <c r="N121" t="s">
        <v>134</v>
      </c>
      <c r="O121" s="137">
        <f t="shared" si="2"/>
        <v>-4.1916167664670656</v>
      </c>
      <c r="P121" s="137">
        <f t="shared" si="3"/>
        <v>4.1916167664670656</v>
      </c>
      <c r="Q121" s="126">
        <v>5</v>
      </c>
      <c r="R121" t="s">
        <v>521</v>
      </c>
      <c r="S121" t="str">
        <f>IF($W121&lt;&gt;"NAO ACEITO","",COUNTIFS($W$2:$W121,"NAO ACEITO"))</f>
        <v/>
      </c>
      <c r="T121" t="str">
        <f>IF($B121="","",IF(COUNTIF($B$2:$B121,$B121)=1,MAX($T$1:$T120)+1,""))</f>
        <v/>
      </c>
      <c r="U121" t="str">
        <f>IF($D121="","",IF(COUNTIF($D$2:$D121,$D121)=1,MAX($U$1:$U120)+1,""))</f>
        <v/>
      </c>
      <c r="V121">
        <f>IF($D121="","",IF(COUNTIFS($B$2:$B121,$B121,$D$2:$D121,$D121)=1,1,0))</f>
        <v>0</v>
      </c>
      <c r="W121" t="str">
        <f>IF($D121="","",mEQA.PadronizarStatus($L121))</f>
        <v>ACEITO</v>
      </c>
      <c r="X121" t="str">
        <f>IF(OR($D121="",$W121&lt;&gt;"NAO ACEITO"),"",IF(COUNTIFS($D$2:$D121,$D121,$W$2:$W121,"NAO ACEITO")=1,1,0))</f>
        <v/>
      </c>
    </row>
    <row r="122" spans="1:24" x14ac:dyDescent="0.3">
      <c r="A122" t="s">
        <v>402</v>
      </c>
      <c r="B122" t="s">
        <v>497</v>
      </c>
      <c r="C122" s="126">
        <v>2025</v>
      </c>
      <c r="D122" t="s">
        <v>490</v>
      </c>
      <c r="E122" t="s">
        <v>498</v>
      </c>
      <c r="F122" s="137">
        <v>5.9</v>
      </c>
      <c r="G122" s="138">
        <v>5.75</v>
      </c>
      <c r="H122" s="138">
        <v>0.1</v>
      </c>
      <c r="I122" s="139">
        <v>1.5</v>
      </c>
      <c r="J122" s="137">
        <v>5.2</v>
      </c>
      <c r="K122" s="137">
        <v>6.3</v>
      </c>
      <c r="L122" t="s">
        <v>499</v>
      </c>
      <c r="M122" s="126">
        <v>446</v>
      </c>
      <c r="N122" t="s">
        <v>129</v>
      </c>
      <c r="O122" s="137">
        <f t="shared" si="2"/>
        <v>2.6086956521739193</v>
      </c>
      <c r="P122" s="137">
        <f t="shared" si="3"/>
        <v>2.6086956521739193</v>
      </c>
      <c r="Q122" s="126">
        <v>9</v>
      </c>
      <c r="R122" t="s">
        <v>521</v>
      </c>
      <c r="S122" t="str">
        <f>IF($W122&lt;&gt;"NAO ACEITO","",COUNTIFS($W$2:$W122,"NAO ACEITO"))</f>
        <v/>
      </c>
      <c r="T122" t="str">
        <f>IF($B122="","",IF(COUNTIF($B$2:$B122,$B122)=1,MAX($T$1:$T121)+1,""))</f>
        <v/>
      </c>
      <c r="U122">
        <f>IF($D122="","",IF(COUNTIF($D$2:$D122,$D122)=1,MAX($U$1:$U121)+1,""))</f>
        <v>25</v>
      </c>
      <c r="V122">
        <f>IF($D122="","",IF(COUNTIFS($B$2:$B122,$B122,$D$2:$D122,$D122)=1,1,0))</f>
        <v>1</v>
      </c>
      <c r="W122" t="str">
        <f>IF($D122="","",mEQA.PadronizarStatus($L122))</f>
        <v>ACEITO</v>
      </c>
      <c r="X122" t="str">
        <f>IF(OR($D122="",$W122&lt;&gt;"NAO ACEITO"),"",IF(COUNTIFS($D$2:$D122,$D122,$W$2:$W122,"NAO ACEITO")=1,1,0))</f>
        <v/>
      </c>
    </row>
    <row r="123" spans="1:24" x14ac:dyDescent="0.3">
      <c r="A123" t="s">
        <v>402</v>
      </c>
      <c r="B123" t="s">
        <v>497</v>
      </c>
      <c r="C123" s="126">
        <v>2025</v>
      </c>
      <c r="D123" t="s">
        <v>490</v>
      </c>
      <c r="E123" t="s">
        <v>500</v>
      </c>
      <c r="F123" s="137">
        <v>4.3</v>
      </c>
      <c r="G123" s="138">
        <v>4.1900000000000004</v>
      </c>
      <c r="H123" s="138">
        <v>0.09</v>
      </c>
      <c r="I123" s="139">
        <v>1.2</v>
      </c>
      <c r="J123" s="137">
        <v>3.8</v>
      </c>
      <c r="K123" s="137">
        <v>4.5999999999999996</v>
      </c>
      <c r="L123" t="s">
        <v>499</v>
      </c>
      <c r="M123" s="126">
        <v>449</v>
      </c>
      <c r="N123" t="s">
        <v>129</v>
      </c>
      <c r="O123" s="137">
        <f t="shared" si="2"/>
        <v>2.6252983293555947</v>
      </c>
      <c r="P123" s="137">
        <f t="shared" si="3"/>
        <v>2.6252983293555947</v>
      </c>
      <c r="Q123" s="126">
        <v>9</v>
      </c>
      <c r="R123" t="s">
        <v>521</v>
      </c>
      <c r="S123" t="str">
        <f>IF($W123&lt;&gt;"NAO ACEITO","",COUNTIFS($W$2:$W123,"NAO ACEITO"))</f>
        <v/>
      </c>
      <c r="T123" t="str">
        <f>IF($B123="","",IF(COUNTIF($B$2:$B123,$B123)=1,MAX($T$1:$T122)+1,""))</f>
        <v/>
      </c>
      <c r="U123" t="str">
        <f>IF($D123="","",IF(COUNTIF($D$2:$D123,$D123)=1,MAX($U$1:$U122)+1,""))</f>
        <v/>
      </c>
      <c r="V123">
        <f>IF($D123="","",IF(COUNTIFS($B$2:$B123,$B123,$D$2:$D123,$D123)=1,1,0))</f>
        <v>0</v>
      </c>
      <c r="W123" t="str">
        <f>IF($D123="","",mEQA.PadronizarStatus($L123))</f>
        <v>ACEITO</v>
      </c>
      <c r="X123" t="str">
        <f>IF(OR($D123="",$W123&lt;&gt;"NAO ACEITO"),"",IF(COUNTIFS($D$2:$D123,$D123,$W$2:$W123,"NAO ACEITO")=1,1,0))</f>
        <v/>
      </c>
    </row>
    <row r="124" spans="1:24" x14ac:dyDescent="0.3">
      <c r="A124" t="s">
        <v>402</v>
      </c>
      <c r="B124" t="s">
        <v>497</v>
      </c>
      <c r="C124" s="126">
        <v>2025</v>
      </c>
      <c r="D124" t="s">
        <v>490</v>
      </c>
      <c r="E124" t="s">
        <v>501</v>
      </c>
      <c r="F124" s="137">
        <v>1.9</v>
      </c>
      <c r="G124" s="138">
        <v>2.0299999999999998</v>
      </c>
      <c r="H124" s="138">
        <v>7.0000000000000007E-2</v>
      </c>
      <c r="I124" s="139">
        <v>-1.9</v>
      </c>
      <c r="J124" s="137">
        <v>1.8</v>
      </c>
      <c r="K124" s="137">
        <v>2.2000000000000002</v>
      </c>
      <c r="L124" t="s">
        <v>499</v>
      </c>
      <c r="M124" s="126">
        <v>397</v>
      </c>
      <c r="N124" t="s">
        <v>129</v>
      </c>
      <c r="O124" s="137">
        <f t="shared" si="2"/>
        <v>-6.4039408866995027</v>
      </c>
      <c r="P124" s="137">
        <f t="shared" si="3"/>
        <v>6.4039408866995027</v>
      </c>
      <c r="Q124" s="126">
        <v>9</v>
      </c>
      <c r="R124" t="s">
        <v>521</v>
      </c>
      <c r="S124" t="str">
        <f>IF($W124&lt;&gt;"NAO ACEITO","",COUNTIFS($W$2:$W124,"NAO ACEITO"))</f>
        <v/>
      </c>
      <c r="T124" t="str">
        <f>IF($B124="","",IF(COUNTIF($B$2:$B124,$B124)=1,MAX($T$1:$T123)+1,""))</f>
        <v/>
      </c>
      <c r="U124" t="str">
        <f>IF($D124="","",IF(COUNTIF($D$2:$D124,$D124)=1,MAX($U$1:$U123)+1,""))</f>
        <v/>
      </c>
      <c r="V124">
        <f>IF($D124="","",IF(COUNTIFS($B$2:$B124,$B124,$D$2:$D124,$D124)=1,1,0))</f>
        <v>0</v>
      </c>
      <c r="W124" t="str">
        <f>IF($D124="","",mEQA.PadronizarStatus($L124))</f>
        <v>ACEITO</v>
      </c>
      <c r="X124" t="str">
        <f>IF(OR($D124="",$W124&lt;&gt;"NAO ACEITO"),"",IF(COUNTIFS($D$2:$D124,$D124,$W$2:$W124,"NAO ACEITO")=1,1,0))</f>
        <v/>
      </c>
    </row>
    <row r="125" spans="1:24" x14ac:dyDescent="0.3">
      <c r="A125" t="s">
        <v>402</v>
      </c>
      <c r="B125" t="s">
        <v>497</v>
      </c>
      <c r="C125" s="126">
        <v>2025</v>
      </c>
      <c r="D125" t="s">
        <v>490</v>
      </c>
      <c r="E125" t="s">
        <v>502</v>
      </c>
      <c r="F125" s="137">
        <v>4.5</v>
      </c>
      <c r="G125" s="138">
        <v>4.32</v>
      </c>
      <c r="H125" s="138">
        <v>0.09</v>
      </c>
      <c r="I125" s="139">
        <v>2</v>
      </c>
      <c r="J125" s="137">
        <v>3.9</v>
      </c>
      <c r="K125" s="137">
        <v>4.7</v>
      </c>
      <c r="L125" t="s">
        <v>499</v>
      </c>
      <c r="M125" s="126">
        <v>445</v>
      </c>
      <c r="N125" t="s">
        <v>129</v>
      </c>
      <c r="O125" s="137">
        <f t="shared" si="2"/>
        <v>4.1666666666666599</v>
      </c>
      <c r="P125" s="137">
        <f t="shared" si="3"/>
        <v>4.1666666666666599</v>
      </c>
      <c r="Q125" s="126">
        <v>9</v>
      </c>
      <c r="R125" t="s">
        <v>521</v>
      </c>
      <c r="S125" t="str">
        <f>IF($W125&lt;&gt;"NAO ACEITO","",COUNTIFS($W$2:$W125,"NAO ACEITO"))</f>
        <v/>
      </c>
      <c r="T125" t="str">
        <f>IF($B125="","",IF(COUNTIF($B$2:$B125,$B125)=1,MAX($T$1:$T124)+1,""))</f>
        <v/>
      </c>
      <c r="U125" t="str">
        <f>IF($D125="","",IF(COUNTIF($D$2:$D125,$D125)=1,MAX($U$1:$U124)+1,""))</f>
        <v/>
      </c>
      <c r="V125">
        <f>IF($D125="","",IF(COUNTIFS($B$2:$B125,$B125,$D$2:$D125,$D125)=1,1,0))</f>
        <v>0</v>
      </c>
      <c r="W125" t="str">
        <f>IF($D125="","",mEQA.PadronizarStatus($L125))</f>
        <v>ACEITO</v>
      </c>
      <c r="X125" t="str">
        <f>IF(OR($D125="",$W125&lt;&gt;"NAO ACEITO"),"",IF(COUNTIFS($D$2:$D125,$D125,$W$2:$W125,"NAO ACEITO")=1,1,0))</f>
        <v/>
      </c>
    </row>
    <row r="126" spans="1:24" x14ac:dyDescent="0.3">
      <c r="A126" t="s">
        <v>402</v>
      </c>
      <c r="B126" t="s">
        <v>497</v>
      </c>
      <c r="C126" s="126">
        <v>2025</v>
      </c>
      <c r="D126" t="s">
        <v>490</v>
      </c>
      <c r="E126" t="s">
        <v>503</v>
      </c>
      <c r="F126" s="137">
        <v>9</v>
      </c>
      <c r="G126" s="138">
        <v>8.39</v>
      </c>
      <c r="H126" s="138">
        <v>0.14000000000000001</v>
      </c>
      <c r="I126" s="139">
        <v>4.4000000000000004</v>
      </c>
      <c r="J126" s="137">
        <v>7.7</v>
      </c>
      <c r="K126" s="137">
        <v>9.1</v>
      </c>
      <c r="L126" t="s">
        <v>499</v>
      </c>
      <c r="M126" s="126">
        <v>446</v>
      </c>
      <c r="N126" t="s">
        <v>129</v>
      </c>
      <c r="O126" s="137">
        <f t="shared" si="2"/>
        <v>7.2705601907032111</v>
      </c>
      <c r="P126" s="137">
        <f t="shared" si="3"/>
        <v>7.2705601907032111</v>
      </c>
      <c r="Q126" s="126">
        <v>9</v>
      </c>
      <c r="R126" t="s">
        <v>521</v>
      </c>
      <c r="S126" t="str">
        <f>IF($W126&lt;&gt;"NAO ACEITO","",COUNTIFS($W$2:$W126,"NAO ACEITO"))</f>
        <v/>
      </c>
      <c r="T126" t="str">
        <f>IF($B126="","",IF(COUNTIF($B$2:$B126,$B126)=1,MAX($T$1:$T125)+1,""))</f>
        <v/>
      </c>
      <c r="U126" t="str">
        <f>IF($D126="","",IF(COUNTIF($D$2:$D126,$D126)=1,MAX($U$1:$U125)+1,""))</f>
        <v/>
      </c>
      <c r="V126">
        <f>IF($D126="","",IF(COUNTIFS($B$2:$B126,$B126,$D$2:$D126,$D126)=1,1,0))</f>
        <v>0</v>
      </c>
      <c r="W126" t="str">
        <f>IF($D126="","",mEQA.PadronizarStatus($L126))</f>
        <v>ACEITO</v>
      </c>
      <c r="X126" t="str">
        <f>IF(OR($D126="",$W126&lt;&gt;"NAO ACEITO"),"",IF(COUNTIFS($D$2:$D126,$D126,$W$2:$W126,"NAO ACEITO")=1,1,0))</f>
        <v/>
      </c>
    </row>
    <row r="127" spans="1:24" x14ac:dyDescent="0.3">
      <c r="A127" t="s">
        <v>402</v>
      </c>
      <c r="B127" t="s">
        <v>497</v>
      </c>
      <c r="C127" s="126">
        <v>2025</v>
      </c>
      <c r="D127" t="s">
        <v>491</v>
      </c>
      <c r="E127" t="s">
        <v>498</v>
      </c>
      <c r="F127" s="137">
        <v>148</v>
      </c>
      <c r="G127" s="138">
        <v>148.80000000000001</v>
      </c>
      <c r="H127" s="138">
        <v>2.1</v>
      </c>
      <c r="I127" s="139">
        <v>-0.4</v>
      </c>
      <c r="J127" s="137">
        <v>144</v>
      </c>
      <c r="K127" s="137">
        <v>153</v>
      </c>
      <c r="L127" t="s">
        <v>499</v>
      </c>
      <c r="M127" s="126">
        <v>105</v>
      </c>
      <c r="N127" t="s">
        <v>134</v>
      </c>
      <c r="O127" s="137">
        <f t="shared" si="2"/>
        <v>-0.53763440860215816</v>
      </c>
      <c r="P127" s="137">
        <f t="shared" si="3"/>
        <v>0.53763440860215816</v>
      </c>
      <c r="Q127" s="126">
        <v>5</v>
      </c>
      <c r="R127" t="s">
        <v>521</v>
      </c>
      <c r="S127" t="str">
        <f>IF($W127&lt;&gt;"NAO ACEITO","",COUNTIFS($W$2:$W127,"NAO ACEITO"))</f>
        <v/>
      </c>
      <c r="T127" t="str">
        <f>IF($B127="","",IF(COUNTIF($B$2:$B127,$B127)=1,MAX($T$1:$T126)+1,""))</f>
        <v/>
      </c>
      <c r="U127">
        <f>IF($D127="","",IF(COUNTIF($D$2:$D127,$D127)=1,MAX($U$1:$U126)+1,""))</f>
        <v>26</v>
      </c>
      <c r="V127">
        <f>IF($D127="","",IF(COUNTIFS($B$2:$B127,$B127,$D$2:$D127,$D127)=1,1,0))</f>
        <v>1</v>
      </c>
      <c r="W127" t="str">
        <f>IF($D127="","",mEQA.PadronizarStatus($L127))</f>
        <v>ACEITO</v>
      </c>
      <c r="X127" t="str">
        <f>IF(OR($D127="",$W127&lt;&gt;"NAO ACEITO"),"",IF(COUNTIFS($D$2:$D127,$D127,$W$2:$W127,"NAO ACEITO")=1,1,0))</f>
        <v/>
      </c>
    </row>
    <row r="128" spans="1:24" x14ac:dyDescent="0.3">
      <c r="A128" t="s">
        <v>402</v>
      </c>
      <c r="B128" t="s">
        <v>497</v>
      </c>
      <c r="C128" s="126">
        <v>2025</v>
      </c>
      <c r="D128" t="s">
        <v>491</v>
      </c>
      <c r="E128" t="s">
        <v>500</v>
      </c>
      <c r="F128" s="137">
        <v>144</v>
      </c>
      <c r="G128" s="138">
        <v>142.80000000000001</v>
      </c>
      <c r="H128" s="138">
        <v>1.9</v>
      </c>
      <c r="I128" s="139">
        <v>0.6</v>
      </c>
      <c r="J128" s="137">
        <v>138</v>
      </c>
      <c r="K128" s="137">
        <v>147</v>
      </c>
      <c r="L128" t="s">
        <v>499</v>
      </c>
      <c r="M128" s="126">
        <v>106</v>
      </c>
      <c r="N128" t="s">
        <v>134</v>
      </c>
      <c r="O128" s="137">
        <f t="shared" si="2"/>
        <v>0.84033613445377353</v>
      </c>
      <c r="P128" s="137">
        <f t="shared" si="3"/>
        <v>0.84033613445377353</v>
      </c>
      <c r="Q128" s="126">
        <v>5</v>
      </c>
      <c r="R128" t="s">
        <v>521</v>
      </c>
      <c r="S128" t="str">
        <f>IF($W128&lt;&gt;"NAO ACEITO","",COUNTIFS($W$2:$W128,"NAO ACEITO"))</f>
        <v/>
      </c>
      <c r="T128" t="str">
        <f>IF($B128="","",IF(COUNTIF($B$2:$B128,$B128)=1,MAX($T$1:$T127)+1,""))</f>
        <v/>
      </c>
      <c r="U128" t="str">
        <f>IF($D128="","",IF(COUNTIF($D$2:$D128,$D128)=1,MAX($U$1:$U127)+1,""))</f>
        <v/>
      </c>
      <c r="V128">
        <f>IF($D128="","",IF(COUNTIFS($B$2:$B128,$B128,$D$2:$D128,$D128)=1,1,0))</f>
        <v>0</v>
      </c>
      <c r="W128" t="str">
        <f>IF($D128="","",mEQA.PadronizarStatus($L128))</f>
        <v>ACEITO</v>
      </c>
      <c r="X128" t="str">
        <f>IF(OR($D128="",$W128&lt;&gt;"NAO ACEITO"),"",IF(COUNTIFS($D$2:$D128,$D128,$W$2:$W128,"NAO ACEITO")=1,1,0))</f>
        <v/>
      </c>
    </row>
    <row r="129" spans="1:24" x14ac:dyDescent="0.3">
      <c r="A129" t="s">
        <v>402</v>
      </c>
      <c r="B129" t="s">
        <v>497</v>
      </c>
      <c r="C129" s="126">
        <v>2025</v>
      </c>
      <c r="D129" t="s">
        <v>491</v>
      </c>
      <c r="E129" t="s">
        <v>501</v>
      </c>
      <c r="F129" s="137">
        <v>143</v>
      </c>
      <c r="G129" s="138">
        <v>140.9</v>
      </c>
      <c r="H129" s="138">
        <v>2.4</v>
      </c>
      <c r="I129" s="139">
        <v>0.9</v>
      </c>
      <c r="J129" s="137">
        <v>136</v>
      </c>
      <c r="K129" s="137">
        <v>145</v>
      </c>
      <c r="L129" t="s">
        <v>499</v>
      </c>
      <c r="M129" s="126">
        <v>114</v>
      </c>
      <c r="N129" t="s">
        <v>134</v>
      </c>
      <c r="O129" s="137">
        <f t="shared" si="2"/>
        <v>1.4904187366926858</v>
      </c>
      <c r="P129" s="137">
        <f t="shared" si="3"/>
        <v>1.4904187366926858</v>
      </c>
      <c r="Q129" s="126">
        <v>5</v>
      </c>
      <c r="R129" t="s">
        <v>521</v>
      </c>
      <c r="S129" t="str">
        <f>IF($W129&lt;&gt;"NAO ACEITO","",COUNTIFS($W$2:$W129,"NAO ACEITO"))</f>
        <v/>
      </c>
      <c r="T129" t="str">
        <f>IF($B129="","",IF(COUNTIF($B$2:$B129,$B129)=1,MAX($T$1:$T128)+1,""))</f>
        <v/>
      </c>
      <c r="U129" t="str">
        <f>IF($D129="","",IF(COUNTIF($D$2:$D129,$D129)=1,MAX($U$1:$U128)+1,""))</f>
        <v/>
      </c>
      <c r="V129">
        <f>IF($D129="","",IF(COUNTIFS($B$2:$B129,$B129,$D$2:$D129,$D129)=1,1,0))</f>
        <v>0</v>
      </c>
      <c r="W129" t="str">
        <f>IF($D129="","",mEQA.PadronizarStatus($L129))</f>
        <v>ACEITO</v>
      </c>
      <c r="X129" t="str">
        <f>IF(OR($D129="",$W129&lt;&gt;"NAO ACEITO"),"",IF(COUNTIFS($D$2:$D129,$D129,$W$2:$W129,"NAO ACEITO")=1,1,0))</f>
        <v/>
      </c>
    </row>
    <row r="130" spans="1:24" x14ac:dyDescent="0.3">
      <c r="A130" t="s">
        <v>402</v>
      </c>
      <c r="B130" t="s">
        <v>497</v>
      </c>
      <c r="C130" s="126">
        <v>2025</v>
      </c>
      <c r="D130" t="s">
        <v>491</v>
      </c>
      <c r="E130" t="s">
        <v>502</v>
      </c>
      <c r="F130" s="137">
        <v>127</v>
      </c>
      <c r="G130" s="138">
        <v>126</v>
      </c>
      <c r="H130" s="138">
        <v>2</v>
      </c>
      <c r="I130" s="139">
        <v>0.5</v>
      </c>
      <c r="J130" s="137">
        <v>121</v>
      </c>
      <c r="K130" s="137">
        <v>130</v>
      </c>
      <c r="L130" t="s">
        <v>499</v>
      </c>
      <c r="M130" s="126">
        <v>108</v>
      </c>
      <c r="N130" t="s">
        <v>134</v>
      </c>
      <c r="O130" s="137">
        <f t="shared" ref="O130:O193" si="4">IFERROR((F130-G130)/G130*100,"")</f>
        <v>0.79365079365079361</v>
      </c>
      <c r="P130" s="137">
        <f t="shared" ref="P130:P193" si="5">IF(O130="","",ABS(O130))</f>
        <v>0.79365079365079361</v>
      </c>
      <c r="Q130" s="126">
        <v>5</v>
      </c>
      <c r="R130" t="s">
        <v>521</v>
      </c>
      <c r="S130" t="str">
        <f>IF($W130&lt;&gt;"NAO ACEITO","",COUNTIFS($W$2:$W130,"NAO ACEITO"))</f>
        <v/>
      </c>
      <c r="T130" t="str">
        <f>IF($B130="","",IF(COUNTIF($B$2:$B130,$B130)=1,MAX($T$1:$T129)+1,""))</f>
        <v/>
      </c>
      <c r="U130" t="str">
        <f>IF($D130="","",IF(COUNTIF($D$2:$D130,$D130)=1,MAX($U$1:$U129)+1,""))</f>
        <v/>
      </c>
      <c r="V130">
        <f>IF($D130="","",IF(COUNTIFS($B$2:$B130,$B130,$D$2:$D130,$D130)=1,1,0))</f>
        <v>0</v>
      </c>
      <c r="W130" t="str">
        <f>IF($D130="","",mEQA.PadronizarStatus($L130))</f>
        <v>ACEITO</v>
      </c>
      <c r="X130" t="str">
        <f>IF(OR($D130="",$W130&lt;&gt;"NAO ACEITO"),"",IF(COUNTIFS($D$2:$D130,$D130,$W$2:$W130,"NAO ACEITO")=1,1,0))</f>
        <v/>
      </c>
    </row>
    <row r="131" spans="1:24" x14ac:dyDescent="0.3">
      <c r="A131" t="s">
        <v>402</v>
      </c>
      <c r="B131" t="s">
        <v>497</v>
      </c>
      <c r="C131" s="126">
        <v>2025</v>
      </c>
      <c r="D131" t="s">
        <v>491</v>
      </c>
      <c r="E131" t="s">
        <v>503</v>
      </c>
      <c r="F131" s="137">
        <v>162</v>
      </c>
      <c r="G131" s="138">
        <v>166.7</v>
      </c>
      <c r="H131" s="138">
        <v>4.2</v>
      </c>
      <c r="I131" s="139">
        <v>-1.1000000000000001</v>
      </c>
      <c r="J131" s="137">
        <v>162</v>
      </c>
      <c r="K131" s="137">
        <v>171</v>
      </c>
      <c r="L131" t="s">
        <v>499</v>
      </c>
      <c r="M131" s="126">
        <v>104</v>
      </c>
      <c r="N131" t="s">
        <v>134</v>
      </c>
      <c r="O131" s="137">
        <f t="shared" si="4"/>
        <v>-2.8194361127774381</v>
      </c>
      <c r="P131" s="137">
        <f t="shared" si="5"/>
        <v>2.8194361127774381</v>
      </c>
      <c r="Q131" s="126">
        <v>5</v>
      </c>
      <c r="R131" t="s">
        <v>521</v>
      </c>
      <c r="S131" t="str">
        <f>IF($W131&lt;&gt;"NAO ACEITO","",COUNTIFS($W$2:$W131,"NAO ACEITO"))</f>
        <v/>
      </c>
      <c r="T131" t="str">
        <f>IF($B131="","",IF(COUNTIF($B$2:$B131,$B131)=1,MAX($T$1:$T130)+1,""))</f>
        <v/>
      </c>
      <c r="U131" t="str">
        <f>IF($D131="","",IF(COUNTIF($D$2:$D131,$D131)=1,MAX($U$1:$U130)+1,""))</f>
        <v/>
      </c>
      <c r="V131">
        <f>IF($D131="","",IF(COUNTIFS($B$2:$B131,$B131,$D$2:$D131,$D131)=1,1,0))</f>
        <v>0</v>
      </c>
      <c r="W131" t="str">
        <f>IF($D131="","",mEQA.PadronizarStatus($L131))</f>
        <v>ACEITO</v>
      </c>
      <c r="X131" t="str">
        <f>IF(OR($D131="",$W131&lt;&gt;"NAO ACEITO"),"",IF(COUNTIFS($D$2:$D131,$D131,$W$2:$W131,"NAO ACEITO")=1,1,0))</f>
        <v/>
      </c>
    </row>
    <row r="132" spans="1:24" x14ac:dyDescent="0.3">
      <c r="A132" t="s">
        <v>402</v>
      </c>
      <c r="B132" t="s">
        <v>497</v>
      </c>
      <c r="C132" s="126">
        <v>2025</v>
      </c>
      <c r="D132" t="s">
        <v>492</v>
      </c>
      <c r="E132" t="s">
        <v>498</v>
      </c>
      <c r="F132" s="137">
        <v>252</v>
      </c>
      <c r="G132" s="138">
        <v>268.2</v>
      </c>
      <c r="H132" s="138">
        <v>11.3</v>
      </c>
      <c r="I132" s="139">
        <v>-1.4</v>
      </c>
      <c r="J132" s="137">
        <v>214</v>
      </c>
      <c r="K132" s="137">
        <v>322</v>
      </c>
      <c r="L132" t="s">
        <v>499</v>
      </c>
      <c r="M132" s="126">
        <v>156</v>
      </c>
      <c r="N132" t="s">
        <v>505</v>
      </c>
      <c r="O132" s="137">
        <f t="shared" si="4"/>
        <v>-6.0402684563758351</v>
      </c>
      <c r="P132" s="137">
        <f t="shared" si="5"/>
        <v>6.0402684563758351</v>
      </c>
      <c r="Q132" s="126">
        <v>10</v>
      </c>
      <c r="R132" t="s">
        <v>521</v>
      </c>
      <c r="S132" t="str">
        <f>IF($W132&lt;&gt;"NAO ACEITO","",COUNTIFS($W$2:$W132,"NAO ACEITO"))</f>
        <v/>
      </c>
      <c r="T132" t="str">
        <f>IF($B132="","",IF(COUNTIF($B$2:$B132,$B132)=1,MAX($T$1:$T131)+1,""))</f>
        <v/>
      </c>
      <c r="U132">
        <f>IF($D132="","",IF(COUNTIF($D$2:$D132,$D132)=1,MAX($U$1:$U131)+1,""))</f>
        <v>27</v>
      </c>
      <c r="V132">
        <f>IF($D132="","",IF(COUNTIFS($B$2:$B132,$B132,$D$2:$D132,$D132)=1,1,0))</f>
        <v>1</v>
      </c>
      <c r="W132" t="str">
        <f>IF($D132="","",mEQA.PadronizarStatus($L132))</f>
        <v>ACEITO</v>
      </c>
      <c r="X132" t="str">
        <f>IF(OR($D132="",$W132&lt;&gt;"NAO ACEITO"),"",IF(COUNTIFS($D$2:$D132,$D132,$W$2:$W132,"NAO ACEITO")=1,1,0))</f>
        <v/>
      </c>
    </row>
    <row r="133" spans="1:24" x14ac:dyDescent="0.3">
      <c r="A133" t="s">
        <v>402</v>
      </c>
      <c r="B133" t="s">
        <v>497</v>
      </c>
      <c r="C133" s="126">
        <v>2025</v>
      </c>
      <c r="D133" t="s">
        <v>492</v>
      </c>
      <c r="E133" t="s">
        <v>500</v>
      </c>
      <c r="F133" s="137">
        <v>166</v>
      </c>
      <c r="G133" s="138">
        <v>183.1</v>
      </c>
      <c r="H133" s="138">
        <v>9.6</v>
      </c>
      <c r="I133" s="139">
        <v>-1.8</v>
      </c>
      <c r="J133" s="137">
        <v>146</v>
      </c>
      <c r="K133" s="137">
        <v>220</v>
      </c>
      <c r="L133" t="s">
        <v>499</v>
      </c>
      <c r="M133" s="126">
        <v>154</v>
      </c>
      <c r="N133" t="s">
        <v>505</v>
      </c>
      <c r="O133" s="137">
        <f t="shared" si="4"/>
        <v>-9.3391589295466932</v>
      </c>
      <c r="P133" s="137">
        <f t="shared" si="5"/>
        <v>9.3391589295466932</v>
      </c>
      <c r="Q133" s="126">
        <v>10</v>
      </c>
      <c r="R133" t="s">
        <v>521</v>
      </c>
      <c r="S133" t="str">
        <f>IF($W133&lt;&gt;"NAO ACEITO","",COUNTIFS($W$2:$W133,"NAO ACEITO"))</f>
        <v/>
      </c>
      <c r="T133" t="str">
        <f>IF($B133="","",IF(COUNTIF($B$2:$B133,$B133)=1,MAX($T$1:$T132)+1,""))</f>
        <v/>
      </c>
      <c r="U133" t="str">
        <f>IF($D133="","",IF(COUNTIF($D$2:$D133,$D133)=1,MAX($U$1:$U132)+1,""))</f>
        <v/>
      </c>
      <c r="V133">
        <f>IF($D133="","",IF(COUNTIFS($B$2:$B133,$B133,$D$2:$D133,$D133)=1,1,0))</f>
        <v>0</v>
      </c>
      <c r="W133" t="str">
        <f>IF($D133="","",mEQA.PadronizarStatus($L133))</f>
        <v>ACEITO</v>
      </c>
      <c r="X133" t="str">
        <f>IF(OR($D133="",$W133&lt;&gt;"NAO ACEITO"),"",IF(COUNTIFS($D$2:$D133,$D133,$W$2:$W133,"NAO ACEITO")=1,1,0))</f>
        <v/>
      </c>
    </row>
    <row r="134" spans="1:24" x14ac:dyDescent="0.3">
      <c r="A134" t="s">
        <v>402</v>
      </c>
      <c r="B134" t="s">
        <v>497</v>
      </c>
      <c r="C134" s="126">
        <v>2025</v>
      </c>
      <c r="D134" t="s">
        <v>492</v>
      </c>
      <c r="E134" t="s">
        <v>501</v>
      </c>
      <c r="F134" s="137">
        <v>55</v>
      </c>
      <c r="G134" s="138">
        <v>65.099999999999994</v>
      </c>
      <c r="H134" s="138">
        <v>8.6</v>
      </c>
      <c r="I134" s="139">
        <v>-1.2</v>
      </c>
      <c r="J134" s="137">
        <v>52</v>
      </c>
      <c r="K134" s="137">
        <v>79</v>
      </c>
      <c r="L134" t="s">
        <v>499</v>
      </c>
      <c r="M134" s="126">
        <v>154</v>
      </c>
      <c r="N134" t="s">
        <v>505</v>
      </c>
      <c r="O134" s="137">
        <f t="shared" si="4"/>
        <v>-15.514592933947766</v>
      </c>
      <c r="P134" s="137">
        <f t="shared" si="5"/>
        <v>15.514592933947766</v>
      </c>
      <c r="Q134" s="126">
        <v>10</v>
      </c>
      <c r="R134" t="s">
        <v>521</v>
      </c>
      <c r="S134" t="str">
        <f>IF($W134&lt;&gt;"NAO ACEITO","",COUNTIFS($W$2:$W134,"NAO ACEITO"))</f>
        <v/>
      </c>
      <c r="T134" t="str">
        <f>IF($B134="","",IF(COUNTIF($B$2:$B134,$B134)=1,MAX($T$1:$T133)+1,""))</f>
        <v/>
      </c>
      <c r="U134" t="str">
        <f>IF($D134="","",IF(COUNTIF($D$2:$D134,$D134)=1,MAX($U$1:$U133)+1,""))</f>
        <v/>
      </c>
      <c r="V134">
        <f>IF($D134="","",IF(COUNTIFS($B$2:$B134,$B134,$D$2:$D134,$D134)=1,1,0))</f>
        <v>0</v>
      </c>
      <c r="W134" t="str">
        <f>IF($D134="","",mEQA.PadronizarStatus($L134))</f>
        <v>ACEITO</v>
      </c>
      <c r="X134" t="str">
        <f>IF(OR($D134="",$W134&lt;&gt;"NAO ACEITO"),"",IF(COUNTIFS($D$2:$D134,$D134,$W$2:$W134,"NAO ACEITO")=1,1,0))</f>
        <v/>
      </c>
    </row>
    <row r="135" spans="1:24" x14ac:dyDescent="0.3">
      <c r="A135" t="s">
        <v>402</v>
      </c>
      <c r="B135" t="s">
        <v>497</v>
      </c>
      <c r="C135" s="126">
        <v>2025</v>
      </c>
      <c r="D135" t="s">
        <v>492</v>
      </c>
      <c r="E135" t="s">
        <v>502</v>
      </c>
      <c r="F135" s="137">
        <v>188</v>
      </c>
      <c r="G135" s="138">
        <v>185</v>
      </c>
      <c r="H135" s="138">
        <v>8.5</v>
      </c>
      <c r="I135" s="139">
        <v>0.4</v>
      </c>
      <c r="J135" s="137">
        <v>147</v>
      </c>
      <c r="K135" s="137">
        <v>222</v>
      </c>
      <c r="L135" t="s">
        <v>499</v>
      </c>
      <c r="M135" s="126">
        <v>152</v>
      </c>
      <c r="N135" t="s">
        <v>505</v>
      </c>
      <c r="O135" s="137">
        <f t="shared" si="4"/>
        <v>1.6216216216216217</v>
      </c>
      <c r="P135" s="137">
        <f t="shared" si="5"/>
        <v>1.6216216216216217</v>
      </c>
      <c r="Q135" s="126">
        <v>10</v>
      </c>
      <c r="R135" t="s">
        <v>521</v>
      </c>
      <c r="S135" t="str">
        <f>IF($W135&lt;&gt;"NAO ACEITO","",COUNTIFS($W$2:$W135,"NAO ACEITO"))</f>
        <v/>
      </c>
      <c r="T135" t="str">
        <f>IF($B135="","",IF(COUNTIF($B$2:$B135,$B135)=1,MAX($T$1:$T134)+1,""))</f>
        <v/>
      </c>
      <c r="U135" t="str">
        <f>IF($D135="","",IF(COUNTIF($D$2:$D135,$D135)=1,MAX($U$1:$U134)+1,""))</f>
        <v/>
      </c>
      <c r="V135">
        <f>IF($D135="","",IF(COUNTIFS($B$2:$B135,$B135,$D$2:$D135,$D135)=1,1,0))</f>
        <v>0</v>
      </c>
      <c r="W135" t="str">
        <f>IF($D135="","",mEQA.PadronizarStatus($L135))</f>
        <v>ACEITO</v>
      </c>
      <c r="X135" t="str">
        <f>IF(OR($D135="",$W135&lt;&gt;"NAO ACEITO"),"",IF(COUNTIFS($D$2:$D135,$D135,$W$2:$W135,"NAO ACEITO")=1,1,0))</f>
        <v/>
      </c>
    </row>
    <row r="136" spans="1:24" x14ac:dyDescent="0.3">
      <c r="A136" t="s">
        <v>402</v>
      </c>
      <c r="B136" t="s">
        <v>497</v>
      </c>
      <c r="C136" s="126">
        <v>2025</v>
      </c>
      <c r="D136" t="s">
        <v>492</v>
      </c>
      <c r="E136" t="s">
        <v>503</v>
      </c>
      <c r="F136" s="137">
        <v>414</v>
      </c>
      <c r="G136" s="138">
        <v>408.9</v>
      </c>
      <c r="H136" s="138">
        <v>12</v>
      </c>
      <c r="I136" s="139">
        <v>0.4</v>
      </c>
      <c r="J136" s="137">
        <v>327</v>
      </c>
      <c r="K136" s="137">
        <v>491</v>
      </c>
      <c r="L136" t="s">
        <v>499</v>
      </c>
      <c r="M136" s="126">
        <v>154</v>
      </c>
      <c r="N136" t="s">
        <v>505</v>
      </c>
      <c r="O136" s="137">
        <f t="shared" si="4"/>
        <v>1.2472487160675039</v>
      </c>
      <c r="P136" s="137">
        <f t="shared" si="5"/>
        <v>1.2472487160675039</v>
      </c>
      <c r="Q136" s="126">
        <v>10</v>
      </c>
      <c r="R136" t="s">
        <v>521</v>
      </c>
      <c r="S136" t="str">
        <f>IF($W136&lt;&gt;"NAO ACEITO","",COUNTIFS($W$2:$W136,"NAO ACEITO"))</f>
        <v/>
      </c>
      <c r="T136" t="str">
        <f>IF($B136="","",IF(COUNTIF($B$2:$B136,$B136)=1,MAX($T$1:$T135)+1,""))</f>
        <v/>
      </c>
      <c r="U136" t="str">
        <f>IF($D136="","",IF(COUNTIF($D$2:$D136,$D136)=1,MAX($U$1:$U135)+1,""))</f>
        <v/>
      </c>
      <c r="V136">
        <f>IF($D136="","",IF(COUNTIFS($B$2:$B136,$B136,$D$2:$D136,$D136)=1,1,0))</f>
        <v>0</v>
      </c>
      <c r="W136" t="str">
        <f>IF($D136="","",mEQA.PadronizarStatus($L136))</f>
        <v>ACEITO</v>
      </c>
      <c r="X136" t="str">
        <f>IF(OR($D136="",$W136&lt;&gt;"NAO ACEITO"),"",IF(COUNTIFS($D$2:$D136,$D136,$W$2:$W136,"NAO ACEITO")=1,1,0))</f>
        <v/>
      </c>
    </row>
    <row r="137" spans="1:24" x14ac:dyDescent="0.3">
      <c r="A137" t="s">
        <v>402</v>
      </c>
      <c r="B137" t="s">
        <v>497</v>
      </c>
      <c r="C137" s="126">
        <v>2025</v>
      </c>
      <c r="D137" t="s">
        <v>494</v>
      </c>
      <c r="E137" t="s">
        <v>498</v>
      </c>
      <c r="F137" s="137">
        <v>194</v>
      </c>
      <c r="G137" s="138">
        <v>192.23099999999999</v>
      </c>
      <c r="H137" s="138">
        <v>2.9460000000000002</v>
      </c>
      <c r="I137" s="139">
        <v>0.6</v>
      </c>
      <c r="J137" s="137">
        <v>163.38999999999999</v>
      </c>
      <c r="K137" s="137">
        <v>221.07</v>
      </c>
      <c r="L137" t="s">
        <v>499</v>
      </c>
      <c r="M137" s="126">
        <v>210</v>
      </c>
      <c r="N137" t="s">
        <v>112</v>
      </c>
      <c r="O137" s="137">
        <f t="shared" si="4"/>
        <v>0.92024699450141001</v>
      </c>
      <c r="P137" s="137">
        <f t="shared" si="5"/>
        <v>0.92024699450141001</v>
      </c>
      <c r="Q137" s="126">
        <v>5</v>
      </c>
      <c r="R137" t="s">
        <v>521</v>
      </c>
      <c r="S137" t="str">
        <f>IF($W137&lt;&gt;"NAO ACEITO","",COUNTIFS($W$2:$W137,"NAO ACEITO"))</f>
        <v/>
      </c>
      <c r="T137" t="str">
        <f>IF($B137="","",IF(COUNTIF($B$2:$B137,$B137)=1,MAX($T$1:$T136)+1,""))</f>
        <v/>
      </c>
      <c r="U137">
        <f>IF($D137="","",IF(COUNTIF($D$2:$D137,$D137)=1,MAX($U$1:$U136)+1,""))</f>
        <v>28</v>
      </c>
      <c r="V137">
        <f>IF($D137="","",IF(COUNTIFS($B$2:$B137,$B137,$D$2:$D137,$D137)=1,1,0))</f>
        <v>1</v>
      </c>
      <c r="W137" t="str">
        <f>IF($D137="","",mEQA.PadronizarStatus($L137))</f>
        <v>ACEITO</v>
      </c>
      <c r="X137" t="str">
        <f>IF(OR($D137="",$W137&lt;&gt;"NAO ACEITO"),"",IF(COUNTIFS($D$2:$D137,$D137,$W$2:$W137,"NAO ACEITO")=1,1,0))</f>
        <v/>
      </c>
    </row>
    <row r="138" spans="1:24" x14ac:dyDescent="0.3">
      <c r="A138" t="s">
        <v>402</v>
      </c>
      <c r="B138" t="s">
        <v>497</v>
      </c>
      <c r="C138" s="126">
        <v>2025</v>
      </c>
      <c r="D138" t="s">
        <v>494</v>
      </c>
      <c r="E138" t="s">
        <v>500</v>
      </c>
      <c r="F138" s="137">
        <v>139</v>
      </c>
      <c r="G138" s="138">
        <v>136.23500000000001</v>
      </c>
      <c r="H138" s="138">
        <v>2.351</v>
      </c>
      <c r="I138" s="139">
        <v>1.2</v>
      </c>
      <c r="J138" s="137">
        <v>115.8</v>
      </c>
      <c r="K138" s="137">
        <v>156.68</v>
      </c>
      <c r="L138" t="s">
        <v>499</v>
      </c>
      <c r="M138" s="126">
        <v>209</v>
      </c>
      <c r="N138" t="s">
        <v>112</v>
      </c>
      <c r="O138" s="137">
        <f t="shared" si="4"/>
        <v>2.029581238301454</v>
      </c>
      <c r="P138" s="137">
        <f t="shared" si="5"/>
        <v>2.029581238301454</v>
      </c>
      <c r="Q138" s="126">
        <v>5</v>
      </c>
      <c r="R138" t="s">
        <v>521</v>
      </c>
      <c r="S138" t="str">
        <f>IF($W138&lt;&gt;"NAO ACEITO","",COUNTIFS($W$2:$W138,"NAO ACEITO"))</f>
        <v/>
      </c>
      <c r="T138" t="str">
        <f>IF($B138="","",IF(COUNTIF($B$2:$B138,$B138)=1,MAX($T$1:$T137)+1,""))</f>
        <v/>
      </c>
      <c r="U138" t="str">
        <f>IF($D138="","",IF(COUNTIF($D$2:$D138,$D138)=1,MAX($U$1:$U137)+1,""))</f>
        <v/>
      </c>
      <c r="V138">
        <f>IF($D138="","",IF(COUNTIFS($B$2:$B138,$B138,$D$2:$D138,$D138)=1,1,0))</f>
        <v>0</v>
      </c>
      <c r="W138" t="str">
        <f>IF($D138="","",mEQA.PadronizarStatus($L138))</f>
        <v>ACEITO</v>
      </c>
      <c r="X138" t="str">
        <f>IF(OR($D138="",$W138&lt;&gt;"NAO ACEITO"),"",IF(COUNTIFS($D$2:$D138,$D138,$W$2:$W138,"NAO ACEITO")=1,1,0))</f>
        <v/>
      </c>
    </row>
    <row r="139" spans="1:24" x14ac:dyDescent="0.3">
      <c r="A139" t="s">
        <v>402</v>
      </c>
      <c r="B139" t="s">
        <v>497</v>
      </c>
      <c r="C139" s="126">
        <v>2025</v>
      </c>
      <c r="D139" t="s">
        <v>494</v>
      </c>
      <c r="E139" t="s">
        <v>501</v>
      </c>
      <c r="F139" s="137">
        <v>77</v>
      </c>
      <c r="G139" s="138">
        <v>73.718999999999994</v>
      </c>
      <c r="H139" s="138">
        <v>2.4500000000000002</v>
      </c>
      <c r="I139" s="139">
        <v>1.3</v>
      </c>
      <c r="J139" s="137">
        <v>62.66</v>
      </c>
      <c r="K139" s="137">
        <v>84.78</v>
      </c>
      <c r="L139" t="s">
        <v>499</v>
      </c>
      <c r="M139" s="126">
        <v>212</v>
      </c>
      <c r="N139" t="s">
        <v>112</v>
      </c>
      <c r="O139" s="137">
        <f t="shared" si="4"/>
        <v>4.4506843554578959</v>
      </c>
      <c r="P139" s="137">
        <f t="shared" si="5"/>
        <v>4.4506843554578959</v>
      </c>
      <c r="Q139" s="126">
        <v>5</v>
      </c>
      <c r="R139" t="s">
        <v>521</v>
      </c>
      <c r="S139" t="str">
        <f>IF($W139&lt;&gt;"NAO ACEITO","",COUNTIFS($W$2:$W139,"NAO ACEITO"))</f>
        <v/>
      </c>
      <c r="T139" t="str">
        <f>IF($B139="","",IF(COUNTIF($B$2:$B139,$B139)=1,MAX($T$1:$T138)+1,""))</f>
        <v/>
      </c>
      <c r="U139" t="str">
        <f>IF($D139="","",IF(COUNTIF($D$2:$D139,$D139)=1,MAX($U$1:$U138)+1,""))</f>
        <v/>
      </c>
      <c r="V139">
        <f>IF($D139="","",IF(COUNTIFS($B$2:$B139,$B139,$D$2:$D139,$D139)=1,1,0))</f>
        <v>0</v>
      </c>
      <c r="W139" t="str">
        <f>IF($D139="","",mEQA.PadronizarStatus($L139))</f>
        <v>ACEITO</v>
      </c>
      <c r="X139" t="str">
        <f>IF(OR($D139="",$W139&lt;&gt;"NAO ACEITO"),"",IF(COUNTIFS($D$2:$D139,$D139,$W$2:$W139,"NAO ACEITO")=1,1,0))</f>
        <v/>
      </c>
    </row>
    <row r="140" spans="1:24" x14ac:dyDescent="0.3">
      <c r="A140" t="s">
        <v>402</v>
      </c>
      <c r="B140" t="s">
        <v>497</v>
      </c>
      <c r="C140" s="126">
        <v>2025</v>
      </c>
      <c r="D140" t="s">
        <v>494</v>
      </c>
      <c r="E140" t="s">
        <v>502</v>
      </c>
      <c r="F140" s="137">
        <v>107</v>
      </c>
      <c r="G140" s="138">
        <v>101.26600000000001</v>
      </c>
      <c r="H140" s="138">
        <v>2.379</v>
      </c>
      <c r="I140" s="139">
        <v>2.4</v>
      </c>
      <c r="J140" s="137">
        <v>86.07</v>
      </c>
      <c r="K140" s="137">
        <v>116.46</v>
      </c>
      <c r="L140" t="s">
        <v>499</v>
      </c>
      <c r="M140" s="126">
        <v>204</v>
      </c>
      <c r="N140" t="s">
        <v>112</v>
      </c>
      <c r="O140" s="137">
        <f t="shared" si="4"/>
        <v>5.6623150909485851</v>
      </c>
      <c r="P140" s="137">
        <f t="shared" si="5"/>
        <v>5.6623150909485851</v>
      </c>
      <c r="Q140" s="126">
        <v>5</v>
      </c>
      <c r="R140" t="s">
        <v>521</v>
      </c>
      <c r="S140" t="str">
        <f>IF($W140&lt;&gt;"NAO ACEITO","",COUNTIFS($W$2:$W140,"NAO ACEITO"))</f>
        <v/>
      </c>
      <c r="T140" t="str">
        <f>IF($B140="","",IF(COUNTIF($B$2:$B140,$B140)=1,MAX($T$1:$T139)+1,""))</f>
        <v/>
      </c>
      <c r="U140" t="str">
        <f>IF($D140="","",IF(COUNTIF($D$2:$D140,$D140)=1,MAX($U$1:$U139)+1,""))</f>
        <v/>
      </c>
      <c r="V140">
        <f>IF($D140="","",IF(COUNTIFS($B$2:$B140,$B140,$D$2:$D140,$D140)=1,1,0))</f>
        <v>0</v>
      </c>
      <c r="W140" t="str">
        <f>IF($D140="","",mEQA.PadronizarStatus($L140))</f>
        <v>ACEITO</v>
      </c>
      <c r="X140" t="str">
        <f>IF(OR($D140="",$W140&lt;&gt;"NAO ACEITO"),"",IF(COUNTIFS($D$2:$D140,$D140,$W$2:$W140,"NAO ACEITO")=1,1,0))</f>
        <v/>
      </c>
    </row>
    <row r="141" spans="1:24" x14ac:dyDescent="0.3">
      <c r="A141" t="s">
        <v>402</v>
      </c>
      <c r="B141" t="s">
        <v>497</v>
      </c>
      <c r="C141" s="126">
        <v>2025</v>
      </c>
      <c r="D141" t="s">
        <v>494</v>
      </c>
      <c r="E141" t="s">
        <v>503</v>
      </c>
      <c r="F141" s="137">
        <v>298</v>
      </c>
      <c r="G141" s="138">
        <v>294.82100000000003</v>
      </c>
      <c r="H141" s="138">
        <v>4.399</v>
      </c>
      <c r="I141" s="139">
        <v>0.7</v>
      </c>
      <c r="J141" s="137">
        <v>250.59</v>
      </c>
      <c r="K141" s="137">
        <v>339.05</v>
      </c>
      <c r="L141" t="s">
        <v>499</v>
      </c>
      <c r="M141" s="126">
        <v>213</v>
      </c>
      <c r="N141" t="s">
        <v>112</v>
      </c>
      <c r="O141" s="137">
        <f t="shared" si="4"/>
        <v>1.0782813978651362</v>
      </c>
      <c r="P141" s="137">
        <f t="shared" si="5"/>
        <v>1.0782813978651362</v>
      </c>
      <c r="Q141" s="126">
        <v>5</v>
      </c>
      <c r="R141" t="s">
        <v>521</v>
      </c>
      <c r="S141" t="str">
        <f>IF($W141&lt;&gt;"NAO ACEITO","",COUNTIFS($W$2:$W141,"NAO ACEITO"))</f>
        <v/>
      </c>
      <c r="T141" t="str">
        <f>IF($B141="","",IF(COUNTIF($B$2:$B141,$B141)=1,MAX($T$1:$T140)+1,""))</f>
        <v/>
      </c>
      <c r="U141" t="str">
        <f>IF($D141="","",IF(COUNTIF($D$2:$D141,$D141)=1,MAX($U$1:$U140)+1,""))</f>
        <v/>
      </c>
      <c r="V141">
        <f>IF($D141="","",IF(COUNTIFS($B$2:$B141,$B141,$D$2:$D141,$D141)=1,1,0))</f>
        <v>0</v>
      </c>
      <c r="W141" t="str">
        <f>IF($D141="","",mEQA.PadronizarStatus($L141))</f>
        <v>ACEITO</v>
      </c>
      <c r="X141" t="str">
        <f>IF(OR($D141="",$W141&lt;&gt;"NAO ACEITO"),"",IF(COUNTIFS($D$2:$D141,$D141,$W$2:$W141,"NAO ACEITO")=1,1,0))</f>
        <v/>
      </c>
    </row>
    <row r="142" spans="1:24" x14ac:dyDescent="0.3">
      <c r="A142" t="s">
        <v>402</v>
      </c>
      <c r="B142" t="s">
        <v>497</v>
      </c>
      <c r="C142" s="126">
        <v>2025</v>
      </c>
      <c r="D142" t="s">
        <v>495</v>
      </c>
      <c r="E142" t="s">
        <v>498</v>
      </c>
      <c r="F142" s="137">
        <v>24.3</v>
      </c>
      <c r="G142" s="138">
        <v>22.68</v>
      </c>
      <c r="H142" s="138">
        <v>0.96</v>
      </c>
      <c r="I142" s="139">
        <v>1.7</v>
      </c>
      <c r="J142" s="137">
        <v>20.6</v>
      </c>
      <c r="K142" s="137">
        <v>24.8</v>
      </c>
      <c r="L142" t="s">
        <v>499</v>
      </c>
      <c r="M142" s="126">
        <v>446</v>
      </c>
      <c r="N142" t="s">
        <v>112</v>
      </c>
      <c r="O142" s="137">
        <f t="shared" si="4"/>
        <v>7.1428571428571477</v>
      </c>
      <c r="P142" s="137">
        <f t="shared" si="5"/>
        <v>7.1428571428571477</v>
      </c>
      <c r="Q142" s="126">
        <v>6</v>
      </c>
      <c r="R142" t="s">
        <v>521</v>
      </c>
      <c r="S142" t="str">
        <f>IF($W142&lt;&gt;"NAO ACEITO","",COUNTIFS($W$2:$W142,"NAO ACEITO"))</f>
        <v/>
      </c>
      <c r="T142" t="str">
        <f>IF($B142="","",IF(COUNTIF($B$2:$B142,$B142)=1,MAX($T$1:$T141)+1,""))</f>
        <v/>
      </c>
      <c r="U142">
        <f>IF($D142="","",IF(COUNTIF($D$2:$D142,$D142)=1,MAX($U$1:$U141)+1,""))</f>
        <v>29</v>
      </c>
      <c r="V142">
        <f>IF($D142="","",IF(COUNTIFS($B$2:$B142,$B142,$D$2:$D142,$D142)=1,1,0))</f>
        <v>1</v>
      </c>
      <c r="W142" t="str">
        <f>IF($D142="","",mEQA.PadronizarStatus($L142))</f>
        <v>ACEITO</v>
      </c>
      <c r="X142" t="str">
        <f>IF(OR($D142="",$W142&lt;&gt;"NAO ACEITO"),"",IF(COUNTIFS($D$2:$D142,$D142,$W$2:$W142,"NAO ACEITO")=1,1,0))</f>
        <v/>
      </c>
    </row>
    <row r="143" spans="1:24" x14ac:dyDescent="0.3">
      <c r="A143" t="s">
        <v>402</v>
      </c>
      <c r="B143" t="s">
        <v>497</v>
      </c>
      <c r="C143" s="126">
        <v>2025</v>
      </c>
      <c r="D143" t="s">
        <v>495</v>
      </c>
      <c r="E143" t="s">
        <v>500</v>
      </c>
      <c r="F143" s="137">
        <v>22</v>
      </c>
      <c r="G143" s="138">
        <v>19.07</v>
      </c>
      <c r="H143" s="138">
        <v>0.83</v>
      </c>
      <c r="I143" s="139">
        <v>3.5</v>
      </c>
      <c r="J143" s="137">
        <v>17</v>
      </c>
      <c r="K143" s="137">
        <v>21.1</v>
      </c>
      <c r="L143" t="s">
        <v>506</v>
      </c>
      <c r="M143" s="126">
        <v>444</v>
      </c>
      <c r="N143" t="s">
        <v>112</v>
      </c>
      <c r="O143" s="137">
        <f t="shared" si="4"/>
        <v>15.364446775039328</v>
      </c>
      <c r="P143" s="137">
        <f t="shared" si="5"/>
        <v>15.364446775039328</v>
      </c>
      <c r="Q143" s="126">
        <v>6</v>
      </c>
      <c r="R143" t="s">
        <v>521</v>
      </c>
      <c r="S143">
        <f>IF($W143&lt;&gt;"NAO ACEITO","",COUNTIFS($W$2:$W143,"NAO ACEITO"))</f>
        <v>1</v>
      </c>
      <c r="T143" t="str">
        <f>IF($B143="","",IF(COUNTIF($B$2:$B143,$B143)=1,MAX($T$1:$T142)+1,""))</f>
        <v/>
      </c>
      <c r="U143" t="str">
        <f>IF($D143="","",IF(COUNTIF($D$2:$D143,$D143)=1,MAX($U$1:$U142)+1,""))</f>
        <v/>
      </c>
      <c r="V143">
        <f>IF($D143="","",IF(COUNTIFS($B$2:$B143,$B143,$D$2:$D143,$D143)=1,1,0))</f>
        <v>0</v>
      </c>
      <c r="W143" t="str">
        <f>IF($D143="","",mEQA.PadronizarStatus($L143))</f>
        <v>NAO ACEITO</v>
      </c>
      <c r="X143">
        <f>IF(OR($D143="",$W143&lt;&gt;"NAO ACEITO"),"",IF(COUNTIFS($D$2:$D143,$D143,$W$2:$W143,"NAO ACEITO")=1,1,0))</f>
        <v>1</v>
      </c>
    </row>
    <row r="144" spans="1:24" x14ac:dyDescent="0.3">
      <c r="A144" t="s">
        <v>402</v>
      </c>
      <c r="B144" t="s">
        <v>497</v>
      </c>
      <c r="C144" s="126">
        <v>2025</v>
      </c>
      <c r="D144" t="s">
        <v>495</v>
      </c>
      <c r="E144" t="s">
        <v>501</v>
      </c>
      <c r="F144" s="137">
        <v>7</v>
      </c>
      <c r="G144" s="138">
        <v>6.38</v>
      </c>
      <c r="H144" s="138">
        <v>0.74</v>
      </c>
      <c r="I144" s="139">
        <v>0.8</v>
      </c>
      <c r="J144" s="137">
        <v>4.3</v>
      </c>
      <c r="K144" s="137">
        <v>8.4</v>
      </c>
      <c r="L144" t="s">
        <v>499</v>
      </c>
      <c r="M144" s="126">
        <v>449</v>
      </c>
      <c r="N144" t="s">
        <v>112</v>
      </c>
      <c r="O144" s="137">
        <f t="shared" si="4"/>
        <v>9.7178683385579951</v>
      </c>
      <c r="P144" s="137">
        <f t="shared" si="5"/>
        <v>9.7178683385579951</v>
      </c>
      <c r="Q144" s="126">
        <v>6</v>
      </c>
      <c r="R144" t="s">
        <v>521</v>
      </c>
      <c r="S144" t="str">
        <f>IF($W144&lt;&gt;"NAO ACEITO","",COUNTIFS($W$2:$W144,"NAO ACEITO"))</f>
        <v/>
      </c>
      <c r="T144" t="str">
        <f>IF($B144="","",IF(COUNTIF($B$2:$B144,$B144)=1,MAX($T$1:$T143)+1,""))</f>
        <v/>
      </c>
      <c r="U144" t="str">
        <f>IF($D144="","",IF(COUNTIF($D$2:$D144,$D144)=1,MAX($U$1:$U143)+1,""))</f>
        <v/>
      </c>
      <c r="V144">
        <f>IF($D144="","",IF(COUNTIFS($B$2:$B144,$B144,$D$2:$D144,$D144)=1,1,0))</f>
        <v>0</v>
      </c>
      <c r="W144" t="str">
        <f>IF($D144="","",mEQA.PadronizarStatus($L144))</f>
        <v>ACEITO</v>
      </c>
      <c r="X144" t="str">
        <f>IF(OR($D144="",$W144&lt;&gt;"NAO ACEITO"),"",IF(COUNTIFS($D$2:$D144,$D144,$W$2:$W144,"NAO ACEITO")=1,1,0))</f>
        <v/>
      </c>
    </row>
    <row r="145" spans="1:24" x14ac:dyDescent="0.3">
      <c r="A145" t="s">
        <v>402</v>
      </c>
      <c r="B145" t="s">
        <v>497</v>
      </c>
      <c r="C145" s="126">
        <v>2025</v>
      </c>
      <c r="D145" t="s">
        <v>495</v>
      </c>
      <c r="E145" t="s">
        <v>502</v>
      </c>
      <c r="F145" s="137">
        <v>48.6</v>
      </c>
      <c r="G145" s="138">
        <v>44.02</v>
      </c>
      <c r="H145" s="138">
        <v>1.47</v>
      </c>
      <c r="I145" s="139">
        <v>3.1</v>
      </c>
      <c r="J145" s="137">
        <v>40</v>
      </c>
      <c r="K145" s="137">
        <v>48</v>
      </c>
      <c r="L145" t="s">
        <v>506</v>
      </c>
      <c r="M145" s="126">
        <v>448</v>
      </c>
      <c r="N145" t="s">
        <v>112</v>
      </c>
      <c r="O145" s="137">
        <f t="shared" si="4"/>
        <v>10.404361653793725</v>
      </c>
      <c r="P145" s="137">
        <f t="shared" si="5"/>
        <v>10.404361653793725</v>
      </c>
      <c r="Q145" s="126">
        <v>6</v>
      </c>
      <c r="R145" t="s">
        <v>521</v>
      </c>
      <c r="S145">
        <f>IF($W145&lt;&gt;"NAO ACEITO","",COUNTIFS($W$2:$W145,"NAO ACEITO"))</f>
        <v>2</v>
      </c>
      <c r="T145" t="str">
        <f>IF($B145="","",IF(COUNTIF($B$2:$B145,$B145)=1,MAX($T$1:$T144)+1,""))</f>
        <v/>
      </c>
      <c r="U145" t="str">
        <f>IF($D145="","",IF(COUNTIF($D$2:$D145,$D145)=1,MAX($U$1:$U144)+1,""))</f>
        <v/>
      </c>
      <c r="V145">
        <f>IF($D145="","",IF(COUNTIFS($B$2:$B145,$B145,$D$2:$D145,$D145)=1,1,0))</f>
        <v>0</v>
      </c>
      <c r="W145" t="str">
        <f>IF($D145="","",mEQA.PadronizarStatus($L145))</f>
        <v>NAO ACEITO</v>
      </c>
      <c r="X145">
        <f>IF(OR($D145="",$W145&lt;&gt;"NAO ACEITO"),"",IF(COUNTIFS($D$2:$D145,$D145,$W$2:$W145,"NAO ACEITO")=1,1,0))</f>
        <v>0</v>
      </c>
    </row>
    <row r="146" spans="1:24" x14ac:dyDescent="0.3">
      <c r="A146" t="s">
        <v>402</v>
      </c>
      <c r="B146" t="s">
        <v>497</v>
      </c>
      <c r="C146" s="126">
        <v>2025</v>
      </c>
      <c r="D146" t="s">
        <v>495</v>
      </c>
      <c r="E146" t="s">
        <v>503</v>
      </c>
      <c r="F146" s="137">
        <v>21.5</v>
      </c>
      <c r="G146" s="138">
        <v>19.98</v>
      </c>
      <c r="H146" s="138">
        <v>0.9</v>
      </c>
      <c r="I146" s="139">
        <v>1.7</v>
      </c>
      <c r="J146" s="137">
        <v>17.899999999999999</v>
      </c>
      <c r="K146" s="137">
        <v>22</v>
      </c>
      <c r="L146" t="s">
        <v>499</v>
      </c>
      <c r="M146" s="126">
        <v>444</v>
      </c>
      <c r="N146" t="s">
        <v>112</v>
      </c>
      <c r="O146" s="137">
        <f t="shared" si="4"/>
        <v>7.6076076076076058</v>
      </c>
      <c r="P146" s="137">
        <f t="shared" si="5"/>
        <v>7.6076076076076058</v>
      </c>
      <c r="Q146" s="126">
        <v>6</v>
      </c>
      <c r="R146" t="s">
        <v>521</v>
      </c>
      <c r="S146" t="str">
        <f>IF($W146&lt;&gt;"NAO ACEITO","",COUNTIFS($W$2:$W146,"NAO ACEITO"))</f>
        <v/>
      </c>
      <c r="T146" t="str">
        <f>IF($B146="","",IF(COUNTIF($B$2:$B146,$B146)=1,MAX($T$1:$T145)+1,""))</f>
        <v/>
      </c>
      <c r="U146" t="str">
        <f>IF($D146="","",IF(COUNTIF($D$2:$D146,$D146)=1,MAX($U$1:$U145)+1,""))</f>
        <v/>
      </c>
      <c r="V146">
        <f>IF($D146="","",IF(COUNTIFS($B$2:$B146,$B146,$D$2:$D146,$D146)=1,1,0))</f>
        <v>0</v>
      </c>
      <c r="W146" t="str">
        <f>IF($D146="","",mEQA.PadronizarStatus($L146))</f>
        <v>ACEITO</v>
      </c>
      <c r="X146" t="str">
        <f>IF(OR($D146="",$W146&lt;&gt;"NAO ACEITO"),"",IF(COUNTIFS($D$2:$D146,$D146,$W$2:$W146,"NAO ACEITO")=1,1,0))</f>
        <v/>
      </c>
    </row>
    <row r="147" spans="1:24" x14ac:dyDescent="0.3">
      <c r="A147" t="s">
        <v>402</v>
      </c>
      <c r="B147" t="s">
        <v>497</v>
      </c>
      <c r="C147" s="126">
        <v>2025</v>
      </c>
      <c r="D147" t="s">
        <v>496</v>
      </c>
      <c r="E147" t="s">
        <v>498</v>
      </c>
      <c r="F147" s="137">
        <v>4.9000000000000004</v>
      </c>
      <c r="G147" s="138">
        <v>5.07</v>
      </c>
      <c r="H147" s="138">
        <v>0.15</v>
      </c>
      <c r="I147" s="139">
        <v>-1.1000000000000001</v>
      </c>
      <c r="J147" s="137">
        <v>4.5</v>
      </c>
      <c r="K147" s="137">
        <v>5.6</v>
      </c>
      <c r="L147" t="s">
        <v>499</v>
      </c>
      <c r="M147" s="126">
        <v>351</v>
      </c>
      <c r="N147" t="s">
        <v>112</v>
      </c>
      <c r="O147" s="137">
        <f t="shared" si="4"/>
        <v>-3.3530571992110438</v>
      </c>
      <c r="P147" s="137">
        <f t="shared" si="5"/>
        <v>3.3530571992110438</v>
      </c>
      <c r="Q147" s="126">
        <v>6</v>
      </c>
      <c r="R147" t="s">
        <v>521</v>
      </c>
      <c r="S147" t="str">
        <f>IF($W147&lt;&gt;"NAO ACEITO","",COUNTIFS($W$2:$W147,"NAO ACEITO"))</f>
        <v/>
      </c>
      <c r="T147" t="str">
        <f>IF($B147="","",IF(COUNTIF($B$2:$B147,$B147)=1,MAX($T$1:$T146)+1,""))</f>
        <v/>
      </c>
      <c r="U147">
        <f>IF($D147="","",IF(COUNTIF($D$2:$D147,$D147)=1,MAX($U$1:$U146)+1,""))</f>
        <v>30</v>
      </c>
      <c r="V147">
        <f>IF($D147="","",IF(COUNTIFS($B$2:$B147,$B147,$D$2:$D147,$D147)=1,1,0))</f>
        <v>1</v>
      </c>
      <c r="W147" t="str">
        <f>IF($D147="","",mEQA.PadronizarStatus($L147))</f>
        <v>ACEITO</v>
      </c>
      <c r="X147" t="str">
        <f>IF(OR($D147="",$W147&lt;&gt;"NAO ACEITO"),"",IF(COUNTIFS($D$2:$D147,$D147,$W$2:$W147,"NAO ACEITO")=1,1,0))</f>
        <v/>
      </c>
    </row>
    <row r="148" spans="1:24" x14ac:dyDescent="0.3">
      <c r="A148" t="s">
        <v>402</v>
      </c>
      <c r="B148" t="s">
        <v>497</v>
      </c>
      <c r="C148" s="126">
        <v>2025</v>
      </c>
      <c r="D148" t="s">
        <v>496</v>
      </c>
      <c r="E148" t="s">
        <v>500</v>
      </c>
      <c r="F148" s="137">
        <v>5.9</v>
      </c>
      <c r="G148" s="138">
        <v>6.02</v>
      </c>
      <c r="H148" s="138">
        <v>0.14000000000000001</v>
      </c>
      <c r="I148" s="139">
        <v>-0.8</v>
      </c>
      <c r="J148" s="137">
        <v>5.4</v>
      </c>
      <c r="K148" s="137">
        <v>6.7</v>
      </c>
      <c r="L148" t="s">
        <v>499</v>
      </c>
      <c r="M148" s="126">
        <v>353</v>
      </c>
      <c r="N148" t="s">
        <v>112</v>
      </c>
      <c r="O148" s="137">
        <f t="shared" si="4"/>
        <v>-1.9933554817275618</v>
      </c>
      <c r="P148" s="137">
        <f t="shared" si="5"/>
        <v>1.9933554817275618</v>
      </c>
      <c r="Q148" s="126">
        <v>6</v>
      </c>
      <c r="R148" t="s">
        <v>521</v>
      </c>
      <c r="S148" t="str">
        <f>IF($W148&lt;&gt;"NAO ACEITO","",COUNTIFS($W$2:$W148,"NAO ACEITO"))</f>
        <v/>
      </c>
      <c r="T148" t="str">
        <f>IF($B148="","",IF(COUNTIF($B$2:$B148,$B148)=1,MAX($T$1:$T147)+1,""))</f>
        <v/>
      </c>
      <c r="U148" t="str">
        <f>IF($D148="","",IF(COUNTIF($D$2:$D148,$D148)=1,MAX($U$1:$U147)+1,""))</f>
        <v/>
      </c>
      <c r="V148">
        <f>IF($D148="","",IF(COUNTIFS($B$2:$B148,$B148,$D$2:$D148,$D148)=1,1,0))</f>
        <v>0</v>
      </c>
      <c r="W148" t="str">
        <f>IF($D148="","",mEQA.PadronizarStatus($L148))</f>
        <v>ACEITO</v>
      </c>
      <c r="X148" t="str">
        <f>IF(OR($D148="",$W148&lt;&gt;"NAO ACEITO"),"",IF(COUNTIFS($D$2:$D148,$D148,$W$2:$W148,"NAO ACEITO")=1,1,0))</f>
        <v/>
      </c>
    </row>
    <row r="149" spans="1:24" x14ac:dyDescent="0.3">
      <c r="A149" t="s">
        <v>402</v>
      </c>
      <c r="B149" t="s">
        <v>497</v>
      </c>
      <c r="C149" s="126">
        <v>2025</v>
      </c>
      <c r="D149" t="s">
        <v>496</v>
      </c>
      <c r="E149" t="s">
        <v>501</v>
      </c>
      <c r="F149" s="137">
        <v>5.5</v>
      </c>
      <c r="G149" s="138">
        <v>5.61</v>
      </c>
      <c r="H149" s="138">
        <v>0.14000000000000001</v>
      </c>
      <c r="I149" s="139">
        <v>-0.8</v>
      </c>
      <c r="J149" s="137">
        <v>5</v>
      </c>
      <c r="K149" s="137">
        <v>6.2</v>
      </c>
      <c r="L149" t="s">
        <v>499</v>
      </c>
      <c r="M149" s="126">
        <v>353</v>
      </c>
      <c r="N149" t="s">
        <v>112</v>
      </c>
      <c r="O149" s="137">
        <f t="shared" si="4"/>
        <v>-1.9607843137254957</v>
      </c>
      <c r="P149" s="137">
        <f t="shared" si="5"/>
        <v>1.9607843137254957</v>
      </c>
      <c r="Q149" s="126">
        <v>6</v>
      </c>
      <c r="R149" t="s">
        <v>521</v>
      </c>
      <c r="S149" t="str">
        <f>IF($W149&lt;&gt;"NAO ACEITO","",COUNTIFS($W$2:$W149,"NAO ACEITO"))</f>
        <v/>
      </c>
      <c r="T149" t="str">
        <f>IF($B149="","",IF(COUNTIF($B$2:$B149,$B149)=1,MAX($T$1:$T148)+1,""))</f>
        <v/>
      </c>
      <c r="U149" t="str">
        <f>IF($D149="","",IF(COUNTIF($D$2:$D149,$D149)=1,MAX($U$1:$U148)+1,""))</f>
        <v/>
      </c>
      <c r="V149">
        <f>IF($D149="","",IF(COUNTIFS($B$2:$B149,$B149,$D$2:$D149,$D149)=1,1,0))</f>
        <v>0</v>
      </c>
      <c r="W149" t="str">
        <f>IF($D149="","",mEQA.PadronizarStatus($L149))</f>
        <v>ACEITO</v>
      </c>
      <c r="X149" t="str">
        <f>IF(OR($D149="",$W149&lt;&gt;"NAO ACEITO"),"",IF(COUNTIFS($D$2:$D149,$D149,$W$2:$W149,"NAO ACEITO")=1,1,0))</f>
        <v/>
      </c>
    </row>
    <row r="150" spans="1:24" x14ac:dyDescent="0.3">
      <c r="A150" t="s">
        <v>402</v>
      </c>
      <c r="B150" t="s">
        <v>497</v>
      </c>
      <c r="C150" s="126">
        <v>2025</v>
      </c>
      <c r="D150" t="s">
        <v>496</v>
      </c>
      <c r="E150" t="s">
        <v>502</v>
      </c>
      <c r="F150" s="137">
        <v>10.9</v>
      </c>
      <c r="G150" s="138">
        <v>11.01</v>
      </c>
      <c r="H150" s="138">
        <v>0.25</v>
      </c>
      <c r="I150" s="139">
        <v>-0.5</v>
      </c>
      <c r="J150" s="137">
        <v>9.9</v>
      </c>
      <c r="K150" s="137">
        <v>12.2</v>
      </c>
      <c r="L150" t="s">
        <v>499</v>
      </c>
      <c r="M150" s="126">
        <v>343</v>
      </c>
      <c r="N150" t="s">
        <v>112</v>
      </c>
      <c r="O150" s="137">
        <f t="shared" si="4"/>
        <v>-0.99909173478655244</v>
      </c>
      <c r="P150" s="137">
        <f t="shared" si="5"/>
        <v>0.99909173478655244</v>
      </c>
      <c r="Q150" s="126">
        <v>6</v>
      </c>
      <c r="R150" t="s">
        <v>521</v>
      </c>
      <c r="S150" t="str">
        <f>IF($W150&lt;&gt;"NAO ACEITO","",COUNTIFS($W$2:$W150,"NAO ACEITO"))</f>
        <v/>
      </c>
      <c r="T150" t="str">
        <f>IF($B150="","",IF(COUNTIF($B$2:$B150,$B150)=1,MAX($T$1:$T149)+1,""))</f>
        <v/>
      </c>
      <c r="U150" t="str">
        <f>IF($D150="","",IF(COUNTIF($D$2:$D150,$D150)=1,MAX($U$1:$U149)+1,""))</f>
        <v/>
      </c>
      <c r="V150">
        <f>IF($D150="","",IF(COUNTIFS($B$2:$B150,$B150,$D$2:$D150,$D150)=1,1,0))</f>
        <v>0</v>
      </c>
      <c r="W150" t="str">
        <f>IF($D150="","",mEQA.PadronizarStatus($L150))</f>
        <v>ACEITO</v>
      </c>
      <c r="X150" t="str">
        <f>IF(OR($D150="",$W150&lt;&gt;"NAO ACEITO"),"",IF(COUNTIFS($D$2:$D150,$D150,$W$2:$W150,"NAO ACEITO")=1,1,0))</f>
        <v/>
      </c>
    </row>
    <row r="151" spans="1:24" x14ac:dyDescent="0.3">
      <c r="A151" t="s">
        <v>402</v>
      </c>
      <c r="B151" t="s">
        <v>497</v>
      </c>
      <c r="C151" s="126">
        <v>2025</v>
      </c>
      <c r="D151" t="s">
        <v>496</v>
      </c>
      <c r="E151" t="s">
        <v>503</v>
      </c>
      <c r="F151" s="137">
        <v>1.8</v>
      </c>
      <c r="G151" s="138">
        <v>1.86</v>
      </c>
      <c r="H151" s="138">
        <v>0.13</v>
      </c>
      <c r="I151" s="139">
        <v>-0.4</v>
      </c>
      <c r="J151" s="137">
        <v>1.6</v>
      </c>
      <c r="K151" s="137">
        <v>2.1</v>
      </c>
      <c r="L151" t="s">
        <v>499</v>
      </c>
      <c r="M151" s="126">
        <v>354</v>
      </c>
      <c r="N151" t="s">
        <v>112</v>
      </c>
      <c r="O151" s="137">
        <f t="shared" si="4"/>
        <v>-3.2258064516129057</v>
      </c>
      <c r="P151" s="137">
        <f t="shared" si="5"/>
        <v>3.2258064516129057</v>
      </c>
      <c r="Q151" s="126">
        <v>6</v>
      </c>
      <c r="R151" t="s">
        <v>521</v>
      </c>
      <c r="S151" t="str">
        <f>IF($W151&lt;&gt;"NAO ACEITO","",COUNTIFS($W$2:$W151,"NAO ACEITO"))</f>
        <v/>
      </c>
      <c r="T151" t="str">
        <f>IF($B151="","",IF(COUNTIF($B$2:$B151,$B151)=1,MAX($T$1:$T150)+1,""))</f>
        <v/>
      </c>
      <c r="U151" t="str">
        <f>IF($D151="","",IF(COUNTIF($D$2:$D151,$D151)=1,MAX($U$1:$U150)+1,""))</f>
        <v/>
      </c>
      <c r="V151">
        <f>IF($D151="","",IF(COUNTIFS($B$2:$B151,$B151,$D$2:$D151,$D151)=1,1,0))</f>
        <v>0</v>
      </c>
      <c r="W151" t="str">
        <f>IF($D151="","",mEQA.PadronizarStatus($L151))</f>
        <v>ACEITO</v>
      </c>
      <c r="X151" t="str">
        <f>IF(OR($D151="",$W151&lt;&gt;"NAO ACEITO"),"",IF(COUNTIFS($D$2:$D151,$D151,$W$2:$W151,"NAO ACEITO")=1,1,0))</f>
        <v/>
      </c>
    </row>
    <row r="152" spans="1:24" x14ac:dyDescent="0.3">
      <c r="A152" t="s">
        <v>402</v>
      </c>
      <c r="B152" t="s">
        <v>507</v>
      </c>
      <c r="C152" s="126">
        <v>2025</v>
      </c>
      <c r="D152" t="s">
        <v>467</v>
      </c>
      <c r="E152" t="s">
        <v>508</v>
      </c>
      <c r="F152" s="137">
        <v>177</v>
      </c>
      <c r="G152" s="138">
        <v>174.7</v>
      </c>
      <c r="H152" s="138">
        <v>3.6</v>
      </c>
      <c r="I152" s="139">
        <v>0.6</v>
      </c>
      <c r="J152" s="137">
        <v>148</v>
      </c>
      <c r="K152" s="137">
        <v>201</v>
      </c>
      <c r="L152" t="s">
        <v>499</v>
      </c>
      <c r="M152" s="126">
        <v>316</v>
      </c>
      <c r="N152" t="s">
        <v>123</v>
      </c>
      <c r="O152" s="137">
        <f t="shared" si="4"/>
        <v>1.3165426445334927</v>
      </c>
      <c r="P152" s="137">
        <f t="shared" si="5"/>
        <v>1.3165426445334927</v>
      </c>
      <c r="Q152" s="126">
        <v>6</v>
      </c>
      <c r="R152" t="s">
        <v>522</v>
      </c>
      <c r="S152" t="str">
        <f>IF($W152&lt;&gt;"NAO ACEITO","",COUNTIFS($W$2:$W152,"NAO ACEITO"))</f>
        <v/>
      </c>
      <c r="T152">
        <f>IF($B152="","",IF(COUNTIF($B$2:$B152,$B152)=1,MAX($T$1:$T151)+1,""))</f>
        <v>2</v>
      </c>
      <c r="U152" t="str">
        <f>IF($D152="","",IF(COUNTIF($D$2:$D152,$D152)=1,MAX($U$1:$U151)+1,""))</f>
        <v/>
      </c>
      <c r="V152">
        <f>IF($D152="","",IF(COUNTIFS($B$2:$B152,$B152,$D$2:$D152,$D152)=1,1,0))</f>
        <v>1</v>
      </c>
      <c r="W152" t="str">
        <f>IF($D152="","",mEQA.PadronizarStatus($L152))</f>
        <v>ACEITO</v>
      </c>
      <c r="X152" t="str">
        <f>IF(OR($D152="",$W152&lt;&gt;"NAO ACEITO"),"",IF(COUNTIFS($D$2:$D152,$D152,$W$2:$W152,"NAO ACEITO")=1,1,0))</f>
        <v/>
      </c>
    </row>
    <row r="153" spans="1:24" x14ac:dyDescent="0.3">
      <c r="A153" t="s">
        <v>402</v>
      </c>
      <c r="B153" t="s">
        <v>507</v>
      </c>
      <c r="C153" s="126">
        <v>2025</v>
      </c>
      <c r="D153" t="s">
        <v>467</v>
      </c>
      <c r="E153" t="s">
        <v>509</v>
      </c>
      <c r="F153" s="137">
        <v>12</v>
      </c>
      <c r="G153" s="138">
        <v>11.4</v>
      </c>
      <c r="H153" s="138">
        <v>1.9</v>
      </c>
      <c r="I153" s="139">
        <v>0.3</v>
      </c>
      <c r="J153" s="137">
        <v>5</v>
      </c>
      <c r="K153" s="137">
        <v>18</v>
      </c>
      <c r="L153" t="s">
        <v>499</v>
      </c>
      <c r="M153" s="126">
        <v>311</v>
      </c>
      <c r="N153" t="s">
        <v>123</v>
      </c>
      <c r="O153" s="137">
        <f t="shared" si="4"/>
        <v>5.2631578947368389</v>
      </c>
      <c r="P153" s="137">
        <f t="shared" si="5"/>
        <v>5.2631578947368389</v>
      </c>
      <c r="Q153" s="126">
        <v>6</v>
      </c>
      <c r="R153" t="s">
        <v>522</v>
      </c>
      <c r="S153" t="str">
        <f>IF($W153&lt;&gt;"NAO ACEITO","",COUNTIFS($W$2:$W153,"NAO ACEITO"))</f>
        <v/>
      </c>
      <c r="T153" t="str">
        <f>IF($B153="","",IF(COUNTIF($B$2:$B153,$B153)=1,MAX($T$1:$T152)+1,""))</f>
        <v/>
      </c>
      <c r="U153" t="str">
        <f>IF($D153="","",IF(COUNTIF($D$2:$D153,$D153)=1,MAX($U$1:$U152)+1,""))</f>
        <v/>
      </c>
      <c r="V153">
        <f>IF($D153="","",IF(COUNTIFS($B$2:$B153,$B153,$D$2:$D153,$D153)=1,1,0))</f>
        <v>0</v>
      </c>
      <c r="W153" t="str">
        <f>IF($D153="","",mEQA.PadronizarStatus($L153))</f>
        <v>ACEITO</v>
      </c>
      <c r="X153" t="str">
        <f>IF(OR($D153="",$W153&lt;&gt;"NAO ACEITO"),"",IF(COUNTIFS($D$2:$D153,$D153,$W$2:$W153,"NAO ACEITO")=1,1,0))</f>
        <v/>
      </c>
    </row>
    <row r="154" spans="1:24" x14ac:dyDescent="0.3">
      <c r="A154" t="s">
        <v>402</v>
      </c>
      <c r="B154" t="s">
        <v>507</v>
      </c>
      <c r="C154" s="126">
        <v>2025</v>
      </c>
      <c r="D154" t="s">
        <v>467</v>
      </c>
      <c r="E154" t="s">
        <v>510</v>
      </c>
      <c r="F154" s="137">
        <v>148</v>
      </c>
      <c r="G154" s="138">
        <v>147.6</v>
      </c>
      <c r="H154" s="138">
        <v>3.7</v>
      </c>
      <c r="I154" s="139">
        <v>0.1</v>
      </c>
      <c r="J154" s="137">
        <v>125</v>
      </c>
      <c r="K154" s="137">
        <v>170</v>
      </c>
      <c r="L154" t="s">
        <v>499</v>
      </c>
      <c r="M154" s="126">
        <v>314</v>
      </c>
      <c r="N154" t="s">
        <v>123</v>
      </c>
      <c r="O154" s="137">
        <f t="shared" si="4"/>
        <v>0.27100271002710413</v>
      </c>
      <c r="P154" s="137">
        <f t="shared" si="5"/>
        <v>0.27100271002710413</v>
      </c>
      <c r="Q154" s="126">
        <v>6</v>
      </c>
      <c r="R154" t="s">
        <v>522</v>
      </c>
      <c r="S154" t="str">
        <f>IF($W154&lt;&gt;"NAO ACEITO","",COUNTIFS($W$2:$W154,"NAO ACEITO"))</f>
        <v/>
      </c>
      <c r="T154" t="str">
        <f>IF($B154="","",IF(COUNTIF($B$2:$B154,$B154)=1,MAX($T$1:$T153)+1,""))</f>
        <v/>
      </c>
      <c r="U154" t="str">
        <f>IF($D154="","",IF(COUNTIF($D$2:$D154,$D154)=1,MAX($U$1:$U153)+1,""))</f>
        <v/>
      </c>
      <c r="V154">
        <f>IF($D154="","",IF(COUNTIFS($B$2:$B154,$B154,$D$2:$D154,$D154)=1,1,0))</f>
        <v>0</v>
      </c>
      <c r="W154" t="str">
        <f>IF($D154="","",mEQA.PadronizarStatus($L154))</f>
        <v>ACEITO</v>
      </c>
      <c r="X154" t="str">
        <f>IF(OR($D154="",$W154&lt;&gt;"NAO ACEITO"),"",IF(COUNTIFS($D$2:$D154,$D154,$W$2:$W154,"NAO ACEITO")=1,1,0))</f>
        <v/>
      </c>
    </row>
    <row r="155" spans="1:24" x14ac:dyDescent="0.3">
      <c r="A155" t="s">
        <v>402</v>
      </c>
      <c r="B155" t="s">
        <v>507</v>
      </c>
      <c r="C155" s="126">
        <v>2025</v>
      </c>
      <c r="D155" t="s">
        <v>467</v>
      </c>
      <c r="E155" t="s">
        <v>511</v>
      </c>
      <c r="F155" s="137">
        <v>33</v>
      </c>
      <c r="G155" s="138">
        <v>38.799999999999997</v>
      </c>
      <c r="H155" s="138">
        <v>2.2000000000000002</v>
      </c>
      <c r="I155" s="139">
        <v>-2.7</v>
      </c>
      <c r="J155" s="137">
        <v>32</v>
      </c>
      <c r="K155" s="137">
        <v>45</v>
      </c>
      <c r="L155" t="s">
        <v>499</v>
      </c>
      <c r="M155" s="126">
        <v>311</v>
      </c>
      <c r="N155" t="s">
        <v>123</v>
      </c>
      <c r="O155" s="137">
        <f t="shared" si="4"/>
        <v>-14.948453608247418</v>
      </c>
      <c r="P155" s="137">
        <f t="shared" si="5"/>
        <v>14.948453608247418</v>
      </c>
      <c r="Q155" s="126">
        <v>6</v>
      </c>
      <c r="R155" t="s">
        <v>522</v>
      </c>
      <c r="S155" t="str">
        <f>IF($W155&lt;&gt;"NAO ACEITO","",COUNTIFS($W$2:$W155,"NAO ACEITO"))</f>
        <v/>
      </c>
      <c r="T155" t="str">
        <f>IF($B155="","",IF(COUNTIF($B$2:$B155,$B155)=1,MAX($T$1:$T154)+1,""))</f>
        <v/>
      </c>
      <c r="U155" t="str">
        <f>IF($D155="","",IF(COUNTIF($D$2:$D155,$D155)=1,MAX($U$1:$U154)+1,""))</f>
        <v/>
      </c>
      <c r="V155">
        <f>IF($D155="","",IF(COUNTIFS($B$2:$B155,$B155,$D$2:$D155,$D155)=1,1,0))</f>
        <v>0</v>
      </c>
      <c r="W155" t="str">
        <f>IF($D155="","",mEQA.PadronizarStatus($L155))</f>
        <v>ACEITO</v>
      </c>
      <c r="X155" t="str">
        <f>IF(OR($D155="",$W155&lt;&gt;"NAO ACEITO"),"",IF(COUNTIFS($D$2:$D155,$D155,$W$2:$W155,"NAO ACEITO")=1,1,0))</f>
        <v/>
      </c>
    </row>
    <row r="156" spans="1:24" x14ac:dyDescent="0.3">
      <c r="A156" t="s">
        <v>402</v>
      </c>
      <c r="B156" t="s">
        <v>507</v>
      </c>
      <c r="C156" s="126">
        <v>2025</v>
      </c>
      <c r="D156" t="s">
        <v>467</v>
      </c>
      <c r="E156" t="s">
        <v>512</v>
      </c>
      <c r="F156" s="137">
        <v>120</v>
      </c>
      <c r="G156" s="138">
        <v>120.3</v>
      </c>
      <c r="H156" s="138">
        <v>3.2</v>
      </c>
      <c r="I156" s="139">
        <v>-0.1</v>
      </c>
      <c r="J156" s="137">
        <v>102</v>
      </c>
      <c r="K156" s="137">
        <v>139</v>
      </c>
      <c r="L156" t="s">
        <v>499</v>
      </c>
      <c r="M156" s="126">
        <v>315</v>
      </c>
      <c r="N156" t="s">
        <v>123</v>
      </c>
      <c r="O156" s="137">
        <f t="shared" si="4"/>
        <v>-0.24937655860348892</v>
      </c>
      <c r="P156" s="137">
        <f t="shared" si="5"/>
        <v>0.24937655860348892</v>
      </c>
      <c r="Q156" s="126">
        <v>6</v>
      </c>
      <c r="R156" t="s">
        <v>522</v>
      </c>
      <c r="S156" t="str">
        <f>IF($W156&lt;&gt;"NAO ACEITO","",COUNTIFS($W$2:$W156,"NAO ACEITO"))</f>
        <v/>
      </c>
      <c r="T156" t="str">
        <f>IF($B156="","",IF(COUNTIF($B$2:$B156,$B156)=1,MAX($T$1:$T155)+1,""))</f>
        <v/>
      </c>
      <c r="U156" t="str">
        <f>IF($D156="","",IF(COUNTIF($D$2:$D156,$D156)=1,MAX($U$1:$U155)+1,""))</f>
        <v/>
      </c>
      <c r="V156">
        <f>IF($D156="","",IF(COUNTIFS($B$2:$B156,$B156,$D$2:$D156,$D156)=1,1,0))</f>
        <v>0</v>
      </c>
      <c r="W156" t="str">
        <f>IF($D156="","",mEQA.PadronizarStatus($L156))</f>
        <v>ACEITO</v>
      </c>
      <c r="X156" t="str">
        <f>IF(OR($D156="",$W156&lt;&gt;"NAO ACEITO"),"",IF(COUNTIFS($D$2:$D156,$D156,$W$2:$W156,"NAO ACEITO")=1,1,0))</f>
        <v/>
      </c>
    </row>
    <row r="157" spans="1:24" x14ac:dyDescent="0.3">
      <c r="A157" t="s">
        <v>402</v>
      </c>
      <c r="B157" t="s">
        <v>507</v>
      </c>
      <c r="C157" s="126">
        <v>2025</v>
      </c>
      <c r="D157" t="s">
        <v>468</v>
      </c>
      <c r="E157" t="s">
        <v>508</v>
      </c>
      <c r="F157" s="137">
        <v>236</v>
      </c>
      <c r="G157" s="138">
        <v>228.5</v>
      </c>
      <c r="H157" s="138">
        <v>5.6</v>
      </c>
      <c r="I157" s="139">
        <v>1.3</v>
      </c>
      <c r="J157" s="137">
        <v>194</v>
      </c>
      <c r="K157" s="137">
        <v>263</v>
      </c>
      <c r="L157" t="s">
        <v>499</v>
      </c>
      <c r="M157" s="126">
        <v>323</v>
      </c>
      <c r="N157" t="s">
        <v>123</v>
      </c>
      <c r="O157" s="137">
        <f t="shared" si="4"/>
        <v>3.2822757111597372</v>
      </c>
      <c r="P157" s="137">
        <f t="shared" si="5"/>
        <v>3.2822757111597372</v>
      </c>
      <c r="Q157" s="126">
        <v>7</v>
      </c>
      <c r="R157" t="s">
        <v>522</v>
      </c>
      <c r="S157" t="str">
        <f>IF($W157&lt;&gt;"NAO ACEITO","",COUNTIFS($W$2:$W157,"NAO ACEITO"))</f>
        <v/>
      </c>
      <c r="T157" t="str">
        <f>IF($B157="","",IF(COUNTIF($B$2:$B157,$B157)=1,MAX($T$1:$T156)+1,""))</f>
        <v/>
      </c>
      <c r="U157" t="str">
        <f>IF($D157="","",IF(COUNTIF($D$2:$D157,$D157)=1,MAX($U$1:$U156)+1,""))</f>
        <v/>
      </c>
      <c r="V157">
        <f>IF($D157="","",IF(COUNTIFS($B$2:$B157,$B157,$D$2:$D157,$D157)=1,1,0))</f>
        <v>1</v>
      </c>
      <c r="W157" t="str">
        <f>IF($D157="","",mEQA.PadronizarStatus($L157))</f>
        <v>ACEITO</v>
      </c>
      <c r="X157" t="str">
        <f>IF(OR($D157="",$W157&lt;&gt;"NAO ACEITO"),"",IF(COUNTIFS($D$2:$D157,$D157,$W$2:$W157,"NAO ACEITO")=1,1,0))</f>
        <v/>
      </c>
    </row>
    <row r="158" spans="1:24" x14ac:dyDescent="0.3">
      <c r="A158" t="s">
        <v>402</v>
      </c>
      <c r="B158" t="s">
        <v>507</v>
      </c>
      <c r="C158" s="126">
        <v>2025</v>
      </c>
      <c r="D158" t="s">
        <v>468</v>
      </c>
      <c r="E158" t="s">
        <v>509</v>
      </c>
      <c r="F158" s="137">
        <v>11</v>
      </c>
      <c r="G158" s="138">
        <v>8.3000000000000007</v>
      </c>
      <c r="H158" s="138">
        <v>1.5</v>
      </c>
      <c r="I158" s="139">
        <v>1.8</v>
      </c>
      <c r="J158" s="137">
        <v>2</v>
      </c>
      <c r="K158" s="137">
        <v>15</v>
      </c>
      <c r="L158" t="s">
        <v>499</v>
      </c>
      <c r="M158" s="126">
        <v>308</v>
      </c>
      <c r="N158" t="s">
        <v>123</v>
      </c>
      <c r="O158" s="137">
        <f t="shared" si="4"/>
        <v>32.530120481927696</v>
      </c>
      <c r="P158" s="137">
        <f t="shared" si="5"/>
        <v>32.530120481927696</v>
      </c>
      <c r="Q158" s="126">
        <v>7</v>
      </c>
      <c r="R158" t="s">
        <v>522</v>
      </c>
      <c r="S158" t="str">
        <f>IF($W158&lt;&gt;"NAO ACEITO","",COUNTIFS($W$2:$W158,"NAO ACEITO"))</f>
        <v/>
      </c>
      <c r="T158" t="str">
        <f>IF($B158="","",IF(COUNTIF($B$2:$B158,$B158)=1,MAX($T$1:$T157)+1,""))</f>
        <v/>
      </c>
      <c r="U158" t="str">
        <f>IF($D158="","",IF(COUNTIF($D$2:$D158,$D158)=1,MAX($U$1:$U157)+1,""))</f>
        <v/>
      </c>
      <c r="V158">
        <f>IF($D158="","",IF(COUNTIFS($B$2:$B158,$B158,$D$2:$D158,$D158)=1,1,0))</f>
        <v>0</v>
      </c>
      <c r="W158" t="str">
        <f>IF($D158="","",mEQA.PadronizarStatus($L158))</f>
        <v>ACEITO</v>
      </c>
      <c r="X158" t="str">
        <f>IF(OR($D158="",$W158&lt;&gt;"NAO ACEITO"),"",IF(COUNTIFS($D$2:$D158,$D158,$W$2:$W158,"NAO ACEITO")=1,1,0))</f>
        <v/>
      </c>
    </row>
    <row r="159" spans="1:24" x14ac:dyDescent="0.3">
      <c r="A159" t="s">
        <v>402</v>
      </c>
      <c r="B159" t="s">
        <v>507</v>
      </c>
      <c r="C159" s="126">
        <v>2025</v>
      </c>
      <c r="D159" t="s">
        <v>468</v>
      </c>
      <c r="E159" t="s">
        <v>510</v>
      </c>
      <c r="F159" s="137">
        <v>190</v>
      </c>
      <c r="G159" s="138">
        <v>186.8</v>
      </c>
      <c r="H159" s="138">
        <v>4.9000000000000004</v>
      </c>
      <c r="I159" s="139">
        <v>0.7</v>
      </c>
      <c r="J159" s="137">
        <v>158</v>
      </c>
      <c r="K159" s="137">
        <v>215</v>
      </c>
      <c r="L159" t="s">
        <v>499</v>
      </c>
      <c r="M159" s="126">
        <v>321</v>
      </c>
      <c r="N159" t="s">
        <v>123</v>
      </c>
      <c r="O159" s="137">
        <f t="shared" si="4"/>
        <v>1.7130620985010645</v>
      </c>
      <c r="P159" s="137">
        <f t="shared" si="5"/>
        <v>1.7130620985010645</v>
      </c>
      <c r="Q159" s="126">
        <v>7</v>
      </c>
      <c r="R159" t="s">
        <v>522</v>
      </c>
      <c r="S159" t="str">
        <f>IF($W159&lt;&gt;"NAO ACEITO","",COUNTIFS($W$2:$W159,"NAO ACEITO"))</f>
        <v/>
      </c>
      <c r="T159" t="str">
        <f>IF($B159="","",IF(COUNTIF($B$2:$B159,$B159)=1,MAX($T$1:$T158)+1,""))</f>
        <v/>
      </c>
      <c r="U159" t="str">
        <f>IF($D159="","",IF(COUNTIF($D$2:$D159,$D159)=1,MAX($U$1:$U158)+1,""))</f>
        <v/>
      </c>
      <c r="V159">
        <f>IF($D159="","",IF(COUNTIFS($B$2:$B159,$B159,$D$2:$D159,$D159)=1,1,0))</f>
        <v>0</v>
      </c>
      <c r="W159" t="str">
        <f>IF($D159="","",mEQA.PadronizarStatus($L159))</f>
        <v>ACEITO</v>
      </c>
      <c r="X159" t="str">
        <f>IF(OR($D159="",$W159&lt;&gt;"NAO ACEITO"),"",IF(COUNTIFS($D$2:$D159,$D159,$W$2:$W159,"NAO ACEITO")=1,1,0))</f>
        <v/>
      </c>
    </row>
    <row r="160" spans="1:24" x14ac:dyDescent="0.3">
      <c r="A160" t="s">
        <v>402</v>
      </c>
      <c r="B160" t="s">
        <v>507</v>
      </c>
      <c r="C160" s="126">
        <v>2025</v>
      </c>
      <c r="D160" t="s">
        <v>468</v>
      </c>
      <c r="E160" t="s">
        <v>511</v>
      </c>
      <c r="F160" s="137">
        <v>45</v>
      </c>
      <c r="G160" s="138">
        <v>40.1</v>
      </c>
      <c r="H160" s="138">
        <v>2.2999999999999998</v>
      </c>
      <c r="I160" s="139">
        <v>2.2000000000000002</v>
      </c>
      <c r="J160" s="137">
        <v>34</v>
      </c>
      <c r="K160" s="137">
        <v>47</v>
      </c>
      <c r="L160" t="s">
        <v>499</v>
      </c>
      <c r="M160" s="126">
        <v>323</v>
      </c>
      <c r="N160" t="s">
        <v>123</v>
      </c>
      <c r="O160" s="137">
        <f t="shared" si="4"/>
        <v>12.219451371571068</v>
      </c>
      <c r="P160" s="137">
        <f t="shared" si="5"/>
        <v>12.219451371571068</v>
      </c>
      <c r="Q160" s="126">
        <v>7</v>
      </c>
      <c r="R160" t="s">
        <v>522</v>
      </c>
      <c r="S160" t="str">
        <f>IF($W160&lt;&gt;"NAO ACEITO","",COUNTIFS($W$2:$W160,"NAO ACEITO"))</f>
        <v/>
      </c>
      <c r="T160" t="str">
        <f>IF($B160="","",IF(COUNTIF($B$2:$B160,$B160)=1,MAX($T$1:$T159)+1,""))</f>
        <v/>
      </c>
      <c r="U160" t="str">
        <f>IF($D160="","",IF(COUNTIF($D$2:$D160,$D160)=1,MAX($U$1:$U159)+1,""))</f>
        <v/>
      </c>
      <c r="V160">
        <f>IF($D160="","",IF(COUNTIFS($B$2:$B160,$B160,$D$2:$D160,$D160)=1,1,0))</f>
        <v>0</v>
      </c>
      <c r="W160" t="str">
        <f>IF($D160="","",mEQA.PadronizarStatus($L160))</f>
        <v>ACEITO</v>
      </c>
      <c r="X160" t="str">
        <f>IF(OR($D160="",$W160&lt;&gt;"NAO ACEITO"),"",IF(COUNTIFS($D$2:$D160,$D160,$W$2:$W160,"NAO ACEITO")=1,1,0))</f>
        <v/>
      </c>
    </row>
    <row r="161" spans="1:24" x14ac:dyDescent="0.3">
      <c r="A161" t="s">
        <v>402</v>
      </c>
      <c r="B161" t="s">
        <v>507</v>
      </c>
      <c r="C161" s="126">
        <v>2025</v>
      </c>
      <c r="D161" t="s">
        <v>468</v>
      </c>
      <c r="E161" t="s">
        <v>512</v>
      </c>
      <c r="F161" s="137">
        <v>151</v>
      </c>
      <c r="G161" s="138">
        <v>144.5</v>
      </c>
      <c r="H161" s="138">
        <v>4.3</v>
      </c>
      <c r="I161" s="139">
        <v>1.5</v>
      </c>
      <c r="J161" s="137">
        <v>122</v>
      </c>
      <c r="K161" s="137">
        <v>167</v>
      </c>
      <c r="L161" t="s">
        <v>499</v>
      </c>
      <c r="M161" s="126">
        <v>324</v>
      </c>
      <c r="N161" t="s">
        <v>123</v>
      </c>
      <c r="O161" s="137">
        <f t="shared" si="4"/>
        <v>4.4982698961937722</v>
      </c>
      <c r="P161" s="137">
        <f t="shared" si="5"/>
        <v>4.4982698961937722</v>
      </c>
      <c r="Q161" s="126">
        <v>7</v>
      </c>
      <c r="R161" t="s">
        <v>522</v>
      </c>
      <c r="S161" t="str">
        <f>IF($W161&lt;&gt;"NAO ACEITO","",COUNTIFS($W$2:$W161,"NAO ACEITO"))</f>
        <v/>
      </c>
      <c r="T161" t="str">
        <f>IF($B161="","",IF(COUNTIF($B$2:$B161,$B161)=1,MAX($T$1:$T160)+1,""))</f>
        <v/>
      </c>
      <c r="U161" t="str">
        <f>IF($D161="","",IF(COUNTIF($D$2:$D161,$D161)=1,MAX($U$1:$U160)+1,""))</f>
        <v/>
      </c>
      <c r="V161">
        <f>IF($D161="","",IF(COUNTIFS($B$2:$B161,$B161,$D$2:$D161,$D161)=1,1,0))</f>
        <v>0</v>
      </c>
      <c r="W161" t="str">
        <f>IF($D161="","",mEQA.PadronizarStatus($L161))</f>
        <v>ACEITO</v>
      </c>
      <c r="X161" t="str">
        <f>IF(OR($D161="",$W161&lt;&gt;"NAO ACEITO"),"",IF(COUNTIFS($D$2:$D161,$D161,$W$2:$W161,"NAO ACEITO")=1,1,0))</f>
        <v/>
      </c>
    </row>
    <row r="162" spans="1:24" x14ac:dyDescent="0.3">
      <c r="A162" t="s">
        <v>402</v>
      </c>
      <c r="B162" t="s">
        <v>507</v>
      </c>
      <c r="C162" s="126">
        <v>2025</v>
      </c>
      <c r="D162" t="s">
        <v>469</v>
      </c>
      <c r="E162" t="s">
        <v>508</v>
      </c>
      <c r="F162" s="137">
        <v>2</v>
      </c>
      <c r="G162" s="138">
        <v>2.0099999999999998</v>
      </c>
      <c r="H162" s="138">
        <v>0.05</v>
      </c>
      <c r="I162" s="139">
        <v>-0.2</v>
      </c>
      <c r="J162" s="137">
        <v>1.8</v>
      </c>
      <c r="K162" s="137">
        <v>2.2000000000000002</v>
      </c>
      <c r="L162" t="s">
        <v>499</v>
      </c>
      <c r="M162" s="126">
        <v>419</v>
      </c>
      <c r="N162" t="s">
        <v>129</v>
      </c>
      <c r="O162" s="137">
        <f t="shared" si="4"/>
        <v>-0.49751243781093468</v>
      </c>
      <c r="P162" s="137">
        <f t="shared" si="5"/>
        <v>0.49751243781093468</v>
      </c>
      <c r="Q162" s="126">
        <v>6</v>
      </c>
      <c r="R162" t="s">
        <v>522</v>
      </c>
      <c r="S162" t="str">
        <f>IF($W162&lt;&gt;"NAO ACEITO","",COUNTIFS($W$2:$W162,"NAO ACEITO"))</f>
        <v/>
      </c>
      <c r="T162" t="str">
        <f>IF($B162="","",IF(COUNTIF($B$2:$B162,$B162)=1,MAX($T$1:$T161)+1,""))</f>
        <v/>
      </c>
      <c r="U162" t="str">
        <f>IF($D162="","",IF(COUNTIF($D$2:$D162,$D162)=1,MAX($U$1:$U161)+1,""))</f>
        <v/>
      </c>
      <c r="V162">
        <f>IF($D162="","",IF(COUNTIFS($B$2:$B162,$B162,$D$2:$D162,$D162)=1,1,0))</f>
        <v>1</v>
      </c>
      <c r="W162" t="str">
        <f>IF($D162="","",mEQA.PadronizarStatus($L162))</f>
        <v>ACEITO</v>
      </c>
      <c r="X162" t="str">
        <f>IF(OR($D162="",$W162&lt;&gt;"NAO ACEITO"),"",IF(COUNTIFS($D$2:$D162,$D162,$W$2:$W162,"NAO ACEITO")=1,1,0))</f>
        <v/>
      </c>
    </row>
    <row r="163" spans="1:24" x14ac:dyDescent="0.3">
      <c r="A163" t="s">
        <v>402</v>
      </c>
      <c r="B163" t="s">
        <v>507</v>
      </c>
      <c r="C163" s="126">
        <v>2025</v>
      </c>
      <c r="D163" t="s">
        <v>469</v>
      </c>
      <c r="E163" t="s">
        <v>509</v>
      </c>
      <c r="F163" s="137">
        <v>1.3</v>
      </c>
      <c r="G163" s="138">
        <v>1.26</v>
      </c>
      <c r="H163" s="138">
        <v>0.06</v>
      </c>
      <c r="I163" s="139">
        <v>0.7</v>
      </c>
      <c r="J163" s="137">
        <v>1.1000000000000001</v>
      </c>
      <c r="K163" s="137">
        <v>1.4</v>
      </c>
      <c r="L163" t="s">
        <v>499</v>
      </c>
      <c r="M163" s="126">
        <v>417</v>
      </c>
      <c r="N163" t="s">
        <v>129</v>
      </c>
      <c r="O163" s="137">
        <f t="shared" si="4"/>
        <v>3.1746031746031771</v>
      </c>
      <c r="P163" s="137">
        <f t="shared" si="5"/>
        <v>3.1746031746031771</v>
      </c>
      <c r="Q163" s="126">
        <v>6</v>
      </c>
      <c r="R163" t="s">
        <v>522</v>
      </c>
      <c r="S163" t="str">
        <f>IF($W163&lt;&gt;"NAO ACEITO","",COUNTIFS($W$2:$W163,"NAO ACEITO"))</f>
        <v/>
      </c>
      <c r="T163" t="str">
        <f>IF($B163="","",IF(COUNTIF($B$2:$B163,$B163)=1,MAX($T$1:$T162)+1,""))</f>
        <v/>
      </c>
      <c r="U163" t="str">
        <f>IF($D163="","",IF(COUNTIF($D$2:$D163,$D163)=1,MAX($U$1:$U162)+1,""))</f>
        <v/>
      </c>
      <c r="V163">
        <f>IF($D163="","",IF(COUNTIFS($B$2:$B163,$B163,$D$2:$D163,$D163)=1,1,0))</f>
        <v>0</v>
      </c>
      <c r="W163" t="str">
        <f>IF($D163="","",mEQA.PadronizarStatus($L163))</f>
        <v>ACEITO</v>
      </c>
      <c r="X163" t="str">
        <f>IF(OR($D163="",$W163&lt;&gt;"NAO ACEITO"),"",IF(COUNTIFS($D$2:$D163,$D163,$W$2:$W163,"NAO ACEITO")=1,1,0))</f>
        <v/>
      </c>
    </row>
    <row r="164" spans="1:24" x14ac:dyDescent="0.3">
      <c r="A164" t="s">
        <v>402</v>
      </c>
      <c r="B164" t="s">
        <v>507</v>
      </c>
      <c r="C164" s="126">
        <v>2025</v>
      </c>
      <c r="D164" t="s">
        <v>469</v>
      </c>
      <c r="E164" t="s">
        <v>510</v>
      </c>
      <c r="F164" s="137">
        <v>2.5</v>
      </c>
      <c r="G164" s="138">
        <v>2.58</v>
      </c>
      <c r="H164" s="138">
        <v>7.0000000000000007E-2</v>
      </c>
      <c r="I164" s="139">
        <v>-1.2</v>
      </c>
      <c r="J164" s="137">
        <v>2.2999999999999998</v>
      </c>
      <c r="K164" s="137">
        <v>2.8</v>
      </c>
      <c r="L164" t="s">
        <v>499</v>
      </c>
      <c r="M164" s="126">
        <v>419</v>
      </c>
      <c r="N164" t="s">
        <v>129</v>
      </c>
      <c r="O164" s="137">
        <f t="shared" si="4"/>
        <v>-3.1007751937984525</v>
      </c>
      <c r="P164" s="137">
        <f t="shared" si="5"/>
        <v>3.1007751937984525</v>
      </c>
      <c r="Q164" s="126">
        <v>6</v>
      </c>
      <c r="R164" t="s">
        <v>522</v>
      </c>
      <c r="S164" t="str">
        <f>IF($W164&lt;&gt;"NAO ACEITO","",COUNTIFS($W$2:$W164,"NAO ACEITO"))</f>
        <v/>
      </c>
      <c r="T164" t="str">
        <f>IF($B164="","",IF(COUNTIF($B$2:$B164,$B164)=1,MAX($T$1:$T163)+1,""))</f>
        <v/>
      </c>
      <c r="U164" t="str">
        <f>IF($D164="","",IF(COUNTIF($D$2:$D164,$D164)=1,MAX($U$1:$U163)+1,""))</f>
        <v/>
      </c>
      <c r="V164">
        <f>IF($D164="","",IF(COUNTIFS($B$2:$B164,$B164,$D$2:$D164,$D164)=1,1,0))</f>
        <v>0</v>
      </c>
      <c r="W164" t="str">
        <f>IF($D164="","",mEQA.PadronizarStatus($L164))</f>
        <v>ACEITO</v>
      </c>
      <c r="X164" t="str">
        <f>IF(OR($D164="",$W164&lt;&gt;"NAO ACEITO"),"",IF(COUNTIFS($D$2:$D164,$D164,$W$2:$W164,"NAO ACEITO")=1,1,0))</f>
        <v/>
      </c>
    </row>
    <row r="165" spans="1:24" x14ac:dyDescent="0.3">
      <c r="A165" t="s">
        <v>402</v>
      </c>
      <c r="B165" t="s">
        <v>507</v>
      </c>
      <c r="C165" s="126">
        <v>2025</v>
      </c>
      <c r="D165" t="s">
        <v>469</v>
      </c>
      <c r="E165" t="s">
        <v>511</v>
      </c>
      <c r="F165" s="137">
        <v>2</v>
      </c>
      <c r="G165" s="138">
        <v>2.1</v>
      </c>
      <c r="H165" s="138">
        <v>0.06</v>
      </c>
      <c r="I165" s="139">
        <v>-1.7</v>
      </c>
      <c r="J165" s="137">
        <v>1.9</v>
      </c>
      <c r="K165" s="137">
        <v>2.2999999999999998</v>
      </c>
      <c r="L165" t="s">
        <v>499</v>
      </c>
      <c r="M165" s="126">
        <v>419</v>
      </c>
      <c r="N165" t="s">
        <v>129</v>
      </c>
      <c r="O165" s="137">
        <f t="shared" si="4"/>
        <v>-4.7619047619047654</v>
      </c>
      <c r="P165" s="137">
        <f t="shared" si="5"/>
        <v>4.7619047619047654</v>
      </c>
      <c r="Q165" s="126">
        <v>6</v>
      </c>
      <c r="R165" t="s">
        <v>522</v>
      </c>
      <c r="S165" t="str">
        <f>IF($W165&lt;&gt;"NAO ACEITO","",COUNTIFS($W$2:$W165,"NAO ACEITO"))</f>
        <v/>
      </c>
      <c r="T165" t="str">
        <f>IF($B165="","",IF(COUNTIF($B$2:$B165,$B165)=1,MAX($T$1:$T164)+1,""))</f>
        <v/>
      </c>
      <c r="U165" t="str">
        <f>IF($D165="","",IF(COUNTIF($D$2:$D165,$D165)=1,MAX($U$1:$U164)+1,""))</f>
        <v/>
      </c>
      <c r="V165">
        <f>IF($D165="","",IF(COUNTIFS($B$2:$B165,$B165,$D$2:$D165,$D165)=1,1,0))</f>
        <v>0</v>
      </c>
      <c r="W165" t="str">
        <f>IF($D165="","",mEQA.PadronizarStatus($L165))</f>
        <v>ACEITO</v>
      </c>
      <c r="X165" t="str">
        <f>IF(OR($D165="",$W165&lt;&gt;"NAO ACEITO"),"",IF(COUNTIFS($D$2:$D165,$D165,$W$2:$W165,"NAO ACEITO")=1,1,0))</f>
        <v/>
      </c>
    </row>
    <row r="166" spans="1:24" x14ac:dyDescent="0.3">
      <c r="A166" t="s">
        <v>402</v>
      </c>
      <c r="B166" t="s">
        <v>507</v>
      </c>
      <c r="C166" s="126">
        <v>2025</v>
      </c>
      <c r="D166" t="s">
        <v>469</v>
      </c>
      <c r="E166" t="s">
        <v>512</v>
      </c>
      <c r="F166" s="137">
        <v>3</v>
      </c>
      <c r="G166" s="138">
        <v>3.14</v>
      </c>
      <c r="H166" s="138">
        <v>7.0000000000000007E-2</v>
      </c>
      <c r="I166" s="139">
        <v>-2</v>
      </c>
      <c r="J166" s="137">
        <v>2.8</v>
      </c>
      <c r="K166" s="137">
        <v>3.4</v>
      </c>
      <c r="L166" t="s">
        <v>499</v>
      </c>
      <c r="M166" s="126">
        <v>422</v>
      </c>
      <c r="N166" t="s">
        <v>129</v>
      </c>
      <c r="O166" s="137">
        <f t="shared" si="4"/>
        <v>-4.4585987261146531</v>
      </c>
      <c r="P166" s="137">
        <f t="shared" si="5"/>
        <v>4.4585987261146531</v>
      </c>
      <c r="Q166" s="126">
        <v>6</v>
      </c>
      <c r="R166" t="s">
        <v>522</v>
      </c>
      <c r="S166" t="str">
        <f>IF($W166&lt;&gt;"NAO ACEITO","",COUNTIFS($W$2:$W166,"NAO ACEITO"))</f>
        <v/>
      </c>
      <c r="T166" t="str">
        <f>IF($B166="","",IF(COUNTIF($B$2:$B166,$B166)=1,MAX($T$1:$T165)+1,""))</f>
        <v/>
      </c>
      <c r="U166" t="str">
        <f>IF($D166="","",IF(COUNTIF($D$2:$D166,$D166)=1,MAX($U$1:$U165)+1,""))</f>
        <v/>
      </c>
      <c r="V166">
        <f>IF($D166="","",IF(COUNTIFS($B$2:$B166,$B166,$D$2:$D166,$D166)=1,1,0))</f>
        <v>0</v>
      </c>
      <c r="W166" t="str">
        <f>IF($D166="","",mEQA.PadronizarStatus($L166))</f>
        <v>ACEITO</v>
      </c>
      <c r="X166" t="str">
        <f>IF(OR($D166="",$W166&lt;&gt;"NAO ACEITO"),"",IF(COUNTIFS($D$2:$D166,$D166,$W$2:$W166,"NAO ACEITO")=1,1,0))</f>
        <v/>
      </c>
    </row>
    <row r="167" spans="1:24" x14ac:dyDescent="0.3">
      <c r="A167" t="s">
        <v>402</v>
      </c>
      <c r="B167" t="s">
        <v>507</v>
      </c>
      <c r="C167" s="126">
        <v>2025</v>
      </c>
      <c r="D167" t="s">
        <v>470</v>
      </c>
      <c r="E167" t="s">
        <v>508</v>
      </c>
      <c r="F167" s="137">
        <v>305</v>
      </c>
      <c r="G167" s="138">
        <v>297.7</v>
      </c>
      <c r="H167" s="138">
        <v>8.6</v>
      </c>
      <c r="I167" s="139">
        <v>0.9</v>
      </c>
      <c r="J167" s="137">
        <v>238</v>
      </c>
      <c r="K167" s="137">
        <v>358</v>
      </c>
      <c r="L167" t="s">
        <v>499</v>
      </c>
      <c r="M167" s="126">
        <v>359</v>
      </c>
      <c r="N167" t="s">
        <v>123</v>
      </c>
      <c r="O167" s="137">
        <f t="shared" si="4"/>
        <v>2.4521330198186133</v>
      </c>
      <c r="P167" s="137">
        <f t="shared" si="5"/>
        <v>2.4521330198186133</v>
      </c>
      <c r="Q167" s="126">
        <v>7</v>
      </c>
      <c r="R167" t="s">
        <v>522</v>
      </c>
      <c r="S167" t="str">
        <f>IF($W167&lt;&gt;"NAO ACEITO","",COUNTIFS($W$2:$W167,"NAO ACEITO"))</f>
        <v/>
      </c>
      <c r="T167" t="str">
        <f>IF($B167="","",IF(COUNTIF($B$2:$B167,$B167)=1,MAX($T$1:$T166)+1,""))</f>
        <v/>
      </c>
      <c r="U167" t="str">
        <f>IF($D167="","",IF(COUNTIF($D$2:$D167,$D167)=1,MAX($U$1:$U166)+1,""))</f>
        <v/>
      </c>
      <c r="V167">
        <f>IF($D167="","",IF(COUNTIFS($B$2:$B167,$B167,$D$2:$D167,$D167)=1,1,0))</f>
        <v>1</v>
      </c>
      <c r="W167" t="str">
        <f>IF($D167="","",mEQA.PadronizarStatus($L167))</f>
        <v>ACEITO</v>
      </c>
      <c r="X167" t="str">
        <f>IF(OR($D167="",$W167&lt;&gt;"NAO ACEITO"),"",IF(COUNTIFS($D$2:$D167,$D167,$W$2:$W167,"NAO ACEITO")=1,1,0))</f>
        <v/>
      </c>
    </row>
    <row r="168" spans="1:24" x14ac:dyDescent="0.3">
      <c r="A168" t="s">
        <v>402</v>
      </c>
      <c r="B168" t="s">
        <v>507</v>
      </c>
      <c r="C168" s="126">
        <v>2025</v>
      </c>
      <c r="D168" t="s">
        <v>470</v>
      </c>
      <c r="E168" t="s">
        <v>509</v>
      </c>
      <c r="F168" s="137">
        <v>28</v>
      </c>
      <c r="G168" s="138">
        <v>24.6</v>
      </c>
      <c r="H168" s="138">
        <v>2.5</v>
      </c>
      <c r="I168" s="139">
        <v>1.4</v>
      </c>
      <c r="J168" s="137">
        <v>19</v>
      </c>
      <c r="K168" s="137">
        <v>30</v>
      </c>
      <c r="L168" t="s">
        <v>499</v>
      </c>
      <c r="M168" s="126">
        <v>358</v>
      </c>
      <c r="N168" t="s">
        <v>123</v>
      </c>
      <c r="O168" s="137">
        <f t="shared" si="4"/>
        <v>13.821138211382108</v>
      </c>
      <c r="P168" s="137">
        <f t="shared" si="5"/>
        <v>13.821138211382108</v>
      </c>
      <c r="Q168" s="126">
        <v>7</v>
      </c>
      <c r="R168" t="s">
        <v>522</v>
      </c>
      <c r="S168" t="str">
        <f>IF($W168&lt;&gt;"NAO ACEITO","",COUNTIFS($W$2:$W168,"NAO ACEITO"))</f>
        <v/>
      </c>
      <c r="T168" t="str">
        <f>IF($B168="","",IF(COUNTIF($B$2:$B168,$B168)=1,MAX($T$1:$T167)+1,""))</f>
        <v/>
      </c>
      <c r="U168" t="str">
        <f>IF($D168="","",IF(COUNTIF($D$2:$D168,$D168)=1,MAX($U$1:$U167)+1,""))</f>
        <v/>
      </c>
      <c r="V168">
        <f>IF($D168="","",IF(COUNTIFS($B$2:$B168,$B168,$D$2:$D168,$D168)=1,1,0))</f>
        <v>0</v>
      </c>
      <c r="W168" t="str">
        <f>IF($D168="","",mEQA.PadronizarStatus($L168))</f>
        <v>ACEITO</v>
      </c>
      <c r="X168" t="str">
        <f>IF(OR($D168="",$W168&lt;&gt;"NAO ACEITO"),"",IF(COUNTIFS($D$2:$D168,$D168,$W$2:$W168,"NAO ACEITO")=1,1,0))</f>
        <v/>
      </c>
    </row>
    <row r="169" spans="1:24" x14ac:dyDescent="0.3">
      <c r="A169" t="s">
        <v>402</v>
      </c>
      <c r="B169" t="s">
        <v>507</v>
      </c>
      <c r="C169" s="126">
        <v>2025</v>
      </c>
      <c r="D169" t="s">
        <v>470</v>
      </c>
      <c r="E169" t="s">
        <v>510</v>
      </c>
      <c r="F169" s="137">
        <v>254</v>
      </c>
      <c r="G169" s="138">
        <v>235.1</v>
      </c>
      <c r="H169" s="138">
        <v>7.4</v>
      </c>
      <c r="I169" s="139">
        <v>2.6</v>
      </c>
      <c r="J169" s="137">
        <v>188</v>
      </c>
      <c r="K169" s="137">
        <v>283</v>
      </c>
      <c r="L169" t="s">
        <v>499</v>
      </c>
      <c r="M169" s="126">
        <v>359</v>
      </c>
      <c r="N169" t="s">
        <v>123</v>
      </c>
      <c r="O169" s="137">
        <f t="shared" si="4"/>
        <v>8.0391322841344142</v>
      </c>
      <c r="P169" s="137">
        <f t="shared" si="5"/>
        <v>8.0391322841344142</v>
      </c>
      <c r="Q169" s="126">
        <v>7</v>
      </c>
      <c r="R169" t="s">
        <v>522</v>
      </c>
      <c r="S169" t="str">
        <f>IF($W169&lt;&gt;"NAO ACEITO","",COUNTIFS($W$2:$W169,"NAO ACEITO"))</f>
        <v/>
      </c>
      <c r="T169" t="str">
        <f>IF($B169="","",IF(COUNTIF($B$2:$B169,$B169)=1,MAX($T$1:$T168)+1,""))</f>
        <v/>
      </c>
      <c r="U169" t="str">
        <f>IF($D169="","",IF(COUNTIF($D$2:$D169,$D169)=1,MAX($U$1:$U168)+1,""))</f>
        <v/>
      </c>
      <c r="V169">
        <f>IF($D169="","",IF(COUNTIFS($B$2:$B169,$B169,$D$2:$D169,$D169)=1,1,0))</f>
        <v>0</v>
      </c>
      <c r="W169" t="str">
        <f>IF($D169="","",mEQA.PadronizarStatus($L169))</f>
        <v>ACEITO</v>
      </c>
      <c r="X169" t="str">
        <f>IF(OR($D169="",$W169&lt;&gt;"NAO ACEITO"),"",IF(COUNTIFS($D$2:$D169,$D169,$W$2:$W169,"NAO ACEITO")=1,1,0))</f>
        <v/>
      </c>
    </row>
    <row r="170" spans="1:24" x14ac:dyDescent="0.3">
      <c r="A170" t="s">
        <v>402</v>
      </c>
      <c r="B170" t="s">
        <v>507</v>
      </c>
      <c r="C170" s="126">
        <v>2025</v>
      </c>
      <c r="D170" t="s">
        <v>470</v>
      </c>
      <c r="E170" t="s">
        <v>511</v>
      </c>
      <c r="F170" s="137">
        <v>61</v>
      </c>
      <c r="G170" s="138">
        <v>55.1</v>
      </c>
      <c r="H170" s="138">
        <v>3.1</v>
      </c>
      <c r="I170" s="139">
        <v>1.9</v>
      </c>
      <c r="J170" s="137">
        <v>44</v>
      </c>
      <c r="K170" s="137">
        <v>67</v>
      </c>
      <c r="L170" t="s">
        <v>499</v>
      </c>
      <c r="M170" s="126">
        <v>355</v>
      </c>
      <c r="N170" t="s">
        <v>123</v>
      </c>
      <c r="O170" s="137">
        <f t="shared" si="4"/>
        <v>10.70780399274047</v>
      </c>
      <c r="P170" s="137">
        <f t="shared" si="5"/>
        <v>10.70780399274047</v>
      </c>
      <c r="Q170" s="126">
        <v>7</v>
      </c>
      <c r="R170" t="s">
        <v>522</v>
      </c>
      <c r="S170" t="str">
        <f>IF($W170&lt;&gt;"NAO ACEITO","",COUNTIFS($W$2:$W170,"NAO ACEITO"))</f>
        <v/>
      </c>
      <c r="T170" t="str">
        <f>IF($B170="","",IF(COUNTIF($B$2:$B170,$B170)=1,MAX($T$1:$T169)+1,""))</f>
        <v/>
      </c>
      <c r="U170" t="str">
        <f>IF($D170="","",IF(COUNTIF($D$2:$D170,$D170)=1,MAX($U$1:$U169)+1,""))</f>
        <v/>
      </c>
      <c r="V170">
        <f>IF($D170="","",IF(COUNTIFS($B$2:$B170,$B170,$D$2:$D170,$D170)=1,1,0))</f>
        <v>0</v>
      </c>
      <c r="W170" t="str">
        <f>IF($D170="","",mEQA.PadronizarStatus($L170))</f>
        <v>ACEITO</v>
      </c>
      <c r="X170" t="str">
        <f>IF(OR($D170="",$W170&lt;&gt;"NAO ACEITO"),"",IF(COUNTIFS($D$2:$D170,$D170,$W$2:$W170,"NAO ACEITO")=1,1,0))</f>
        <v/>
      </c>
    </row>
    <row r="171" spans="1:24" x14ac:dyDescent="0.3">
      <c r="A171" t="s">
        <v>402</v>
      </c>
      <c r="B171" t="s">
        <v>507</v>
      </c>
      <c r="C171" s="126">
        <v>2025</v>
      </c>
      <c r="D171" t="s">
        <v>470</v>
      </c>
      <c r="E171" t="s">
        <v>512</v>
      </c>
      <c r="F171" s="137">
        <v>194</v>
      </c>
      <c r="G171" s="138">
        <v>175.4</v>
      </c>
      <c r="H171" s="138">
        <v>6.5</v>
      </c>
      <c r="I171" s="139">
        <v>2.9</v>
      </c>
      <c r="J171" s="137">
        <v>140</v>
      </c>
      <c r="K171" s="137">
        <v>211</v>
      </c>
      <c r="L171" t="s">
        <v>499</v>
      </c>
      <c r="M171" s="126">
        <v>358</v>
      </c>
      <c r="N171" t="s">
        <v>123</v>
      </c>
      <c r="O171" s="137">
        <f t="shared" si="4"/>
        <v>10.604332953249711</v>
      </c>
      <c r="P171" s="137">
        <f t="shared" si="5"/>
        <v>10.604332953249711</v>
      </c>
      <c r="Q171" s="126">
        <v>7</v>
      </c>
      <c r="R171" t="s">
        <v>522</v>
      </c>
      <c r="S171" t="str">
        <f>IF($W171&lt;&gt;"NAO ACEITO","",COUNTIFS($W$2:$W171,"NAO ACEITO"))</f>
        <v/>
      </c>
      <c r="T171" t="str">
        <f>IF($B171="","",IF(COUNTIF($B$2:$B171,$B171)=1,MAX($T$1:$T170)+1,""))</f>
        <v/>
      </c>
      <c r="U171" t="str">
        <f>IF($D171="","",IF(COUNTIF($D$2:$D171,$D171)=1,MAX($U$1:$U170)+1,""))</f>
        <v/>
      </c>
      <c r="V171">
        <f>IF($D171="","",IF(COUNTIFS($B$2:$B171,$B171,$D$2:$D171,$D171)=1,1,0))</f>
        <v>0</v>
      </c>
      <c r="W171" t="str">
        <f>IF($D171="","",mEQA.PadronizarStatus($L171))</f>
        <v>ACEITO</v>
      </c>
      <c r="X171" t="str">
        <f>IF(OR($D171="",$W171&lt;&gt;"NAO ACEITO"),"",IF(COUNTIFS($D$2:$D171,$D171,$W$2:$W171,"NAO ACEITO")=1,1,0))</f>
        <v/>
      </c>
    </row>
    <row r="172" spans="1:24" x14ac:dyDescent="0.3">
      <c r="A172" t="s">
        <v>402</v>
      </c>
      <c r="B172" t="s">
        <v>507</v>
      </c>
      <c r="C172" s="126">
        <v>2025</v>
      </c>
      <c r="D172" t="s">
        <v>471</v>
      </c>
      <c r="E172" t="s">
        <v>508</v>
      </c>
      <c r="F172" s="137">
        <v>324</v>
      </c>
      <c r="G172" s="138">
        <v>325.39999999999998</v>
      </c>
      <c r="H172" s="138">
        <v>4</v>
      </c>
      <c r="I172" s="139">
        <v>-0.4</v>
      </c>
      <c r="J172" s="137">
        <v>260</v>
      </c>
      <c r="K172" s="137">
        <v>391</v>
      </c>
      <c r="L172" t="s">
        <v>499</v>
      </c>
      <c r="M172" s="126">
        <v>302</v>
      </c>
      <c r="N172" t="s">
        <v>123</v>
      </c>
      <c r="O172" s="137">
        <f t="shared" si="4"/>
        <v>-0.43023970497848102</v>
      </c>
      <c r="P172" s="137">
        <f t="shared" si="5"/>
        <v>0.43023970497848102</v>
      </c>
      <c r="Q172" s="126">
        <v>7</v>
      </c>
      <c r="R172" t="s">
        <v>522</v>
      </c>
      <c r="S172" t="str">
        <f>IF($W172&lt;&gt;"NAO ACEITO","",COUNTIFS($W$2:$W172,"NAO ACEITO"))</f>
        <v/>
      </c>
      <c r="T172" t="str">
        <f>IF($B172="","",IF(COUNTIF($B$2:$B172,$B172)=1,MAX($T$1:$T171)+1,""))</f>
        <v/>
      </c>
      <c r="U172" t="str">
        <f>IF($D172="","",IF(COUNTIF($D$2:$D172,$D172)=1,MAX($U$1:$U171)+1,""))</f>
        <v/>
      </c>
      <c r="V172">
        <f>IF($D172="","",IF(COUNTIFS($B$2:$B172,$B172,$D$2:$D172,$D172)=1,1,0))</f>
        <v>1</v>
      </c>
      <c r="W172" t="str">
        <f>IF($D172="","",mEQA.PadronizarStatus($L172))</f>
        <v>ACEITO</v>
      </c>
      <c r="X172" t="str">
        <f>IF(OR($D172="",$W172&lt;&gt;"NAO ACEITO"),"",IF(COUNTIFS($D$2:$D172,$D172,$W$2:$W172,"NAO ACEITO")=1,1,0))</f>
        <v/>
      </c>
    </row>
    <row r="173" spans="1:24" x14ac:dyDescent="0.3">
      <c r="A173" t="s">
        <v>402</v>
      </c>
      <c r="B173" t="s">
        <v>507</v>
      </c>
      <c r="C173" s="126">
        <v>2025</v>
      </c>
      <c r="D173" t="s">
        <v>471</v>
      </c>
      <c r="E173" t="s">
        <v>509</v>
      </c>
      <c r="F173" s="137">
        <v>28</v>
      </c>
      <c r="G173" s="138">
        <v>28.6</v>
      </c>
      <c r="H173" s="138">
        <v>1.1000000000000001</v>
      </c>
      <c r="I173" s="139">
        <v>-0.6</v>
      </c>
      <c r="J173" s="137">
        <v>22</v>
      </c>
      <c r="K173" s="137">
        <v>35</v>
      </c>
      <c r="L173" t="s">
        <v>499</v>
      </c>
      <c r="M173" s="126">
        <v>300</v>
      </c>
      <c r="N173" t="s">
        <v>123</v>
      </c>
      <c r="O173" s="137">
        <f t="shared" si="4"/>
        <v>-2.0979020979021028</v>
      </c>
      <c r="P173" s="137">
        <f t="shared" si="5"/>
        <v>2.0979020979021028</v>
      </c>
      <c r="Q173" s="126">
        <v>7</v>
      </c>
      <c r="R173" t="s">
        <v>522</v>
      </c>
      <c r="S173" t="str">
        <f>IF($W173&lt;&gt;"NAO ACEITO","",COUNTIFS($W$2:$W173,"NAO ACEITO"))</f>
        <v/>
      </c>
      <c r="T173" t="str">
        <f>IF($B173="","",IF(COUNTIF($B$2:$B173,$B173)=1,MAX($T$1:$T172)+1,""))</f>
        <v/>
      </c>
      <c r="U173" t="str">
        <f>IF($D173="","",IF(COUNTIF($D$2:$D173,$D173)=1,MAX($U$1:$U172)+1,""))</f>
        <v/>
      </c>
      <c r="V173">
        <f>IF($D173="","",IF(COUNTIFS($B$2:$B173,$B173,$D$2:$D173,$D173)=1,1,0))</f>
        <v>0</v>
      </c>
      <c r="W173" t="str">
        <f>IF($D173="","",mEQA.PadronizarStatus($L173))</f>
        <v>ACEITO</v>
      </c>
      <c r="X173" t="str">
        <f>IF(OR($D173="",$W173&lt;&gt;"NAO ACEITO"),"",IF(COUNTIFS($D$2:$D173,$D173,$W$2:$W173,"NAO ACEITO")=1,1,0))</f>
        <v/>
      </c>
    </row>
    <row r="174" spans="1:24" x14ac:dyDescent="0.3">
      <c r="A174" t="s">
        <v>402</v>
      </c>
      <c r="B174" t="s">
        <v>507</v>
      </c>
      <c r="C174" s="126">
        <v>2025</v>
      </c>
      <c r="D174" t="s">
        <v>471</v>
      </c>
      <c r="E174" t="s">
        <v>510</v>
      </c>
      <c r="F174" s="137">
        <v>255</v>
      </c>
      <c r="G174" s="138">
        <v>255.5</v>
      </c>
      <c r="H174" s="138">
        <v>3</v>
      </c>
      <c r="I174" s="139">
        <v>-0.2</v>
      </c>
      <c r="J174" s="137">
        <v>204</v>
      </c>
      <c r="K174" s="137">
        <v>307</v>
      </c>
      <c r="L174" t="s">
        <v>499</v>
      </c>
      <c r="M174" s="126">
        <v>302</v>
      </c>
      <c r="N174" t="s">
        <v>123</v>
      </c>
      <c r="O174" s="137">
        <f t="shared" si="4"/>
        <v>-0.19569471624266144</v>
      </c>
      <c r="P174" s="137">
        <f t="shared" si="5"/>
        <v>0.19569471624266144</v>
      </c>
      <c r="Q174" s="126">
        <v>7</v>
      </c>
      <c r="R174" t="s">
        <v>522</v>
      </c>
      <c r="S174" t="str">
        <f>IF($W174&lt;&gt;"NAO ACEITO","",COUNTIFS($W$2:$W174,"NAO ACEITO"))</f>
        <v/>
      </c>
      <c r="T174" t="str">
        <f>IF($B174="","",IF(COUNTIF($B$2:$B174,$B174)=1,MAX($T$1:$T173)+1,""))</f>
        <v/>
      </c>
      <c r="U174" t="str">
        <f>IF($D174="","",IF(COUNTIF($D$2:$D174,$D174)=1,MAX($U$1:$U173)+1,""))</f>
        <v/>
      </c>
      <c r="V174">
        <f>IF($D174="","",IF(COUNTIFS($B$2:$B174,$B174,$D$2:$D174,$D174)=1,1,0))</f>
        <v>0</v>
      </c>
      <c r="W174" t="str">
        <f>IF($D174="","",mEQA.PadronizarStatus($L174))</f>
        <v>ACEITO</v>
      </c>
      <c r="X174" t="str">
        <f>IF(OR($D174="",$W174&lt;&gt;"NAO ACEITO"),"",IF(COUNTIFS($D$2:$D174,$D174,$W$2:$W174,"NAO ACEITO")=1,1,0))</f>
        <v/>
      </c>
    </row>
    <row r="175" spans="1:24" x14ac:dyDescent="0.3">
      <c r="A175" t="s">
        <v>402</v>
      </c>
      <c r="B175" t="s">
        <v>507</v>
      </c>
      <c r="C175" s="126">
        <v>2025</v>
      </c>
      <c r="D175" t="s">
        <v>471</v>
      </c>
      <c r="E175" t="s">
        <v>511</v>
      </c>
      <c r="F175" s="137">
        <v>56</v>
      </c>
      <c r="G175" s="138">
        <v>56.5</v>
      </c>
      <c r="H175" s="138">
        <v>1.1000000000000001</v>
      </c>
      <c r="I175" s="139">
        <v>-0.5</v>
      </c>
      <c r="J175" s="137">
        <v>45</v>
      </c>
      <c r="K175" s="137">
        <v>68</v>
      </c>
      <c r="L175" t="s">
        <v>499</v>
      </c>
      <c r="M175" s="126">
        <v>302</v>
      </c>
      <c r="N175" t="s">
        <v>123</v>
      </c>
      <c r="O175" s="137">
        <f t="shared" si="4"/>
        <v>-0.88495575221238942</v>
      </c>
      <c r="P175" s="137">
        <f t="shared" si="5"/>
        <v>0.88495575221238942</v>
      </c>
      <c r="Q175" s="126">
        <v>7</v>
      </c>
      <c r="R175" t="s">
        <v>522</v>
      </c>
      <c r="S175" t="str">
        <f>IF($W175&lt;&gt;"NAO ACEITO","",COUNTIFS($W$2:$W175,"NAO ACEITO"))</f>
        <v/>
      </c>
      <c r="T175" t="str">
        <f>IF($B175="","",IF(COUNTIF($B$2:$B175,$B175)=1,MAX($T$1:$T174)+1,""))</f>
        <v/>
      </c>
      <c r="U175" t="str">
        <f>IF($D175="","",IF(COUNTIF($D$2:$D175,$D175)=1,MAX($U$1:$U174)+1,""))</f>
        <v/>
      </c>
      <c r="V175">
        <f>IF($D175="","",IF(COUNTIFS($B$2:$B175,$B175,$D$2:$D175,$D175)=1,1,0))</f>
        <v>0</v>
      </c>
      <c r="W175" t="str">
        <f>IF($D175="","",mEQA.PadronizarStatus($L175))</f>
        <v>ACEITO</v>
      </c>
      <c r="X175" t="str">
        <f>IF(OR($D175="",$W175&lt;&gt;"NAO ACEITO"),"",IF(COUNTIFS($D$2:$D175,$D175,$W$2:$W175,"NAO ACEITO")=1,1,0))</f>
        <v/>
      </c>
    </row>
    <row r="176" spans="1:24" x14ac:dyDescent="0.3">
      <c r="A176" t="s">
        <v>402</v>
      </c>
      <c r="B176" t="s">
        <v>507</v>
      </c>
      <c r="C176" s="126">
        <v>2025</v>
      </c>
      <c r="D176" t="s">
        <v>471</v>
      </c>
      <c r="E176" t="s">
        <v>512</v>
      </c>
      <c r="F176" s="137">
        <v>185</v>
      </c>
      <c r="G176" s="138">
        <v>184.8</v>
      </c>
      <c r="H176" s="138">
        <v>2.2999999999999998</v>
      </c>
      <c r="I176" s="139">
        <v>0.1</v>
      </c>
      <c r="J176" s="137">
        <v>147</v>
      </c>
      <c r="K176" s="137">
        <v>222</v>
      </c>
      <c r="L176" t="s">
        <v>499</v>
      </c>
      <c r="M176" s="126">
        <v>301</v>
      </c>
      <c r="N176" t="s">
        <v>123</v>
      </c>
      <c r="O176" s="137">
        <f t="shared" si="4"/>
        <v>0.10822510822510206</v>
      </c>
      <c r="P176" s="137">
        <f t="shared" si="5"/>
        <v>0.10822510822510206</v>
      </c>
      <c r="Q176" s="126">
        <v>7</v>
      </c>
      <c r="R176" t="s">
        <v>522</v>
      </c>
      <c r="S176" t="str">
        <f>IF($W176&lt;&gt;"NAO ACEITO","",COUNTIFS($W$2:$W176,"NAO ACEITO"))</f>
        <v/>
      </c>
      <c r="T176" t="str">
        <f>IF($B176="","",IF(COUNTIF($B$2:$B176,$B176)=1,MAX($T$1:$T175)+1,""))</f>
        <v/>
      </c>
      <c r="U176" t="str">
        <f>IF($D176="","",IF(COUNTIF($D$2:$D176,$D176)=1,MAX($U$1:$U175)+1,""))</f>
        <v/>
      </c>
      <c r="V176">
        <f>IF($D176="","",IF(COUNTIFS($B$2:$B176,$B176,$D$2:$D176,$D176)=1,1,0))</f>
        <v>0</v>
      </c>
      <c r="W176" t="str">
        <f>IF($D176="","",mEQA.PadronizarStatus($L176))</f>
        <v>ACEITO</v>
      </c>
      <c r="X176" t="str">
        <f>IF(OR($D176="",$W176&lt;&gt;"NAO ACEITO"),"",IF(COUNTIFS($D$2:$D176,$D176,$W$2:$W176,"NAO ACEITO")=1,1,0))</f>
        <v/>
      </c>
    </row>
    <row r="177" spans="1:24" x14ac:dyDescent="0.3">
      <c r="A177" t="s">
        <v>402</v>
      </c>
      <c r="B177" t="s">
        <v>507</v>
      </c>
      <c r="C177" s="126">
        <v>2025</v>
      </c>
      <c r="D177" t="s">
        <v>472</v>
      </c>
      <c r="E177" t="s">
        <v>508</v>
      </c>
      <c r="F177" s="137">
        <v>0.1</v>
      </c>
      <c r="G177" s="138">
        <v>0.11</v>
      </c>
      <c r="H177" s="138">
        <v>0.03</v>
      </c>
      <c r="I177" s="139">
        <v>-0.4</v>
      </c>
      <c r="J177" s="137">
        <v>0</v>
      </c>
      <c r="K177" s="137">
        <v>0.6</v>
      </c>
      <c r="L177" t="s">
        <v>499</v>
      </c>
      <c r="M177" s="126">
        <v>397</v>
      </c>
      <c r="N177" t="s">
        <v>112</v>
      </c>
      <c r="O177" s="137">
        <f t="shared" si="4"/>
        <v>-9.0909090909090864</v>
      </c>
      <c r="P177" s="137">
        <f t="shared" si="5"/>
        <v>9.0909090909090864</v>
      </c>
      <c r="Q177" s="126">
        <v>2</v>
      </c>
      <c r="R177" t="s">
        <v>522</v>
      </c>
      <c r="S177" t="str">
        <f>IF($W177&lt;&gt;"NAO ACEITO","",COUNTIFS($W$2:$W177,"NAO ACEITO"))</f>
        <v/>
      </c>
      <c r="T177" t="str">
        <f>IF($B177="","",IF(COUNTIF($B$2:$B177,$B177)=1,MAX($T$1:$T176)+1,""))</f>
        <v/>
      </c>
      <c r="U177" t="str">
        <f>IF($D177="","",IF(COUNTIF($D$2:$D177,$D177)=1,MAX($U$1:$U176)+1,""))</f>
        <v/>
      </c>
      <c r="V177">
        <f>IF($D177="","",IF(COUNTIFS($B$2:$B177,$B177,$D$2:$D177,$D177)=1,1,0))</f>
        <v>1</v>
      </c>
      <c r="W177" t="str">
        <f>IF($D177="","",mEQA.PadronizarStatus($L177))</f>
        <v>ACEITO</v>
      </c>
      <c r="X177" t="str">
        <f>IF(OR($D177="",$W177&lt;&gt;"NAO ACEITO"),"",IF(COUNTIFS($D$2:$D177,$D177,$W$2:$W177,"NAO ACEITO")=1,1,0))</f>
        <v/>
      </c>
    </row>
    <row r="178" spans="1:24" x14ac:dyDescent="0.3">
      <c r="A178" t="s">
        <v>402</v>
      </c>
      <c r="B178" t="s">
        <v>507</v>
      </c>
      <c r="C178" s="126">
        <v>2025</v>
      </c>
      <c r="D178" t="s">
        <v>472</v>
      </c>
      <c r="E178" t="s">
        <v>509</v>
      </c>
      <c r="F178" s="137">
        <v>0.7</v>
      </c>
      <c r="G178" s="138">
        <v>0.83</v>
      </c>
      <c r="H178" s="138">
        <v>0.12</v>
      </c>
      <c r="I178" s="139">
        <v>-1.1000000000000001</v>
      </c>
      <c r="J178" s="137">
        <v>0.4</v>
      </c>
      <c r="K178" s="137">
        <v>1.3</v>
      </c>
      <c r="L178" t="s">
        <v>499</v>
      </c>
      <c r="M178" s="126">
        <v>402</v>
      </c>
      <c r="N178" t="s">
        <v>112</v>
      </c>
      <c r="O178" s="137">
        <f t="shared" si="4"/>
        <v>-15.66265060240964</v>
      </c>
      <c r="P178" s="137">
        <f t="shared" si="5"/>
        <v>15.66265060240964</v>
      </c>
      <c r="Q178" s="126">
        <v>2</v>
      </c>
      <c r="R178" t="s">
        <v>522</v>
      </c>
      <c r="S178" t="str">
        <f>IF($W178&lt;&gt;"NAO ACEITO","",COUNTIFS($W$2:$W178,"NAO ACEITO"))</f>
        <v/>
      </c>
      <c r="T178" t="str">
        <f>IF($B178="","",IF(COUNTIF($B$2:$B178,$B178)=1,MAX($T$1:$T177)+1,""))</f>
        <v/>
      </c>
      <c r="U178" t="str">
        <f>IF($D178="","",IF(COUNTIF($D$2:$D178,$D178)=1,MAX($U$1:$U177)+1,""))</f>
        <v/>
      </c>
      <c r="V178">
        <f>IF($D178="","",IF(COUNTIFS($B$2:$B178,$B178,$D$2:$D178,$D178)=1,1,0))</f>
        <v>0</v>
      </c>
      <c r="W178" t="str">
        <f>IF($D178="","",mEQA.PadronizarStatus($L178))</f>
        <v>ACEITO</v>
      </c>
      <c r="X178" t="str">
        <f>IF(OR($D178="",$W178&lt;&gt;"NAO ACEITO"),"",IF(COUNTIFS($D$2:$D178,$D178,$W$2:$W178,"NAO ACEITO")=1,1,0))</f>
        <v/>
      </c>
    </row>
    <row r="179" spans="1:24" x14ac:dyDescent="0.3">
      <c r="A179" t="s">
        <v>402</v>
      </c>
      <c r="B179" t="s">
        <v>507</v>
      </c>
      <c r="C179" s="126">
        <v>2025</v>
      </c>
      <c r="D179" t="s">
        <v>472</v>
      </c>
      <c r="E179" t="s">
        <v>510</v>
      </c>
      <c r="F179" s="137">
        <v>0.1</v>
      </c>
      <c r="G179" s="138">
        <v>0.18</v>
      </c>
      <c r="H179" s="138">
        <v>0.05</v>
      </c>
      <c r="I179" s="139">
        <v>-1.5</v>
      </c>
      <c r="J179" s="137">
        <v>0</v>
      </c>
      <c r="K179" s="137">
        <v>0.6</v>
      </c>
      <c r="L179" t="s">
        <v>499</v>
      </c>
      <c r="M179" s="126">
        <v>400</v>
      </c>
      <c r="N179" t="s">
        <v>112</v>
      </c>
      <c r="O179" s="137">
        <f t="shared" si="4"/>
        <v>-44.444444444444443</v>
      </c>
      <c r="P179" s="137">
        <f t="shared" si="5"/>
        <v>44.444444444444443</v>
      </c>
      <c r="Q179" s="126">
        <v>2</v>
      </c>
      <c r="R179" t="s">
        <v>522</v>
      </c>
      <c r="S179" t="str">
        <f>IF($W179&lt;&gt;"NAO ACEITO","",COUNTIFS($W$2:$W179,"NAO ACEITO"))</f>
        <v/>
      </c>
      <c r="T179" t="str">
        <f>IF($B179="","",IF(COUNTIF($B$2:$B179,$B179)=1,MAX($T$1:$T178)+1,""))</f>
        <v/>
      </c>
      <c r="U179" t="str">
        <f>IF($D179="","",IF(COUNTIF($D$2:$D179,$D179)=1,MAX($U$1:$U178)+1,""))</f>
        <v/>
      </c>
      <c r="V179">
        <f>IF($D179="","",IF(COUNTIFS($B$2:$B179,$B179,$D$2:$D179,$D179)=1,1,0))</f>
        <v>0</v>
      </c>
      <c r="W179" t="str">
        <f>IF($D179="","",mEQA.PadronizarStatus($L179))</f>
        <v>ACEITO</v>
      </c>
      <c r="X179" t="str">
        <f>IF(OR($D179="",$W179&lt;&gt;"NAO ACEITO"),"",IF(COUNTIFS($D$2:$D179,$D179,$W$2:$W179,"NAO ACEITO")=1,1,0))</f>
        <v/>
      </c>
    </row>
    <row r="180" spans="1:24" x14ac:dyDescent="0.3">
      <c r="A180" t="s">
        <v>402</v>
      </c>
      <c r="B180" t="s">
        <v>507</v>
      </c>
      <c r="C180" s="126">
        <v>2025</v>
      </c>
      <c r="D180" t="s">
        <v>472</v>
      </c>
      <c r="E180" t="s">
        <v>511</v>
      </c>
      <c r="F180" s="137">
        <v>0.6</v>
      </c>
      <c r="G180" s="138">
        <v>0.69</v>
      </c>
      <c r="H180" s="138">
        <v>0.1</v>
      </c>
      <c r="I180" s="139">
        <v>-0.9</v>
      </c>
      <c r="J180" s="137">
        <v>0.2</v>
      </c>
      <c r="K180" s="137">
        <v>1.1000000000000001</v>
      </c>
      <c r="L180" t="s">
        <v>499</v>
      </c>
      <c r="M180" s="126">
        <v>402</v>
      </c>
      <c r="N180" t="s">
        <v>112</v>
      </c>
      <c r="O180" s="137">
        <f t="shared" si="4"/>
        <v>-13.043478260869563</v>
      </c>
      <c r="P180" s="137">
        <f t="shared" si="5"/>
        <v>13.043478260869563</v>
      </c>
      <c r="Q180" s="126">
        <v>2</v>
      </c>
      <c r="R180" t="s">
        <v>522</v>
      </c>
      <c r="S180" t="str">
        <f>IF($W180&lt;&gt;"NAO ACEITO","",COUNTIFS($W$2:$W180,"NAO ACEITO"))</f>
        <v/>
      </c>
      <c r="T180" t="str">
        <f>IF($B180="","",IF(COUNTIF($B$2:$B180,$B180)=1,MAX($T$1:$T179)+1,""))</f>
        <v/>
      </c>
      <c r="U180" t="str">
        <f>IF($D180="","",IF(COUNTIF($D$2:$D180,$D180)=1,MAX($U$1:$U179)+1,""))</f>
        <v/>
      </c>
      <c r="V180">
        <f>IF($D180="","",IF(COUNTIFS($B$2:$B180,$B180,$D$2:$D180,$D180)=1,1,0))</f>
        <v>0</v>
      </c>
      <c r="W180" t="str">
        <f>IF($D180="","",mEQA.PadronizarStatus($L180))</f>
        <v>ACEITO</v>
      </c>
      <c r="X180" t="str">
        <f>IF(OR($D180="",$W180&lt;&gt;"NAO ACEITO"),"",IF(COUNTIFS($D$2:$D180,$D180,$W$2:$W180,"NAO ACEITO")=1,1,0))</f>
        <v/>
      </c>
    </row>
    <row r="181" spans="1:24" x14ac:dyDescent="0.3">
      <c r="A181" t="s">
        <v>402</v>
      </c>
      <c r="B181" t="s">
        <v>507</v>
      </c>
      <c r="C181" s="126">
        <v>2025</v>
      </c>
      <c r="D181" t="s">
        <v>472</v>
      </c>
      <c r="E181" t="s">
        <v>512</v>
      </c>
      <c r="F181" s="137">
        <v>0.2</v>
      </c>
      <c r="G181" s="138">
        <v>0.27</v>
      </c>
      <c r="H181" s="138">
        <v>0.06</v>
      </c>
      <c r="I181" s="139">
        <v>-1.1000000000000001</v>
      </c>
      <c r="J181" s="137">
        <v>0</v>
      </c>
      <c r="K181" s="137">
        <v>0.7</v>
      </c>
      <c r="L181" t="s">
        <v>499</v>
      </c>
      <c r="M181" s="126">
        <v>404</v>
      </c>
      <c r="N181" t="s">
        <v>112</v>
      </c>
      <c r="O181" s="137">
        <f t="shared" si="4"/>
        <v>-25.925925925925924</v>
      </c>
      <c r="P181" s="137">
        <f t="shared" si="5"/>
        <v>25.925925925925924</v>
      </c>
      <c r="Q181" s="126">
        <v>2</v>
      </c>
      <c r="R181" t="s">
        <v>522</v>
      </c>
      <c r="S181" t="str">
        <f>IF($W181&lt;&gt;"NAO ACEITO","",COUNTIFS($W$2:$W181,"NAO ACEITO"))</f>
        <v/>
      </c>
      <c r="T181" t="str">
        <f>IF($B181="","",IF(COUNTIF($B$2:$B181,$B181)=1,MAX($T$1:$T180)+1,""))</f>
        <v/>
      </c>
      <c r="U181" t="str">
        <f>IF($D181="","",IF(COUNTIF($D$2:$D181,$D181)=1,MAX($U$1:$U180)+1,""))</f>
        <v/>
      </c>
      <c r="V181">
        <f>IF($D181="","",IF(COUNTIFS($B$2:$B181,$B181,$D$2:$D181,$D181)=1,1,0))</f>
        <v>0</v>
      </c>
      <c r="W181" t="str">
        <f>IF($D181="","",mEQA.PadronizarStatus($L181))</f>
        <v>ACEITO</v>
      </c>
      <c r="X181" t="str">
        <f>IF(OR($D181="",$W181&lt;&gt;"NAO ACEITO"),"",IF(COUNTIFS($D$2:$D181,$D181,$W$2:$W181,"NAO ACEITO")=1,1,0))</f>
        <v/>
      </c>
    </row>
    <row r="182" spans="1:24" x14ac:dyDescent="0.3">
      <c r="A182" t="s">
        <v>402</v>
      </c>
      <c r="B182" t="s">
        <v>507</v>
      </c>
      <c r="C182" s="126">
        <v>2025</v>
      </c>
      <c r="D182" t="s">
        <v>473</v>
      </c>
      <c r="E182" t="s">
        <v>508</v>
      </c>
      <c r="F182" s="137">
        <v>0.6</v>
      </c>
      <c r="G182" s="138">
        <v>0.69</v>
      </c>
      <c r="H182" s="138">
        <v>0.16</v>
      </c>
      <c r="I182" s="139">
        <v>-0.5</v>
      </c>
      <c r="J182" s="137">
        <v>0.2</v>
      </c>
      <c r="K182" s="137">
        <v>1.1000000000000001</v>
      </c>
      <c r="L182" t="s">
        <v>499</v>
      </c>
      <c r="M182" s="126">
        <v>423</v>
      </c>
      <c r="N182" t="s">
        <v>112</v>
      </c>
      <c r="O182" s="137">
        <f t="shared" si="4"/>
        <v>-13.043478260869563</v>
      </c>
      <c r="P182" s="137">
        <f t="shared" si="5"/>
        <v>13.043478260869563</v>
      </c>
      <c r="Q182" s="126">
        <v>2</v>
      </c>
      <c r="R182" t="s">
        <v>522</v>
      </c>
      <c r="S182" t="str">
        <f>IF($W182&lt;&gt;"NAO ACEITO","",COUNTIFS($W$2:$W182,"NAO ACEITO"))</f>
        <v/>
      </c>
      <c r="T182" t="str">
        <f>IF($B182="","",IF(COUNTIF($B$2:$B182,$B182)=1,MAX($T$1:$T181)+1,""))</f>
        <v/>
      </c>
      <c r="U182" t="str">
        <f>IF($D182="","",IF(COUNTIF($D$2:$D182,$D182)=1,MAX($U$1:$U181)+1,""))</f>
        <v/>
      </c>
      <c r="V182">
        <f>IF($D182="","",IF(COUNTIFS($B$2:$B182,$B182,$D$2:$D182,$D182)=1,1,0))</f>
        <v>1</v>
      </c>
      <c r="W182" t="str">
        <f>IF($D182="","",mEQA.PadronizarStatus($L182))</f>
        <v>ACEITO</v>
      </c>
      <c r="X182" t="str">
        <f>IF(OR($D182="",$W182&lt;&gt;"NAO ACEITO"),"",IF(COUNTIFS($D$2:$D182,$D182,$W$2:$W182,"NAO ACEITO")=1,1,0))</f>
        <v/>
      </c>
    </row>
    <row r="183" spans="1:24" x14ac:dyDescent="0.3">
      <c r="A183" t="s">
        <v>402</v>
      </c>
      <c r="B183" t="s">
        <v>507</v>
      </c>
      <c r="C183" s="126">
        <v>2025</v>
      </c>
      <c r="D183" t="s">
        <v>473</v>
      </c>
      <c r="E183" t="s">
        <v>509</v>
      </c>
      <c r="F183" s="137">
        <v>4.9000000000000004</v>
      </c>
      <c r="G183" s="138">
        <v>5.29</v>
      </c>
      <c r="H183" s="138">
        <v>0.35</v>
      </c>
      <c r="I183" s="139">
        <v>-1.1000000000000001</v>
      </c>
      <c r="J183" s="137">
        <v>4.2</v>
      </c>
      <c r="K183" s="137">
        <v>6.4</v>
      </c>
      <c r="L183" t="s">
        <v>499</v>
      </c>
      <c r="M183" s="126">
        <v>423</v>
      </c>
      <c r="N183" t="s">
        <v>112</v>
      </c>
      <c r="O183" s="137">
        <f t="shared" si="4"/>
        <v>-7.3724007561436613</v>
      </c>
      <c r="P183" s="137">
        <f t="shared" si="5"/>
        <v>7.3724007561436613</v>
      </c>
      <c r="Q183" s="126">
        <v>2</v>
      </c>
      <c r="R183" t="s">
        <v>522</v>
      </c>
      <c r="S183" t="str">
        <f>IF($W183&lt;&gt;"NAO ACEITO","",COUNTIFS($W$2:$W183,"NAO ACEITO"))</f>
        <v/>
      </c>
      <c r="T183" t="str">
        <f>IF($B183="","",IF(COUNTIF($B$2:$B183,$B183)=1,MAX($T$1:$T182)+1,""))</f>
        <v/>
      </c>
      <c r="U183" t="str">
        <f>IF($D183="","",IF(COUNTIF($D$2:$D183,$D183)=1,MAX($U$1:$U182)+1,""))</f>
        <v/>
      </c>
      <c r="V183">
        <f>IF($D183="","",IF(COUNTIFS($B$2:$B183,$B183,$D$2:$D183,$D183)=1,1,0))</f>
        <v>0</v>
      </c>
      <c r="W183" t="str">
        <f>IF($D183="","",mEQA.PadronizarStatus($L183))</f>
        <v>ACEITO</v>
      </c>
      <c r="X183" t="str">
        <f>IF(OR($D183="",$W183&lt;&gt;"NAO ACEITO"),"",IF(COUNTIFS($D$2:$D183,$D183,$W$2:$W183,"NAO ACEITO")=1,1,0))</f>
        <v/>
      </c>
    </row>
    <row r="184" spans="1:24" x14ac:dyDescent="0.3">
      <c r="A184" t="s">
        <v>402</v>
      </c>
      <c r="B184" t="s">
        <v>507</v>
      </c>
      <c r="C184" s="126">
        <v>2025</v>
      </c>
      <c r="D184" t="s">
        <v>473</v>
      </c>
      <c r="E184" t="s">
        <v>510</v>
      </c>
      <c r="F184" s="137">
        <v>1</v>
      </c>
      <c r="G184" s="138">
        <v>1.1499999999999999</v>
      </c>
      <c r="H184" s="138">
        <v>0.25</v>
      </c>
      <c r="I184" s="139">
        <v>-0.6</v>
      </c>
      <c r="J184" s="137">
        <v>0.7</v>
      </c>
      <c r="K184" s="137">
        <v>1.6</v>
      </c>
      <c r="L184" t="s">
        <v>499</v>
      </c>
      <c r="M184" s="126">
        <v>424</v>
      </c>
      <c r="N184" t="s">
        <v>112</v>
      </c>
      <c r="O184" s="137">
        <f t="shared" si="4"/>
        <v>-13.043478260869559</v>
      </c>
      <c r="P184" s="137">
        <f t="shared" si="5"/>
        <v>13.043478260869559</v>
      </c>
      <c r="Q184" s="126">
        <v>2</v>
      </c>
      <c r="R184" t="s">
        <v>522</v>
      </c>
      <c r="S184" t="str">
        <f>IF($W184&lt;&gt;"NAO ACEITO","",COUNTIFS($W$2:$W184,"NAO ACEITO"))</f>
        <v/>
      </c>
      <c r="T184" t="str">
        <f>IF($B184="","",IF(COUNTIF($B$2:$B184,$B184)=1,MAX($T$1:$T183)+1,""))</f>
        <v/>
      </c>
      <c r="U184" t="str">
        <f>IF($D184="","",IF(COUNTIF($D$2:$D184,$D184)=1,MAX($U$1:$U183)+1,""))</f>
        <v/>
      </c>
      <c r="V184">
        <f>IF($D184="","",IF(COUNTIFS($B$2:$B184,$B184,$D$2:$D184,$D184)=1,1,0))</f>
        <v>0</v>
      </c>
      <c r="W184" t="str">
        <f>IF($D184="","",mEQA.PadronizarStatus($L184))</f>
        <v>ACEITO</v>
      </c>
      <c r="X184" t="str">
        <f>IF(OR($D184="",$W184&lt;&gt;"NAO ACEITO"),"",IF(COUNTIFS($D$2:$D184,$D184,$W$2:$W184,"NAO ACEITO")=1,1,0))</f>
        <v/>
      </c>
    </row>
    <row r="185" spans="1:24" x14ac:dyDescent="0.3">
      <c r="A185" t="s">
        <v>402</v>
      </c>
      <c r="B185" t="s">
        <v>507</v>
      </c>
      <c r="C185" s="126">
        <v>2025</v>
      </c>
      <c r="D185" t="s">
        <v>473</v>
      </c>
      <c r="E185" t="s">
        <v>511</v>
      </c>
      <c r="F185" s="137">
        <v>4.0999999999999996</v>
      </c>
      <c r="G185" s="138">
        <v>4.1900000000000004</v>
      </c>
      <c r="H185" s="138">
        <v>0.33</v>
      </c>
      <c r="I185" s="139">
        <v>-0.3</v>
      </c>
      <c r="J185" s="137">
        <v>3.3</v>
      </c>
      <c r="K185" s="137">
        <v>5.0999999999999996</v>
      </c>
      <c r="L185" t="s">
        <v>499</v>
      </c>
      <c r="M185" s="126">
        <v>424</v>
      </c>
      <c r="N185" t="s">
        <v>112</v>
      </c>
      <c r="O185" s="137">
        <f t="shared" si="4"/>
        <v>-2.1479713603818791</v>
      </c>
      <c r="P185" s="137">
        <f t="shared" si="5"/>
        <v>2.1479713603818791</v>
      </c>
      <c r="Q185" s="126">
        <v>2</v>
      </c>
      <c r="R185" t="s">
        <v>522</v>
      </c>
      <c r="S185" t="str">
        <f>IF($W185&lt;&gt;"NAO ACEITO","",COUNTIFS($W$2:$W185,"NAO ACEITO"))</f>
        <v/>
      </c>
      <c r="T185" t="str">
        <f>IF($B185="","",IF(COUNTIF($B$2:$B185,$B185)=1,MAX($T$1:$T184)+1,""))</f>
        <v/>
      </c>
      <c r="U185" t="str">
        <f>IF($D185="","",IF(COUNTIF($D$2:$D185,$D185)=1,MAX($U$1:$U184)+1,""))</f>
        <v/>
      </c>
      <c r="V185">
        <f>IF($D185="","",IF(COUNTIFS($B$2:$B185,$B185,$D$2:$D185,$D185)=1,1,0))</f>
        <v>0</v>
      </c>
      <c r="W185" t="str">
        <f>IF($D185="","",mEQA.PadronizarStatus($L185))</f>
        <v>ACEITO</v>
      </c>
      <c r="X185" t="str">
        <f>IF(OR($D185="",$W185&lt;&gt;"NAO ACEITO"),"",IF(COUNTIFS($D$2:$D185,$D185,$W$2:$W185,"NAO ACEITO")=1,1,0))</f>
        <v/>
      </c>
    </row>
    <row r="186" spans="1:24" x14ac:dyDescent="0.3">
      <c r="A186" t="s">
        <v>402</v>
      </c>
      <c r="B186" t="s">
        <v>507</v>
      </c>
      <c r="C186" s="126">
        <v>2025</v>
      </c>
      <c r="D186" t="s">
        <v>473</v>
      </c>
      <c r="E186" t="s">
        <v>512</v>
      </c>
      <c r="F186" s="137">
        <v>1.6</v>
      </c>
      <c r="G186" s="138">
        <v>1.67</v>
      </c>
      <c r="H186" s="138">
        <v>0.26</v>
      </c>
      <c r="I186" s="139">
        <v>-0.3</v>
      </c>
      <c r="J186" s="137">
        <v>1.2</v>
      </c>
      <c r="K186" s="137">
        <v>2.1</v>
      </c>
      <c r="L186" t="s">
        <v>499</v>
      </c>
      <c r="M186" s="126">
        <v>424</v>
      </c>
      <c r="N186" t="s">
        <v>112</v>
      </c>
      <c r="O186" s="137">
        <f t="shared" si="4"/>
        <v>-4.1916167664670567</v>
      </c>
      <c r="P186" s="137">
        <f t="shared" si="5"/>
        <v>4.1916167664670567</v>
      </c>
      <c r="Q186" s="126">
        <v>2</v>
      </c>
      <c r="R186" t="s">
        <v>522</v>
      </c>
      <c r="S186" t="str">
        <f>IF($W186&lt;&gt;"NAO ACEITO","",COUNTIFS($W$2:$W186,"NAO ACEITO"))</f>
        <v/>
      </c>
      <c r="T186" t="str">
        <f>IF($B186="","",IF(COUNTIF($B$2:$B186,$B186)=1,MAX($T$1:$T185)+1,""))</f>
        <v/>
      </c>
      <c r="U186" t="str">
        <f>IF($D186="","",IF(COUNTIF($D$2:$D186,$D186)=1,MAX($U$1:$U185)+1,""))</f>
        <v/>
      </c>
      <c r="V186">
        <f>IF($D186="","",IF(COUNTIFS($B$2:$B186,$B186,$D$2:$D186,$D186)=1,1,0))</f>
        <v>0</v>
      </c>
      <c r="W186" t="str">
        <f>IF($D186="","",mEQA.PadronizarStatus($L186))</f>
        <v>ACEITO</v>
      </c>
      <c r="X186" t="str">
        <f>IF(OR($D186="",$W186&lt;&gt;"NAO ACEITO"),"",IF(COUNTIFS($D$2:$D186,$D186,$W$2:$W186,"NAO ACEITO")=1,1,0))</f>
        <v/>
      </c>
    </row>
    <row r="187" spans="1:24" x14ac:dyDescent="0.3">
      <c r="A187" t="s">
        <v>402</v>
      </c>
      <c r="B187" t="s">
        <v>507</v>
      </c>
      <c r="C187" s="126">
        <v>2025</v>
      </c>
      <c r="D187" t="s">
        <v>474</v>
      </c>
      <c r="E187" t="s">
        <v>508</v>
      </c>
      <c r="F187" s="137">
        <v>32</v>
      </c>
      <c r="G187" s="138">
        <v>24.6</v>
      </c>
      <c r="H187" s="138">
        <v>1.4</v>
      </c>
      <c r="I187" s="139">
        <v>5.4</v>
      </c>
      <c r="J187" s="137">
        <v>19</v>
      </c>
      <c r="K187" s="137">
        <v>30</v>
      </c>
      <c r="L187" t="s">
        <v>506</v>
      </c>
      <c r="M187" s="126">
        <v>398</v>
      </c>
      <c r="N187" t="s">
        <v>134</v>
      </c>
      <c r="O187" s="137">
        <f t="shared" si="4"/>
        <v>30.08130081300812</v>
      </c>
      <c r="P187" s="137">
        <f t="shared" si="5"/>
        <v>30.08130081300812</v>
      </c>
      <c r="Q187" s="126">
        <v>3</v>
      </c>
      <c r="R187" t="s">
        <v>522</v>
      </c>
      <c r="S187">
        <f>IF($W187&lt;&gt;"NAO ACEITO","",COUNTIFS($W$2:$W187,"NAO ACEITO"))</f>
        <v>3</v>
      </c>
      <c r="T187" t="str">
        <f>IF($B187="","",IF(COUNTIF($B$2:$B187,$B187)=1,MAX($T$1:$T186)+1,""))</f>
        <v/>
      </c>
      <c r="U187" t="str">
        <f>IF($D187="","",IF(COUNTIF($D$2:$D187,$D187)=1,MAX($U$1:$U186)+1,""))</f>
        <v/>
      </c>
      <c r="V187">
        <f>IF($D187="","",IF(COUNTIFS($B$2:$B187,$B187,$D$2:$D187,$D187)=1,1,0))</f>
        <v>1</v>
      </c>
      <c r="W187" t="str">
        <f>IF($D187="","",mEQA.PadronizarStatus($L187))</f>
        <v>NAO ACEITO</v>
      </c>
      <c r="X187">
        <f>IF(OR($D187="",$W187&lt;&gt;"NAO ACEITO"),"",IF(COUNTIFS($D$2:$D187,$D187,$W$2:$W187,"NAO ACEITO")=1,1,0))</f>
        <v>1</v>
      </c>
    </row>
    <row r="188" spans="1:24" x14ac:dyDescent="0.3">
      <c r="A188" t="s">
        <v>402</v>
      </c>
      <c r="B188" t="s">
        <v>507</v>
      </c>
      <c r="C188" s="126">
        <v>2025</v>
      </c>
      <c r="D188" t="s">
        <v>474</v>
      </c>
      <c r="E188" t="s">
        <v>509</v>
      </c>
      <c r="F188" s="137">
        <v>41</v>
      </c>
      <c r="G188" s="138">
        <v>32.1</v>
      </c>
      <c r="H188" s="138">
        <v>1.5</v>
      </c>
      <c r="I188" s="139">
        <v>6</v>
      </c>
      <c r="J188" s="137">
        <v>25</v>
      </c>
      <c r="K188" s="137">
        <v>39</v>
      </c>
      <c r="L188" t="s">
        <v>506</v>
      </c>
      <c r="M188" s="126">
        <v>393</v>
      </c>
      <c r="N188" t="s">
        <v>134</v>
      </c>
      <c r="O188" s="137">
        <f t="shared" si="4"/>
        <v>27.725856697819307</v>
      </c>
      <c r="P188" s="137">
        <f t="shared" si="5"/>
        <v>27.725856697819307</v>
      </c>
      <c r="Q188" s="126">
        <v>3</v>
      </c>
      <c r="R188" t="s">
        <v>522</v>
      </c>
      <c r="S188">
        <f>IF($W188&lt;&gt;"NAO ACEITO","",COUNTIFS($W$2:$W188,"NAO ACEITO"))</f>
        <v>4</v>
      </c>
      <c r="T188" t="str">
        <f>IF($B188="","",IF(COUNTIF($B$2:$B188,$B188)=1,MAX($T$1:$T187)+1,""))</f>
        <v/>
      </c>
      <c r="U188" t="str">
        <f>IF($D188="","",IF(COUNTIF($D$2:$D188,$D188)=1,MAX($U$1:$U187)+1,""))</f>
        <v/>
      </c>
      <c r="V188">
        <f>IF($D188="","",IF(COUNTIFS($B$2:$B188,$B188,$D$2:$D188,$D188)=1,1,0))</f>
        <v>0</v>
      </c>
      <c r="W188" t="str">
        <f>IF($D188="","",mEQA.PadronizarStatus($L188))</f>
        <v>NAO ACEITO</v>
      </c>
      <c r="X188">
        <f>IF(OR($D188="",$W188&lt;&gt;"NAO ACEITO"),"",IF(COUNTIFS($D$2:$D188,$D188,$W$2:$W188,"NAO ACEITO")=1,1,0))</f>
        <v>0</v>
      </c>
    </row>
    <row r="189" spans="1:24" x14ac:dyDescent="0.3">
      <c r="A189" t="s">
        <v>402</v>
      </c>
      <c r="B189" t="s">
        <v>507</v>
      </c>
      <c r="C189" s="126">
        <v>2025</v>
      </c>
      <c r="D189" t="s">
        <v>474</v>
      </c>
      <c r="E189" t="s">
        <v>510</v>
      </c>
      <c r="F189" s="137">
        <v>39</v>
      </c>
      <c r="G189" s="138">
        <v>29.1</v>
      </c>
      <c r="H189" s="138">
        <v>1.5</v>
      </c>
      <c r="I189" s="139">
        <v>6.8</v>
      </c>
      <c r="J189" s="137">
        <v>23</v>
      </c>
      <c r="K189" s="137">
        <v>35</v>
      </c>
      <c r="L189" t="s">
        <v>506</v>
      </c>
      <c r="M189" s="126">
        <v>394</v>
      </c>
      <c r="N189" t="s">
        <v>134</v>
      </c>
      <c r="O189" s="137">
        <f t="shared" si="4"/>
        <v>34.020618556701024</v>
      </c>
      <c r="P189" s="137">
        <f t="shared" si="5"/>
        <v>34.020618556701024</v>
      </c>
      <c r="Q189" s="126">
        <v>3</v>
      </c>
      <c r="R189" t="s">
        <v>522</v>
      </c>
      <c r="S189">
        <f>IF($W189&lt;&gt;"NAO ACEITO","",COUNTIFS($W$2:$W189,"NAO ACEITO"))</f>
        <v>5</v>
      </c>
      <c r="T189" t="str">
        <f>IF($B189="","",IF(COUNTIF($B$2:$B189,$B189)=1,MAX($T$1:$T188)+1,""))</f>
        <v/>
      </c>
      <c r="U189" t="str">
        <f>IF($D189="","",IF(COUNTIF($D$2:$D189,$D189)=1,MAX($U$1:$U188)+1,""))</f>
        <v/>
      </c>
      <c r="V189">
        <f>IF($D189="","",IF(COUNTIFS($B$2:$B189,$B189,$D$2:$D189,$D189)=1,1,0))</f>
        <v>0</v>
      </c>
      <c r="W189" t="str">
        <f>IF($D189="","",mEQA.PadronizarStatus($L189))</f>
        <v>NAO ACEITO</v>
      </c>
      <c r="X189">
        <f>IF(OR($D189="",$W189&lt;&gt;"NAO ACEITO"),"",IF(COUNTIFS($D$2:$D189,$D189,$W$2:$W189,"NAO ACEITO")=1,1,0))</f>
        <v>0</v>
      </c>
    </row>
    <row r="190" spans="1:24" x14ac:dyDescent="0.3">
      <c r="A190" t="s">
        <v>402</v>
      </c>
      <c r="B190" t="s">
        <v>507</v>
      </c>
      <c r="C190" s="126">
        <v>2025</v>
      </c>
      <c r="D190" t="s">
        <v>474</v>
      </c>
      <c r="E190" t="s">
        <v>511</v>
      </c>
      <c r="F190" s="137">
        <v>46</v>
      </c>
      <c r="G190" s="138">
        <v>34</v>
      </c>
      <c r="H190" s="138">
        <v>1.7</v>
      </c>
      <c r="I190" s="139">
        <v>7</v>
      </c>
      <c r="J190" s="137">
        <v>27</v>
      </c>
      <c r="K190" s="137">
        <v>41</v>
      </c>
      <c r="L190" t="s">
        <v>506</v>
      </c>
      <c r="M190" s="126">
        <v>403</v>
      </c>
      <c r="N190" t="s">
        <v>134</v>
      </c>
      <c r="O190" s="137">
        <f t="shared" si="4"/>
        <v>35.294117647058826</v>
      </c>
      <c r="P190" s="137">
        <f t="shared" si="5"/>
        <v>35.294117647058826</v>
      </c>
      <c r="Q190" s="126">
        <v>3</v>
      </c>
      <c r="R190" t="s">
        <v>522</v>
      </c>
      <c r="S190">
        <f>IF($W190&lt;&gt;"NAO ACEITO","",COUNTIFS($W$2:$W190,"NAO ACEITO"))</f>
        <v>6</v>
      </c>
      <c r="T190" t="str">
        <f>IF($B190="","",IF(COUNTIF($B$2:$B190,$B190)=1,MAX($T$1:$T189)+1,""))</f>
        <v/>
      </c>
      <c r="U190" t="str">
        <f>IF($D190="","",IF(COUNTIF($D$2:$D190,$D190)=1,MAX($U$1:$U189)+1,""))</f>
        <v/>
      </c>
      <c r="V190">
        <f>IF($D190="","",IF(COUNTIFS($B$2:$B190,$B190,$D$2:$D190,$D190)=1,1,0))</f>
        <v>0</v>
      </c>
      <c r="W190" t="str">
        <f>IF($D190="","",mEQA.PadronizarStatus($L190))</f>
        <v>NAO ACEITO</v>
      </c>
      <c r="X190">
        <f>IF(OR($D190="",$W190&lt;&gt;"NAO ACEITO"),"",IF(COUNTIFS($D$2:$D190,$D190,$W$2:$W190,"NAO ACEITO")=1,1,0))</f>
        <v>0</v>
      </c>
    </row>
    <row r="191" spans="1:24" x14ac:dyDescent="0.3">
      <c r="A191" t="s">
        <v>402</v>
      </c>
      <c r="B191" t="s">
        <v>507</v>
      </c>
      <c r="C191" s="126">
        <v>2025</v>
      </c>
      <c r="D191" t="s">
        <v>474</v>
      </c>
      <c r="E191" t="s">
        <v>512</v>
      </c>
      <c r="F191" s="137">
        <v>43</v>
      </c>
      <c r="G191" s="138">
        <v>34.1</v>
      </c>
      <c r="H191" s="138">
        <v>1.7</v>
      </c>
      <c r="I191" s="139">
        <v>5.2</v>
      </c>
      <c r="J191" s="137">
        <v>27</v>
      </c>
      <c r="K191" s="137">
        <v>41</v>
      </c>
      <c r="L191" t="s">
        <v>506</v>
      </c>
      <c r="M191" s="126">
        <v>400</v>
      </c>
      <c r="N191" t="s">
        <v>134</v>
      </c>
      <c r="O191" s="137">
        <f t="shared" si="4"/>
        <v>26.09970674486803</v>
      </c>
      <c r="P191" s="137">
        <f t="shared" si="5"/>
        <v>26.09970674486803</v>
      </c>
      <c r="Q191" s="126">
        <v>3</v>
      </c>
      <c r="R191" t="s">
        <v>522</v>
      </c>
      <c r="S191">
        <f>IF($W191&lt;&gt;"NAO ACEITO","",COUNTIFS($W$2:$W191,"NAO ACEITO"))</f>
        <v>7</v>
      </c>
      <c r="T191" t="str">
        <f>IF($B191="","",IF(COUNTIF($B$2:$B191,$B191)=1,MAX($T$1:$T190)+1,""))</f>
        <v/>
      </c>
      <c r="U191" t="str">
        <f>IF($D191="","",IF(COUNTIF($D$2:$D191,$D191)=1,MAX($U$1:$U190)+1,""))</f>
        <v/>
      </c>
      <c r="V191">
        <f>IF($D191="","",IF(COUNTIFS($B$2:$B191,$B191,$D$2:$D191,$D191)=1,1,0))</f>
        <v>0</v>
      </c>
      <c r="W191" t="str">
        <f>IF($D191="","",mEQA.PadronizarStatus($L191))</f>
        <v>NAO ACEITO</v>
      </c>
      <c r="X191">
        <f>IF(OR($D191="",$W191&lt;&gt;"NAO ACEITO"),"",IF(COUNTIFS($D$2:$D191,$D191,$W$2:$W191,"NAO ACEITO")=1,1,0))</f>
        <v>0</v>
      </c>
    </row>
    <row r="192" spans="1:24" x14ac:dyDescent="0.3">
      <c r="A192" t="s">
        <v>402</v>
      </c>
      <c r="B192" t="s">
        <v>507</v>
      </c>
      <c r="C192" s="126">
        <v>2025</v>
      </c>
      <c r="D192" t="s">
        <v>475</v>
      </c>
      <c r="E192" t="s">
        <v>508</v>
      </c>
      <c r="F192" s="137">
        <v>11.9</v>
      </c>
      <c r="G192" s="138">
        <v>11.997</v>
      </c>
      <c r="H192" s="138">
        <v>0.25</v>
      </c>
      <c r="I192" s="139">
        <v>-0.4</v>
      </c>
      <c r="J192" s="137">
        <v>10.99</v>
      </c>
      <c r="K192" s="137">
        <v>13</v>
      </c>
      <c r="L192" t="s">
        <v>499</v>
      </c>
      <c r="M192" s="126">
        <v>436</v>
      </c>
      <c r="N192" t="s">
        <v>112</v>
      </c>
      <c r="O192" s="137">
        <f t="shared" si="4"/>
        <v>-0.80853546720012948</v>
      </c>
      <c r="P192" s="137">
        <f t="shared" si="5"/>
        <v>0.80853546720012948</v>
      </c>
      <c r="Q192" s="126">
        <v>2</v>
      </c>
      <c r="R192" t="s">
        <v>522</v>
      </c>
      <c r="S192" t="str">
        <f>IF($W192&lt;&gt;"NAO ACEITO","",COUNTIFS($W$2:$W192,"NAO ACEITO"))</f>
        <v/>
      </c>
      <c r="T192" t="str">
        <f>IF($B192="","",IF(COUNTIF($B$2:$B192,$B192)=1,MAX($T$1:$T191)+1,""))</f>
        <v/>
      </c>
      <c r="U192" t="str">
        <f>IF($D192="","",IF(COUNTIF($D$2:$D192,$D192)=1,MAX($U$1:$U191)+1,""))</f>
        <v/>
      </c>
      <c r="V192">
        <f>IF($D192="","",IF(COUNTIFS($B$2:$B192,$B192,$D$2:$D192,$D192)=1,1,0))</f>
        <v>1</v>
      </c>
      <c r="W192" t="str">
        <f>IF($D192="","",mEQA.PadronizarStatus($L192))</f>
        <v>ACEITO</v>
      </c>
      <c r="X192" t="str">
        <f>IF(OR($D192="",$W192&lt;&gt;"NAO ACEITO"),"",IF(COUNTIFS($D$2:$D192,$D192,$W$2:$W192,"NAO ACEITO")=1,1,0))</f>
        <v/>
      </c>
    </row>
    <row r="193" spans="1:24" x14ac:dyDescent="0.3">
      <c r="A193" t="s">
        <v>402</v>
      </c>
      <c r="B193" t="s">
        <v>507</v>
      </c>
      <c r="C193" s="126">
        <v>2025</v>
      </c>
      <c r="D193" t="s">
        <v>475</v>
      </c>
      <c r="E193" t="s">
        <v>509</v>
      </c>
      <c r="F193" s="137">
        <v>9.9</v>
      </c>
      <c r="G193" s="138">
        <v>9.8030000000000008</v>
      </c>
      <c r="H193" s="138">
        <v>0.20100000000000001</v>
      </c>
      <c r="I193" s="139">
        <v>0.5</v>
      </c>
      <c r="J193" s="137">
        <v>8.8000000000000007</v>
      </c>
      <c r="K193" s="137">
        <v>10.81</v>
      </c>
      <c r="L193" t="s">
        <v>499</v>
      </c>
      <c r="M193" s="126">
        <v>436</v>
      </c>
      <c r="N193" t="s">
        <v>112</v>
      </c>
      <c r="O193" s="137">
        <f t="shared" si="4"/>
        <v>0.98949301234315545</v>
      </c>
      <c r="P193" s="137">
        <f t="shared" si="5"/>
        <v>0.98949301234315545</v>
      </c>
      <c r="Q193" s="126">
        <v>2</v>
      </c>
      <c r="R193" t="s">
        <v>522</v>
      </c>
      <c r="S193" t="str">
        <f>IF($W193&lt;&gt;"NAO ACEITO","",COUNTIFS($W$2:$W193,"NAO ACEITO"))</f>
        <v/>
      </c>
      <c r="T193" t="str">
        <f>IF($B193="","",IF(COUNTIF($B$2:$B193,$B193)=1,MAX($T$1:$T192)+1,""))</f>
        <v/>
      </c>
      <c r="U193" t="str">
        <f>IF($D193="","",IF(COUNTIF($D$2:$D193,$D193)=1,MAX($U$1:$U192)+1,""))</f>
        <v/>
      </c>
      <c r="V193">
        <f>IF($D193="","",IF(COUNTIFS($B$2:$B193,$B193,$D$2:$D193,$D193)=1,1,0))</f>
        <v>0</v>
      </c>
      <c r="W193" t="str">
        <f>IF($D193="","",mEQA.PadronizarStatus($L193))</f>
        <v>ACEITO</v>
      </c>
      <c r="X193" t="str">
        <f>IF(OR($D193="",$W193&lt;&gt;"NAO ACEITO"),"",IF(COUNTIFS($D$2:$D193,$D193,$W$2:$W193,"NAO ACEITO")=1,1,0))</f>
        <v/>
      </c>
    </row>
    <row r="194" spans="1:24" x14ac:dyDescent="0.3">
      <c r="A194" t="s">
        <v>402</v>
      </c>
      <c r="B194" t="s">
        <v>507</v>
      </c>
      <c r="C194" s="126">
        <v>2025</v>
      </c>
      <c r="D194" t="s">
        <v>475</v>
      </c>
      <c r="E194" t="s">
        <v>510</v>
      </c>
      <c r="F194" s="137">
        <v>10.9</v>
      </c>
      <c r="G194" s="138">
        <v>10.619</v>
      </c>
      <c r="H194" s="138">
        <v>0.20799999999999999</v>
      </c>
      <c r="I194" s="139">
        <v>1.4</v>
      </c>
      <c r="J194" s="137">
        <v>9.61</v>
      </c>
      <c r="K194" s="137">
        <v>11.62</v>
      </c>
      <c r="L194" t="s">
        <v>499</v>
      </c>
      <c r="M194" s="126">
        <v>430</v>
      </c>
      <c r="N194" t="s">
        <v>112</v>
      </c>
      <c r="O194" s="137">
        <f t="shared" ref="O194:O257" si="6">IFERROR((F194-G194)/G194*100,"")</f>
        <v>2.6462002071758226</v>
      </c>
      <c r="P194" s="137">
        <f t="shared" ref="P194:P257" si="7">IF(O194="","",ABS(O194))</f>
        <v>2.6462002071758226</v>
      </c>
      <c r="Q194" s="126">
        <v>2</v>
      </c>
      <c r="R194" t="s">
        <v>522</v>
      </c>
      <c r="S194" t="str">
        <f>IF($W194&lt;&gt;"NAO ACEITO","",COUNTIFS($W$2:$W194,"NAO ACEITO"))</f>
        <v/>
      </c>
      <c r="T194" t="str">
        <f>IF($B194="","",IF(COUNTIF($B$2:$B194,$B194)=1,MAX($T$1:$T193)+1,""))</f>
        <v/>
      </c>
      <c r="U194" t="str">
        <f>IF($D194="","",IF(COUNTIF($D$2:$D194,$D194)=1,MAX($U$1:$U193)+1,""))</f>
        <v/>
      </c>
      <c r="V194">
        <f>IF($D194="","",IF(COUNTIFS($B$2:$B194,$B194,$D$2:$D194,$D194)=1,1,0))</f>
        <v>0</v>
      </c>
      <c r="W194" t="str">
        <f>IF($D194="","",mEQA.PadronizarStatus($L194))</f>
        <v>ACEITO</v>
      </c>
      <c r="X194" t="str">
        <f>IF(OR($D194="",$W194&lt;&gt;"NAO ACEITO"),"",IF(COUNTIFS($D$2:$D194,$D194,$W$2:$W194,"NAO ACEITO")=1,1,0))</f>
        <v/>
      </c>
    </row>
    <row r="195" spans="1:24" x14ac:dyDescent="0.3">
      <c r="A195" t="s">
        <v>402</v>
      </c>
      <c r="B195" t="s">
        <v>507</v>
      </c>
      <c r="C195" s="126">
        <v>2025</v>
      </c>
      <c r="D195" t="s">
        <v>475</v>
      </c>
      <c r="E195" t="s">
        <v>511</v>
      </c>
      <c r="F195" s="137">
        <v>9.3000000000000007</v>
      </c>
      <c r="G195" s="138">
        <v>9.1709999999999994</v>
      </c>
      <c r="H195" s="138">
        <v>0.189</v>
      </c>
      <c r="I195" s="139">
        <v>0.7</v>
      </c>
      <c r="J195" s="137">
        <v>8.17</v>
      </c>
      <c r="K195" s="137">
        <v>10.18</v>
      </c>
      <c r="L195" t="s">
        <v>499</v>
      </c>
      <c r="M195" s="126">
        <v>437</v>
      </c>
      <c r="N195" t="s">
        <v>112</v>
      </c>
      <c r="O195" s="137">
        <f t="shared" si="6"/>
        <v>1.4066077854105479</v>
      </c>
      <c r="P195" s="137">
        <f t="shared" si="7"/>
        <v>1.4066077854105479</v>
      </c>
      <c r="Q195" s="126">
        <v>2</v>
      </c>
      <c r="R195" t="s">
        <v>522</v>
      </c>
      <c r="S195" t="str">
        <f>IF($W195&lt;&gt;"NAO ACEITO","",COUNTIFS($W$2:$W195,"NAO ACEITO"))</f>
        <v/>
      </c>
      <c r="T195" t="str">
        <f>IF($B195="","",IF(COUNTIF($B$2:$B195,$B195)=1,MAX($T$1:$T194)+1,""))</f>
        <v/>
      </c>
      <c r="U195" t="str">
        <f>IF($D195="","",IF(COUNTIF($D$2:$D195,$D195)=1,MAX($U$1:$U194)+1,""))</f>
        <v/>
      </c>
      <c r="V195">
        <f>IF($D195="","",IF(COUNTIFS($B$2:$B195,$B195,$D$2:$D195,$D195)=1,1,0))</f>
        <v>0</v>
      </c>
      <c r="W195" t="str">
        <f>IF($D195="","",mEQA.PadronizarStatus($L195))</f>
        <v>ACEITO</v>
      </c>
      <c r="X195" t="str">
        <f>IF(OR($D195="",$W195&lt;&gt;"NAO ACEITO"),"",IF(COUNTIFS($D$2:$D195,$D195,$W$2:$W195,"NAO ACEITO")=1,1,0))</f>
        <v/>
      </c>
    </row>
    <row r="196" spans="1:24" x14ac:dyDescent="0.3">
      <c r="A196" t="s">
        <v>402</v>
      </c>
      <c r="B196" t="s">
        <v>507</v>
      </c>
      <c r="C196" s="126">
        <v>2025</v>
      </c>
      <c r="D196" t="s">
        <v>475</v>
      </c>
      <c r="E196" t="s">
        <v>512</v>
      </c>
      <c r="F196" s="137">
        <v>9.3000000000000007</v>
      </c>
      <c r="G196" s="138">
        <v>9.2270000000000003</v>
      </c>
      <c r="H196" s="138">
        <v>0.187</v>
      </c>
      <c r="I196" s="139">
        <v>0.4</v>
      </c>
      <c r="J196" s="137">
        <v>8.2200000000000006</v>
      </c>
      <c r="K196" s="137">
        <v>10.23</v>
      </c>
      <c r="L196" t="s">
        <v>499</v>
      </c>
      <c r="M196" s="126">
        <v>434</v>
      </c>
      <c r="N196" t="s">
        <v>112</v>
      </c>
      <c r="O196" s="137">
        <f t="shared" si="6"/>
        <v>0.79115638885878825</v>
      </c>
      <c r="P196" s="137">
        <f t="shared" si="7"/>
        <v>0.79115638885878825</v>
      </c>
      <c r="Q196" s="126">
        <v>2</v>
      </c>
      <c r="R196" t="s">
        <v>522</v>
      </c>
      <c r="S196" t="str">
        <f>IF($W196&lt;&gt;"NAO ACEITO","",COUNTIFS($W$2:$W196,"NAO ACEITO"))</f>
        <v/>
      </c>
      <c r="T196" t="str">
        <f>IF($B196="","",IF(COUNTIF($B$2:$B196,$B196)=1,MAX($T$1:$T195)+1,""))</f>
        <v/>
      </c>
      <c r="U196" t="str">
        <f>IF($D196="","",IF(COUNTIF($D$2:$D196,$D196)=1,MAX($U$1:$U195)+1,""))</f>
        <v/>
      </c>
      <c r="V196">
        <f>IF($D196="","",IF(COUNTIFS($B$2:$B196,$B196,$D$2:$D196,$D196)=1,1,0))</f>
        <v>0</v>
      </c>
      <c r="W196" t="str">
        <f>IF($D196="","",mEQA.PadronizarStatus($L196))</f>
        <v>ACEITO</v>
      </c>
      <c r="X196" t="str">
        <f>IF(OR($D196="",$W196&lt;&gt;"NAO ACEITO"),"",IF(COUNTIFS($D$2:$D196,$D196,$W$2:$W196,"NAO ACEITO")=1,1,0))</f>
        <v/>
      </c>
    </row>
    <row r="197" spans="1:24" x14ac:dyDescent="0.3">
      <c r="A197" t="s">
        <v>402</v>
      </c>
      <c r="B197" t="s">
        <v>507</v>
      </c>
      <c r="C197" s="126">
        <v>2025</v>
      </c>
      <c r="D197" t="s">
        <v>476</v>
      </c>
      <c r="E197" t="s">
        <v>508</v>
      </c>
      <c r="F197" s="137">
        <v>93</v>
      </c>
      <c r="G197" s="138">
        <v>90.4</v>
      </c>
      <c r="H197" s="138">
        <v>1.3</v>
      </c>
      <c r="I197" s="139">
        <v>2.1</v>
      </c>
      <c r="J197" s="137">
        <v>85</v>
      </c>
      <c r="K197" s="137">
        <v>95</v>
      </c>
      <c r="L197" t="s">
        <v>499</v>
      </c>
      <c r="M197" s="126">
        <v>888</v>
      </c>
      <c r="N197" t="s">
        <v>134</v>
      </c>
      <c r="O197" s="137">
        <f t="shared" si="6"/>
        <v>2.8761061946902586</v>
      </c>
      <c r="P197" s="137">
        <f t="shared" si="7"/>
        <v>2.8761061946902586</v>
      </c>
      <c r="Q197" s="126">
        <v>3</v>
      </c>
      <c r="R197" t="s">
        <v>522</v>
      </c>
      <c r="S197" t="str">
        <f>IF($W197&lt;&gt;"NAO ACEITO","",COUNTIFS($W$2:$W197,"NAO ACEITO"))</f>
        <v/>
      </c>
      <c r="T197" t="str">
        <f>IF($B197="","",IF(COUNTIF($B$2:$B197,$B197)=1,MAX($T$1:$T196)+1,""))</f>
        <v/>
      </c>
      <c r="U197" t="str">
        <f>IF($D197="","",IF(COUNTIF($D$2:$D197,$D197)=1,MAX($U$1:$U196)+1,""))</f>
        <v/>
      </c>
      <c r="V197">
        <f>IF($D197="","",IF(COUNTIFS($B$2:$B197,$B197,$D$2:$D197,$D197)=1,1,0))</f>
        <v>1</v>
      </c>
      <c r="W197" t="str">
        <f>IF($D197="","",mEQA.PadronizarStatus($L197))</f>
        <v>ACEITO</v>
      </c>
      <c r="X197" t="str">
        <f>IF(OR($D197="",$W197&lt;&gt;"NAO ACEITO"),"",IF(COUNTIFS($D$2:$D197,$D197,$W$2:$W197,"NAO ACEITO")=1,1,0))</f>
        <v/>
      </c>
    </row>
    <row r="198" spans="1:24" x14ac:dyDescent="0.3">
      <c r="A198" t="s">
        <v>402</v>
      </c>
      <c r="B198" t="s">
        <v>507</v>
      </c>
      <c r="C198" s="126">
        <v>2025</v>
      </c>
      <c r="D198" t="s">
        <v>476</v>
      </c>
      <c r="E198" t="s">
        <v>509</v>
      </c>
      <c r="F198" s="137">
        <v>111</v>
      </c>
      <c r="G198" s="138">
        <v>105.6</v>
      </c>
      <c r="H198" s="138">
        <v>1.4</v>
      </c>
      <c r="I198" s="139">
        <v>4</v>
      </c>
      <c r="J198" s="137">
        <v>100</v>
      </c>
      <c r="K198" s="137">
        <v>111</v>
      </c>
      <c r="L198" t="s">
        <v>499</v>
      </c>
      <c r="M198" s="126">
        <v>898</v>
      </c>
      <c r="N198" t="s">
        <v>134</v>
      </c>
      <c r="O198" s="137">
        <f t="shared" si="6"/>
        <v>5.1136363636363695</v>
      </c>
      <c r="P198" s="137">
        <f t="shared" si="7"/>
        <v>5.1136363636363695</v>
      </c>
      <c r="Q198" s="126">
        <v>3</v>
      </c>
      <c r="R198" t="s">
        <v>522</v>
      </c>
      <c r="S198" t="str">
        <f>IF($W198&lt;&gt;"NAO ACEITO","",COUNTIFS($W$2:$W198,"NAO ACEITO"))</f>
        <v/>
      </c>
      <c r="T198" t="str">
        <f>IF($B198="","",IF(COUNTIF($B$2:$B198,$B198)=1,MAX($T$1:$T197)+1,""))</f>
        <v/>
      </c>
      <c r="U198" t="str">
        <f>IF($D198="","",IF(COUNTIF($D$2:$D198,$D198)=1,MAX($U$1:$U197)+1,""))</f>
        <v/>
      </c>
      <c r="V198">
        <f>IF($D198="","",IF(COUNTIFS($B$2:$B198,$B198,$D$2:$D198,$D198)=1,1,0))</f>
        <v>0</v>
      </c>
      <c r="W198" t="str">
        <f>IF($D198="","",mEQA.PadronizarStatus($L198))</f>
        <v>ACEITO</v>
      </c>
      <c r="X198" t="str">
        <f>IF(OR($D198="",$W198&lt;&gt;"NAO ACEITO"),"",IF(COUNTIFS($D$2:$D198,$D198,$W$2:$W198,"NAO ACEITO")=1,1,0))</f>
        <v/>
      </c>
    </row>
    <row r="199" spans="1:24" x14ac:dyDescent="0.3">
      <c r="A199" t="s">
        <v>402</v>
      </c>
      <c r="B199" t="s">
        <v>507</v>
      </c>
      <c r="C199" s="126">
        <v>2025</v>
      </c>
      <c r="D199" t="s">
        <v>476</v>
      </c>
      <c r="E199" t="s">
        <v>510</v>
      </c>
      <c r="F199" s="137">
        <v>102</v>
      </c>
      <c r="G199" s="138">
        <v>97.4</v>
      </c>
      <c r="H199" s="138">
        <v>1.3</v>
      </c>
      <c r="I199" s="139">
        <v>3.6</v>
      </c>
      <c r="J199" s="137">
        <v>92</v>
      </c>
      <c r="K199" s="137">
        <v>103</v>
      </c>
      <c r="L199" t="s">
        <v>499</v>
      </c>
      <c r="M199" s="126">
        <v>892</v>
      </c>
      <c r="N199" t="s">
        <v>134</v>
      </c>
      <c r="O199" s="137">
        <f t="shared" si="6"/>
        <v>4.7227926078028686</v>
      </c>
      <c r="P199" s="137">
        <f t="shared" si="7"/>
        <v>4.7227926078028686</v>
      </c>
      <c r="Q199" s="126">
        <v>3</v>
      </c>
      <c r="R199" t="s">
        <v>522</v>
      </c>
      <c r="S199" t="str">
        <f>IF($W199&lt;&gt;"NAO ACEITO","",COUNTIFS($W$2:$W199,"NAO ACEITO"))</f>
        <v/>
      </c>
      <c r="T199" t="str">
        <f>IF($B199="","",IF(COUNTIF($B$2:$B199,$B199)=1,MAX($T$1:$T198)+1,""))</f>
        <v/>
      </c>
      <c r="U199" t="str">
        <f>IF($D199="","",IF(COUNTIF($D$2:$D199,$D199)=1,MAX($U$1:$U198)+1,""))</f>
        <v/>
      </c>
      <c r="V199">
        <f>IF($D199="","",IF(COUNTIFS($B$2:$B199,$B199,$D$2:$D199,$D199)=1,1,0))</f>
        <v>0</v>
      </c>
      <c r="W199" t="str">
        <f>IF($D199="","",mEQA.PadronizarStatus($L199))</f>
        <v>ACEITO</v>
      </c>
      <c r="X199" t="str">
        <f>IF(OR($D199="",$W199&lt;&gt;"NAO ACEITO"),"",IF(COUNTIFS($D$2:$D199,$D199,$W$2:$W199,"NAO ACEITO")=1,1,0))</f>
        <v/>
      </c>
    </row>
    <row r="200" spans="1:24" x14ac:dyDescent="0.3">
      <c r="A200" t="s">
        <v>402</v>
      </c>
      <c r="B200" t="s">
        <v>507</v>
      </c>
      <c r="C200" s="126">
        <v>2025</v>
      </c>
      <c r="D200" t="s">
        <v>476</v>
      </c>
      <c r="E200" t="s">
        <v>511</v>
      </c>
      <c r="F200" s="137">
        <v>114</v>
      </c>
      <c r="G200" s="138">
        <v>107.5</v>
      </c>
      <c r="H200" s="138">
        <v>1.4</v>
      </c>
      <c r="I200" s="139">
        <v>4.7</v>
      </c>
      <c r="J200" s="137">
        <v>102</v>
      </c>
      <c r="K200" s="137">
        <v>113</v>
      </c>
      <c r="L200" t="s">
        <v>506</v>
      </c>
      <c r="M200" s="126">
        <v>898</v>
      </c>
      <c r="N200" t="s">
        <v>134</v>
      </c>
      <c r="O200" s="137">
        <f t="shared" si="6"/>
        <v>6.0465116279069768</v>
      </c>
      <c r="P200" s="137">
        <f t="shared" si="7"/>
        <v>6.0465116279069768</v>
      </c>
      <c r="Q200" s="126">
        <v>3</v>
      </c>
      <c r="R200" t="s">
        <v>522</v>
      </c>
      <c r="S200">
        <f>IF($W200&lt;&gt;"NAO ACEITO","",COUNTIFS($W$2:$W200,"NAO ACEITO"))</f>
        <v>8</v>
      </c>
      <c r="T200" t="str">
        <f>IF($B200="","",IF(COUNTIF($B$2:$B200,$B200)=1,MAX($T$1:$T199)+1,""))</f>
        <v/>
      </c>
      <c r="U200" t="str">
        <f>IF($D200="","",IF(COUNTIF($D$2:$D200,$D200)=1,MAX($U$1:$U199)+1,""))</f>
        <v/>
      </c>
      <c r="V200">
        <f>IF($D200="","",IF(COUNTIFS($B$2:$B200,$B200,$D$2:$D200,$D200)=1,1,0))</f>
        <v>0</v>
      </c>
      <c r="W200" t="str">
        <f>IF($D200="","",mEQA.PadronizarStatus($L200))</f>
        <v>NAO ACEITO</v>
      </c>
      <c r="X200">
        <f>IF(OR($D200="",$W200&lt;&gt;"NAO ACEITO"),"",IF(COUNTIFS($D$2:$D200,$D200,$W$2:$W200,"NAO ACEITO")=1,1,0))</f>
        <v>1</v>
      </c>
    </row>
    <row r="201" spans="1:24" x14ac:dyDescent="0.3">
      <c r="A201" t="s">
        <v>402</v>
      </c>
      <c r="B201" t="s">
        <v>507</v>
      </c>
      <c r="C201" s="126">
        <v>2025</v>
      </c>
      <c r="D201" t="s">
        <v>476</v>
      </c>
      <c r="E201" t="s">
        <v>512</v>
      </c>
      <c r="F201" s="137">
        <v>112</v>
      </c>
      <c r="G201" s="138">
        <v>104.4</v>
      </c>
      <c r="H201" s="138">
        <v>1.4</v>
      </c>
      <c r="I201" s="139">
        <v>5.4</v>
      </c>
      <c r="J201" s="137">
        <v>99</v>
      </c>
      <c r="K201" s="137">
        <v>110</v>
      </c>
      <c r="L201" t="s">
        <v>506</v>
      </c>
      <c r="M201" s="126">
        <v>875</v>
      </c>
      <c r="N201" t="s">
        <v>134</v>
      </c>
      <c r="O201" s="137">
        <f t="shared" si="6"/>
        <v>7.2796934865900331</v>
      </c>
      <c r="P201" s="137">
        <f t="shared" si="7"/>
        <v>7.2796934865900331</v>
      </c>
      <c r="Q201" s="126">
        <v>3</v>
      </c>
      <c r="R201" t="s">
        <v>522</v>
      </c>
      <c r="S201">
        <f>IF($W201&lt;&gt;"NAO ACEITO","",COUNTIFS($W$2:$W201,"NAO ACEITO"))</f>
        <v>9</v>
      </c>
      <c r="T201" t="str">
        <f>IF($B201="","",IF(COUNTIF($B$2:$B201,$B201)=1,MAX($T$1:$T200)+1,""))</f>
        <v/>
      </c>
      <c r="U201" t="str">
        <f>IF($D201="","",IF(COUNTIF($D$2:$D201,$D201)=1,MAX($U$1:$U200)+1,""))</f>
        <v/>
      </c>
      <c r="V201">
        <f>IF($D201="","",IF(COUNTIFS($B$2:$B201,$B201,$D$2:$D201,$D201)=1,1,0))</f>
        <v>0</v>
      </c>
      <c r="W201" t="str">
        <f>IF($D201="","",mEQA.PadronizarStatus($L201))</f>
        <v>NAO ACEITO</v>
      </c>
      <c r="X201">
        <f>IF(OR($D201="",$W201&lt;&gt;"NAO ACEITO"),"",IF(COUNTIFS($D$2:$D201,$D201,$W$2:$W201,"NAO ACEITO")=1,1,0))</f>
        <v>0</v>
      </c>
    </row>
    <row r="202" spans="1:24" x14ac:dyDescent="0.3">
      <c r="A202" t="s">
        <v>402</v>
      </c>
      <c r="B202" t="s">
        <v>507</v>
      </c>
      <c r="C202" s="126">
        <v>2025</v>
      </c>
      <c r="D202" t="s">
        <v>477</v>
      </c>
      <c r="E202" t="s">
        <v>508</v>
      </c>
      <c r="F202" s="137">
        <v>163</v>
      </c>
      <c r="G202" s="138">
        <v>163.23699999999999</v>
      </c>
      <c r="H202" s="138">
        <v>4.2039999999999997</v>
      </c>
      <c r="I202" s="139">
        <v>-0.1</v>
      </c>
      <c r="J202" s="137">
        <v>146.91</v>
      </c>
      <c r="K202" s="137">
        <v>179.57</v>
      </c>
      <c r="L202" t="s">
        <v>499</v>
      </c>
      <c r="M202" s="126">
        <v>4602</v>
      </c>
      <c r="N202" t="s">
        <v>112</v>
      </c>
      <c r="O202" s="137">
        <f t="shared" si="6"/>
        <v>-0.14518767191261467</v>
      </c>
      <c r="P202" s="137">
        <f t="shared" si="7"/>
        <v>0.14518767191261467</v>
      </c>
      <c r="Q202" s="126">
        <v>3</v>
      </c>
      <c r="R202" t="s">
        <v>522</v>
      </c>
      <c r="S202" t="str">
        <f>IF($W202&lt;&gt;"NAO ACEITO","",COUNTIFS($W$2:$W202,"NAO ACEITO"))</f>
        <v/>
      </c>
      <c r="T202" t="str">
        <f>IF($B202="","",IF(COUNTIF($B$2:$B202,$B202)=1,MAX($T$1:$T201)+1,""))</f>
        <v/>
      </c>
      <c r="U202" t="str">
        <f>IF($D202="","",IF(COUNTIF($D$2:$D202,$D202)=1,MAX($U$1:$U201)+1,""))</f>
        <v/>
      </c>
      <c r="V202">
        <f>IF($D202="","",IF(COUNTIFS($B$2:$B202,$B202,$D$2:$D202,$D202)=1,1,0))</f>
        <v>1</v>
      </c>
      <c r="W202" t="str">
        <f>IF($D202="","",mEQA.PadronizarStatus($L202))</f>
        <v>ACEITO</v>
      </c>
      <c r="X202" t="str">
        <f>IF(OR($D202="",$W202&lt;&gt;"NAO ACEITO"),"",IF(COUNTIFS($D$2:$D202,$D202,$W$2:$W202,"NAO ACEITO")=1,1,0))</f>
        <v/>
      </c>
    </row>
    <row r="203" spans="1:24" x14ac:dyDescent="0.3">
      <c r="A203" t="s">
        <v>402</v>
      </c>
      <c r="B203" t="s">
        <v>507</v>
      </c>
      <c r="C203" s="126">
        <v>2025</v>
      </c>
      <c r="D203" t="s">
        <v>477</v>
      </c>
      <c r="E203" t="s">
        <v>509</v>
      </c>
      <c r="F203" s="137">
        <v>69</v>
      </c>
      <c r="G203" s="138">
        <v>74.915000000000006</v>
      </c>
      <c r="H203" s="138">
        <v>5.0170000000000003</v>
      </c>
      <c r="I203" s="139">
        <v>-1.2</v>
      </c>
      <c r="J203" s="137">
        <v>67.42</v>
      </c>
      <c r="K203" s="137">
        <v>82.41</v>
      </c>
      <c r="L203" t="s">
        <v>499</v>
      </c>
      <c r="M203" s="126">
        <v>4603</v>
      </c>
      <c r="N203" t="s">
        <v>112</v>
      </c>
      <c r="O203" s="137">
        <f t="shared" si="6"/>
        <v>-7.8956150303677575</v>
      </c>
      <c r="P203" s="137">
        <f t="shared" si="7"/>
        <v>7.8956150303677575</v>
      </c>
      <c r="Q203" s="126">
        <v>3</v>
      </c>
      <c r="R203" t="s">
        <v>522</v>
      </c>
      <c r="S203" t="str">
        <f>IF($W203&lt;&gt;"NAO ACEITO","",COUNTIFS($W$2:$W203,"NAO ACEITO"))</f>
        <v/>
      </c>
      <c r="T203" t="str">
        <f>IF($B203="","",IF(COUNTIF($B$2:$B203,$B203)=1,MAX($T$1:$T202)+1,""))</f>
        <v/>
      </c>
      <c r="U203" t="str">
        <f>IF($D203="","",IF(COUNTIF($D$2:$D203,$D203)=1,MAX($U$1:$U202)+1,""))</f>
        <v/>
      </c>
      <c r="V203">
        <f>IF($D203="","",IF(COUNTIFS($B$2:$B203,$B203,$D$2:$D203,$D203)=1,1,0))</f>
        <v>0</v>
      </c>
      <c r="W203" t="str">
        <f>IF($D203="","",mEQA.PadronizarStatus($L203))</f>
        <v>ACEITO</v>
      </c>
      <c r="X203" t="str">
        <f>IF(OR($D203="",$W203&lt;&gt;"NAO ACEITO"),"",IF(COUNTIFS($D$2:$D203,$D203,$W$2:$W203,"NAO ACEITO")=1,1,0))</f>
        <v/>
      </c>
    </row>
    <row r="204" spans="1:24" x14ac:dyDescent="0.3">
      <c r="A204" t="s">
        <v>402</v>
      </c>
      <c r="B204" t="s">
        <v>507</v>
      </c>
      <c r="C204" s="126">
        <v>2025</v>
      </c>
      <c r="D204" t="s">
        <v>477</v>
      </c>
      <c r="E204" t="s">
        <v>510</v>
      </c>
      <c r="F204" s="137">
        <v>178</v>
      </c>
      <c r="G204" s="138">
        <v>177.68600000000001</v>
      </c>
      <c r="H204" s="138">
        <v>4.4400000000000004</v>
      </c>
      <c r="I204" s="139">
        <v>0.1</v>
      </c>
      <c r="J204" s="137">
        <v>159.91</v>
      </c>
      <c r="K204" s="137">
        <v>195.46</v>
      </c>
      <c r="L204" t="s">
        <v>499</v>
      </c>
      <c r="M204" s="126">
        <v>4605</v>
      </c>
      <c r="N204" t="s">
        <v>112</v>
      </c>
      <c r="O204" s="137">
        <f t="shared" si="6"/>
        <v>0.17671622975360635</v>
      </c>
      <c r="P204" s="137">
        <f t="shared" si="7"/>
        <v>0.17671622975360635</v>
      </c>
      <c r="Q204" s="126">
        <v>3</v>
      </c>
      <c r="R204" t="s">
        <v>522</v>
      </c>
      <c r="S204" t="str">
        <f>IF($W204&lt;&gt;"NAO ACEITO","",COUNTIFS($W$2:$W204,"NAO ACEITO"))</f>
        <v/>
      </c>
      <c r="T204" t="str">
        <f>IF($B204="","",IF(COUNTIF($B$2:$B204,$B204)=1,MAX($T$1:$T203)+1,""))</f>
        <v/>
      </c>
      <c r="U204" t="str">
        <f>IF($D204="","",IF(COUNTIF($D$2:$D204,$D204)=1,MAX($U$1:$U203)+1,""))</f>
        <v/>
      </c>
      <c r="V204">
        <f>IF($D204="","",IF(COUNTIFS($B$2:$B204,$B204,$D$2:$D204,$D204)=1,1,0))</f>
        <v>0</v>
      </c>
      <c r="W204" t="str">
        <f>IF($D204="","",mEQA.PadronizarStatus($L204))</f>
        <v>ACEITO</v>
      </c>
      <c r="X204" t="str">
        <f>IF(OR($D204="",$W204&lt;&gt;"NAO ACEITO"),"",IF(COUNTIFS($D$2:$D204,$D204,$W$2:$W204,"NAO ACEITO")=1,1,0))</f>
        <v/>
      </c>
    </row>
    <row r="205" spans="1:24" x14ac:dyDescent="0.3">
      <c r="A205" t="s">
        <v>402</v>
      </c>
      <c r="B205" t="s">
        <v>507</v>
      </c>
      <c r="C205" s="126">
        <v>2025</v>
      </c>
      <c r="D205" t="s">
        <v>477</v>
      </c>
      <c r="E205" t="s">
        <v>511</v>
      </c>
      <c r="F205" s="137">
        <v>115</v>
      </c>
      <c r="G205" s="138">
        <v>118.092</v>
      </c>
      <c r="H205" s="138">
        <v>4.2439999999999998</v>
      </c>
      <c r="I205" s="139">
        <v>-0.7</v>
      </c>
      <c r="J205" s="137">
        <v>106.28</v>
      </c>
      <c r="K205" s="137">
        <v>129.91</v>
      </c>
      <c r="L205" t="s">
        <v>499</v>
      </c>
      <c r="M205" s="126">
        <v>4600</v>
      </c>
      <c r="N205" t="s">
        <v>112</v>
      </c>
      <c r="O205" s="137">
        <f t="shared" si="6"/>
        <v>-2.6182975984825383</v>
      </c>
      <c r="P205" s="137">
        <f t="shared" si="7"/>
        <v>2.6182975984825383</v>
      </c>
      <c r="Q205" s="126">
        <v>3</v>
      </c>
      <c r="R205" t="s">
        <v>522</v>
      </c>
      <c r="S205" t="str">
        <f>IF($W205&lt;&gt;"NAO ACEITO","",COUNTIFS($W$2:$W205,"NAO ACEITO"))</f>
        <v/>
      </c>
      <c r="T205" t="str">
        <f>IF($B205="","",IF(COUNTIF($B$2:$B205,$B205)=1,MAX($T$1:$T204)+1,""))</f>
        <v/>
      </c>
      <c r="U205" t="str">
        <f>IF($D205="","",IF(COUNTIF($D$2:$D205,$D205)=1,MAX($U$1:$U204)+1,""))</f>
        <v/>
      </c>
      <c r="V205">
        <f>IF($D205="","",IF(COUNTIFS($B$2:$B205,$B205,$D$2:$D205,$D205)=1,1,0))</f>
        <v>0</v>
      </c>
      <c r="W205" t="str">
        <f>IF($D205="","",mEQA.PadronizarStatus($L205))</f>
        <v>ACEITO</v>
      </c>
      <c r="X205" t="str">
        <f>IF(OR($D205="",$W205&lt;&gt;"NAO ACEITO"),"",IF(COUNTIFS($D$2:$D205,$D205,$W$2:$W205,"NAO ACEITO")=1,1,0))</f>
        <v/>
      </c>
    </row>
    <row r="206" spans="1:24" x14ac:dyDescent="0.3">
      <c r="A206" t="s">
        <v>402</v>
      </c>
      <c r="B206" t="s">
        <v>507</v>
      </c>
      <c r="C206" s="126">
        <v>2025</v>
      </c>
      <c r="D206" t="s">
        <v>477</v>
      </c>
      <c r="E206" t="s">
        <v>512</v>
      </c>
      <c r="F206" s="137">
        <v>194</v>
      </c>
      <c r="G206" s="138">
        <v>191.86099999999999</v>
      </c>
      <c r="H206" s="138">
        <v>4.7329999999999997</v>
      </c>
      <c r="I206" s="139">
        <v>0.5</v>
      </c>
      <c r="J206" s="137">
        <v>172.67</v>
      </c>
      <c r="K206" s="137">
        <v>211.05</v>
      </c>
      <c r="L206" t="s">
        <v>499</v>
      </c>
      <c r="M206" s="126">
        <v>4593</v>
      </c>
      <c r="N206" t="s">
        <v>112</v>
      </c>
      <c r="O206" s="137">
        <f t="shared" si="6"/>
        <v>1.1148696191513701</v>
      </c>
      <c r="P206" s="137">
        <f t="shared" si="7"/>
        <v>1.1148696191513701</v>
      </c>
      <c r="Q206" s="126">
        <v>3</v>
      </c>
      <c r="R206" t="s">
        <v>522</v>
      </c>
      <c r="S206" t="str">
        <f>IF($W206&lt;&gt;"NAO ACEITO","",COUNTIFS($W$2:$W206,"NAO ACEITO"))</f>
        <v/>
      </c>
      <c r="T206" t="str">
        <f>IF($B206="","",IF(COUNTIF($B$2:$B206,$B206)=1,MAX($T$1:$T205)+1,""))</f>
        <v/>
      </c>
      <c r="U206" t="str">
        <f>IF($D206="","",IF(COUNTIF($D$2:$D206,$D206)=1,MAX($U$1:$U205)+1,""))</f>
        <v/>
      </c>
      <c r="V206">
        <f>IF($D206="","",IF(COUNTIFS($B$2:$B206,$B206,$D$2:$D206,$D206)=1,1,0))</f>
        <v>0</v>
      </c>
      <c r="W206" t="str">
        <f>IF($D206="","",mEQA.PadronizarStatus($L206))</f>
        <v>ACEITO</v>
      </c>
      <c r="X206" t="str">
        <f>IF(OR($D206="",$W206&lt;&gt;"NAO ACEITO"),"",IF(COUNTIFS($D$2:$D206,$D206,$W$2:$W206,"NAO ACEITO")=1,1,0))</f>
        <v/>
      </c>
    </row>
    <row r="207" spans="1:24" x14ac:dyDescent="0.3">
      <c r="A207" t="s">
        <v>402</v>
      </c>
      <c r="B207" t="s">
        <v>507</v>
      </c>
      <c r="C207" s="126">
        <v>2025</v>
      </c>
      <c r="D207" t="s">
        <v>478</v>
      </c>
      <c r="E207" t="s">
        <v>508</v>
      </c>
      <c r="F207" s="137">
        <v>89</v>
      </c>
      <c r="G207" s="138">
        <v>98.3</v>
      </c>
      <c r="H207" s="138">
        <v>8.9</v>
      </c>
      <c r="I207" s="139">
        <v>-1</v>
      </c>
      <c r="J207" s="137">
        <v>78</v>
      </c>
      <c r="K207" s="137">
        <v>118</v>
      </c>
      <c r="L207" t="s">
        <v>499</v>
      </c>
      <c r="M207" s="126">
        <v>350</v>
      </c>
      <c r="N207" t="s">
        <v>123</v>
      </c>
      <c r="O207" s="137">
        <f t="shared" si="6"/>
        <v>-9.4608341810783294</v>
      </c>
      <c r="P207" s="137">
        <f t="shared" si="7"/>
        <v>9.4608341810783294</v>
      </c>
      <c r="Q207" s="126">
        <v>7</v>
      </c>
      <c r="R207" t="s">
        <v>522</v>
      </c>
      <c r="S207" t="str">
        <f>IF($W207&lt;&gt;"NAO ACEITO","",COUNTIFS($W$2:$W207,"NAO ACEITO"))</f>
        <v/>
      </c>
      <c r="T207" t="str">
        <f>IF($B207="","",IF(COUNTIF($B$2:$B207,$B207)=1,MAX($T$1:$T206)+1,""))</f>
        <v/>
      </c>
      <c r="U207" t="str">
        <f>IF($D207="","",IF(COUNTIF($D$2:$D207,$D207)=1,MAX($U$1:$U206)+1,""))</f>
        <v/>
      </c>
      <c r="V207">
        <f>IF($D207="","",IF(COUNTIFS($B$2:$B207,$B207,$D$2:$D207,$D207)=1,1,0))</f>
        <v>1</v>
      </c>
      <c r="W207" t="str">
        <f>IF($D207="","",mEQA.PadronizarStatus($L207))</f>
        <v>ACEITO</v>
      </c>
      <c r="X207" t="str">
        <f>IF(OR($D207="",$W207&lt;&gt;"NAO ACEITO"),"",IF(COUNTIFS($D$2:$D207,$D207,$W$2:$W207,"NAO ACEITO")=1,1,0))</f>
        <v/>
      </c>
    </row>
    <row r="208" spans="1:24" x14ac:dyDescent="0.3">
      <c r="A208" t="s">
        <v>402</v>
      </c>
      <c r="B208" t="s">
        <v>507</v>
      </c>
      <c r="C208" s="126">
        <v>2025</v>
      </c>
      <c r="D208" t="s">
        <v>478</v>
      </c>
      <c r="E208" t="s">
        <v>509</v>
      </c>
      <c r="F208" s="137">
        <v>15</v>
      </c>
      <c r="G208" s="138">
        <v>21.3</v>
      </c>
      <c r="H208" s="138">
        <v>2.5</v>
      </c>
      <c r="I208" s="139">
        <v>-2.6</v>
      </c>
      <c r="J208" s="137">
        <v>17</v>
      </c>
      <c r="K208" s="137">
        <v>26</v>
      </c>
      <c r="L208" t="s">
        <v>506</v>
      </c>
      <c r="M208" s="126">
        <v>348</v>
      </c>
      <c r="N208" t="s">
        <v>123</v>
      </c>
      <c r="O208" s="137">
        <f t="shared" si="6"/>
        <v>-29.577464788732399</v>
      </c>
      <c r="P208" s="137">
        <f t="shared" si="7"/>
        <v>29.577464788732399</v>
      </c>
      <c r="Q208" s="126">
        <v>7</v>
      </c>
      <c r="R208" t="s">
        <v>522</v>
      </c>
      <c r="S208">
        <f>IF($W208&lt;&gt;"NAO ACEITO","",COUNTIFS($W$2:$W208,"NAO ACEITO"))</f>
        <v>10</v>
      </c>
      <c r="T208" t="str">
        <f>IF($B208="","",IF(COUNTIF($B$2:$B208,$B208)=1,MAX($T$1:$T207)+1,""))</f>
        <v/>
      </c>
      <c r="U208" t="str">
        <f>IF($D208="","",IF(COUNTIF($D$2:$D208,$D208)=1,MAX($U$1:$U207)+1,""))</f>
        <v/>
      </c>
      <c r="V208">
        <f>IF($D208="","",IF(COUNTIFS($B$2:$B208,$B208,$D$2:$D208,$D208)=1,1,0))</f>
        <v>0</v>
      </c>
      <c r="W208" t="str">
        <f>IF($D208="","",mEQA.PadronizarStatus($L208))</f>
        <v>NAO ACEITO</v>
      </c>
      <c r="X208">
        <f>IF(OR($D208="",$W208&lt;&gt;"NAO ACEITO"),"",IF(COUNTIFS($D$2:$D208,$D208,$W$2:$W208,"NAO ACEITO")=1,1,0))</f>
        <v>1</v>
      </c>
    </row>
    <row r="209" spans="1:24" x14ac:dyDescent="0.3">
      <c r="A209" t="s">
        <v>402</v>
      </c>
      <c r="B209" t="s">
        <v>507</v>
      </c>
      <c r="C209" s="126">
        <v>2025</v>
      </c>
      <c r="D209" t="s">
        <v>478</v>
      </c>
      <c r="E209" t="s">
        <v>510</v>
      </c>
      <c r="F209" s="137">
        <v>183</v>
      </c>
      <c r="G209" s="138">
        <v>199.1</v>
      </c>
      <c r="H209" s="138">
        <v>12.3</v>
      </c>
      <c r="I209" s="139">
        <v>-1.3</v>
      </c>
      <c r="J209" s="137">
        <v>159</v>
      </c>
      <c r="K209" s="137">
        <v>239</v>
      </c>
      <c r="L209" t="s">
        <v>499</v>
      </c>
      <c r="M209" s="126">
        <v>350</v>
      </c>
      <c r="N209" t="s">
        <v>123</v>
      </c>
      <c r="O209" s="137">
        <f t="shared" si="6"/>
        <v>-8.0863887493721727</v>
      </c>
      <c r="P209" s="137">
        <f t="shared" si="7"/>
        <v>8.0863887493721727</v>
      </c>
      <c r="Q209" s="126">
        <v>7</v>
      </c>
      <c r="R209" t="s">
        <v>522</v>
      </c>
      <c r="S209" t="str">
        <f>IF($W209&lt;&gt;"NAO ACEITO","",COUNTIFS($W$2:$W209,"NAO ACEITO"))</f>
        <v/>
      </c>
      <c r="T209" t="str">
        <f>IF($B209="","",IF(COUNTIF($B$2:$B209,$B209)=1,MAX($T$1:$T208)+1,""))</f>
        <v/>
      </c>
      <c r="U209" t="str">
        <f>IF($D209="","",IF(COUNTIF($D$2:$D209,$D209)=1,MAX($U$1:$U208)+1,""))</f>
        <v/>
      </c>
      <c r="V209">
        <f>IF($D209="","",IF(COUNTIFS($B$2:$B209,$B209,$D$2:$D209,$D209)=1,1,0))</f>
        <v>0</v>
      </c>
      <c r="W209" t="str">
        <f>IF($D209="","",mEQA.PadronizarStatus($L209))</f>
        <v>ACEITO</v>
      </c>
      <c r="X209" t="str">
        <f>IF(OR($D209="",$W209&lt;&gt;"NAO ACEITO"),"",IF(COUNTIFS($D$2:$D209,$D209,$W$2:$W209,"NAO ACEITO")=1,1,0))</f>
        <v/>
      </c>
    </row>
    <row r="210" spans="1:24" x14ac:dyDescent="0.3">
      <c r="A210" t="s">
        <v>402</v>
      </c>
      <c r="B210" t="s">
        <v>507</v>
      </c>
      <c r="C210" s="126">
        <v>2025</v>
      </c>
      <c r="D210" t="s">
        <v>478</v>
      </c>
      <c r="E210" t="s">
        <v>511</v>
      </c>
      <c r="F210" s="137">
        <v>143</v>
      </c>
      <c r="G210" s="138">
        <v>150.19999999999999</v>
      </c>
      <c r="H210" s="138">
        <v>5.6</v>
      </c>
      <c r="I210" s="139">
        <v>-1.3</v>
      </c>
      <c r="J210" s="137">
        <v>120</v>
      </c>
      <c r="K210" s="137">
        <v>181</v>
      </c>
      <c r="L210" t="s">
        <v>499</v>
      </c>
      <c r="M210" s="126">
        <v>344</v>
      </c>
      <c r="N210" t="s">
        <v>123</v>
      </c>
      <c r="O210" s="137">
        <f t="shared" si="6"/>
        <v>-4.7936085219706985</v>
      </c>
      <c r="P210" s="137">
        <f t="shared" si="7"/>
        <v>4.7936085219706985</v>
      </c>
      <c r="Q210" s="126">
        <v>7</v>
      </c>
      <c r="R210" t="s">
        <v>522</v>
      </c>
      <c r="S210" t="str">
        <f>IF($W210&lt;&gt;"NAO ACEITO","",COUNTIFS($W$2:$W210,"NAO ACEITO"))</f>
        <v/>
      </c>
      <c r="T210" t="str">
        <f>IF($B210="","",IF(COUNTIF($B$2:$B210,$B210)=1,MAX($T$1:$T209)+1,""))</f>
        <v/>
      </c>
      <c r="U210" t="str">
        <f>IF($D210="","",IF(COUNTIF($D$2:$D210,$D210)=1,MAX($U$1:$U209)+1,""))</f>
        <v/>
      </c>
      <c r="V210">
        <f>IF($D210="","",IF(COUNTIFS($B$2:$B210,$B210,$D$2:$D210,$D210)=1,1,0))</f>
        <v>0</v>
      </c>
      <c r="W210" t="str">
        <f>IF($D210="","",mEQA.PadronizarStatus($L210))</f>
        <v>ACEITO</v>
      </c>
      <c r="X210" t="str">
        <f>IF(OR($D210="",$W210&lt;&gt;"NAO ACEITO"),"",IF(COUNTIFS($D$2:$D210,$D210,$W$2:$W210,"NAO ACEITO")=1,1,0))</f>
        <v/>
      </c>
    </row>
    <row r="211" spans="1:24" x14ac:dyDescent="0.3">
      <c r="A211" t="s">
        <v>402</v>
      </c>
      <c r="B211" t="s">
        <v>507</v>
      </c>
      <c r="C211" s="126">
        <v>2025</v>
      </c>
      <c r="D211" t="s">
        <v>478</v>
      </c>
      <c r="E211" t="s">
        <v>512</v>
      </c>
      <c r="F211" s="137">
        <v>293</v>
      </c>
      <c r="G211" s="138">
        <v>308.10000000000002</v>
      </c>
      <c r="H211" s="138">
        <v>14.2</v>
      </c>
      <c r="I211" s="139">
        <v>-1.1000000000000001</v>
      </c>
      <c r="J211" s="137">
        <v>246</v>
      </c>
      <c r="K211" s="137">
        <v>370</v>
      </c>
      <c r="L211" t="s">
        <v>499</v>
      </c>
      <c r="M211" s="126">
        <v>348</v>
      </c>
      <c r="N211" t="s">
        <v>123</v>
      </c>
      <c r="O211" s="137">
        <f t="shared" si="6"/>
        <v>-4.9010061668289584</v>
      </c>
      <c r="P211" s="137">
        <f t="shared" si="7"/>
        <v>4.9010061668289584</v>
      </c>
      <c r="Q211" s="126">
        <v>7</v>
      </c>
      <c r="R211" t="s">
        <v>522</v>
      </c>
      <c r="S211" t="str">
        <f>IF($W211&lt;&gt;"NAO ACEITO","",COUNTIFS($W$2:$W211,"NAO ACEITO"))</f>
        <v/>
      </c>
      <c r="T211" t="str">
        <f>IF($B211="","",IF(COUNTIF($B$2:$B211,$B211)=1,MAX($T$1:$T210)+1,""))</f>
        <v/>
      </c>
      <c r="U211" t="str">
        <f>IF($D211="","",IF(COUNTIF($D$2:$D211,$D211)=1,MAX($U$1:$U210)+1,""))</f>
        <v/>
      </c>
      <c r="V211">
        <f>IF($D211="","",IF(COUNTIFS($B$2:$B211,$B211,$D$2:$D211,$D211)=1,1,0))</f>
        <v>0</v>
      </c>
      <c r="W211" t="str">
        <f>IF($D211="","",mEQA.PadronizarStatus($L211))</f>
        <v>ACEITO</v>
      </c>
      <c r="X211" t="str">
        <f>IF(OR($D211="",$W211&lt;&gt;"NAO ACEITO"),"",IF(COUNTIFS($D$2:$D211,$D211,$W$2:$W211,"NAO ACEITO")=1,1,0))</f>
        <v/>
      </c>
    </row>
    <row r="212" spans="1:24" x14ac:dyDescent="0.3">
      <c r="A212" t="s">
        <v>402</v>
      </c>
      <c r="B212" t="s">
        <v>507</v>
      </c>
      <c r="C212" s="126">
        <v>2025</v>
      </c>
      <c r="D212" t="s">
        <v>479</v>
      </c>
      <c r="E212" t="s">
        <v>508</v>
      </c>
      <c r="F212" s="137">
        <v>3.28</v>
      </c>
      <c r="G212" s="138">
        <v>3.3359999999999999</v>
      </c>
      <c r="H212" s="138">
        <v>7.8E-2</v>
      </c>
      <c r="I212" s="139">
        <v>-0.7</v>
      </c>
      <c r="J212" s="137">
        <v>3</v>
      </c>
      <c r="K212" s="137">
        <v>3.67</v>
      </c>
      <c r="L212" t="s">
        <v>499</v>
      </c>
      <c r="M212" s="126">
        <v>368</v>
      </c>
      <c r="N212" t="s">
        <v>112</v>
      </c>
      <c r="O212" s="137">
        <f t="shared" si="6"/>
        <v>-1.6786570743405294</v>
      </c>
      <c r="P212" s="137">
        <f t="shared" si="7"/>
        <v>1.6786570743405294</v>
      </c>
      <c r="Q212" s="126">
        <v>4</v>
      </c>
      <c r="R212" t="s">
        <v>522</v>
      </c>
      <c r="S212" t="str">
        <f>IF($W212&lt;&gt;"NAO ACEITO","",COUNTIFS($W$2:$W212,"NAO ACEITO"))</f>
        <v/>
      </c>
      <c r="T212" t="str">
        <f>IF($B212="","",IF(COUNTIF($B$2:$B212,$B212)=1,MAX($T$1:$T211)+1,""))</f>
        <v/>
      </c>
      <c r="U212" t="str">
        <f>IF($D212="","",IF(COUNTIF($D$2:$D212,$D212)=1,MAX($U$1:$U211)+1,""))</f>
        <v/>
      </c>
      <c r="V212">
        <f>IF($D212="","",IF(COUNTIFS($B$2:$B212,$B212,$D$2:$D212,$D212)=1,1,0))</f>
        <v>1</v>
      </c>
      <c r="W212" t="str">
        <f>IF($D212="","",mEQA.PadronizarStatus($L212))</f>
        <v>ACEITO</v>
      </c>
      <c r="X212" t="str">
        <f>IF(OR($D212="",$W212&lt;&gt;"NAO ACEITO"),"",IF(COUNTIFS($D$2:$D212,$D212,$W$2:$W212,"NAO ACEITO")=1,1,0))</f>
        <v/>
      </c>
    </row>
    <row r="213" spans="1:24" x14ac:dyDescent="0.3">
      <c r="A213" t="s">
        <v>402</v>
      </c>
      <c r="B213" t="s">
        <v>507</v>
      </c>
      <c r="C213" s="126">
        <v>2025</v>
      </c>
      <c r="D213" t="s">
        <v>479</v>
      </c>
      <c r="E213" t="s">
        <v>509</v>
      </c>
      <c r="F213" s="137">
        <v>7.15</v>
      </c>
      <c r="G213" s="138">
        <v>7.0049999999999999</v>
      </c>
      <c r="H213" s="138">
        <v>0.14099999999999999</v>
      </c>
      <c r="I213" s="139">
        <v>1</v>
      </c>
      <c r="J213" s="137">
        <v>6.3</v>
      </c>
      <c r="K213" s="137">
        <v>7.71</v>
      </c>
      <c r="L213" t="s">
        <v>499</v>
      </c>
      <c r="M213" s="126">
        <v>365</v>
      </c>
      <c r="N213" t="s">
        <v>112</v>
      </c>
      <c r="O213" s="137">
        <f t="shared" si="6"/>
        <v>2.0699500356888003</v>
      </c>
      <c r="P213" s="137">
        <f t="shared" si="7"/>
        <v>2.0699500356888003</v>
      </c>
      <c r="Q213" s="126">
        <v>4</v>
      </c>
      <c r="R213" t="s">
        <v>522</v>
      </c>
      <c r="S213" t="str">
        <f>IF($W213&lt;&gt;"NAO ACEITO","",COUNTIFS($W$2:$W213,"NAO ACEITO"))</f>
        <v/>
      </c>
      <c r="T213" t="str">
        <f>IF($B213="","",IF(COUNTIF($B$2:$B213,$B213)=1,MAX($T$1:$T212)+1,""))</f>
        <v/>
      </c>
      <c r="U213" t="str">
        <f>IF($D213="","",IF(COUNTIF($D$2:$D213,$D213)=1,MAX($U$1:$U212)+1,""))</f>
        <v/>
      </c>
      <c r="V213">
        <f>IF($D213="","",IF(COUNTIFS($B$2:$B213,$B213,$D$2:$D213,$D213)=1,1,0))</f>
        <v>0</v>
      </c>
      <c r="W213" t="str">
        <f>IF($D213="","",mEQA.PadronizarStatus($L213))</f>
        <v>ACEITO</v>
      </c>
      <c r="X213" t="str">
        <f>IF(OR($D213="",$W213&lt;&gt;"NAO ACEITO"),"",IF(COUNTIFS($D$2:$D213,$D213,$W$2:$W213,"NAO ACEITO")=1,1,0))</f>
        <v/>
      </c>
    </row>
    <row r="214" spans="1:24" x14ac:dyDescent="0.3">
      <c r="A214" t="s">
        <v>402</v>
      </c>
      <c r="B214" t="s">
        <v>507</v>
      </c>
      <c r="C214" s="126">
        <v>2025</v>
      </c>
      <c r="D214" t="s">
        <v>479</v>
      </c>
      <c r="E214" t="s">
        <v>510</v>
      </c>
      <c r="F214" s="137">
        <v>2.99</v>
      </c>
      <c r="G214" s="138">
        <v>3.0030000000000001</v>
      </c>
      <c r="H214" s="138">
        <v>6.8000000000000005E-2</v>
      </c>
      <c r="I214" s="139">
        <v>-0.2</v>
      </c>
      <c r="J214" s="137">
        <v>2.7</v>
      </c>
      <c r="K214" s="137">
        <v>3.31</v>
      </c>
      <c r="L214" t="s">
        <v>499</v>
      </c>
      <c r="M214" s="126">
        <v>365</v>
      </c>
      <c r="N214" t="s">
        <v>112</v>
      </c>
      <c r="O214" s="137">
        <f t="shared" si="6"/>
        <v>-0.43290043290042962</v>
      </c>
      <c r="P214" s="137">
        <f t="shared" si="7"/>
        <v>0.43290043290042962</v>
      </c>
      <c r="Q214" s="126">
        <v>4</v>
      </c>
      <c r="R214" t="s">
        <v>522</v>
      </c>
      <c r="S214" t="str">
        <f>IF($W214&lt;&gt;"NAO ACEITO","",COUNTIFS($W$2:$W214,"NAO ACEITO"))</f>
        <v/>
      </c>
      <c r="T214" t="str">
        <f>IF($B214="","",IF(COUNTIF($B$2:$B214,$B214)=1,MAX($T$1:$T213)+1,""))</f>
        <v/>
      </c>
      <c r="U214" t="str">
        <f>IF($D214="","",IF(COUNTIF($D$2:$D214,$D214)=1,MAX($U$1:$U213)+1,""))</f>
        <v/>
      </c>
      <c r="V214">
        <f>IF($D214="","",IF(COUNTIFS($B$2:$B214,$B214,$D$2:$D214,$D214)=1,1,0))</f>
        <v>0</v>
      </c>
      <c r="W214" t="str">
        <f>IF($D214="","",mEQA.PadronizarStatus($L214))</f>
        <v>ACEITO</v>
      </c>
      <c r="X214" t="str">
        <f>IF(OR($D214="",$W214&lt;&gt;"NAO ACEITO"),"",IF(COUNTIFS($D$2:$D214,$D214,$W$2:$W214,"NAO ACEITO")=1,1,0))</f>
        <v/>
      </c>
    </row>
    <row r="215" spans="1:24" x14ac:dyDescent="0.3">
      <c r="A215" t="s">
        <v>402</v>
      </c>
      <c r="B215" t="s">
        <v>507</v>
      </c>
      <c r="C215" s="126">
        <v>2025</v>
      </c>
      <c r="D215" t="s">
        <v>479</v>
      </c>
      <c r="E215" t="s">
        <v>511</v>
      </c>
      <c r="F215" s="137">
        <v>5.63</v>
      </c>
      <c r="G215" s="138">
        <v>5.5170000000000003</v>
      </c>
      <c r="H215" s="138">
        <v>0.112</v>
      </c>
      <c r="I215" s="139">
        <v>1</v>
      </c>
      <c r="J215" s="137">
        <v>4.96</v>
      </c>
      <c r="K215" s="137">
        <v>6.07</v>
      </c>
      <c r="L215" t="s">
        <v>499</v>
      </c>
      <c r="M215" s="126">
        <v>364</v>
      </c>
      <c r="N215" t="s">
        <v>112</v>
      </c>
      <c r="O215" s="137">
        <f t="shared" si="6"/>
        <v>2.0482146093891522</v>
      </c>
      <c r="P215" s="137">
        <f t="shared" si="7"/>
        <v>2.0482146093891522</v>
      </c>
      <c r="Q215" s="126">
        <v>4</v>
      </c>
      <c r="R215" t="s">
        <v>522</v>
      </c>
      <c r="S215" t="str">
        <f>IF($W215&lt;&gt;"NAO ACEITO","",COUNTIFS($W$2:$W215,"NAO ACEITO"))</f>
        <v/>
      </c>
      <c r="T215" t="str">
        <f>IF($B215="","",IF(COUNTIF($B$2:$B215,$B215)=1,MAX($T$1:$T214)+1,""))</f>
        <v/>
      </c>
      <c r="U215" t="str">
        <f>IF($D215="","",IF(COUNTIF($D$2:$D215,$D215)=1,MAX($U$1:$U214)+1,""))</f>
        <v/>
      </c>
      <c r="V215">
        <f>IF($D215="","",IF(COUNTIFS($B$2:$B215,$B215,$D$2:$D215,$D215)=1,1,0))</f>
        <v>0</v>
      </c>
      <c r="W215" t="str">
        <f>IF($D215="","",mEQA.PadronizarStatus($L215))</f>
        <v>ACEITO</v>
      </c>
      <c r="X215" t="str">
        <f>IF(OR($D215="",$W215&lt;&gt;"NAO ACEITO"),"",IF(COUNTIFS($D$2:$D215,$D215,$W$2:$W215,"NAO ACEITO")=1,1,0))</f>
        <v/>
      </c>
    </row>
    <row r="216" spans="1:24" x14ac:dyDescent="0.3">
      <c r="A216" t="s">
        <v>402</v>
      </c>
      <c r="B216" t="s">
        <v>507</v>
      </c>
      <c r="C216" s="126">
        <v>2025</v>
      </c>
      <c r="D216" t="s">
        <v>479</v>
      </c>
      <c r="E216" t="s">
        <v>512</v>
      </c>
      <c r="F216" s="137">
        <v>2.77</v>
      </c>
      <c r="G216" s="138">
        <v>2.694</v>
      </c>
      <c r="H216" s="138">
        <v>6.9000000000000006E-2</v>
      </c>
      <c r="I216" s="139">
        <v>1.1000000000000001</v>
      </c>
      <c r="J216" s="137">
        <v>2.42</v>
      </c>
      <c r="K216" s="137">
        <v>2.97</v>
      </c>
      <c r="L216" t="s">
        <v>499</v>
      </c>
      <c r="M216" s="126">
        <v>368</v>
      </c>
      <c r="N216" t="s">
        <v>112</v>
      </c>
      <c r="O216" s="137">
        <f t="shared" si="6"/>
        <v>2.821083890126209</v>
      </c>
      <c r="P216" s="137">
        <f t="shared" si="7"/>
        <v>2.821083890126209</v>
      </c>
      <c r="Q216" s="126">
        <v>4</v>
      </c>
      <c r="R216" t="s">
        <v>522</v>
      </c>
      <c r="S216" t="str">
        <f>IF($W216&lt;&gt;"NAO ACEITO","",COUNTIFS($W$2:$W216,"NAO ACEITO"))</f>
        <v/>
      </c>
      <c r="T216" t="str">
        <f>IF($B216="","",IF(COUNTIF($B$2:$B216,$B216)=1,MAX($T$1:$T215)+1,""))</f>
        <v/>
      </c>
      <c r="U216" t="str">
        <f>IF($D216="","",IF(COUNTIF($D$2:$D216,$D216)=1,MAX($U$1:$U215)+1,""))</f>
        <v/>
      </c>
      <c r="V216">
        <f>IF($D216="","",IF(COUNTIFS($B$2:$B216,$B216,$D$2:$D216,$D216)=1,1,0))</f>
        <v>0</v>
      </c>
      <c r="W216" t="str">
        <f>IF($D216="","",mEQA.PadronizarStatus($L216))</f>
        <v>ACEITO</v>
      </c>
      <c r="X216" t="str">
        <f>IF(OR($D216="",$W216&lt;&gt;"NAO ACEITO"),"",IF(COUNTIFS($D$2:$D216,$D216,$W$2:$W216,"NAO ACEITO")=1,1,0))</f>
        <v/>
      </c>
    </row>
    <row r="217" spans="1:24" x14ac:dyDescent="0.3">
      <c r="A217" t="s">
        <v>402</v>
      </c>
      <c r="B217" t="s">
        <v>507</v>
      </c>
      <c r="C217" s="126">
        <v>2025</v>
      </c>
      <c r="D217" t="s">
        <v>480</v>
      </c>
      <c r="E217" t="s">
        <v>508</v>
      </c>
      <c r="F217" s="137">
        <v>44</v>
      </c>
      <c r="G217" s="138">
        <v>48.6</v>
      </c>
      <c r="H217" s="138">
        <v>2.2999999999999998</v>
      </c>
      <c r="I217" s="139">
        <v>-2</v>
      </c>
      <c r="J217" s="137">
        <v>38</v>
      </c>
      <c r="K217" s="137">
        <v>59</v>
      </c>
      <c r="L217" t="s">
        <v>499</v>
      </c>
      <c r="M217" s="126">
        <v>77</v>
      </c>
      <c r="N217" t="s">
        <v>504</v>
      </c>
      <c r="O217" s="137">
        <f t="shared" si="6"/>
        <v>-9.4650205761316908</v>
      </c>
      <c r="P217" s="137">
        <f t="shared" si="7"/>
        <v>9.4650205761316908</v>
      </c>
      <c r="Q217" s="126">
        <v>9</v>
      </c>
      <c r="R217" t="s">
        <v>522</v>
      </c>
      <c r="S217" t="str">
        <f>IF($W217&lt;&gt;"NAO ACEITO","",COUNTIFS($W$2:$W217,"NAO ACEITO"))</f>
        <v/>
      </c>
      <c r="T217" t="str">
        <f>IF($B217="","",IF(COUNTIF($B$2:$B217,$B217)=1,MAX($T$1:$T216)+1,""))</f>
        <v/>
      </c>
      <c r="U217" t="str">
        <f>IF($D217="","",IF(COUNTIF($D$2:$D217,$D217)=1,MAX($U$1:$U216)+1,""))</f>
        <v/>
      </c>
      <c r="V217">
        <f>IF($D217="","",IF(COUNTIFS($B$2:$B217,$B217,$D$2:$D217,$D217)=1,1,0))</f>
        <v>1</v>
      </c>
      <c r="W217" t="str">
        <f>IF($D217="","",mEQA.PadronizarStatus($L217))</f>
        <v>ACEITO</v>
      </c>
      <c r="X217" t="str">
        <f>IF(OR($D217="",$W217&lt;&gt;"NAO ACEITO"),"",IF(COUNTIFS($D$2:$D217,$D217,$W$2:$W217,"NAO ACEITO")=1,1,0))</f>
        <v/>
      </c>
    </row>
    <row r="218" spans="1:24" x14ac:dyDescent="0.3">
      <c r="A218" t="s">
        <v>402</v>
      </c>
      <c r="B218" t="s">
        <v>507</v>
      </c>
      <c r="C218" s="126">
        <v>2025</v>
      </c>
      <c r="D218" t="s">
        <v>480</v>
      </c>
      <c r="E218" t="s">
        <v>509</v>
      </c>
      <c r="F218" s="137">
        <v>14</v>
      </c>
      <c r="G218" s="138">
        <v>16.7</v>
      </c>
      <c r="H218" s="138">
        <v>1.2</v>
      </c>
      <c r="I218" s="139">
        <v>-2.2999999999999998</v>
      </c>
      <c r="J218" s="137">
        <v>13</v>
      </c>
      <c r="K218" s="137">
        <v>21</v>
      </c>
      <c r="L218" t="s">
        <v>499</v>
      </c>
      <c r="M218" s="126">
        <v>80</v>
      </c>
      <c r="N218" t="s">
        <v>504</v>
      </c>
      <c r="O218" s="137">
        <f t="shared" si="6"/>
        <v>-16.167664670658681</v>
      </c>
      <c r="P218" s="137">
        <f t="shared" si="7"/>
        <v>16.167664670658681</v>
      </c>
      <c r="Q218" s="126">
        <v>9</v>
      </c>
      <c r="R218" t="s">
        <v>522</v>
      </c>
      <c r="S218" t="str">
        <f>IF($W218&lt;&gt;"NAO ACEITO","",COUNTIFS($W$2:$W218,"NAO ACEITO"))</f>
        <v/>
      </c>
      <c r="T218" t="str">
        <f>IF($B218="","",IF(COUNTIF($B$2:$B218,$B218)=1,MAX($T$1:$T217)+1,""))</f>
        <v/>
      </c>
      <c r="U218" t="str">
        <f>IF($D218="","",IF(COUNTIF($D$2:$D218,$D218)=1,MAX($U$1:$U217)+1,""))</f>
        <v/>
      </c>
      <c r="V218">
        <f>IF($D218="","",IF(COUNTIFS($B$2:$B218,$B218,$D$2:$D218,$D218)=1,1,0))</f>
        <v>0</v>
      </c>
      <c r="W218" t="str">
        <f>IF($D218="","",mEQA.PadronizarStatus($L218))</f>
        <v>ACEITO</v>
      </c>
      <c r="X218" t="str">
        <f>IF(OR($D218="",$W218&lt;&gt;"NAO ACEITO"),"",IF(COUNTIFS($D$2:$D218,$D218,$W$2:$W218,"NAO ACEITO")=1,1,0))</f>
        <v/>
      </c>
    </row>
    <row r="219" spans="1:24" x14ac:dyDescent="0.3">
      <c r="A219" t="s">
        <v>402</v>
      </c>
      <c r="B219" t="s">
        <v>507</v>
      </c>
      <c r="C219" s="126">
        <v>2025</v>
      </c>
      <c r="D219" t="s">
        <v>480</v>
      </c>
      <c r="E219" t="s">
        <v>510</v>
      </c>
      <c r="F219" s="137">
        <v>83</v>
      </c>
      <c r="G219" s="138">
        <v>92.6</v>
      </c>
      <c r="H219" s="138">
        <v>4.4000000000000004</v>
      </c>
      <c r="I219" s="139">
        <v>-2.2000000000000002</v>
      </c>
      <c r="J219" s="137">
        <v>74</v>
      </c>
      <c r="K219" s="137">
        <v>112</v>
      </c>
      <c r="L219" t="s">
        <v>499</v>
      </c>
      <c r="M219" s="126">
        <v>79</v>
      </c>
      <c r="N219" t="s">
        <v>504</v>
      </c>
      <c r="O219" s="137">
        <f t="shared" si="6"/>
        <v>-10.367170626349886</v>
      </c>
      <c r="P219" s="137">
        <f t="shared" si="7"/>
        <v>10.367170626349886</v>
      </c>
      <c r="Q219" s="126">
        <v>9</v>
      </c>
      <c r="R219" t="s">
        <v>522</v>
      </c>
      <c r="S219" t="str">
        <f>IF($W219&lt;&gt;"NAO ACEITO","",COUNTIFS($W$2:$W219,"NAO ACEITO"))</f>
        <v/>
      </c>
      <c r="T219" t="str">
        <f>IF($B219="","",IF(COUNTIF($B$2:$B219,$B219)=1,MAX($T$1:$T218)+1,""))</f>
        <v/>
      </c>
      <c r="U219" t="str">
        <f>IF($D219="","",IF(COUNTIF($D$2:$D219,$D219)=1,MAX($U$1:$U218)+1,""))</f>
        <v/>
      </c>
      <c r="V219">
        <f>IF($D219="","",IF(COUNTIFS($B$2:$B219,$B219,$D$2:$D219,$D219)=1,1,0))</f>
        <v>0</v>
      </c>
      <c r="W219" t="str">
        <f>IF($D219="","",mEQA.PadronizarStatus($L219))</f>
        <v>ACEITO</v>
      </c>
      <c r="X219" t="str">
        <f>IF(OR($D219="",$W219&lt;&gt;"NAO ACEITO"),"",IF(COUNTIFS($D$2:$D219,$D219,$W$2:$W219,"NAO ACEITO")=1,1,0))</f>
        <v/>
      </c>
    </row>
    <row r="220" spans="1:24" x14ac:dyDescent="0.3">
      <c r="A220" t="s">
        <v>402</v>
      </c>
      <c r="B220" t="s">
        <v>507</v>
      </c>
      <c r="C220" s="126">
        <v>2025</v>
      </c>
      <c r="D220" t="s">
        <v>480</v>
      </c>
      <c r="E220" t="s">
        <v>511</v>
      </c>
      <c r="F220" s="137">
        <v>67</v>
      </c>
      <c r="G220" s="138">
        <v>74.8</v>
      </c>
      <c r="H220" s="138">
        <v>4</v>
      </c>
      <c r="I220" s="139">
        <v>-2</v>
      </c>
      <c r="J220" s="137">
        <v>59</v>
      </c>
      <c r="K220" s="137">
        <v>90</v>
      </c>
      <c r="L220" t="s">
        <v>499</v>
      </c>
      <c r="M220" s="126">
        <v>79</v>
      </c>
      <c r="N220" t="s">
        <v>504</v>
      </c>
      <c r="O220" s="137">
        <f t="shared" si="6"/>
        <v>-10.427807486631014</v>
      </c>
      <c r="P220" s="137">
        <f t="shared" si="7"/>
        <v>10.427807486631014</v>
      </c>
      <c r="Q220" s="126">
        <v>9</v>
      </c>
      <c r="R220" t="s">
        <v>522</v>
      </c>
      <c r="S220" t="str">
        <f>IF($W220&lt;&gt;"NAO ACEITO","",COUNTIFS($W$2:$W220,"NAO ACEITO"))</f>
        <v/>
      </c>
      <c r="T220" t="str">
        <f>IF($B220="","",IF(COUNTIF($B$2:$B220,$B220)=1,MAX($T$1:$T219)+1,""))</f>
        <v/>
      </c>
      <c r="U220" t="str">
        <f>IF($D220="","",IF(COUNTIF($D$2:$D220,$D220)=1,MAX($U$1:$U219)+1,""))</f>
        <v/>
      </c>
      <c r="V220">
        <f>IF($D220="","",IF(COUNTIFS($B$2:$B220,$B220,$D$2:$D220,$D220)=1,1,0))</f>
        <v>0</v>
      </c>
      <c r="W220" t="str">
        <f>IF($D220="","",mEQA.PadronizarStatus($L220))</f>
        <v>ACEITO</v>
      </c>
      <c r="X220" t="str">
        <f>IF(OR($D220="",$W220&lt;&gt;"NAO ACEITO"),"",IF(COUNTIFS($D$2:$D220,$D220,$W$2:$W220,"NAO ACEITO")=1,1,0))</f>
        <v/>
      </c>
    </row>
    <row r="221" spans="1:24" x14ac:dyDescent="0.3">
      <c r="A221" t="s">
        <v>402</v>
      </c>
      <c r="B221" t="s">
        <v>507</v>
      </c>
      <c r="C221" s="126">
        <v>2025</v>
      </c>
      <c r="D221" t="s">
        <v>480</v>
      </c>
      <c r="E221" t="s">
        <v>512</v>
      </c>
      <c r="F221" s="137">
        <v>120</v>
      </c>
      <c r="G221" s="138">
        <v>134.6</v>
      </c>
      <c r="H221" s="138">
        <v>6.9</v>
      </c>
      <c r="I221" s="139">
        <v>-2.1</v>
      </c>
      <c r="J221" s="137">
        <v>107</v>
      </c>
      <c r="K221" s="137">
        <v>162</v>
      </c>
      <c r="L221" t="s">
        <v>499</v>
      </c>
      <c r="M221" s="126">
        <v>79</v>
      </c>
      <c r="N221" t="s">
        <v>504</v>
      </c>
      <c r="O221" s="137">
        <f t="shared" si="6"/>
        <v>-10.846953937592865</v>
      </c>
      <c r="P221" s="137">
        <f t="shared" si="7"/>
        <v>10.846953937592865</v>
      </c>
      <c r="Q221" s="126">
        <v>9</v>
      </c>
      <c r="R221" t="s">
        <v>522</v>
      </c>
      <c r="S221" t="str">
        <f>IF($W221&lt;&gt;"NAO ACEITO","",COUNTIFS($W$2:$W221,"NAO ACEITO"))</f>
        <v/>
      </c>
      <c r="T221" t="str">
        <f>IF($B221="","",IF(COUNTIF($B$2:$B221,$B221)=1,MAX($T$1:$T220)+1,""))</f>
        <v/>
      </c>
      <c r="U221" t="str">
        <f>IF($D221="","",IF(COUNTIF($D$2:$D221,$D221)=1,MAX($U$1:$U220)+1,""))</f>
        <v/>
      </c>
      <c r="V221">
        <f>IF($D221="","",IF(COUNTIFS($B$2:$B221,$B221,$D$2:$D221,$D221)=1,1,0))</f>
        <v>0</v>
      </c>
      <c r="W221" t="str">
        <f>IF($D221="","",mEQA.PadronizarStatus($L221))</f>
        <v>ACEITO</v>
      </c>
      <c r="X221" t="str">
        <f>IF(OR($D221="",$W221&lt;&gt;"NAO ACEITO"),"",IF(COUNTIFS($D$2:$D221,$D221,$W$2:$W221,"NAO ACEITO")=1,1,0))</f>
        <v/>
      </c>
    </row>
    <row r="222" spans="1:24" x14ac:dyDescent="0.3">
      <c r="A222" t="s">
        <v>402</v>
      </c>
      <c r="B222" t="s">
        <v>507</v>
      </c>
      <c r="C222" s="126">
        <v>2025</v>
      </c>
      <c r="D222" t="s">
        <v>481</v>
      </c>
      <c r="E222" t="s">
        <v>508</v>
      </c>
      <c r="F222" s="137">
        <v>230</v>
      </c>
      <c r="G222" s="138">
        <v>226.1</v>
      </c>
      <c r="H222" s="138">
        <v>5.5</v>
      </c>
      <c r="I222" s="139">
        <v>0.7</v>
      </c>
      <c r="J222" s="137">
        <v>192</v>
      </c>
      <c r="K222" s="137">
        <v>260</v>
      </c>
      <c r="L222" t="s">
        <v>499</v>
      </c>
      <c r="M222" s="126">
        <v>151</v>
      </c>
      <c r="N222" t="s">
        <v>123</v>
      </c>
      <c r="O222" s="137">
        <f t="shared" si="6"/>
        <v>1.7249004865103963</v>
      </c>
      <c r="P222" s="137">
        <f t="shared" si="7"/>
        <v>1.7249004865103963</v>
      </c>
      <c r="Q222" s="126">
        <v>8</v>
      </c>
      <c r="R222" t="s">
        <v>522</v>
      </c>
      <c r="S222" t="str">
        <f>IF($W222&lt;&gt;"NAO ACEITO","",COUNTIFS($W$2:$W222,"NAO ACEITO"))</f>
        <v/>
      </c>
      <c r="T222" t="str">
        <f>IF($B222="","",IF(COUNTIF($B$2:$B222,$B222)=1,MAX($T$1:$T221)+1,""))</f>
        <v/>
      </c>
      <c r="U222" t="str">
        <f>IF($D222="","",IF(COUNTIF($D$2:$D222,$D222)=1,MAX($U$1:$U221)+1,""))</f>
        <v/>
      </c>
      <c r="V222">
        <f>IF($D222="","",IF(COUNTIFS($B$2:$B222,$B222,$D$2:$D222,$D222)=1,1,0))</f>
        <v>1</v>
      </c>
      <c r="W222" t="str">
        <f>IF($D222="","",mEQA.PadronizarStatus($L222))</f>
        <v>ACEITO</v>
      </c>
      <c r="X222" t="str">
        <f>IF(OR($D222="",$W222&lt;&gt;"NAO ACEITO"),"",IF(COUNTIFS($D$2:$D222,$D222,$W$2:$W222,"NAO ACEITO")=1,1,0))</f>
        <v/>
      </c>
    </row>
    <row r="223" spans="1:24" x14ac:dyDescent="0.3">
      <c r="A223" t="s">
        <v>402</v>
      </c>
      <c r="B223" t="s">
        <v>507</v>
      </c>
      <c r="C223" s="126">
        <v>2025</v>
      </c>
      <c r="D223" t="s">
        <v>481</v>
      </c>
      <c r="E223" t="s">
        <v>509</v>
      </c>
      <c r="F223" s="137">
        <v>41</v>
      </c>
      <c r="G223" s="138">
        <v>41.2</v>
      </c>
      <c r="H223" s="138">
        <v>2.1</v>
      </c>
      <c r="I223" s="139">
        <v>-0.1</v>
      </c>
      <c r="J223" s="137">
        <v>35</v>
      </c>
      <c r="K223" s="137">
        <v>48</v>
      </c>
      <c r="L223" t="s">
        <v>499</v>
      </c>
      <c r="M223" s="126">
        <v>151</v>
      </c>
      <c r="N223" t="s">
        <v>123</v>
      </c>
      <c r="O223" s="137">
        <f t="shared" si="6"/>
        <v>-0.48543689320389038</v>
      </c>
      <c r="P223" s="137">
        <f t="shared" si="7"/>
        <v>0.48543689320389038</v>
      </c>
      <c r="Q223" s="126">
        <v>8</v>
      </c>
      <c r="R223" t="s">
        <v>522</v>
      </c>
      <c r="S223" t="str">
        <f>IF($W223&lt;&gt;"NAO ACEITO","",COUNTIFS($W$2:$W223,"NAO ACEITO"))</f>
        <v/>
      </c>
      <c r="T223" t="str">
        <f>IF($B223="","",IF(COUNTIF($B$2:$B223,$B223)=1,MAX($T$1:$T222)+1,""))</f>
        <v/>
      </c>
      <c r="U223" t="str">
        <f>IF($D223="","",IF(COUNTIF($D$2:$D223,$D223)=1,MAX($U$1:$U222)+1,""))</f>
        <v/>
      </c>
      <c r="V223">
        <f>IF($D223="","",IF(COUNTIFS($B$2:$B223,$B223,$D$2:$D223,$D223)=1,1,0))</f>
        <v>0</v>
      </c>
      <c r="W223" t="str">
        <f>IF($D223="","",mEQA.PadronizarStatus($L223))</f>
        <v>ACEITO</v>
      </c>
      <c r="X223" t="str">
        <f>IF(OR($D223="",$W223&lt;&gt;"NAO ACEITO"),"",IF(COUNTIFS($D$2:$D223,$D223,$W$2:$W223,"NAO ACEITO")=1,1,0))</f>
        <v/>
      </c>
    </row>
    <row r="224" spans="1:24" x14ac:dyDescent="0.3">
      <c r="A224" t="s">
        <v>402</v>
      </c>
      <c r="B224" t="s">
        <v>507</v>
      </c>
      <c r="C224" s="126">
        <v>2025</v>
      </c>
      <c r="D224" t="s">
        <v>481</v>
      </c>
      <c r="E224" t="s">
        <v>510</v>
      </c>
      <c r="F224" s="137">
        <v>198</v>
      </c>
      <c r="G224" s="138">
        <v>195.2</v>
      </c>
      <c r="H224" s="138">
        <v>5.3</v>
      </c>
      <c r="I224" s="139">
        <v>0.5</v>
      </c>
      <c r="J224" s="137">
        <v>165</v>
      </c>
      <c r="K224" s="137">
        <v>225</v>
      </c>
      <c r="L224" t="s">
        <v>499</v>
      </c>
      <c r="M224" s="126">
        <v>150</v>
      </c>
      <c r="N224" t="s">
        <v>123</v>
      </c>
      <c r="O224" s="137">
        <f t="shared" si="6"/>
        <v>1.4344262295082026</v>
      </c>
      <c r="P224" s="137">
        <f t="shared" si="7"/>
        <v>1.4344262295082026</v>
      </c>
      <c r="Q224" s="126">
        <v>8</v>
      </c>
      <c r="R224" t="s">
        <v>522</v>
      </c>
      <c r="S224" t="str">
        <f>IF($W224&lt;&gt;"NAO ACEITO","",COUNTIFS($W$2:$W224,"NAO ACEITO"))</f>
        <v/>
      </c>
      <c r="T224" t="str">
        <f>IF($B224="","",IF(COUNTIF($B$2:$B224,$B224)=1,MAX($T$1:$T223)+1,""))</f>
        <v/>
      </c>
      <c r="U224" t="str">
        <f>IF($D224="","",IF(COUNTIF($D$2:$D224,$D224)=1,MAX($U$1:$U223)+1,""))</f>
        <v/>
      </c>
      <c r="V224">
        <f>IF($D224="","",IF(COUNTIFS($B$2:$B224,$B224,$D$2:$D224,$D224)=1,1,0))</f>
        <v>0</v>
      </c>
      <c r="W224" t="str">
        <f>IF($D224="","",mEQA.PadronizarStatus($L224))</f>
        <v>ACEITO</v>
      </c>
      <c r="X224" t="str">
        <f>IF(OR($D224="",$W224&lt;&gt;"NAO ACEITO"),"",IF(COUNTIFS($D$2:$D224,$D224,$W$2:$W224,"NAO ACEITO")=1,1,0))</f>
        <v/>
      </c>
    </row>
    <row r="225" spans="1:24" x14ac:dyDescent="0.3">
      <c r="A225" t="s">
        <v>402</v>
      </c>
      <c r="B225" t="s">
        <v>507</v>
      </c>
      <c r="C225" s="126">
        <v>2025</v>
      </c>
      <c r="D225" t="s">
        <v>481</v>
      </c>
      <c r="E225" t="s">
        <v>511</v>
      </c>
      <c r="F225" s="137">
        <v>73</v>
      </c>
      <c r="G225" s="138">
        <v>71.8</v>
      </c>
      <c r="H225" s="138">
        <v>2.5</v>
      </c>
      <c r="I225" s="139">
        <v>0.5</v>
      </c>
      <c r="J225" s="137">
        <v>61</v>
      </c>
      <c r="K225" s="137">
        <v>83</v>
      </c>
      <c r="L225" t="s">
        <v>499</v>
      </c>
      <c r="M225" s="126">
        <v>150</v>
      </c>
      <c r="N225" t="s">
        <v>123</v>
      </c>
      <c r="O225" s="137">
        <f t="shared" si="6"/>
        <v>1.671309192200561</v>
      </c>
      <c r="P225" s="137">
        <f t="shared" si="7"/>
        <v>1.671309192200561</v>
      </c>
      <c r="Q225" s="126">
        <v>8</v>
      </c>
      <c r="R225" t="s">
        <v>522</v>
      </c>
      <c r="S225" t="str">
        <f>IF($W225&lt;&gt;"NAO ACEITO","",COUNTIFS($W$2:$W225,"NAO ACEITO"))</f>
        <v/>
      </c>
      <c r="T225" t="str">
        <f>IF($B225="","",IF(COUNTIF($B$2:$B225,$B225)=1,MAX($T$1:$T224)+1,""))</f>
        <v/>
      </c>
      <c r="U225" t="str">
        <f>IF($D225="","",IF(COUNTIF($D$2:$D225,$D225)=1,MAX($U$1:$U224)+1,""))</f>
        <v/>
      </c>
      <c r="V225">
        <f>IF($D225="","",IF(COUNTIFS($B$2:$B225,$B225,$D$2:$D225,$D225)=1,1,0))</f>
        <v>0</v>
      </c>
      <c r="W225" t="str">
        <f>IF($D225="","",mEQA.PadronizarStatus($L225))</f>
        <v>ACEITO</v>
      </c>
      <c r="X225" t="str">
        <f>IF(OR($D225="",$W225&lt;&gt;"NAO ACEITO"),"",IF(COUNTIFS($D$2:$D225,$D225,$W$2:$W225,"NAO ACEITO")=1,1,0))</f>
        <v/>
      </c>
    </row>
    <row r="226" spans="1:24" x14ac:dyDescent="0.3">
      <c r="A226" t="s">
        <v>402</v>
      </c>
      <c r="B226" t="s">
        <v>507</v>
      </c>
      <c r="C226" s="126">
        <v>2025</v>
      </c>
      <c r="D226" t="s">
        <v>481</v>
      </c>
      <c r="E226" t="s">
        <v>512</v>
      </c>
      <c r="F226" s="137">
        <v>167</v>
      </c>
      <c r="G226" s="138">
        <v>163.5</v>
      </c>
      <c r="H226" s="138">
        <v>4.5999999999999996</v>
      </c>
      <c r="I226" s="139">
        <v>0.7</v>
      </c>
      <c r="J226" s="137">
        <v>139</v>
      </c>
      <c r="K226" s="137">
        <v>189</v>
      </c>
      <c r="L226" t="s">
        <v>499</v>
      </c>
      <c r="M226" s="126">
        <v>151</v>
      </c>
      <c r="N226" t="s">
        <v>123</v>
      </c>
      <c r="O226" s="137">
        <f t="shared" si="6"/>
        <v>2.1406727828746175</v>
      </c>
      <c r="P226" s="137">
        <f t="shared" si="7"/>
        <v>2.1406727828746175</v>
      </c>
      <c r="Q226" s="126">
        <v>8</v>
      </c>
      <c r="R226" t="s">
        <v>522</v>
      </c>
      <c r="S226" t="str">
        <f>IF($W226&lt;&gt;"NAO ACEITO","",COUNTIFS($W$2:$W226,"NAO ACEITO"))</f>
        <v/>
      </c>
      <c r="T226" t="str">
        <f>IF($B226="","",IF(COUNTIF($B$2:$B226,$B226)=1,MAX($T$1:$T225)+1,""))</f>
        <v/>
      </c>
      <c r="U226" t="str">
        <f>IF($D226="","",IF(COUNTIF($D$2:$D226,$D226)=1,MAX($U$1:$U225)+1,""))</f>
        <v/>
      </c>
      <c r="V226">
        <f>IF($D226="","",IF(COUNTIFS($B$2:$B226,$B226,$D$2:$D226,$D226)=1,1,0))</f>
        <v>0</v>
      </c>
      <c r="W226" t="str">
        <f>IF($D226="","",mEQA.PadronizarStatus($L226))</f>
        <v>ACEITO</v>
      </c>
      <c r="X226" t="str">
        <f>IF(OR($D226="",$W226&lt;&gt;"NAO ACEITO"),"",IF(COUNTIFS($D$2:$D226,$D226,$W$2:$W226,"NAO ACEITO")=1,1,0))</f>
        <v/>
      </c>
    </row>
    <row r="227" spans="1:24" x14ac:dyDescent="0.3">
      <c r="A227" t="s">
        <v>402</v>
      </c>
      <c r="B227" t="s">
        <v>507</v>
      </c>
      <c r="C227" s="126">
        <v>2025</v>
      </c>
      <c r="D227" t="s">
        <v>482</v>
      </c>
      <c r="E227" t="s">
        <v>508</v>
      </c>
      <c r="F227" s="137">
        <v>226</v>
      </c>
      <c r="G227" s="138">
        <v>229.35</v>
      </c>
      <c r="H227" s="138">
        <v>4.2699999999999996</v>
      </c>
      <c r="I227" s="139">
        <v>-0.8</v>
      </c>
      <c r="J227" s="137">
        <v>210.9</v>
      </c>
      <c r="K227" s="137">
        <v>247.7</v>
      </c>
      <c r="L227" t="s">
        <v>499</v>
      </c>
      <c r="M227" s="126">
        <v>26</v>
      </c>
      <c r="N227" t="s">
        <v>112</v>
      </c>
      <c r="O227" s="137">
        <f t="shared" si="6"/>
        <v>-1.4606496620885085</v>
      </c>
      <c r="P227" s="137">
        <f t="shared" si="7"/>
        <v>1.4606496620885085</v>
      </c>
      <c r="Q227" s="126">
        <v>4</v>
      </c>
      <c r="R227" t="s">
        <v>522</v>
      </c>
      <c r="S227" t="str">
        <f>IF($W227&lt;&gt;"NAO ACEITO","",COUNTIFS($W$2:$W227,"NAO ACEITO"))</f>
        <v/>
      </c>
      <c r="T227" t="str">
        <f>IF($B227="","",IF(COUNTIF($B$2:$B227,$B227)=1,MAX($T$1:$T226)+1,""))</f>
        <v/>
      </c>
      <c r="U227" t="str">
        <f>IF($D227="","",IF(COUNTIF($D$2:$D227,$D227)=1,MAX($U$1:$U226)+1,""))</f>
        <v/>
      </c>
      <c r="V227">
        <f>IF($D227="","",IF(COUNTIFS($B$2:$B227,$B227,$D$2:$D227,$D227)=1,1,0))</f>
        <v>1</v>
      </c>
      <c r="W227" t="str">
        <f>IF($D227="","",mEQA.PadronizarStatus($L227))</f>
        <v>ACEITO</v>
      </c>
      <c r="X227" t="str">
        <f>IF(OR($D227="",$W227&lt;&gt;"NAO ACEITO"),"",IF(COUNTIFS($D$2:$D227,$D227,$W$2:$W227,"NAO ACEITO")=1,1,0))</f>
        <v/>
      </c>
    </row>
    <row r="228" spans="1:24" x14ac:dyDescent="0.3">
      <c r="A228" t="s">
        <v>402</v>
      </c>
      <c r="B228" t="s">
        <v>507</v>
      </c>
      <c r="C228" s="126">
        <v>2025</v>
      </c>
      <c r="D228" t="s">
        <v>482</v>
      </c>
      <c r="E228" t="s">
        <v>509</v>
      </c>
      <c r="F228" s="137">
        <v>93</v>
      </c>
      <c r="G228" s="138">
        <v>90.96</v>
      </c>
      <c r="H228" s="138">
        <v>2.42</v>
      </c>
      <c r="I228" s="139">
        <v>0.8</v>
      </c>
      <c r="J228" s="137">
        <v>83.6</v>
      </c>
      <c r="K228" s="137">
        <v>98.3</v>
      </c>
      <c r="L228" t="s">
        <v>499</v>
      </c>
      <c r="M228" s="126">
        <v>26</v>
      </c>
      <c r="N228" t="s">
        <v>112</v>
      </c>
      <c r="O228" s="137">
        <f t="shared" si="6"/>
        <v>2.2427440633245452</v>
      </c>
      <c r="P228" s="137">
        <f t="shared" si="7"/>
        <v>2.2427440633245452</v>
      </c>
      <c r="Q228" s="126">
        <v>4</v>
      </c>
      <c r="R228" t="s">
        <v>522</v>
      </c>
      <c r="S228" t="str">
        <f>IF($W228&lt;&gt;"NAO ACEITO","",COUNTIFS($W$2:$W228,"NAO ACEITO"))</f>
        <v/>
      </c>
      <c r="T228" t="str">
        <f>IF($B228="","",IF(COUNTIF($B$2:$B228,$B228)=1,MAX($T$1:$T227)+1,""))</f>
        <v/>
      </c>
      <c r="U228" t="str">
        <f>IF($D228="","",IF(COUNTIF($D$2:$D228,$D228)=1,MAX($U$1:$U227)+1,""))</f>
        <v/>
      </c>
      <c r="V228">
        <f>IF($D228="","",IF(COUNTIFS($B$2:$B228,$B228,$D$2:$D228,$D228)=1,1,0))</f>
        <v>0</v>
      </c>
      <c r="W228" t="str">
        <f>IF($D228="","",mEQA.PadronizarStatus($L228))</f>
        <v>ACEITO</v>
      </c>
      <c r="X228" t="str">
        <f>IF(OR($D228="",$W228&lt;&gt;"NAO ACEITO"),"",IF(COUNTIFS($D$2:$D228,$D228,$W$2:$W228,"NAO ACEITO")=1,1,0))</f>
        <v/>
      </c>
    </row>
    <row r="229" spans="1:24" x14ac:dyDescent="0.3">
      <c r="A229" t="s">
        <v>402</v>
      </c>
      <c r="B229" t="s">
        <v>507</v>
      </c>
      <c r="C229" s="126">
        <v>2025</v>
      </c>
      <c r="D229" t="s">
        <v>482</v>
      </c>
      <c r="E229" t="s">
        <v>510</v>
      </c>
      <c r="F229" s="137">
        <v>181</v>
      </c>
      <c r="G229" s="138">
        <v>177.88</v>
      </c>
      <c r="H229" s="138">
        <v>4.2</v>
      </c>
      <c r="I229" s="139">
        <v>0.7</v>
      </c>
      <c r="J229" s="137">
        <v>163.6</v>
      </c>
      <c r="K229" s="137">
        <v>192.2</v>
      </c>
      <c r="L229" t="s">
        <v>499</v>
      </c>
      <c r="M229" s="126">
        <v>26</v>
      </c>
      <c r="N229" t="s">
        <v>112</v>
      </c>
      <c r="O229" s="137">
        <f t="shared" si="6"/>
        <v>1.7539914549134272</v>
      </c>
      <c r="P229" s="137">
        <f t="shared" si="7"/>
        <v>1.7539914549134272</v>
      </c>
      <c r="Q229" s="126">
        <v>4</v>
      </c>
      <c r="R229" t="s">
        <v>522</v>
      </c>
      <c r="S229" t="str">
        <f>IF($W229&lt;&gt;"NAO ACEITO","",COUNTIFS($W$2:$W229,"NAO ACEITO"))</f>
        <v/>
      </c>
      <c r="T229" t="str">
        <f>IF($B229="","",IF(COUNTIF($B$2:$B229,$B229)=1,MAX($T$1:$T228)+1,""))</f>
        <v/>
      </c>
      <c r="U229" t="str">
        <f>IF($D229="","",IF(COUNTIF($D$2:$D229,$D229)=1,MAX($U$1:$U228)+1,""))</f>
        <v/>
      </c>
      <c r="V229">
        <f>IF($D229="","",IF(COUNTIFS($B$2:$B229,$B229,$D$2:$D229,$D229)=1,1,0))</f>
        <v>0</v>
      </c>
      <c r="W229" t="str">
        <f>IF($D229="","",mEQA.PadronizarStatus($L229))</f>
        <v>ACEITO</v>
      </c>
      <c r="X229" t="str">
        <f>IF(OR($D229="",$W229&lt;&gt;"NAO ACEITO"),"",IF(COUNTIFS($D$2:$D229,$D229,$W$2:$W229,"NAO ACEITO")=1,1,0))</f>
        <v/>
      </c>
    </row>
    <row r="230" spans="1:24" x14ac:dyDescent="0.3">
      <c r="A230" t="s">
        <v>402</v>
      </c>
      <c r="B230" t="s">
        <v>507</v>
      </c>
      <c r="C230" s="126">
        <v>2025</v>
      </c>
      <c r="D230" t="s">
        <v>482</v>
      </c>
      <c r="E230" t="s">
        <v>511</v>
      </c>
      <c r="F230" s="137">
        <v>87</v>
      </c>
      <c r="G230" s="138">
        <v>85.7</v>
      </c>
      <c r="H230" s="138">
        <v>2.41</v>
      </c>
      <c r="I230" s="139">
        <v>0.5</v>
      </c>
      <c r="J230" s="137">
        <v>78.8</v>
      </c>
      <c r="K230" s="137">
        <v>92.6</v>
      </c>
      <c r="L230" t="s">
        <v>499</v>
      </c>
      <c r="M230" s="126">
        <v>27</v>
      </c>
      <c r="N230" t="s">
        <v>112</v>
      </c>
      <c r="O230" s="137">
        <f t="shared" si="6"/>
        <v>1.5169194865810935</v>
      </c>
      <c r="P230" s="137">
        <f t="shared" si="7"/>
        <v>1.5169194865810935</v>
      </c>
      <c r="Q230" s="126">
        <v>4</v>
      </c>
      <c r="R230" t="s">
        <v>522</v>
      </c>
      <c r="S230" t="str">
        <f>IF($W230&lt;&gt;"NAO ACEITO","",COUNTIFS($W$2:$W230,"NAO ACEITO"))</f>
        <v/>
      </c>
      <c r="T230" t="str">
        <f>IF($B230="","",IF(COUNTIF($B$2:$B230,$B230)=1,MAX($T$1:$T229)+1,""))</f>
        <v/>
      </c>
      <c r="U230" t="str">
        <f>IF($D230="","",IF(COUNTIF($D$2:$D230,$D230)=1,MAX($U$1:$U229)+1,""))</f>
        <v/>
      </c>
      <c r="V230">
        <f>IF($D230="","",IF(COUNTIFS($B$2:$B230,$B230,$D$2:$D230,$D230)=1,1,0))</f>
        <v>0</v>
      </c>
      <c r="W230" t="str">
        <f>IF($D230="","",mEQA.PadronizarStatus($L230))</f>
        <v>ACEITO</v>
      </c>
      <c r="X230" t="str">
        <f>IF(OR($D230="",$W230&lt;&gt;"NAO ACEITO"),"",IF(COUNTIFS($D$2:$D230,$D230,$W$2:$W230,"NAO ACEITO")=1,1,0))</f>
        <v/>
      </c>
    </row>
    <row r="231" spans="1:24" x14ac:dyDescent="0.3">
      <c r="A231" t="s">
        <v>402</v>
      </c>
      <c r="B231" t="s">
        <v>507</v>
      </c>
      <c r="C231" s="126">
        <v>2025</v>
      </c>
      <c r="D231" t="s">
        <v>482</v>
      </c>
      <c r="E231" t="s">
        <v>512</v>
      </c>
      <c r="F231" s="137">
        <v>126</v>
      </c>
      <c r="G231" s="138">
        <v>125.74</v>
      </c>
      <c r="H231" s="138">
        <v>3.34</v>
      </c>
      <c r="I231" s="139">
        <v>0.1</v>
      </c>
      <c r="J231" s="137">
        <v>115.6</v>
      </c>
      <c r="K231" s="137">
        <v>135.80000000000001</v>
      </c>
      <c r="L231" t="s">
        <v>499</v>
      </c>
      <c r="M231" s="126">
        <v>27</v>
      </c>
      <c r="N231" t="s">
        <v>112</v>
      </c>
      <c r="O231" s="137">
        <f t="shared" si="6"/>
        <v>0.20677588675044151</v>
      </c>
      <c r="P231" s="137">
        <f t="shared" si="7"/>
        <v>0.20677588675044151</v>
      </c>
      <c r="Q231" s="126">
        <v>4</v>
      </c>
      <c r="R231" t="s">
        <v>522</v>
      </c>
      <c r="S231" t="str">
        <f>IF($W231&lt;&gt;"NAO ACEITO","",COUNTIFS($W$2:$W231,"NAO ACEITO"))</f>
        <v/>
      </c>
      <c r="T231" t="str">
        <f>IF($B231="","",IF(COUNTIF($B$2:$B231,$B231)=1,MAX($T$1:$T230)+1,""))</f>
        <v/>
      </c>
      <c r="U231" t="str">
        <f>IF($D231="","",IF(COUNTIF($D$2:$D231,$D231)=1,MAX($U$1:$U230)+1,""))</f>
        <v/>
      </c>
      <c r="V231">
        <f>IF($D231="","",IF(COUNTIFS($B$2:$B231,$B231,$D$2:$D231,$D231)=1,1,0))</f>
        <v>0</v>
      </c>
      <c r="W231" t="str">
        <f>IF($D231="","",mEQA.PadronizarStatus($L231))</f>
        <v>ACEITO</v>
      </c>
      <c r="X231" t="str">
        <f>IF(OR($D231="",$W231&lt;&gt;"NAO ACEITO"),"",IF(COUNTIFS($D$2:$D231,$D231,$W$2:$W231,"NAO ACEITO")=1,1,0))</f>
        <v/>
      </c>
    </row>
    <row r="232" spans="1:24" x14ac:dyDescent="0.3">
      <c r="A232" t="s">
        <v>402</v>
      </c>
      <c r="B232" t="s">
        <v>507</v>
      </c>
      <c r="C232" s="126">
        <v>2025</v>
      </c>
      <c r="D232" t="s">
        <v>483</v>
      </c>
      <c r="E232" t="s">
        <v>508</v>
      </c>
      <c r="F232" s="137">
        <v>52</v>
      </c>
      <c r="G232" s="138">
        <v>53.783000000000001</v>
      </c>
      <c r="H232" s="138">
        <v>2.4060000000000001</v>
      </c>
      <c r="I232" s="139">
        <v>-0.7</v>
      </c>
      <c r="J232" s="137">
        <v>43.02</v>
      </c>
      <c r="K232" s="137">
        <v>64.540000000000006</v>
      </c>
      <c r="L232" t="s">
        <v>499</v>
      </c>
      <c r="M232" s="126">
        <v>267</v>
      </c>
      <c r="N232" t="s">
        <v>112</v>
      </c>
      <c r="O232" s="137">
        <f t="shared" si="6"/>
        <v>-3.3151739397207316</v>
      </c>
      <c r="P232" s="137">
        <f t="shared" si="7"/>
        <v>3.3151739397207316</v>
      </c>
      <c r="Q232" s="126">
        <v>4</v>
      </c>
      <c r="R232" t="s">
        <v>522</v>
      </c>
      <c r="S232" t="str">
        <f>IF($W232&lt;&gt;"NAO ACEITO","",COUNTIFS($W$2:$W232,"NAO ACEITO"))</f>
        <v/>
      </c>
      <c r="T232" t="str">
        <f>IF($B232="","",IF(COUNTIF($B$2:$B232,$B232)=1,MAX($T$1:$T231)+1,""))</f>
        <v/>
      </c>
      <c r="U232" t="str">
        <f>IF($D232="","",IF(COUNTIF($D$2:$D232,$D232)=1,MAX($U$1:$U231)+1,""))</f>
        <v/>
      </c>
      <c r="V232">
        <f>IF($D232="","",IF(COUNTIFS($B$2:$B232,$B232,$D$2:$D232,$D232)=1,1,0))</f>
        <v>1</v>
      </c>
      <c r="W232" t="str">
        <f>IF($D232="","",mEQA.PadronizarStatus($L232))</f>
        <v>ACEITO</v>
      </c>
      <c r="X232" t="str">
        <f>IF(OR($D232="",$W232&lt;&gt;"NAO ACEITO"),"",IF(COUNTIFS($D$2:$D232,$D232,$W$2:$W232,"NAO ACEITO")=1,1,0))</f>
        <v/>
      </c>
    </row>
    <row r="233" spans="1:24" x14ac:dyDescent="0.3">
      <c r="A233" t="s">
        <v>402</v>
      </c>
      <c r="B233" t="s">
        <v>507</v>
      </c>
      <c r="C233" s="126">
        <v>2025</v>
      </c>
      <c r="D233" t="s">
        <v>483</v>
      </c>
      <c r="E233" t="s">
        <v>509</v>
      </c>
      <c r="F233" s="137">
        <v>29</v>
      </c>
      <c r="G233" s="138">
        <v>29.876000000000001</v>
      </c>
      <c r="H233" s="138">
        <v>1.62</v>
      </c>
      <c r="I233" s="139">
        <v>-0.5</v>
      </c>
      <c r="J233" s="137">
        <v>23.87</v>
      </c>
      <c r="K233" s="137">
        <v>35.880000000000003</v>
      </c>
      <c r="L233" t="s">
        <v>499</v>
      </c>
      <c r="M233" s="126">
        <v>265</v>
      </c>
      <c r="N233" t="s">
        <v>112</v>
      </c>
      <c r="O233" s="137">
        <f t="shared" si="6"/>
        <v>-2.9321194269647917</v>
      </c>
      <c r="P233" s="137">
        <f t="shared" si="7"/>
        <v>2.9321194269647917</v>
      </c>
      <c r="Q233" s="126">
        <v>4</v>
      </c>
      <c r="R233" t="s">
        <v>522</v>
      </c>
      <c r="S233" t="str">
        <f>IF($W233&lt;&gt;"NAO ACEITO","",COUNTIFS($W$2:$W233,"NAO ACEITO"))</f>
        <v/>
      </c>
      <c r="T233" t="str">
        <f>IF($B233="","",IF(COUNTIF($B$2:$B233,$B233)=1,MAX($T$1:$T232)+1,""))</f>
        <v/>
      </c>
      <c r="U233" t="str">
        <f>IF($D233="","",IF(COUNTIF($D$2:$D233,$D233)=1,MAX($U$1:$U232)+1,""))</f>
        <v/>
      </c>
      <c r="V233">
        <f>IF($D233="","",IF(COUNTIFS($B$2:$B233,$B233,$D$2:$D233,$D233)=1,1,0))</f>
        <v>0</v>
      </c>
      <c r="W233" t="str">
        <f>IF($D233="","",mEQA.PadronizarStatus($L233))</f>
        <v>ACEITO</v>
      </c>
      <c r="X233" t="str">
        <f>IF(OR($D233="",$W233&lt;&gt;"NAO ACEITO"),"",IF(COUNTIFS($D$2:$D233,$D233,$W$2:$W233,"NAO ACEITO")=1,1,0))</f>
        <v/>
      </c>
    </row>
    <row r="234" spans="1:24" x14ac:dyDescent="0.3">
      <c r="A234" t="s">
        <v>402</v>
      </c>
      <c r="B234" t="s">
        <v>507</v>
      </c>
      <c r="C234" s="126">
        <v>2025</v>
      </c>
      <c r="D234" t="s">
        <v>483</v>
      </c>
      <c r="E234" t="s">
        <v>510</v>
      </c>
      <c r="F234" s="137">
        <v>49</v>
      </c>
      <c r="G234" s="138">
        <v>52.07</v>
      </c>
      <c r="H234" s="138">
        <v>2.754</v>
      </c>
      <c r="I234" s="139">
        <v>-1.1000000000000001</v>
      </c>
      <c r="J234" s="137">
        <v>41.65</v>
      </c>
      <c r="K234" s="137">
        <v>62.49</v>
      </c>
      <c r="L234" t="s">
        <v>499</v>
      </c>
      <c r="M234" s="126">
        <v>268</v>
      </c>
      <c r="N234" t="s">
        <v>112</v>
      </c>
      <c r="O234" s="137">
        <f t="shared" si="6"/>
        <v>-5.895909352794316</v>
      </c>
      <c r="P234" s="137">
        <f t="shared" si="7"/>
        <v>5.895909352794316</v>
      </c>
      <c r="Q234" s="126">
        <v>4</v>
      </c>
      <c r="R234" t="s">
        <v>522</v>
      </c>
      <c r="S234" t="str">
        <f>IF($W234&lt;&gt;"NAO ACEITO","",COUNTIFS($W$2:$W234,"NAO ACEITO"))</f>
        <v/>
      </c>
      <c r="T234" t="str">
        <f>IF($B234="","",IF(COUNTIF($B$2:$B234,$B234)=1,MAX($T$1:$T233)+1,""))</f>
        <v/>
      </c>
      <c r="U234" t="str">
        <f>IF($D234="","",IF(COUNTIF($D$2:$D234,$D234)=1,MAX($U$1:$U233)+1,""))</f>
        <v/>
      </c>
      <c r="V234">
        <f>IF($D234="","",IF(COUNTIFS($B$2:$B234,$B234,$D$2:$D234,$D234)=1,1,0))</f>
        <v>0</v>
      </c>
      <c r="W234" t="str">
        <f>IF($D234="","",mEQA.PadronizarStatus($L234))</f>
        <v>ACEITO</v>
      </c>
      <c r="X234" t="str">
        <f>IF(OR($D234="",$W234&lt;&gt;"NAO ACEITO"),"",IF(COUNTIFS($D$2:$D234,$D234,$W$2:$W234,"NAO ACEITO")=1,1,0))</f>
        <v/>
      </c>
    </row>
    <row r="235" spans="1:24" x14ac:dyDescent="0.3">
      <c r="A235" t="s">
        <v>402</v>
      </c>
      <c r="B235" t="s">
        <v>507</v>
      </c>
      <c r="C235" s="126">
        <v>2025</v>
      </c>
      <c r="D235" t="s">
        <v>483</v>
      </c>
      <c r="E235" t="s">
        <v>511</v>
      </c>
      <c r="F235" s="137">
        <v>36</v>
      </c>
      <c r="G235" s="138">
        <v>36.853999999999999</v>
      </c>
      <c r="H235" s="138">
        <v>1.96</v>
      </c>
      <c r="I235" s="139">
        <v>-0.4</v>
      </c>
      <c r="J235" s="137">
        <v>29.48</v>
      </c>
      <c r="K235" s="137">
        <v>44.23</v>
      </c>
      <c r="L235" t="s">
        <v>499</v>
      </c>
      <c r="M235" s="126">
        <v>267</v>
      </c>
      <c r="N235" t="s">
        <v>112</v>
      </c>
      <c r="O235" s="137">
        <f t="shared" si="6"/>
        <v>-2.3172518586856223</v>
      </c>
      <c r="P235" s="137">
        <f t="shared" si="7"/>
        <v>2.3172518586856223</v>
      </c>
      <c r="Q235" s="126">
        <v>4</v>
      </c>
      <c r="R235" t="s">
        <v>522</v>
      </c>
      <c r="S235" t="str">
        <f>IF($W235&lt;&gt;"NAO ACEITO","",COUNTIFS($W$2:$W235,"NAO ACEITO"))</f>
        <v/>
      </c>
      <c r="T235" t="str">
        <f>IF($B235="","",IF(COUNTIF($B$2:$B235,$B235)=1,MAX($T$1:$T234)+1,""))</f>
        <v/>
      </c>
      <c r="U235" t="str">
        <f>IF($D235="","",IF(COUNTIF($D$2:$D235,$D235)=1,MAX($U$1:$U234)+1,""))</f>
        <v/>
      </c>
      <c r="V235">
        <f>IF($D235="","",IF(COUNTIFS($B$2:$B235,$B235,$D$2:$D235,$D235)=1,1,0))</f>
        <v>0</v>
      </c>
      <c r="W235" t="str">
        <f>IF($D235="","",mEQA.PadronizarStatus($L235))</f>
        <v>ACEITO</v>
      </c>
      <c r="X235" t="str">
        <f>IF(OR($D235="",$W235&lt;&gt;"NAO ACEITO"),"",IF(COUNTIFS($D$2:$D235,$D235,$W$2:$W235,"NAO ACEITO")=1,1,0))</f>
        <v/>
      </c>
    </row>
    <row r="236" spans="1:24" x14ac:dyDescent="0.3">
      <c r="A236" t="s">
        <v>402</v>
      </c>
      <c r="B236" t="s">
        <v>507</v>
      </c>
      <c r="C236" s="126">
        <v>2025</v>
      </c>
      <c r="D236" t="s">
        <v>483</v>
      </c>
      <c r="E236" t="s">
        <v>512</v>
      </c>
      <c r="F236" s="137">
        <v>50</v>
      </c>
      <c r="G236" s="138">
        <v>50.969000000000001</v>
      </c>
      <c r="H236" s="138">
        <v>2.6930000000000001</v>
      </c>
      <c r="I236" s="139">
        <v>-0.4</v>
      </c>
      <c r="J236" s="137">
        <v>40.770000000000003</v>
      </c>
      <c r="K236" s="137">
        <v>61.17</v>
      </c>
      <c r="L236" t="s">
        <v>499</v>
      </c>
      <c r="M236" s="126">
        <v>267</v>
      </c>
      <c r="N236" t="s">
        <v>112</v>
      </c>
      <c r="O236" s="137">
        <f t="shared" si="6"/>
        <v>-1.9011556043869826</v>
      </c>
      <c r="P236" s="137">
        <f t="shared" si="7"/>
        <v>1.9011556043869826</v>
      </c>
      <c r="Q236" s="126">
        <v>4</v>
      </c>
      <c r="R236" t="s">
        <v>522</v>
      </c>
      <c r="S236" t="str">
        <f>IF($W236&lt;&gt;"NAO ACEITO","",COUNTIFS($W$2:$W236,"NAO ACEITO"))</f>
        <v/>
      </c>
      <c r="T236" t="str">
        <f>IF($B236="","",IF(COUNTIF($B$2:$B236,$B236)=1,MAX($T$1:$T235)+1,""))</f>
        <v/>
      </c>
      <c r="U236" t="str">
        <f>IF($D236="","",IF(COUNTIF($D$2:$D236,$D236)=1,MAX($U$1:$U235)+1,""))</f>
        <v/>
      </c>
      <c r="V236">
        <f>IF($D236="","",IF(COUNTIFS($B$2:$B236,$B236,$D$2:$D236,$D236)=1,1,0))</f>
        <v>0</v>
      </c>
      <c r="W236" t="str">
        <f>IF($D236="","",mEQA.PadronizarStatus($L236))</f>
        <v>ACEITO</v>
      </c>
      <c r="X236" t="str">
        <f>IF(OR($D236="",$W236&lt;&gt;"NAO ACEITO"),"",IF(COUNTIFS($D$2:$D236,$D236,$W$2:$W236,"NAO ACEITO")=1,1,0))</f>
        <v/>
      </c>
    </row>
    <row r="237" spans="1:24" x14ac:dyDescent="0.3">
      <c r="A237" t="s">
        <v>402</v>
      </c>
      <c r="B237" t="s">
        <v>507</v>
      </c>
      <c r="C237" s="126">
        <v>2025</v>
      </c>
      <c r="D237" t="s">
        <v>484</v>
      </c>
      <c r="E237" t="s">
        <v>508</v>
      </c>
      <c r="F237" s="137">
        <v>105</v>
      </c>
      <c r="G237" s="138">
        <v>105.6</v>
      </c>
      <c r="H237" s="138">
        <v>1.9</v>
      </c>
      <c r="I237" s="139">
        <v>-0.3</v>
      </c>
      <c r="J237" s="137">
        <v>89</v>
      </c>
      <c r="K237" s="137">
        <v>122</v>
      </c>
      <c r="L237" t="s">
        <v>499</v>
      </c>
      <c r="M237" s="126">
        <v>138</v>
      </c>
      <c r="N237" t="s">
        <v>505</v>
      </c>
      <c r="O237" s="137">
        <f t="shared" si="6"/>
        <v>-0.56818181818181279</v>
      </c>
      <c r="P237" s="137">
        <f t="shared" si="7"/>
        <v>0.56818181818181279</v>
      </c>
      <c r="Q237" s="126">
        <v>8</v>
      </c>
      <c r="R237" t="s">
        <v>522</v>
      </c>
      <c r="S237" t="str">
        <f>IF($W237&lt;&gt;"NAO ACEITO","",COUNTIFS($W$2:$W237,"NAO ACEITO"))</f>
        <v/>
      </c>
      <c r="T237" t="str">
        <f>IF($B237="","",IF(COUNTIF($B$2:$B237,$B237)=1,MAX($T$1:$T236)+1,""))</f>
        <v/>
      </c>
      <c r="U237" t="str">
        <f>IF($D237="","",IF(COUNTIF($D$2:$D237,$D237)=1,MAX($U$1:$U236)+1,""))</f>
        <v/>
      </c>
      <c r="V237">
        <f>IF($D237="","",IF(COUNTIFS($B$2:$B237,$B237,$D$2:$D237,$D237)=1,1,0))</f>
        <v>1</v>
      </c>
      <c r="W237" t="str">
        <f>IF($D237="","",mEQA.PadronizarStatus($L237))</f>
        <v>ACEITO</v>
      </c>
      <c r="X237" t="str">
        <f>IF(OR($D237="",$W237&lt;&gt;"NAO ACEITO"),"",IF(COUNTIFS($D$2:$D237,$D237,$W$2:$W237,"NAO ACEITO")=1,1,0))</f>
        <v/>
      </c>
    </row>
    <row r="238" spans="1:24" x14ac:dyDescent="0.3">
      <c r="A238" t="s">
        <v>402</v>
      </c>
      <c r="B238" t="s">
        <v>507</v>
      </c>
      <c r="C238" s="126">
        <v>2025</v>
      </c>
      <c r="D238" t="s">
        <v>484</v>
      </c>
      <c r="E238" t="s">
        <v>509</v>
      </c>
      <c r="F238" s="137">
        <v>30</v>
      </c>
      <c r="G238" s="138">
        <v>29.8</v>
      </c>
      <c r="H238" s="138">
        <v>1.4</v>
      </c>
      <c r="I238" s="139">
        <v>0.1</v>
      </c>
      <c r="J238" s="137">
        <v>25</v>
      </c>
      <c r="K238" s="137">
        <v>35</v>
      </c>
      <c r="L238" t="s">
        <v>499</v>
      </c>
      <c r="M238" s="126">
        <v>138</v>
      </c>
      <c r="N238" t="s">
        <v>505</v>
      </c>
      <c r="O238" s="137">
        <f t="shared" si="6"/>
        <v>0.67114093959731302</v>
      </c>
      <c r="P238" s="137">
        <f t="shared" si="7"/>
        <v>0.67114093959731302</v>
      </c>
      <c r="Q238" s="126">
        <v>8</v>
      </c>
      <c r="R238" t="s">
        <v>522</v>
      </c>
      <c r="S238" t="str">
        <f>IF($W238&lt;&gt;"NAO ACEITO","",COUNTIFS($W$2:$W238,"NAO ACEITO"))</f>
        <v/>
      </c>
      <c r="T238" t="str">
        <f>IF($B238="","",IF(COUNTIF($B$2:$B238,$B238)=1,MAX($T$1:$T237)+1,""))</f>
        <v/>
      </c>
      <c r="U238" t="str">
        <f>IF($D238="","",IF(COUNTIF($D$2:$D238,$D238)=1,MAX($U$1:$U237)+1,""))</f>
        <v/>
      </c>
      <c r="V238">
        <f>IF($D238="","",IF(COUNTIFS($B$2:$B238,$B238,$D$2:$D238,$D238)=1,1,0))</f>
        <v>0</v>
      </c>
      <c r="W238" t="str">
        <f>IF($D238="","",mEQA.PadronizarStatus($L238))</f>
        <v>ACEITO</v>
      </c>
      <c r="X238" t="str">
        <f>IF(OR($D238="",$W238&lt;&gt;"NAO ACEITO"),"",IF(COUNTIFS($D$2:$D238,$D238,$W$2:$W238,"NAO ACEITO")=1,1,0))</f>
        <v/>
      </c>
    </row>
    <row r="239" spans="1:24" x14ac:dyDescent="0.3">
      <c r="A239" t="s">
        <v>402</v>
      </c>
      <c r="B239" t="s">
        <v>507</v>
      </c>
      <c r="C239" s="126">
        <v>2025</v>
      </c>
      <c r="D239" t="s">
        <v>484</v>
      </c>
      <c r="E239" t="s">
        <v>510</v>
      </c>
      <c r="F239" s="137">
        <v>132</v>
      </c>
      <c r="G239" s="138">
        <v>132.5</v>
      </c>
      <c r="H239" s="138">
        <v>1.8</v>
      </c>
      <c r="I239" s="139">
        <v>-0.3</v>
      </c>
      <c r="J239" s="137">
        <v>112</v>
      </c>
      <c r="K239" s="137">
        <v>153</v>
      </c>
      <c r="L239" t="s">
        <v>499</v>
      </c>
      <c r="M239" s="126">
        <v>135</v>
      </c>
      <c r="N239" t="s">
        <v>505</v>
      </c>
      <c r="O239" s="137">
        <f t="shared" si="6"/>
        <v>-0.37735849056603776</v>
      </c>
      <c r="P239" s="137">
        <f t="shared" si="7"/>
        <v>0.37735849056603776</v>
      </c>
      <c r="Q239" s="126">
        <v>8</v>
      </c>
      <c r="R239" t="s">
        <v>522</v>
      </c>
      <c r="S239" t="str">
        <f>IF($W239&lt;&gt;"NAO ACEITO","",COUNTIFS($W$2:$W239,"NAO ACEITO"))</f>
        <v/>
      </c>
      <c r="T239" t="str">
        <f>IF($B239="","",IF(COUNTIF($B$2:$B239,$B239)=1,MAX($T$1:$T238)+1,""))</f>
        <v/>
      </c>
      <c r="U239" t="str">
        <f>IF($D239="","",IF(COUNTIF($D$2:$D239,$D239)=1,MAX($U$1:$U238)+1,""))</f>
        <v/>
      </c>
      <c r="V239">
        <f>IF($D239="","",IF(COUNTIFS($B$2:$B239,$B239,$D$2:$D239,$D239)=1,1,0))</f>
        <v>0</v>
      </c>
      <c r="W239" t="str">
        <f>IF($D239="","",mEQA.PadronizarStatus($L239))</f>
        <v>ACEITO</v>
      </c>
      <c r="X239" t="str">
        <f>IF(OR($D239="",$W239&lt;&gt;"NAO ACEITO"),"",IF(COUNTIFS($D$2:$D239,$D239,$W$2:$W239,"NAO ACEITO")=1,1,0))</f>
        <v/>
      </c>
    </row>
    <row r="240" spans="1:24" x14ac:dyDescent="0.3">
      <c r="A240" t="s">
        <v>402</v>
      </c>
      <c r="B240" t="s">
        <v>507</v>
      </c>
      <c r="C240" s="126">
        <v>2025</v>
      </c>
      <c r="D240" t="s">
        <v>484</v>
      </c>
      <c r="E240" t="s">
        <v>511</v>
      </c>
      <c r="F240" s="137">
        <v>83</v>
      </c>
      <c r="G240" s="138">
        <v>82.5</v>
      </c>
      <c r="H240" s="138">
        <v>1.5</v>
      </c>
      <c r="I240" s="139">
        <v>0.3</v>
      </c>
      <c r="J240" s="137">
        <v>70</v>
      </c>
      <c r="K240" s="137">
        <v>95</v>
      </c>
      <c r="L240" t="s">
        <v>499</v>
      </c>
      <c r="M240" s="126">
        <v>135</v>
      </c>
      <c r="N240" t="s">
        <v>505</v>
      </c>
      <c r="O240" s="137">
        <f t="shared" si="6"/>
        <v>0.60606060606060608</v>
      </c>
      <c r="P240" s="137">
        <f t="shared" si="7"/>
        <v>0.60606060606060608</v>
      </c>
      <c r="Q240" s="126">
        <v>8</v>
      </c>
      <c r="R240" t="s">
        <v>522</v>
      </c>
      <c r="S240" t="str">
        <f>IF($W240&lt;&gt;"NAO ACEITO","",COUNTIFS($W$2:$W240,"NAO ACEITO"))</f>
        <v/>
      </c>
      <c r="T240" t="str">
        <f>IF($B240="","",IF(COUNTIF($B$2:$B240,$B240)=1,MAX($T$1:$T239)+1,""))</f>
        <v/>
      </c>
      <c r="U240" t="str">
        <f>IF($D240="","",IF(COUNTIF($D$2:$D240,$D240)=1,MAX($U$1:$U239)+1,""))</f>
        <v/>
      </c>
      <c r="V240">
        <f>IF($D240="","",IF(COUNTIFS($B$2:$B240,$B240,$D$2:$D240,$D240)=1,1,0))</f>
        <v>0</v>
      </c>
      <c r="W240" t="str">
        <f>IF($D240="","",mEQA.PadronizarStatus($L240))</f>
        <v>ACEITO</v>
      </c>
      <c r="X240" t="str">
        <f>IF(OR($D240="",$W240&lt;&gt;"NAO ACEITO"),"",IF(COUNTIFS($D$2:$D240,$D240,$W$2:$W240,"NAO ACEITO")=1,1,0))</f>
        <v/>
      </c>
    </row>
    <row r="241" spans="1:24" x14ac:dyDescent="0.3">
      <c r="A241" t="s">
        <v>402</v>
      </c>
      <c r="B241" t="s">
        <v>507</v>
      </c>
      <c r="C241" s="126">
        <v>2025</v>
      </c>
      <c r="D241" t="s">
        <v>484</v>
      </c>
      <c r="E241" t="s">
        <v>512</v>
      </c>
      <c r="F241" s="137">
        <v>161</v>
      </c>
      <c r="G241" s="138">
        <v>159.30000000000001</v>
      </c>
      <c r="H241" s="138">
        <v>2</v>
      </c>
      <c r="I241" s="139">
        <v>0.9</v>
      </c>
      <c r="J241" s="137">
        <v>135</v>
      </c>
      <c r="K241" s="137">
        <v>184</v>
      </c>
      <c r="L241" t="s">
        <v>499</v>
      </c>
      <c r="M241" s="126">
        <v>136</v>
      </c>
      <c r="N241" t="s">
        <v>505</v>
      </c>
      <c r="O241" s="137">
        <f t="shared" si="6"/>
        <v>1.067168863779026</v>
      </c>
      <c r="P241" s="137">
        <f t="shared" si="7"/>
        <v>1.067168863779026</v>
      </c>
      <c r="Q241" s="126">
        <v>8</v>
      </c>
      <c r="R241" t="s">
        <v>522</v>
      </c>
      <c r="S241" t="str">
        <f>IF($W241&lt;&gt;"NAO ACEITO","",COUNTIFS($W$2:$W241,"NAO ACEITO"))</f>
        <v/>
      </c>
      <c r="T241" t="str">
        <f>IF($B241="","",IF(COUNTIF($B$2:$B241,$B241)=1,MAX($T$1:$T240)+1,""))</f>
        <v/>
      </c>
      <c r="U241" t="str">
        <f>IF($D241="","",IF(COUNTIF($D$2:$D241,$D241)=1,MAX($U$1:$U240)+1,""))</f>
        <v/>
      </c>
      <c r="V241">
        <f>IF($D241="","",IF(COUNTIFS($B$2:$B241,$B241,$D$2:$D241,$D241)=1,1,0))</f>
        <v>0</v>
      </c>
      <c r="W241" t="str">
        <f>IF($D241="","",mEQA.PadronizarStatus($L241))</f>
        <v>ACEITO</v>
      </c>
      <c r="X241" t="str">
        <f>IF(OR($D241="",$W241&lt;&gt;"NAO ACEITO"),"",IF(COUNTIFS($D$2:$D241,$D241,$W$2:$W241,"NAO ACEITO")=1,1,0))</f>
        <v/>
      </c>
    </row>
    <row r="242" spans="1:24" x14ac:dyDescent="0.3">
      <c r="A242" t="s">
        <v>402</v>
      </c>
      <c r="B242" t="s">
        <v>507</v>
      </c>
      <c r="C242" s="126">
        <v>2025</v>
      </c>
      <c r="D242" t="s">
        <v>485</v>
      </c>
      <c r="E242" t="s">
        <v>508</v>
      </c>
      <c r="F242" s="137">
        <v>3.5</v>
      </c>
      <c r="G242" s="138">
        <v>3.38</v>
      </c>
      <c r="H242" s="138">
        <v>0.15</v>
      </c>
      <c r="I242" s="139">
        <v>0.8</v>
      </c>
      <c r="J242" s="137">
        <v>2.9</v>
      </c>
      <c r="K242" s="137">
        <v>3.9</v>
      </c>
      <c r="L242" t="s">
        <v>499</v>
      </c>
      <c r="M242" s="126">
        <v>275</v>
      </c>
      <c r="N242" t="s">
        <v>134</v>
      </c>
      <c r="O242" s="137">
        <f t="shared" si="6"/>
        <v>3.5502958579881692</v>
      </c>
      <c r="P242" s="137">
        <f t="shared" si="7"/>
        <v>3.5502958579881692</v>
      </c>
      <c r="Q242" s="126">
        <v>10</v>
      </c>
      <c r="R242" t="s">
        <v>522</v>
      </c>
      <c r="S242" t="str">
        <f>IF($W242&lt;&gt;"NAO ACEITO","",COUNTIFS($W$2:$W242,"NAO ACEITO"))</f>
        <v/>
      </c>
      <c r="T242" t="str">
        <f>IF($B242="","",IF(COUNTIF($B$2:$B242,$B242)=1,MAX($T$1:$T241)+1,""))</f>
        <v/>
      </c>
      <c r="U242" t="str">
        <f>IF($D242="","",IF(COUNTIF($D$2:$D242,$D242)=1,MAX($U$1:$U241)+1,""))</f>
        <v/>
      </c>
      <c r="V242">
        <f>IF($D242="","",IF(COUNTIFS($B$2:$B242,$B242,$D$2:$D242,$D242)=1,1,0))</f>
        <v>1</v>
      </c>
      <c r="W242" t="str">
        <f>IF($D242="","",mEQA.PadronizarStatus($L242))</f>
        <v>ACEITO</v>
      </c>
      <c r="X242" t="str">
        <f>IF(OR($D242="",$W242&lt;&gt;"NAO ACEITO"),"",IF(COUNTIFS($D$2:$D242,$D242,$W$2:$W242,"NAO ACEITO")=1,1,0))</f>
        <v/>
      </c>
    </row>
    <row r="243" spans="1:24" x14ac:dyDescent="0.3">
      <c r="A243" t="s">
        <v>402</v>
      </c>
      <c r="B243" t="s">
        <v>507</v>
      </c>
      <c r="C243" s="126">
        <v>2025</v>
      </c>
      <c r="D243" t="s">
        <v>485</v>
      </c>
      <c r="E243" t="s">
        <v>509</v>
      </c>
      <c r="F243" s="137">
        <v>1.6</v>
      </c>
      <c r="G243" s="138">
        <v>1.51</v>
      </c>
      <c r="H243" s="138">
        <v>0.12</v>
      </c>
      <c r="I243" s="139">
        <v>0.8</v>
      </c>
      <c r="J243" s="137">
        <v>1.1000000000000001</v>
      </c>
      <c r="K243" s="137">
        <v>2</v>
      </c>
      <c r="L243" t="s">
        <v>499</v>
      </c>
      <c r="M243" s="126">
        <v>273</v>
      </c>
      <c r="N243" t="s">
        <v>134</v>
      </c>
      <c r="O243" s="137">
        <f t="shared" si="6"/>
        <v>5.9602649006622572</v>
      </c>
      <c r="P243" s="137">
        <f t="shared" si="7"/>
        <v>5.9602649006622572</v>
      </c>
      <c r="Q243" s="126">
        <v>10</v>
      </c>
      <c r="R243" t="s">
        <v>522</v>
      </c>
      <c r="S243" t="str">
        <f>IF($W243&lt;&gt;"NAO ACEITO","",COUNTIFS($W$2:$W243,"NAO ACEITO"))</f>
        <v/>
      </c>
      <c r="T243" t="str">
        <f>IF($B243="","",IF(COUNTIF($B$2:$B243,$B243)=1,MAX($T$1:$T242)+1,""))</f>
        <v/>
      </c>
      <c r="U243" t="str">
        <f>IF($D243="","",IF(COUNTIF($D$2:$D243,$D243)=1,MAX($U$1:$U242)+1,""))</f>
        <v/>
      </c>
      <c r="V243">
        <f>IF($D243="","",IF(COUNTIFS($B$2:$B243,$B243,$D$2:$D243,$D243)=1,1,0))</f>
        <v>0</v>
      </c>
      <c r="W243" t="str">
        <f>IF($D243="","",mEQA.PadronizarStatus($L243))</f>
        <v>ACEITO</v>
      </c>
      <c r="X243" t="str">
        <f>IF(OR($D243="",$W243&lt;&gt;"NAO ACEITO"),"",IF(COUNTIFS($D$2:$D243,$D243,$W$2:$W243,"NAO ACEITO")=1,1,0))</f>
        <v/>
      </c>
    </row>
    <row r="244" spans="1:24" x14ac:dyDescent="0.3">
      <c r="A244" t="s">
        <v>402</v>
      </c>
      <c r="B244" t="s">
        <v>507</v>
      </c>
      <c r="C244" s="126">
        <v>2025</v>
      </c>
      <c r="D244" t="s">
        <v>485</v>
      </c>
      <c r="E244" t="s">
        <v>510</v>
      </c>
      <c r="F244" s="137">
        <v>5.5</v>
      </c>
      <c r="G244" s="138">
        <v>5.29</v>
      </c>
      <c r="H244" s="138">
        <v>0.19</v>
      </c>
      <c r="I244" s="139">
        <v>1.1000000000000001</v>
      </c>
      <c r="J244" s="137">
        <v>4.7</v>
      </c>
      <c r="K244" s="137">
        <v>5.9</v>
      </c>
      <c r="L244" t="s">
        <v>499</v>
      </c>
      <c r="M244" s="126">
        <v>273</v>
      </c>
      <c r="N244" t="s">
        <v>134</v>
      </c>
      <c r="O244" s="137">
        <f t="shared" si="6"/>
        <v>3.9697542533081274</v>
      </c>
      <c r="P244" s="137">
        <f t="shared" si="7"/>
        <v>3.9697542533081274</v>
      </c>
      <c r="Q244" s="126">
        <v>10</v>
      </c>
      <c r="R244" t="s">
        <v>522</v>
      </c>
      <c r="S244" t="str">
        <f>IF($W244&lt;&gt;"NAO ACEITO","",COUNTIFS($W$2:$W244,"NAO ACEITO"))</f>
        <v/>
      </c>
      <c r="T244" t="str">
        <f>IF($B244="","",IF(COUNTIF($B$2:$B244,$B244)=1,MAX($T$1:$T243)+1,""))</f>
        <v/>
      </c>
      <c r="U244" t="str">
        <f>IF($D244="","",IF(COUNTIF($D$2:$D244,$D244)=1,MAX($U$1:$U243)+1,""))</f>
        <v/>
      </c>
      <c r="V244">
        <f>IF($D244="","",IF(COUNTIFS($B$2:$B244,$B244,$D$2:$D244,$D244)=1,1,0))</f>
        <v>0</v>
      </c>
      <c r="W244" t="str">
        <f>IF($D244="","",mEQA.PadronizarStatus($L244))</f>
        <v>ACEITO</v>
      </c>
      <c r="X244" t="str">
        <f>IF(OR($D244="",$W244&lt;&gt;"NAO ACEITO"),"",IF(COUNTIFS($D$2:$D244,$D244,$W$2:$W244,"NAO ACEITO")=1,1,0))</f>
        <v/>
      </c>
    </row>
    <row r="245" spans="1:24" x14ac:dyDescent="0.3">
      <c r="A245" t="s">
        <v>402</v>
      </c>
      <c r="B245" t="s">
        <v>507</v>
      </c>
      <c r="C245" s="126">
        <v>2025</v>
      </c>
      <c r="D245" t="s">
        <v>485</v>
      </c>
      <c r="E245" t="s">
        <v>511</v>
      </c>
      <c r="F245" s="137">
        <v>4.3</v>
      </c>
      <c r="G245" s="138">
        <v>4.08</v>
      </c>
      <c r="H245" s="138">
        <v>0.16</v>
      </c>
      <c r="I245" s="139">
        <v>1.4</v>
      </c>
      <c r="J245" s="137">
        <v>3.5</v>
      </c>
      <c r="K245" s="137">
        <v>4.5999999999999996</v>
      </c>
      <c r="L245" t="s">
        <v>499</v>
      </c>
      <c r="M245" s="126">
        <v>276</v>
      </c>
      <c r="N245" t="s">
        <v>134</v>
      </c>
      <c r="O245" s="137">
        <f t="shared" si="6"/>
        <v>5.3921568627450922</v>
      </c>
      <c r="P245" s="137">
        <f t="shared" si="7"/>
        <v>5.3921568627450922</v>
      </c>
      <c r="Q245" s="126">
        <v>10</v>
      </c>
      <c r="R245" t="s">
        <v>522</v>
      </c>
      <c r="S245" t="str">
        <f>IF($W245&lt;&gt;"NAO ACEITO","",COUNTIFS($W$2:$W245,"NAO ACEITO"))</f>
        <v/>
      </c>
      <c r="T245" t="str">
        <f>IF($B245="","",IF(COUNTIF($B$2:$B245,$B245)=1,MAX($T$1:$T244)+1,""))</f>
        <v/>
      </c>
      <c r="U245" t="str">
        <f>IF($D245="","",IF(COUNTIF($D$2:$D245,$D245)=1,MAX($U$1:$U244)+1,""))</f>
        <v/>
      </c>
      <c r="V245">
        <f>IF($D245="","",IF(COUNTIFS($B$2:$B245,$B245,$D$2:$D245,$D245)=1,1,0))</f>
        <v>0</v>
      </c>
      <c r="W245" t="str">
        <f>IF($D245="","",mEQA.PadronizarStatus($L245))</f>
        <v>ACEITO</v>
      </c>
      <c r="X245" t="str">
        <f>IF(OR($D245="",$W245&lt;&gt;"NAO ACEITO"),"",IF(COUNTIFS($D$2:$D245,$D245,$W$2:$W245,"NAO ACEITO")=1,1,0))</f>
        <v/>
      </c>
    </row>
    <row r="246" spans="1:24" x14ac:dyDescent="0.3">
      <c r="A246" t="s">
        <v>402</v>
      </c>
      <c r="B246" t="s">
        <v>507</v>
      </c>
      <c r="C246" s="126">
        <v>2025</v>
      </c>
      <c r="D246" t="s">
        <v>485</v>
      </c>
      <c r="E246" t="s">
        <v>512</v>
      </c>
      <c r="F246" s="137">
        <v>7.3</v>
      </c>
      <c r="G246" s="138">
        <v>7.26</v>
      </c>
      <c r="H246" s="138">
        <v>0.25</v>
      </c>
      <c r="I246" s="139">
        <v>0.2</v>
      </c>
      <c r="J246" s="137">
        <v>6.5</v>
      </c>
      <c r="K246" s="137">
        <v>8.1</v>
      </c>
      <c r="L246" t="s">
        <v>499</v>
      </c>
      <c r="M246" s="126">
        <v>276</v>
      </c>
      <c r="N246" t="s">
        <v>134</v>
      </c>
      <c r="O246" s="137">
        <f t="shared" si="6"/>
        <v>0.55096418732782426</v>
      </c>
      <c r="P246" s="137">
        <f t="shared" si="7"/>
        <v>0.55096418732782426</v>
      </c>
      <c r="Q246" s="126">
        <v>10</v>
      </c>
      <c r="R246" t="s">
        <v>522</v>
      </c>
      <c r="S246" t="str">
        <f>IF($W246&lt;&gt;"NAO ACEITO","",COUNTIFS($W$2:$W246,"NAO ACEITO"))</f>
        <v/>
      </c>
      <c r="T246" t="str">
        <f>IF($B246="","",IF(COUNTIF($B$2:$B246,$B246)=1,MAX($T$1:$T245)+1,""))</f>
        <v/>
      </c>
      <c r="U246" t="str">
        <f>IF($D246="","",IF(COUNTIF($D$2:$D246,$D246)=1,MAX($U$1:$U245)+1,""))</f>
        <v/>
      </c>
      <c r="V246">
        <f>IF($D246="","",IF(COUNTIFS($B$2:$B246,$B246,$D$2:$D246,$D246)=1,1,0))</f>
        <v>0</v>
      </c>
      <c r="W246" t="str">
        <f>IF($D246="","",mEQA.PadronizarStatus($L246))</f>
        <v>ACEITO</v>
      </c>
      <c r="X246" t="str">
        <f>IF(OR($D246="",$W246&lt;&gt;"NAO ACEITO"),"",IF(COUNTIFS($D$2:$D246,$D246,$W$2:$W246,"NAO ACEITO")=1,1,0))</f>
        <v/>
      </c>
    </row>
    <row r="247" spans="1:24" x14ac:dyDescent="0.3">
      <c r="A247" t="s">
        <v>402</v>
      </c>
      <c r="B247" t="s">
        <v>507</v>
      </c>
      <c r="C247" s="126">
        <v>2025</v>
      </c>
      <c r="D247" t="s">
        <v>486</v>
      </c>
      <c r="E247" t="s">
        <v>508</v>
      </c>
      <c r="F247" s="137">
        <v>360</v>
      </c>
      <c r="G247" s="138">
        <v>355.4</v>
      </c>
      <c r="H247" s="138">
        <v>12.2</v>
      </c>
      <c r="I247" s="139">
        <v>0.4</v>
      </c>
      <c r="J247" s="137">
        <v>302</v>
      </c>
      <c r="K247" s="137">
        <v>409</v>
      </c>
      <c r="L247" t="s">
        <v>499</v>
      </c>
      <c r="M247" s="126">
        <v>241</v>
      </c>
      <c r="N247" t="s">
        <v>123</v>
      </c>
      <c r="O247" s="137">
        <f t="shared" si="6"/>
        <v>1.2943162633652288</v>
      </c>
      <c r="P247" s="137">
        <f t="shared" si="7"/>
        <v>1.2943162633652288</v>
      </c>
      <c r="Q247" s="126">
        <v>8</v>
      </c>
      <c r="R247" t="s">
        <v>522</v>
      </c>
      <c r="S247" t="str">
        <f>IF($W247&lt;&gt;"NAO ACEITO","",COUNTIFS($W$2:$W247,"NAO ACEITO"))</f>
        <v/>
      </c>
      <c r="T247" t="str">
        <f>IF($B247="","",IF(COUNTIF($B$2:$B247,$B247)=1,MAX($T$1:$T246)+1,""))</f>
        <v/>
      </c>
      <c r="U247" t="str">
        <f>IF($D247="","",IF(COUNTIF($D$2:$D247,$D247)=1,MAX($U$1:$U246)+1,""))</f>
        <v/>
      </c>
      <c r="V247">
        <f>IF($D247="","",IF(COUNTIFS($B$2:$B247,$B247,$D$2:$D247,$D247)=1,1,0))</f>
        <v>1</v>
      </c>
      <c r="W247" t="str">
        <f>IF($D247="","",mEQA.PadronizarStatus($L247))</f>
        <v>ACEITO</v>
      </c>
      <c r="X247" t="str">
        <f>IF(OR($D247="",$W247&lt;&gt;"NAO ACEITO"),"",IF(COUNTIFS($D$2:$D247,$D247,$W$2:$W247,"NAO ACEITO")=1,1,0))</f>
        <v/>
      </c>
    </row>
    <row r="248" spans="1:24" x14ac:dyDescent="0.3">
      <c r="A248" t="s">
        <v>402</v>
      </c>
      <c r="B248" t="s">
        <v>507</v>
      </c>
      <c r="C248" s="126">
        <v>2025</v>
      </c>
      <c r="D248" t="s">
        <v>486</v>
      </c>
      <c r="E248" t="s">
        <v>509</v>
      </c>
      <c r="F248" s="137">
        <v>124</v>
      </c>
      <c r="G248" s="138">
        <v>126.4</v>
      </c>
      <c r="H248" s="138">
        <v>6.6</v>
      </c>
      <c r="I248" s="139">
        <v>-0.4</v>
      </c>
      <c r="J248" s="137">
        <v>107</v>
      </c>
      <c r="K248" s="137">
        <v>146</v>
      </c>
      <c r="L248" t="s">
        <v>499</v>
      </c>
      <c r="M248" s="126">
        <v>240</v>
      </c>
      <c r="N248" t="s">
        <v>123</v>
      </c>
      <c r="O248" s="137">
        <f t="shared" si="6"/>
        <v>-1.8987341772151944</v>
      </c>
      <c r="P248" s="137">
        <f t="shared" si="7"/>
        <v>1.8987341772151944</v>
      </c>
      <c r="Q248" s="126">
        <v>8</v>
      </c>
      <c r="R248" t="s">
        <v>522</v>
      </c>
      <c r="S248" t="str">
        <f>IF($W248&lt;&gt;"NAO ACEITO","",COUNTIFS($W$2:$W248,"NAO ACEITO"))</f>
        <v/>
      </c>
      <c r="T248" t="str">
        <f>IF($B248="","",IF(COUNTIF($B$2:$B248,$B248)=1,MAX($T$1:$T247)+1,""))</f>
        <v/>
      </c>
      <c r="U248" t="str">
        <f>IF($D248="","",IF(COUNTIF($D$2:$D248,$D248)=1,MAX($U$1:$U247)+1,""))</f>
        <v/>
      </c>
      <c r="V248">
        <f>IF($D248="","",IF(COUNTIFS($B$2:$B248,$B248,$D$2:$D248,$D248)=1,1,0))</f>
        <v>0</v>
      </c>
      <c r="W248" t="str">
        <f>IF($D248="","",mEQA.PadronizarStatus($L248))</f>
        <v>ACEITO</v>
      </c>
      <c r="X248" t="str">
        <f>IF(OR($D248="",$W248&lt;&gt;"NAO ACEITO"),"",IF(COUNTIFS($D$2:$D248,$D248,$W$2:$W248,"NAO ACEITO")=1,1,0))</f>
        <v/>
      </c>
    </row>
    <row r="249" spans="1:24" x14ac:dyDescent="0.3">
      <c r="A249" t="s">
        <v>402</v>
      </c>
      <c r="B249" t="s">
        <v>507</v>
      </c>
      <c r="C249" s="126">
        <v>2025</v>
      </c>
      <c r="D249" t="s">
        <v>486</v>
      </c>
      <c r="E249" t="s">
        <v>510</v>
      </c>
      <c r="F249" s="137">
        <v>317</v>
      </c>
      <c r="G249" s="138">
        <v>312.39999999999998</v>
      </c>
      <c r="H249" s="138">
        <v>10</v>
      </c>
      <c r="I249" s="139">
        <v>0.5</v>
      </c>
      <c r="J249" s="137">
        <v>265</v>
      </c>
      <c r="K249" s="137">
        <v>360</v>
      </c>
      <c r="L249" t="s">
        <v>499</v>
      </c>
      <c r="M249" s="126">
        <v>239</v>
      </c>
      <c r="N249" t="s">
        <v>123</v>
      </c>
      <c r="O249" s="137">
        <f t="shared" si="6"/>
        <v>1.4724711907810573</v>
      </c>
      <c r="P249" s="137">
        <f t="shared" si="7"/>
        <v>1.4724711907810573</v>
      </c>
      <c r="Q249" s="126">
        <v>8</v>
      </c>
      <c r="R249" t="s">
        <v>522</v>
      </c>
      <c r="S249" t="str">
        <f>IF($W249&lt;&gt;"NAO ACEITO","",COUNTIFS($W$2:$W249,"NAO ACEITO"))</f>
        <v/>
      </c>
      <c r="T249" t="str">
        <f>IF($B249="","",IF(COUNTIF($B$2:$B249,$B249)=1,MAX($T$1:$T248)+1,""))</f>
        <v/>
      </c>
      <c r="U249" t="str">
        <f>IF($D249="","",IF(COUNTIF($D$2:$D249,$D249)=1,MAX($U$1:$U248)+1,""))</f>
        <v/>
      </c>
      <c r="V249">
        <f>IF($D249="","",IF(COUNTIFS($B$2:$B249,$B249,$D$2:$D249,$D249)=1,1,0))</f>
        <v>0</v>
      </c>
      <c r="W249" t="str">
        <f>IF($D249="","",mEQA.PadronizarStatus($L249))</f>
        <v>ACEITO</v>
      </c>
      <c r="X249" t="str">
        <f>IF(OR($D249="",$W249&lt;&gt;"NAO ACEITO"),"",IF(COUNTIFS($D$2:$D249,$D249,$W$2:$W249,"NAO ACEITO")=1,1,0))</f>
        <v/>
      </c>
    </row>
    <row r="250" spans="1:24" x14ac:dyDescent="0.3">
      <c r="A250" t="s">
        <v>402</v>
      </c>
      <c r="B250" t="s">
        <v>507</v>
      </c>
      <c r="C250" s="126">
        <v>2025</v>
      </c>
      <c r="D250" t="s">
        <v>486</v>
      </c>
      <c r="E250" t="s">
        <v>511</v>
      </c>
      <c r="F250" s="137">
        <v>158</v>
      </c>
      <c r="G250" s="138">
        <v>158.4</v>
      </c>
      <c r="H250" s="138">
        <v>6.8</v>
      </c>
      <c r="I250" s="139">
        <v>-0.1</v>
      </c>
      <c r="J250" s="137">
        <v>134</v>
      </c>
      <c r="K250" s="137">
        <v>183</v>
      </c>
      <c r="L250" t="s">
        <v>499</v>
      </c>
      <c r="M250" s="126">
        <v>240</v>
      </c>
      <c r="N250" t="s">
        <v>123</v>
      </c>
      <c r="O250" s="137">
        <f t="shared" si="6"/>
        <v>-0.25252525252525609</v>
      </c>
      <c r="P250" s="137">
        <f t="shared" si="7"/>
        <v>0.25252525252525609</v>
      </c>
      <c r="Q250" s="126">
        <v>8</v>
      </c>
      <c r="R250" t="s">
        <v>522</v>
      </c>
      <c r="S250" t="str">
        <f>IF($W250&lt;&gt;"NAO ACEITO","",COUNTIFS($W$2:$W250,"NAO ACEITO"))</f>
        <v/>
      </c>
      <c r="T250" t="str">
        <f>IF($B250="","",IF(COUNTIF($B$2:$B250,$B250)=1,MAX($T$1:$T249)+1,""))</f>
        <v/>
      </c>
      <c r="U250" t="str">
        <f>IF($D250="","",IF(COUNTIF($D$2:$D250,$D250)=1,MAX($U$1:$U249)+1,""))</f>
        <v/>
      </c>
      <c r="V250">
        <f>IF($D250="","",IF(COUNTIFS($B$2:$B250,$B250,$D$2:$D250,$D250)=1,1,0))</f>
        <v>0</v>
      </c>
      <c r="W250" t="str">
        <f>IF($D250="","",mEQA.PadronizarStatus($L250))</f>
        <v>ACEITO</v>
      </c>
      <c r="X250" t="str">
        <f>IF(OR($D250="",$W250&lt;&gt;"NAO ACEITO"),"",IF(COUNTIFS($D$2:$D250,$D250,$W$2:$W250,"NAO ACEITO")=1,1,0))</f>
        <v/>
      </c>
    </row>
    <row r="251" spans="1:24" x14ac:dyDescent="0.3">
      <c r="A251" t="s">
        <v>402</v>
      </c>
      <c r="B251" t="s">
        <v>507</v>
      </c>
      <c r="C251" s="126">
        <v>2025</v>
      </c>
      <c r="D251" t="s">
        <v>486</v>
      </c>
      <c r="E251" t="s">
        <v>512</v>
      </c>
      <c r="F251" s="137">
        <v>271</v>
      </c>
      <c r="G251" s="138">
        <v>267.7</v>
      </c>
      <c r="H251" s="138">
        <v>8.9</v>
      </c>
      <c r="I251" s="139">
        <v>0.4</v>
      </c>
      <c r="J251" s="137">
        <v>227</v>
      </c>
      <c r="K251" s="137">
        <v>308</v>
      </c>
      <c r="L251" t="s">
        <v>499</v>
      </c>
      <c r="M251" s="126">
        <v>238</v>
      </c>
      <c r="N251" t="s">
        <v>123</v>
      </c>
      <c r="O251" s="137">
        <f t="shared" si="6"/>
        <v>1.2327231976092683</v>
      </c>
      <c r="P251" s="137">
        <f t="shared" si="7"/>
        <v>1.2327231976092683</v>
      </c>
      <c r="Q251" s="126">
        <v>8</v>
      </c>
      <c r="R251" t="s">
        <v>522</v>
      </c>
      <c r="S251" t="str">
        <f>IF($W251&lt;&gt;"NAO ACEITO","",COUNTIFS($W$2:$W251,"NAO ACEITO"))</f>
        <v/>
      </c>
      <c r="T251" t="str">
        <f>IF($B251="","",IF(COUNTIF($B$2:$B251,$B251)=1,MAX($T$1:$T250)+1,""))</f>
        <v/>
      </c>
      <c r="U251" t="str">
        <f>IF($D251="","",IF(COUNTIF($D$2:$D251,$D251)=1,MAX($U$1:$U250)+1,""))</f>
        <v/>
      </c>
      <c r="V251">
        <f>IF($D251="","",IF(COUNTIFS($B$2:$B251,$B251,$D$2:$D251,$D251)=1,1,0))</f>
        <v>0</v>
      </c>
      <c r="W251" t="str">
        <f>IF($D251="","",mEQA.PadronizarStatus($L251))</f>
        <v>ACEITO</v>
      </c>
      <c r="X251" t="str">
        <f>IF(OR($D251="",$W251&lt;&gt;"NAO ACEITO"),"",IF(COUNTIFS($D$2:$D251,$D251,$W$2:$W251,"NAO ACEITO")=1,1,0))</f>
        <v/>
      </c>
    </row>
    <row r="252" spans="1:24" x14ac:dyDescent="0.3">
      <c r="A252" t="s">
        <v>402</v>
      </c>
      <c r="B252" t="s">
        <v>507</v>
      </c>
      <c r="C252" s="126">
        <v>2025</v>
      </c>
      <c r="D252" t="s">
        <v>350</v>
      </c>
      <c r="E252" t="s">
        <v>508</v>
      </c>
      <c r="F252" s="137">
        <v>30</v>
      </c>
      <c r="G252" s="138">
        <v>31.2</v>
      </c>
      <c r="H252" s="138">
        <v>1.1000000000000001</v>
      </c>
      <c r="I252" s="139">
        <v>-1</v>
      </c>
      <c r="J252" s="137">
        <v>21</v>
      </c>
      <c r="K252" s="137">
        <v>41</v>
      </c>
      <c r="L252" t="s">
        <v>499</v>
      </c>
      <c r="M252" s="126">
        <v>345</v>
      </c>
      <c r="N252" t="s">
        <v>123</v>
      </c>
      <c r="O252" s="137">
        <f t="shared" si="6"/>
        <v>-3.8461538461538445</v>
      </c>
      <c r="P252" s="137">
        <f t="shared" si="7"/>
        <v>3.8461538461538445</v>
      </c>
      <c r="Q252" s="126">
        <v>10</v>
      </c>
      <c r="R252" t="s">
        <v>522</v>
      </c>
      <c r="S252" t="str">
        <f>IF($W252&lt;&gt;"NAO ACEITO","",COUNTIFS($W$2:$W252,"NAO ACEITO"))</f>
        <v/>
      </c>
      <c r="T252" t="str">
        <f>IF($B252="","",IF(COUNTIF($B$2:$B252,$B252)=1,MAX($T$1:$T251)+1,""))</f>
        <v/>
      </c>
      <c r="U252" t="str">
        <f>IF($D252="","",IF(COUNTIF($D$2:$D252,$D252)=1,MAX($U$1:$U251)+1,""))</f>
        <v/>
      </c>
      <c r="V252">
        <f>IF($D252="","",IF(COUNTIFS($B$2:$B252,$B252,$D$2:$D252,$D252)=1,1,0))</f>
        <v>1</v>
      </c>
      <c r="W252" t="str">
        <f>IF($D252="","",mEQA.PadronizarStatus($L252))</f>
        <v>ACEITO</v>
      </c>
      <c r="X252" t="str">
        <f>IF(OR($D252="",$W252&lt;&gt;"NAO ACEITO"),"",IF(COUNTIFS($D$2:$D252,$D252,$W$2:$W252,"NAO ACEITO")=1,1,0))</f>
        <v/>
      </c>
    </row>
    <row r="253" spans="1:24" x14ac:dyDescent="0.3">
      <c r="A253" t="s">
        <v>402</v>
      </c>
      <c r="B253" t="s">
        <v>507</v>
      </c>
      <c r="C253" s="126">
        <v>2025</v>
      </c>
      <c r="D253" t="s">
        <v>350</v>
      </c>
      <c r="E253" t="s">
        <v>509</v>
      </c>
      <c r="F253" s="137">
        <v>14</v>
      </c>
      <c r="G253" s="138">
        <v>13.7</v>
      </c>
      <c r="H253" s="138">
        <v>0.7</v>
      </c>
      <c r="I253" s="139">
        <v>0.5</v>
      </c>
      <c r="J253" s="137">
        <v>9</v>
      </c>
      <c r="K253" s="137">
        <v>18</v>
      </c>
      <c r="L253" t="s">
        <v>499</v>
      </c>
      <c r="M253" s="126">
        <v>337</v>
      </c>
      <c r="N253" t="s">
        <v>123</v>
      </c>
      <c r="O253" s="137">
        <f t="shared" si="6"/>
        <v>2.1897810218978155</v>
      </c>
      <c r="P253" s="137">
        <f t="shared" si="7"/>
        <v>2.1897810218978155</v>
      </c>
      <c r="Q253" s="126">
        <v>10</v>
      </c>
      <c r="R253" t="s">
        <v>522</v>
      </c>
      <c r="S253" t="str">
        <f>IF($W253&lt;&gt;"NAO ACEITO","",COUNTIFS($W$2:$W253,"NAO ACEITO"))</f>
        <v/>
      </c>
      <c r="T253" t="str">
        <f>IF($B253="","",IF(COUNTIF($B$2:$B253,$B253)=1,MAX($T$1:$T252)+1,""))</f>
        <v/>
      </c>
      <c r="U253" t="str">
        <f>IF($D253="","",IF(COUNTIF($D$2:$D253,$D253)=1,MAX($U$1:$U252)+1,""))</f>
        <v/>
      </c>
      <c r="V253">
        <f>IF($D253="","",IF(COUNTIFS($B$2:$B253,$B253,$D$2:$D253,$D253)=1,1,0))</f>
        <v>0</v>
      </c>
      <c r="W253" t="str">
        <f>IF($D253="","",mEQA.PadronizarStatus($L253))</f>
        <v>ACEITO</v>
      </c>
      <c r="X253" t="str">
        <f>IF(OR($D253="",$W253&lt;&gt;"NAO ACEITO"),"",IF(COUNTIFS($D$2:$D253,$D253,$W$2:$W253,"NAO ACEITO")=1,1,0))</f>
        <v/>
      </c>
    </row>
    <row r="254" spans="1:24" x14ac:dyDescent="0.3">
      <c r="A254" t="s">
        <v>402</v>
      </c>
      <c r="B254" t="s">
        <v>507</v>
      </c>
      <c r="C254" s="126">
        <v>2025</v>
      </c>
      <c r="D254" t="s">
        <v>350</v>
      </c>
      <c r="E254" t="s">
        <v>510</v>
      </c>
      <c r="F254" s="137">
        <v>82</v>
      </c>
      <c r="G254" s="138">
        <v>84.1</v>
      </c>
      <c r="H254" s="138">
        <v>3</v>
      </c>
      <c r="I254" s="139">
        <v>-0.7</v>
      </c>
      <c r="J254" s="137">
        <v>58</v>
      </c>
      <c r="K254" s="137">
        <v>110</v>
      </c>
      <c r="L254" t="s">
        <v>499</v>
      </c>
      <c r="M254" s="126">
        <v>348</v>
      </c>
      <c r="N254" t="s">
        <v>123</v>
      </c>
      <c r="O254" s="137">
        <f t="shared" si="6"/>
        <v>-2.4970273483947616</v>
      </c>
      <c r="P254" s="137">
        <f t="shared" si="7"/>
        <v>2.4970273483947616</v>
      </c>
      <c r="Q254" s="126">
        <v>10</v>
      </c>
      <c r="R254" t="s">
        <v>522</v>
      </c>
      <c r="S254" t="str">
        <f>IF($W254&lt;&gt;"NAO ACEITO","",COUNTIFS($W$2:$W254,"NAO ACEITO"))</f>
        <v/>
      </c>
      <c r="T254" t="str">
        <f>IF($B254="","",IF(COUNTIF($B$2:$B254,$B254)=1,MAX($T$1:$T253)+1,""))</f>
        <v/>
      </c>
      <c r="U254" t="str">
        <f>IF($D254="","",IF(COUNTIF($D$2:$D254,$D254)=1,MAX($U$1:$U253)+1,""))</f>
        <v/>
      </c>
      <c r="V254">
        <f>IF($D254="","",IF(COUNTIFS($B$2:$B254,$B254,$D$2:$D254,$D254)=1,1,0))</f>
        <v>0</v>
      </c>
      <c r="W254" t="str">
        <f>IF($D254="","",mEQA.PadronizarStatus($L254))</f>
        <v>ACEITO</v>
      </c>
      <c r="X254" t="str">
        <f>IF(OR($D254="",$W254&lt;&gt;"NAO ACEITO"),"",IF(COUNTIFS($D$2:$D254,$D254,$W$2:$W254,"NAO ACEITO")=1,1,0))</f>
        <v/>
      </c>
    </row>
    <row r="255" spans="1:24" x14ac:dyDescent="0.3">
      <c r="A255" t="s">
        <v>402</v>
      </c>
      <c r="B255" t="s">
        <v>507</v>
      </c>
      <c r="C255" s="126">
        <v>2025</v>
      </c>
      <c r="D255" t="s">
        <v>350</v>
      </c>
      <c r="E255" t="s">
        <v>511</v>
      </c>
      <c r="F255" s="137">
        <v>71</v>
      </c>
      <c r="G255" s="138">
        <v>73.400000000000006</v>
      </c>
      <c r="H255" s="138">
        <v>2.8</v>
      </c>
      <c r="I255" s="139">
        <v>-0.9</v>
      </c>
      <c r="J255" s="137">
        <v>51</v>
      </c>
      <c r="K255" s="137">
        <v>96</v>
      </c>
      <c r="L255" t="s">
        <v>499</v>
      </c>
      <c r="M255" s="126">
        <v>348</v>
      </c>
      <c r="N255" t="s">
        <v>123</v>
      </c>
      <c r="O255" s="137">
        <f t="shared" si="6"/>
        <v>-3.269754768392378</v>
      </c>
      <c r="P255" s="137">
        <f t="shared" si="7"/>
        <v>3.269754768392378</v>
      </c>
      <c r="Q255" s="126">
        <v>10</v>
      </c>
      <c r="R255" t="s">
        <v>522</v>
      </c>
      <c r="S255" t="str">
        <f>IF($W255&lt;&gt;"NAO ACEITO","",COUNTIFS($W$2:$W255,"NAO ACEITO"))</f>
        <v/>
      </c>
      <c r="T255" t="str">
        <f>IF($B255="","",IF(COUNTIF($B$2:$B255,$B255)=1,MAX($T$1:$T254)+1,""))</f>
        <v/>
      </c>
      <c r="U255" t="str">
        <f>IF($D255="","",IF(COUNTIF($D$2:$D255,$D255)=1,MAX($U$1:$U254)+1,""))</f>
        <v/>
      </c>
      <c r="V255">
        <f>IF($D255="","",IF(COUNTIFS($B$2:$B255,$B255,$D$2:$D255,$D255)=1,1,0))</f>
        <v>0</v>
      </c>
      <c r="W255" t="str">
        <f>IF($D255="","",mEQA.PadronizarStatus($L255))</f>
        <v>ACEITO</v>
      </c>
      <c r="X255" t="str">
        <f>IF(OR($D255="",$W255&lt;&gt;"NAO ACEITO"),"",IF(COUNTIFS($D$2:$D255,$D255,$W$2:$W255,"NAO ACEITO")=1,1,0))</f>
        <v/>
      </c>
    </row>
    <row r="256" spans="1:24" x14ac:dyDescent="0.3">
      <c r="A256" t="s">
        <v>402</v>
      </c>
      <c r="B256" t="s">
        <v>507</v>
      </c>
      <c r="C256" s="126">
        <v>2025</v>
      </c>
      <c r="D256" t="s">
        <v>350</v>
      </c>
      <c r="E256" t="s">
        <v>512</v>
      </c>
      <c r="F256" s="137">
        <v>130</v>
      </c>
      <c r="G256" s="138">
        <v>135.69999999999999</v>
      </c>
      <c r="H256" s="138">
        <v>5.0999999999999996</v>
      </c>
      <c r="I256" s="139">
        <v>-1.1000000000000001</v>
      </c>
      <c r="J256" s="137">
        <v>94</v>
      </c>
      <c r="K256" s="137">
        <v>177</v>
      </c>
      <c r="L256" t="s">
        <v>499</v>
      </c>
      <c r="M256" s="126">
        <v>343</v>
      </c>
      <c r="N256" t="s">
        <v>123</v>
      </c>
      <c r="O256" s="137">
        <f t="shared" si="6"/>
        <v>-4.2004421518054453</v>
      </c>
      <c r="P256" s="137">
        <f t="shared" si="7"/>
        <v>4.2004421518054453</v>
      </c>
      <c r="Q256" s="126">
        <v>10</v>
      </c>
      <c r="R256" t="s">
        <v>522</v>
      </c>
      <c r="S256" t="str">
        <f>IF($W256&lt;&gt;"NAO ACEITO","",COUNTIFS($W$2:$W256,"NAO ACEITO"))</f>
        <v/>
      </c>
      <c r="T256" t="str">
        <f>IF($B256="","",IF(COUNTIF($B$2:$B256,$B256)=1,MAX($T$1:$T255)+1,""))</f>
        <v/>
      </c>
      <c r="U256" t="str">
        <f>IF($D256="","",IF(COUNTIF($D$2:$D256,$D256)=1,MAX($U$1:$U255)+1,""))</f>
        <v/>
      </c>
      <c r="V256">
        <f>IF($D256="","",IF(COUNTIFS($B$2:$B256,$B256,$D$2:$D256,$D256)=1,1,0))</f>
        <v>0</v>
      </c>
      <c r="W256" t="str">
        <f>IF($D256="","",mEQA.PadronizarStatus($L256))</f>
        <v>ACEITO</v>
      </c>
      <c r="X256" t="str">
        <f>IF(OR($D256="",$W256&lt;&gt;"NAO ACEITO"),"",IF(COUNTIFS($D$2:$D256,$D256,$W$2:$W256,"NAO ACEITO")=1,1,0))</f>
        <v/>
      </c>
    </row>
    <row r="257" spans="1:24" x14ac:dyDescent="0.3">
      <c r="A257" t="s">
        <v>402</v>
      </c>
      <c r="B257" t="s">
        <v>507</v>
      </c>
      <c r="C257" s="126">
        <v>2025</v>
      </c>
      <c r="D257" t="s">
        <v>487</v>
      </c>
      <c r="E257" t="s">
        <v>508</v>
      </c>
      <c r="F257" s="137">
        <v>2.2200000000000002</v>
      </c>
      <c r="G257" s="138">
        <v>2.4169999999999998</v>
      </c>
      <c r="H257" s="138">
        <v>8.5999999999999993E-2</v>
      </c>
      <c r="I257" s="139">
        <v>-2.2999999999999998</v>
      </c>
      <c r="J257" s="137">
        <v>2.0499999999999998</v>
      </c>
      <c r="K257" s="137">
        <v>2.78</v>
      </c>
      <c r="L257" t="s">
        <v>499</v>
      </c>
      <c r="M257" s="126">
        <v>404</v>
      </c>
      <c r="N257" t="s">
        <v>112</v>
      </c>
      <c r="O257" s="137">
        <f t="shared" si="6"/>
        <v>-8.1505999172527783</v>
      </c>
      <c r="P257" s="137">
        <f t="shared" si="7"/>
        <v>8.1505999172527783</v>
      </c>
      <c r="Q257" s="126">
        <v>8</v>
      </c>
      <c r="R257" t="s">
        <v>522</v>
      </c>
      <c r="S257" t="str">
        <f>IF($W257&lt;&gt;"NAO ACEITO","",COUNTIFS($W$2:$W257,"NAO ACEITO"))</f>
        <v/>
      </c>
      <c r="T257" t="str">
        <f>IF($B257="","",IF(COUNTIF($B$2:$B257,$B257)=1,MAX($T$1:$T256)+1,""))</f>
        <v/>
      </c>
      <c r="U257" t="str">
        <f>IF($D257="","",IF(COUNTIF($D$2:$D257,$D257)=1,MAX($U$1:$U256)+1,""))</f>
        <v/>
      </c>
      <c r="V257">
        <f>IF($D257="","",IF(COUNTIFS($B$2:$B257,$B257,$D$2:$D257,$D257)=1,1,0))</f>
        <v>1</v>
      </c>
      <c r="W257" t="str">
        <f>IF($D257="","",mEQA.PadronizarStatus($L257))</f>
        <v>ACEITO</v>
      </c>
      <c r="X257" t="str">
        <f>IF(OR($D257="",$W257&lt;&gt;"NAO ACEITO"),"",IF(COUNTIFS($D$2:$D257,$D257,$W$2:$W257,"NAO ACEITO")=1,1,0))</f>
        <v/>
      </c>
    </row>
    <row r="258" spans="1:24" x14ac:dyDescent="0.3">
      <c r="A258" t="s">
        <v>402</v>
      </c>
      <c r="B258" t="s">
        <v>507</v>
      </c>
      <c r="C258" s="126">
        <v>2025</v>
      </c>
      <c r="D258" t="s">
        <v>487</v>
      </c>
      <c r="E258" t="s">
        <v>509</v>
      </c>
      <c r="F258" s="137">
        <v>5.6</v>
      </c>
      <c r="G258" s="138">
        <v>5.7329999999999997</v>
      </c>
      <c r="H258" s="138">
        <v>0.13100000000000001</v>
      </c>
      <c r="I258" s="139">
        <v>-1</v>
      </c>
      <c r="J258" s="137">
        <v>4.87</v>
      </c>
      <c r="K258" s="137">
        <v>6.6</v>
      </c>
      <c r="L258" t="s">
        <v>499</v>
      </c>
      <c r="M258" s="126">
        <v>403</v>
      </c>
      <c r="N258" t="s">
        <v>112</v>
      </c>
      <c r="O258" s="137">
        <f t="shared" ref="O258:O321" si="8">IFERROR((F258-G258)/G258*100,"")</f>
        <v>-2.3199023199023205</v>
      </c>
      <c r="P258" s="137">
        <f t="shared" ref="P258:P321" si="9">IF(O258="","",ABS(O258))</f>
        <v>2.3199023199023205</v>
      </c>
      <c r="Q258" s="126">
        <v>8</v>
      </c>
      <c r="R258" t="s">
        <v>522</v>
      </c>
      <c r="S258" t="str">
        <f>IF($W258&lt;&gt;"NAO ACEITO","",COUNTIFS($W$2:$W258,"NAO ACEITO"))</f>
        <v/>
      </c>
      <c r="T258" t="str">
        <f>IF($B258="","",IF(COUNTIF($B$2:$B258,$B258)=1,MAX($T$1:$T257)+1,""))</f>
        <v/>
      </c>
      <c r="U258" t="str">
        <f>IF($D258="","",IF(COUNTIF($D$2:$D258,$D258)=1,MAX($U$1:$U257)+1,""))</f>
        <v/>
      </c>
      <c r="V258">
        <f>IF($D258="","",IF(COUNTIFS($B$2:$B258,$B258,$D$2:$D258,$D258)=1,1,0))</f>
        <v>0</v>
      </c>
      <c r="W258" t="str">
        <f>IF($D258="","",mEQA.PadronizarStatus($L258))</f>
        <v>ACEITO</v>
      </c>
      <c r="X258" t="str">
        <f>IF(OR($D258="",$W258&lt;&gt;"NAO ACEITO"),"",IF(COUNTIFS($D$2:$D258,$D258,$W$2:$W258,"NAO ACEITO")=1,1,0))</f>
        <v/>
      </c>
    </row>
    <row r="259" spans="1:24" x14ac:dyDescent="0.3">
      <c r="A259" t="s">
        <v>402</v>
      </c>
      <c r="B259" t="s">
        <v>507</v>
      </c>
      <c r="C259" s="126">
        <v>2025</v>
      </c>
      <c r="D259" t="s">
        <v>487</v>
      </c>
      <c r="E259" t="s">
        <v>510</v>
      </c>
      <c r="F259" s="137">
        <v>2.85</v>
      </c>
      <c r="G259" s="138">
        <v>2.903</v>
      </c>
      <c r="H259" s="138">
        <v>9.4E-2</v>
      </c>
      <c r="I259" s="139">
        <v>-0.6</v>
      </c>
      <c r="J259" s="137">
        <v>2.46</v>
      </c>
      <c r="K259" s="137">
        <v>3.34</v>
      </c>
      <c r="L259" t="s">
        <v>499</v>
      </c>
      <c r="M259" s="126">
        <v>403</v>
      </c>
      <c r="N259" t="s">
        <v>112</v>
      </c>
      <c r="O259" s="137">
        <f t="shared" si="8"/>
        <v>-1.8256975542542175</v>
      </c>
      <c r="P259" s="137">
        <f t="shared" si="9"/>
        <v>1.8256975542542175</v>
      </c>
      <c r="Q259" s="126">
        <v>8</v>
      </c>
      <c r="R259" t="s">
        <v>522</v>
      </c>
      <c r="S259" t="str">
        <f>IF($W259&lt;&gt;"NAO ACEITO","",COUNTIFS($W$2:$W259,"NAO ACEITO"))</f>
        <v/>
      </c>
      <c r="T259" t="str">
        <f>IF($B259="","",IF(COUNTIF($B$2:$B259,$B259)=1,MAX($T$1:$T258)+1,""))</f>
        <v/>
      </c>
      <c r="U259" t="str">
        <f>IF($D259="","",IF(COUNTIF($D$2:$D259,$D259)=1,MAX($U$1:$U258)+1,""))</f>
        <v/>
      </c>
      <c r="V259">
        <f>IF($D259="","",IF(COUNTIFS($B$2:$B259,$B259,$D$2:$D259,$D259)=1,1,0))</f>
        <v>0</v>
      </c>
      <c r="W259" t="str">
        <f>IF($D259="","",mEQA.PadronizarStatus($L259))</f>
        <v>ACEITO</v>
      </c>
      <c r="X259" t="str">
        <f>IF(OR($D259="",$W259&lt;&gt;"NAO ACEITO"),"",IF(COUNTIFS($D$2:$D259,$D259,$W$2:$W259,"NAO ACEITO")=1,1,0))</f>
        <v/>
      </c>
    </row>
    <row r="260" spans="1:24" x14ac:dyDescent="0.3">
      <c r="A260" t="s">
        <v>402</v>
      </c>
      <c r="B260" t="s">
        <v>507</v>
      </c>
      <c r="C260" s="126">
        <v>2025</v>
      </c>
      <c r="D260" t="s">
        <v>487</v>
      </c>
      <c r="E260" t="s">
        <v>511</v>
      </c>
      <c r="F260" s="137">
        <v>5.05</v>
      </c>
      <c r="G260" s="138">
        <v>5.1079999999999997</v>
      </c>
      <c r="H260" s="138">
        <v>0.125</v>
      </c>
      <c r="I260" s="139">
        <v>-0.5</v>
      </c>
      <c r="J260" s="137">
        <v>4.34</v>
      </c>
      <c r="K260" s="137">
        <v>5.88</v>
      </c>
      <c r="L260" t="s">
        <v>499</v>
      </c>
      <c r="M260" s="126">
        <v>402</v>
      </c>
      <c r="N260" t="s">
        <v>112</v>
      </c>
      <c r="O260" s="137">
        <f t="shared" si="8"/>
        <v>-1.1354737666405605</v>
      </c>
      <c r="P260" s="137">
        <f t="shared" si="9"/>
        <v>1.1354737666405605</v>
      </c>
      <c r="Q260" s="126">
        <v>8</v>
      </c>
      <c r="R260" t="s">
        <v>522</v>
      </c>
      <c r="S260" t="str">
        <f>IF($W260&lt;&gt;"NAO ACEITO","",COUNTIFS($W$2:$W260,"NAO ACEITO"))</f>
        <v/>
      </c>
      <c r="T260" t="str">
        <f>IF($B260="","",IF(COUNTIF($B$2:$B260,$B260)=1,MAX($T$1:$T259)+1,""))</f>
        <v/>
      </c>
      <c r="U260" t="str">
        <f>IF($D260="","",IF(COUNTIF($D$2:$D260,$D260)=1,MAX($U$1:$U259)+1,""))</f>
        <v/>
      </c>
      <c r="V260">
        <f>IF($D260="","",IF(COUNTIFS($B$2:$B260,$B260,$D$2:$D260,$D260)=1,1,0))</f>
        <v>0</v>
      </c>
      <c r="W260" t="str">
        <f>IF($D260="","",mEQA.PadronizarStatus($L260))</f>
        <v>ACEITO</v>
      </c>
      <c r="X260" t="str">
        <f>IF(OR($D260="",$W260&lt;&gt;"NAO ACEITO"),"",IF(COUNTIFS($D$2:$D260,$D260,$W$2:$W260,"NAO ACEITO")=1,1,0))</f>
        <v/>
      </c>
    </row>
    <row r="261" spans="1:24" x14ac:dyDescent="0.3">
      <c r="A261" t="s">
        <v>402</v>
      </c>
      <c r="B261" t="s">
        <v>507</v>
      </c>
      <c r="C261" s="126">
        <v>2025</v>
      </c>
      <c r="D261" t="s">
        <v>487</v>
      </c>
      <c r="E261" t="s">
        <v>512</v>
      </c>
      <c r="F261" s="137">
        <v>3.2</v>
      </c>
      <c r="G261" s="138">
        <v>3.4</v>
      </c>
      <c r="H261" s="138">
        <v>9.1999999999999998E-2</v>
      </c>
      <c r="I261" s="139">
        <v>-2.2000000000000002</v>
      </c>
      <c r="J261" s="137">
        <v>2.88</v>
      </c>
      <c r="K261" s="137">
        <v>3.91</v>
      </c>
      <c r="L261" t="s">
        <v>499</v>
      </c>
      <c r="M261" s="126">
        <v>402</v>
      </c>
      <c r="N261" t="s">
        <v>112</v>
      </c>
      <c r="O261" s="137">
        <f t="shared" si="8"/>
        <v>-5.882352941176463</v>
      </c>
      <c r="P261" s="137">
        <f t="shared" si="9"/>
        <v>5.882352941176463</v>
      </c>
      <c r="Q261" s="126">
        <v>8</v>
      </c>
      <c r="R261" t="s">
        <v>522</v>
      </c>
      <c r="S261" t="str">
        <f>IF($W261&lt;&gt;"NAO ACEITO","",COUNTIFS($W$2:$W261,"NAO ACEITO"))</f>
        <v/>
      </c>
      <c r="T261" t="str">
        <f>IF($B261="","",IF(COUNTIF($B$2:$B261,$B261)=1,MAX($T$1:$T260)+1,""))</f>
        <v/>
      </c>
      <c r="U261" t="str">
        <f>IF($D261="","",IF(COUNTIF($D$2:$D261,$D261)=1,MAX($U$1:$U260)+1,""))</f>
        <v/>
      </c>
      <c r="V261">
        <f>IF($D261="","",IF(COUNTIFS($B$2:$B261,$B261,$D$2:$D261,$D261)=1,1,0))</f>
        <v>0</v>
      </c>
      <c r="W261" t="str">
        <f>IF($D261="","",mEQA.PadronizarStatus($L261))</f>
        <v>ACEITO</v>
      </c>
      <c r="X261" t="str">
        <f>IF(OR($D261="",$W261&lt;&gt;"NAO ACEITO"),"",IF(COUNTIFS($D$2:$D261,$D261,$W$2:$W261,"NAO ACEITO")=1,1,0))</f>
        <v/>
      </c>
    </row>
    <row r="262" spans="1:24" x14ac:dyDescent="0.3">
      <c r="A262" t="s">
        <v>402</v>
      </c>
      <c r="B262" t="s">
        <v>507</v>
      </c>
      <c r="C262" s="126">
        <v>2025</v>
      </c>
      <c r="D262" t="s">
        <v>488</v>
      </c>
      <c r="E262" t="s">
        <v>508</v>
      </c>
      <c r="F262" s="137">
        <v>3.33</v>
      </c>
      <c r="G262" s="138">
        <v>3.22</v>
      </c>
      <c r="H262" s="138">
        <v>0.09</v>
      </c>
      <c r="I262" s="139">
        <v>1.2</v>
      </c>
      <c r="J262" s="137">
        <v>2.89</v>
      </c>
      <c r="K262" s="137">
        <v>3.55</v>
      </c>
      <c r="L262" t="s">
        <v>499</v>
      </c>
      <c r="M262" s="126">
        <v>40</v>
      </c>
      <c r="N262" t="s">
        <v>112</v>
      </c>
      <c r="O262" s="137">
        <f t="shared" si="8"/>
        <v>3.4161490683229774</v>
      </c>
      <c r="P262" s="137">
        <f t="shared" si="9"/>
        <v>3.4161490683229774</v>
      </c>
      <c r="Q262" s="126">
        <v>9</v>
      </c>
      <c r="R262" t="s">
        <v>522</v>
      </c>
      <c r="S262" t="str">
        <f>IF($W262&lt;&gt;"NAO ACEITO","",COUNTIFS($W$2:$W262,"NAO ACEITO"))</f>
        <v/>
      </c>
      <c r="T262" t="str">
        <f>IF($B262="","",IF(COUNTIF($B$2:$B262,$B262)=1,MAX($T$1:$T261)+1,""))</f>
        <v/>
      </c>
      <c r="U262" t="str">
        <f>IF($D262="","",IF(COUNTIF($D$2:$D262,$D262)=1,MAX($U$1:$U261)+1,""))</f>
        <v/>
      </c>
      <c r="V262">
        <f>IF($D262="","",IF(COUNTIFS($B$2:$B262,$B262,$D$2:$D262,$D262)=1,1,0))</f>
        <v>1</v>
      </c>
      <c r="W262" t="str">
        <f>IF($D262="","",mEQA.PadronizarStatus($L262))</f>
        <v>ACEITO</v>
      </c>
      <c r="X262" t="str">
        <f>IF(OR($D262="",$W262&lt;&gt;"NAO ACEITO"),"",IF(COUNTIFS($D$2:$D262,$D262,$W$2:$W262,"NAO ACEITO")=1,1,0))</f>
        <v/>
      </c>
    </row>
    <row r="263" spans="1:24" x14ac:dyDescent="0.3">
      <c r="A263" t="s">
        <v>402</v>
      </c>
      <c r="B263" t="s">
        <v>507</v>
      </c>
      <c r="C263" s="126">
        <v>2025</v>
      </c>
      <c r="D263" t="s">
        <v>488</v>
      </c>
      <c r="E263" t="s">
        <v>509</v>
      </c>
      <c r="F263" s="137">
        <v>6.53</v>
      </c>
      <c r="G263" s="138">
        <v>6.2720000000000002</v>
      </c>
      <c r="H263" s="138">
        <v>0.156</v>
      </c>
      <c r="I263" s="139">
        <v>1.7</v>
      </c>
      <c r="J263" s="137">
        <v>5.64</v>
      </c>
      <c r="K263" s="137">
        <v>6.9</v>
      </c>
      <c r="L263" t="s">
        <v>499</v>
      </c>
      <c r="M263" s="126">
        <v>41</v>
      </c>
      <c r="N263" t="s">
        <v>112</v>
      </c>
      <c r="O263" s="137">
        <f t="shared" si="8"/>
        <v>4.1135204081632653</v>
      </c>
      <c r="P263" s="137">
        <f t="shared" si="9"/>
        <v>4.1135204081632653</v>
      </c>
      <c r="Q263" s="126">
        <v>9</v>
      </c>
      <c r="R263" t="s">
        <v>522</v>
      </c>
      <c r="S263" t="str">
        <f>IF($W263&lt;&gt;"NAO ACEITO","",COUNTIFS($W$2:$W263,"NAO ACEITO"))</f>
        <v/>
      </c>
      <c r="T263" t="str">
        <f>IF($B263="","",IF(COUNTIF($B$2:$B263,$B263)=1,MAX($T$1:$T262)+1,""))</f>
        <v/>
      </c>
      <c r="U263" t="str">
        <f>IF($D263="","",IF(COUNTIF($D$2:$D263,$D263)=1,MAX($U$1:$U262)+1,""))</f>
        <v/>
      </c>
      <c r="V263">
        <f>IF($D263="","",IF(COUNTIFS($B$2:$B263,$B263,$D$2:$D263,$D263)=1,1,0))</f>
        <v>0</v>
      </c>
      <c r="W263" t="str">
        <f>IF($D263="","",mEQA.PadronizarStatus($L263))</f>
        <v>ACEITO</v>
      </c>
      <c r="X263" t="str">
        <f>IF(OR($D263="",$W263&lt;&gt;"NAO ACEITO"),"",IF(COUNTIFS($D$2:$D263,$D263,$W$2:$W263,"NAO ACEITO")=1,1,0))</f>
        <v/>
      </c>
    </row>
    <row r="264" spans="1:24" x14ac:dyDescent="0.3">
      <c r="A264" t="s">
        <v>402</v>
      </c>
      <c r="B264" t="s">
        <v>507</v>
      </c>
      <c r="C264" s="126">
        <v>2025</v>
      </c>
      <c r="D264" t="s">
        <v>488</v>
      </c>
      <c r="E264" t="s">
        <v>510</v>
      </c>
      <c r="F264" s="137">
        <v>3.9</v>
      </c>
      <c r="G264" s="138">
        <v>3.77</v>
      </c>
      <c r="H264" s="138">
        <v>0.09</v>
      </c>
      <c r="I264" s="139">
        <v>1.4</v>
      </c>
      <c r="J264" s="137">
        <v>3.39</v>
      </c>
      <c r="K264" s="137">
        <v>4.1500000000000004</v>
      </c>
      <c r="L264" t="s">
        <v>499</v>
      </c>
      <c r="M264" s="126">
        <v>41</v>
      </c>
      <c r="N264" t="s">
        <v>112</v>
      </c>
      <c r="O264" s="137">
        <f t="shared" si="8"/>
        <v>3.4482758620689626</v>
      </c>
      <c r="P264" s="137">
        <f t="shared" si="9"/>
        <v>3.4482758620689626</v>
      </c>
      <c r="Q264" s="126">
        <v>9</v>
      </c>
      <c r="R264" t="s">
        <v>522</v>
      </c>
      <c r="S264" t="str">
        <f>IF($W264&lt;&gt;"NAO ACEITO","",COUNTIFS($W$2:$W264,"NAO ACEITO"))</f>
        <v/>
      </c>
      <c r="T264" t="str">
        <f>IF($B264="","",IF(COUNTIF($B$2:$B264,$B264)=1,MAX($T$1:$T263)+1,""))</f>
        <v/>
      </c>
      <c r="U264" t="str">
        <f>IF($D264="","",IF(COUNTIF($D$2:$D264,$D264)=1,MAX($U$1:$U263)+1,""))</f>
        <v/>
      </c>
      <c r="V264">
        <f>IF($D264="","",IF(COUNTIFS($B$2:$B264,$B264,$D$2:$D264,$D264)=1,1,0))</f>
        <v>0</v>
      </c>
      <c r="W264" t="str">
        <f>IF($D264="","",mEQA.PadronizarStatus($L264))</f>
        <v>ACEITO</v>
      </c>
      <c r="X264" t="str">
        <f>IF(OR($D264="",$W264&lt;&gt;"NAO ACEITO"),"",IF(COUNTIFS($D$2:$D264,$D264,$W$2:$W264,"NAO ACEITO")=1,1,0))</f>
        <v/>
      </c>
    </row>
    <row r="265" spans="1:24" x14ac:dyDescent="0.3">
      <c r="A265" t="s">
        <v>402</v>
      </c>
      <c r="B265" t="s">
        <v>507</v>
      </c>
      <c r="C265" s="126">
        <v>2025</v>
      </c>
      <c r="D265" t="s">
        <v>488</v>
      </c>
      <c r="E265" t="s">
        <v>511</v>
      </c>
      <c r="F265" s="137">
        <v>6.15</v>
      </c>
      <c r="G265" s="138">
        <v>5.9269999999999996</v>
      </c>
      <c r="H265" s="138">
        <v>0.124</v>
      </c>
      <c r="I265" s="139">
        <v>1.8</v>
      </c>
      <c r="J265" s="137">
        <v>5.33</v>
      </c>
      <c r="K265" s="137">
        <v>6.52</v>
      </c>
      <c r="L265" t="s">
        <v>499</v>
      </c>
      <c r="M265" s="126">
        <v>41</v>
      </c>
      <c r="N265" t="s">
        <v>112</v>
      </c>
      <c r="O265" s="137">
        <f t="shared" si="8"/>
        <v>3.7624430571958958</v>
      </c>
      <c r="P265" s="137">
        <f t="shared" si="9"/>
        <v>3.7624430571958958</v>
      </c>
      <c r="Q265" s="126">
        <v>9</v>
      </c>
      <c r="R265" t="s">
        <v>522</v>
      </c>
      <c r="S265" t="str">
        <f>IF($W265&lt;&gt;"NAO ACEITO","",COUNTIFS($W$2:$W265,"NAO ACEITO"))</f>
        <v/>
      </c>
      <c r="T265" t="str">
        <f>IF($B265="","",IF(COUNTIF($B$2:$B265,$B265)=1,MAX($T$1:$T264)+1,""))</f>
        <v/>
      </c>
      <c r="U265" t="str">
        <f>IF($D265="","",IF(COUNTIF($D$2:$D265,$D265)=1,MAX($U$1:$U264)+1,""))</f>
        <v/>
      </c>
      <c r="V265">
        <f>IF($D265="","",IF(COUNTIFS($B$2:$B265,$B265,$D$2:$D265,$D265)=1,1,0))</f>
        <v>0</v>
      </c>
      <c r="W265" t="str">
        <f>IF($D265="","",mEQA.PadronizarStatus($L265))</f>
        <v>ACEITO</v>
      </c>
      <c r="X265" t="str">
        <f>IF(OR($D265="",$W265&lt;&gt;"NAO ACEITO"),"",IF(COUNTIFS($D$2:$D265,$D265,$W$2:$W265,"NAO ACEITO")=1,1,0))</f>
        <v/>
      </c>
    </row>
    <row r="266" spans="1:24" x14ac:dyDescent="0.3">
      <c r="A266" t="s">
        <v>402</v>
      </c>
      <c r="B266" t="s">
        <v>507</v>
      </c>
      <c r="C266" s="126">
        <v>2025</v>
      </c>
      <c r="D266" t="s">
        <v>488</v>
      </c>
      <c r="E266" t="s">
        <v>512</v>
      </c>
      <c r="F266" s="137">
        <v>4.51</v>
      </c>
      <c r="G266" s="138">
        <v>4.3159999999999998</v>
      </c>
      <c r="H266" s="138">
        <v>9.4E-2</v>
      </c>
      <c r="I266" s="139">
        <v>2.1</v>
      </c>
      <c r="J266" s="137">
        <v>3.88</v>
      </c>
      <c r="K266" s="137">
        <v>4.75</v>
      </c>
      <c r="L266" t="s">
        <v>499</v>
      </c>
      <c r="M266" s="126">
        <v>41</v>
      </c>
      <c r="N266" t="s">
        <v>112</v>
      </c>
      <c r="O266" s="137">
        <f t="shared" si="8"/>
        <v>4.494902687673771</v>
      </c>
      <c r="P266" s="137">
        <f t="shared" si="9"/>
        <v>4.494902687673771</v>
      </c>
      <c r="Q266" s="126">
        <v>9</v>
      </c>
      <c r="R266" t="s">
        <v>522</v>
      </c>
      <c r="S266" t="str">
        <f>IF($W266&lt;&gt;"NAO ACEITO","",COUNTIFS($W$2:$W266,"NAO ACEITO"))</f>
        <v/>
      </c>
      <c r="T266" t="str">
        <f>IF($B266="","",IF(COUNTIF($B$2:$B266,$B266)=1,MAX($T$1:$T265)+1,""))</f>
        <v/>
      </c>
      <c r="U266" t="str">
        <f>IF($D266="","",IF(COUNTIF($D$2:$D266,$D266)=1,MAX($U$1:$U265)+1,""))</f>
        <v/>
      </c>
      <c r="V266">
        <f>IF($D266="","",IF(COUNTIFS($B$2:$B266,$B266,$D$2:$D266,$D266)=1,1,0))</f>
        <v>0</v>
      </c>
      <c r="W266" t="str">
        <f>IF($D266="","",mEQA.PadronizarStatus($L266))</f>
        <v>ACEITO</v>
      </c>
      <c r="X266" t="str">
        <f>IF(OR($D266="",$W266&lt;&gt;"NAO ACEITO"),"",IF(COUNTIFS($D$2:$D266,$D266,$W$2:$W266,"NAO ACEITO")=1,1,0))</f>
        <v/>
      </c>
    </row>
    <row r="267" spans="1:24" x14ac:dyDescent="0.3">
      <c r="A267" t="s">
        <v>402</v>
      </c>
      <c r="B267" t="s">
        <v>507</v>
      </c>
      <c r="C267" s="126">
        <v>2025</v>
      </c>
      <c r="D267" t="s">
        <v>489</v>
      </c>
      <c r="E267" t="s">
        <v>508</v>
      </c>
      <c r="F267" s="137">
        <v>3.3</v>
      </c>
      <c r="G267" s="138">
        <v>3.32</v>
      </c>
      <c r="H267" s="138">
        <v>0.06</v>
      </c>
      <c r="I267" s="139">
        <v>-0.4</v>
      </c>
      <c r="J267" s="137">
        <v>3</v>
      </c>
      <c r="K267" s="137">
        <v>3.7</v>
      </c>
      <c r="L267" t="s">
        <v>499</v>
      </c>
      <c r="M267" s="126">
        <v>906</v>
      </c>
      <c r="N267" t="s">
        <v>134</v>
      </c>
      <c r="O267" s="137">
        <f t="shared" si="8"/>
        <v>-0.60240963855421747</v>
      </c>
      <c r="P267" s="137">
        <f t="shared" si="9"/>
        <v>0.60240963855421747</v>
      </c>
      <c r="Q267" s="126">
        <v>5</v>
      </c>
      <c r="R267" t="s">
        <v>522</v>
      </c>
      <c r="S267" t="str">
        <f>IF($W267&lt;&gt;"NAO ACEITO","",COUNTIFS($W$2:$W267,"NAO ACEITO"))</f>
        <v/>
      </c>
      <c r="T267" t="str">
        <f>IF($B267="","",IF(COUNTIF($B$2:$B267,$B267)=1,MAX($T$1:$T266)+1,""))</f>
        <v/>
      </c>
      <c r="U267" t="str">
        <f>IF($D267="","",IF(COUNTIF($D$2:$D267,$D267)=1,MAX($U$1:$U266)+1,""))</f>
        <v/>
      </c>
      <c r="V267">
        <f>IF($D267="","",IF(COUNTIFS($B$2:$B267,$B267,$D$2:$D267,$D267)=1,1,0))</f>
        <v>1</v>
      </c>
      <c r="W267" t="str">
        <f>IF($D267="","",mEQA.PadronizarStatus($L267))</f>
        <v>ACEITO</v>
      </c>
      <c r="X267" t="str">
        <f>IF(OR($D267="",$W267&lt;&gt;"NAO ACEITO"),"",IF(COUNTIFS($D$2:$D267,$D267,$W$2:$W267,"NAO ACEITO")=1,1,0))</f>
        <v/>
      </c>
    </row>
    <row r="268" spans="1:24" x14ac:dyDescent="0.3">
      <c r="A268" t="s">
        <v>402</v>
      </c>
      <c r="B268" t="s">
        <v>507</v>
      </c>
      <c r="C268" s="126">
        <v>2025</v>
      </c>
      <c r="D268" t="s">
        <v>489</v>
      </c>
      <c r="E268" t="s">
        <v>509</v>
      </c>
      <c r="F268" s="137">
        <v>6.8</v>
      </c>
      <c r="G268" s="138">
        <v>6.48</v>
      </c>
      <c r="H268" s="138">
        <v>0.09</v>
      </c>
      <c r="I268" s="139">
        <v>3.6</v>
      </c>
      <c r="J268" s="137">
        <v>6.1</v>
      </c>
      <c r="K268" s="137">
        <v>6.8</v>
      </c>
      <c r="L268" t="s">
        <v>499</v>
      </c>
      <c r="M268" s="126">
        <v>886</v>
      </c>
      <c r="N268" t="s">
        <v>134</v>
      </c>
      <c r="O268" s="137">
        <f t="shared" si="8"/>
        <v>4.9382716049382616</v>
      </c>
      <c r="P268" s="137">
        <f t="shared" si="9"/>
        <v>4.9382716049382616</v>
      </c>
      <c r="Q268" s="126">
        <v>5</v>
      </c>
      <c r="R268" t="s">
        <v>522</v>
      </c>
      <c r="S268" t="str">
        <f>IF($W268&lt;&gt;"NAO ACEITO","",COUNTIFS($W$2:$W268,"NAO ACEITO"))</f>
        <v/>
      </c>
      <c r="T268" t="str">
        <f>IF($B268="","",IF(COUNTIF($B$2:$B268,$B268)=1,MAX($T$1:$T267)+1,""))</f>
        <v/>
      </c>
      <c r="U268" t="str">
        <f>IF($D268="","",IF(COUNTIF($D$2:$D268,$D268)=1,MAX($U$1:$U267)+1,""))</f>
        <v/>
      </c>
      <c r="V268">
        <f>IF($D268="","",IF(COUNTIFS($B$2:$B268,$B268,$D$2:$D268,$D268)=1,1,0))</f>
        <v>0</v>
      </c>
      <c r="W268" t="str">
        <f>IF($D268="","",mEQA.PadronizarStatus($L268))</f>
        <v>ACEITO</v>
      </c>
      <c r="X268" t="str">
        <f>IF(OR($D268="",$W268&lt;&gt;"NAO ACEITO"),"",IF(COUNTIFS($D$2:$D268,$D268,$W$2:$W268,"NAO ACEITO")=1,1,0))</f>
        <v/>
      </c>
    </row>
    <row r="269" spans="1:24" x14ac:dyDescent="0.3">
      <c r="A269" t="s">
        <v>402</v>
      </c>
      <c r="B269" t="s">
        <v>507</v>
      </c>
      <c r="C269" s="126">
        <v>2025</v>
      </c>
      <c r="D269" t="s">
        <v>489</v>
      </c>
      <c r="E269" t="s">
        <v>510</v>
      </c>
      <c r="F269" s="137">
        <v>4</v>
      </c>
      <c r="G269" s="138">
        <v>4</v>
      </c>
      <c r="H269" s="138">
        <v>0.06</v>
      </c>
      <c r="I269" s="139">
        <v>0</v>
      </c>
      <c r="J269" s="137">
        <v>3.6</v>
      </c>
      <c r="K269" s="137">
        <v>4.3</v>
      </c>
      <c r="L269" t="s">
        <v>499</v>
      </c>
      <c r="M269" s="126">
        <v>904</v>
      </c>
      <c r="N269" t="s">
        <v>134</v>
      </c>
      <c r="O269" s="137">
        <f t="shared" si="8"/>
        <v>0</v>
      </c>
      <c r="P269" s="137">
        <f t="shared" si="9"/>
        <v>0</v>
      </c>
      <c r="Q269" s="126">
        <v>5</v>
      </c>
      <c r="R269" t="s">
        <v>522</v>
      </c>
      <c r="S269" t="str">
        <f>IF($W269&lt;&gt;"NAO ACEITO","",COUNTIFS($W$2:$W269,"NAO ACEITO"))</f>
        <v/>
      </c>
      <c r="T269" t="str">
        <f>IF($B269="","",IF(COUNTIF($B$2:$B269,$B269)=1,MAX($T$1:$T268)+1,""))</f>
        <v/>
      </c>
      <c r="U269" t="str">
        <f>IF($D269="","",IF(COUNTIF($D$2:$D269,$D269)=1,MAX($U$1:$U268)+1,""))</f>
        <v/>
      </c>
      <c r="V269">
        <f>IF($D269="","",IF(COUNTIFS($B$2:$B269,$B269,$D$2:$D269,$D269)=1,1,0))</f>
        <v>0</v>
      </c>
      <c r="W269" t="str">
        <f>IF($D269="","",mEQA.PadronizarStatus($L269))</f>
        <v>ACEITO</v>
      </c>
      <c r="X269" t="str">
        <f>IF(OR($D269="",$W269&lt;&gt;"NAO ACEITO"),"",IF(COUNTIFS($D$2:$D269,$D269,$W$2:$W269,"NAO ACEITO")=1,1,0))</f>
        <v/>
      </c>
    </row>
    <row r="270" spans="1:24" x14ac:dyDescent="0.3">
      <c r="A270" t="s">
        <v>402</v>
      </c>
      <c r="B270" t="s">
        <v>507</v>
      </c>
      <c r="C270" s="126">
        <v>2025</v>
      </c>
      <c r="D270" t="s">
        <v>489</v>
      </c>
      <c r="E270" t="s">
        <v>511</v>
      </c>
      <c r="F270" s="137">
        <v>6.3</v>
      </c>
      <c r="G270" s="138">
        <v>6.11</v>
      </c>
      <c r="H270" s="138">
        <v>0.08</v>
      </c>
      <c r="I270" s="139">
        <v>2.4</v>
      </c>
      <c r="J270" s="137">
        <v>5.8</v>
      </c>
      <c r="K270" s="137">
        <v>6.5</v>
      </c>
      <c r="L270" t="s">
        <v>499</v>
      </c>
      <c r="M270" s="126">
        <v>901</v>
      </c>
      <c r="N270" t="s">
        <v>134</v>
      </c>
      <c r="O270" s="137">
        <f t="shared" si="8"/>
        <v>3.1096563011456544</v>
      </c>
      <c r="P270" s="137">
        <f t="shared" si="9"/>
        <v>3.1096563011456544</v>
      </c>
      <c r="Q270" s="126">
        <v>5</v>
      </c>
      <c r="R270" t="s">
        <v>522</v>
      </c>
      <c r="S270" t="str">
        <f>IF($W270&lt;&gt;"NAO ACEITO","",COUNTIFS($W$2:$W270,"NAO ACEITO"))</f>
        <v/>
      </c>
      <c r="T270" t="str">
        <f>IF($B270="","",IF(COUNTIF($B$2:$B270,$B270)=1,MAX($T$1:$T269)+1,""))</f>
        <v/>
      </c>
      <c r="U270" t="str">
        <f>IF($D270="","",IF(COUNTIF($D$2:$D270,$D270)=1,MAX($U$1:$U269)+1,""))</f>
        <v/>
      </c>
      <c r="V270">
        <f>IF($D270="","",IF(COUNTIFS($B$2:$B270,$B270,$D$2:$D270,$D270)=1,1,0))</f>
        <v>0</v>
      </c>
      <c r="W270" t="str">
        <f>IF($D270="","",mEQA.PadronizarStatus($L270))</f>
        <v>ACEITO</v>
      </c>
      <c r="X270" t="str">
        <f>IF(OR($D270="",$W270&lt;&gt;"NAO ACEITO"),"",IF(COUNTIFS($D$2:$D270,$D270,$W$2:$W270,"NAO ACEITO")=1,1,0))</f>
        <v/>
      </c>
    </row>
    <row r="271" spans="1:24" x14ac:dyDescent="0.3">
      <c r="A271" t="s">
        <v>402</v>
      </c>
      <c r="B271" t="s">
        <v>507</v>
      </c>
      <c r="C271" s="126">
        <v>2025</v>
      </c>
      <c r="D271" t="s">
        <v>489</v>
      </c>
      <c r="E271" t="s">
        <v>512</v>
      </c>
      <c r="F271" s="137">
        <v>4.7</v>
      </c>
      <c r="G271" s="138">
        <v>4.68</v>
      </c>
      <c r="H271" s="138">
        <v>7.0000000000000007E-2</v>
      </c>
      <c r="I271" s="139">
        <v>0.3</v>
      </c>
      <c r="J271" s="137">
        <v>4.3</v>
      </c>
      <c r="K271" s="137">
        <v>5</v>
      </c>
      <c r="L271" t="s">
        <v>499</v>
      </c>
      <c r="M271" s="126">
        <v>903</v>
      </c>
      <c r="N271" t="s">
        <v>134</v>
      </c>
      <c r="O271" s="137">
        <f t="shared" si="8"/>
        <v>0.42735042735043727</v>
      </c>
      <c r="P271" s="137">
        <f t="shared" si="9"/>
        <v>0.42735042735043727</v>
      </c>
      <c r="Q271" s="126">
        <v>5</v>
      </c>
      <c r="R271" t="s">
        <v>522</v>
      </c>
      <c r="S271" t="str">
        <f>IF($W271&lt;&gt;"NAO ACEITO","",COUNTIFS($W$2:$W271,"NAO ACEITO"))</f>
        <v/>
      </c>
      <c r="T271" t="str">
        <f>IF($B271="","",IF(COUNTIF($B$2:$B271,$B271)=1,MAX($T$1:$T270)+1,""))</f>
        <v/>
      </c>
      <c r="U271" t="str">
        <f>IF($D271="","",IF(COUNTIF($D$2:$D271,$D271)=1,MAX($U$1:$U270)+1,""))</f>
        <v/>
      </c>
      <c r="V271">
        <f>IF($D271="","",IF(COUNTIFS($B$2:$B271,$B271,$D$2:$D271,$D271)=1,1,0))</f>
        <v>0</v>
      </c>
      <c r="W271" t="str">
        <f>IF($D271="","",mEQA.PadronizarStatus($L271))</f>
        <v>ACEITO</v>
      </c>
      <c r="X271" t="str">
        <f>IF(OR($D271="",$W271&lt;&gt;"NAO ACEITO"),"",IF(COUNTIFS($D$2:$D271,$D271,$W$2:$W271,"NAO ACEITO")=1,1,0))</f>
        <v/>
      </c>
    </row>
    <row r="272" spans="1:24" x14ac:dyDescent="0.3">
      <c r="A272" t="s">
        <v>402</v>
      </c>
      <c r="B272" t="s">
        <v>507</v>
      </c>
      <c r="C272" s="126">
        <v>2025</v>
      </c>
      <c r="D272" t="s">
        <v>490</v>
      </c>
      <c r="E272" t="s">
        <v>508</v>
      </c>
      <c r="F272" s="137">
        <v>3.8</v>
      </c>
      <c r="G272" s="138">
        <v>3.77</v>
      </c>
      <c r="H272" s="138">
        <v>0.08</v>
      </c>
      <c r="I272" s="139">
        <v>0.3</v>
      </c>
      <c r="J272" s="137">
        <v>3.4</v>
      </c>
      <c r="K272" s="137">
        <v>4.0999999999999996</v>
      </c>
      <c r="L272" t="s">
        <v>499</v>
      </c>
      <c r="M272" s="126">
        <v>434</v>
      </c>
      <c r="N272" t="s">
        <v>129</v>
      </c>
      <c r="O272" s="137">
        <f t="shared" si="8"/>
        <v>0.79575596816975602</v>
      </c>
      <c r="P272" s="137">
        <f t="shared" si="9"/>
        <v>0.79575596816975602</v>
      </c>
      <c r="Q272" s="126">
        <v>9</v>
      </c>
      <c r="R272" t="s">
        <v>522</v>
      </c>
      <c r="S272" t="str">
        <f>IF($W272&lt;&gt;"NAO ACEITO","",COUNTIFS($W$2:$W272,"NAO ACEITO"))</f>
        <v/>
      </c>
      <c r="T272" t="str">
        <f>IF($B272="","",IF(COUNTIF($B$2:$B272,$B272)=1,MAX($T$1:$T271)+1,""))</f>
        <v/>
      </c>
      <c r="U272" t="str">
        <f>IF($D272="","",IF(COUNTIF($D$2:$D272,$D272)=1,MAX($U$1:$U271)+1,""))</f>
        <v/>
      </c>
      <c r="V272">
        <f>IF($D272="","",IF(COUNTIFS($B$2:$B272,$B272,$D$2:$D272,$D272)=1,1,0))</f>
        <v>1</v>
      </c>
      <c r="W272" t="str">
        <f>IF($D272="","",mEQA.PadronizarStatus($L272))</f>
        <v>ACEITO</v>
      </c>
      <c r="X272" t="str">
        <f>IF(OR($D272="",$W272&lt;&gt;"NAO ACEITO"),"",IF(COUNTIFS($D$2:$D272,$D272,$W$2:$W272,"NAO ACEITO")=1,1,0))</f>
        <v/>
      </c>
    </row>
    <row r="273" spans="1:24" x14ac:dyDescent="0.3">
      <c r="A273" t="s">
        <v>402</v>
      </c>
      <c r="B273" t="s">
        <v>507</v>
      </c>
      <c r="C273" s="126">
        <v>2025</v>
      </c>
      <c r="D273" t="s">
        <v>490</v>
      </c>
      <c r="E273" t="s">
        <v>509</v>
      </c>
      <c r="F273" s="137">
        <v>2.1</v>
      </c>
      <c r="G273" s="138">
        <v>2.0499999999999998</v>
      </c>
      <c r="H273" s="138">
        <v>7.0000000000000007E-2</v>
      </c>
      <c r="I273" s="139">
        <v>0.7</v>
      </c>
      <c r="J273" s="137">
        <v>1.8</v>
      </c>
      <c r="K273" s="137">
        <v>2.2999999999999998</v>
      </c>
      <c r="L273" t="s">
        <v>499</v>
      </c>
      <c r="M273" s="126">
        <v>400</v>
      </c>
      <c r="N273" t="s">
        <v>129</v>
      </c>
      <c r="O273" s="137">
        <f t="shared" si="8"/>
        <v>2.4390243902439157</v>
      </c>
      <c r="P273" s="137">
        <f t="shared" si="9"/>
        <v>2.4390243902439157</v>
      </c>
      <c r="Q273" s="126">
        <v>9</v>
      </c>
      <c r="R273" t="s">
        <v>522</v>
      </c>
      <c r="S273" t="str">
        <f>IF($W273&lt;&gt;"NAO ACEITO","",COUNTIFS($W$2:$W273,"NAO ACEITO"))</f>
        <v/>
      </c>
      <c r="T273" t="str">
        <f>IF($B273="","",IF(COUNTIF($B$2:$B273,$B273)=1,MAX($T$1:$T272)+1,""))</f>
        <v/>
      </c>
      <c r="U273" t="str">
        <f>IF($D273="","",IF(COUNTIF($D$2:$D273,$D273)=1,MAX($U$1:$U272)+1,""))</f>
        <v/>
      </c>
      <c r="V273">
        <f>IF($D273="","",IF(COUNTIFS($B$2:$B273,$B273,$D$2:$D273,$D273)=1,1,0))</f>
        <v>0</v>
      </c>
      <c r="W273" t="str">
        <f>IF($D273="","",mEQA.PadronizarStatus($L273))</f>
        <v>ACEITO</v>
      </c>
      <c r="X273" t="str">
        <f>IF(OR($D273="",$W273&lt;&gt;"NAO ACEITO"),"",IF(COUNTIFS($D$2:$D273,$D273,$W$2:$W273,"NAO ACEITO")=1,1,0))</f>
        <v/>
      </c>
    </row>
    <row r="274" spans="1:24" x14ac:dyDescent="0.3">
      <c r="A274" t="s">
        <v>402</v>
      </c>
      <c r="B274" t="s">
        <v>507</v>
      </c>
      <c r="C274" s="126">
        <v>2025</v>
      </c>
      <c r="D274" t="s">
        <v>490</v>
      </c>
      <c r="E274" t="s">
        <v>510</v>
      </c>
      <c r="F274" s="137">
        <v>4.9000000000000004</v>
      </c>
      <c r="G274" s="138">
        <v>4.7699999999999996</v>
      </c>
      <c r="H274" s="138">
        <v>0.09</v>
      </c>
      <c r="I274" s="139">
        <v>1.5</v>
      </c>
      <c r="J274" s="137">
        <v>4.3</v>
      </c>
      <c r="K274" s="137">
        <v>5.2</v>
      </c>
      <c r="L274" t="s">
        <v>499</v>
      </c>
      <c r="M274" s="126">
        <v>430</v>
      </c>
      <c r="N274" t="s">
        <v>129</v>
      </c>
      <c r="O274" s="137">
        <f t="shared" si="8"/>
        <v>2.725366876310289</v>
      </c>
      <c r="P274" s="137">
        <f t="shared" si="9"/>
        <v>2.725366876310289</v>
      </c>
      <c r="Q274" s="126">
        <v>9</v>
      </c>
      <c r="R274" t="s">
        <v>522</v>
      </c>
      <c r="S274" t="str">
        <f>IF($W274&lt;&gt;"NAO ACEITO","",COUNTIFS($W$2:$W274,"NAO ACEITO"))</f>
        <v/>
      </c>
      <c r="T274" t="str">
        <f>IF($B274="","",IF(COUNTIF($B$2:$B274,$B274)=1,MAX($T$1:$T273)+1,""))</f>
        <v/>
      </c>
      <c r="U274" t="str">
        <f>IF($D274="","",IF(COUNTIF($D$2:$D274,$D274)=1,MAX($U$1:$U273)+1,""))</f>
        <v/>
      </c>
      <c r="V274">
        <f>IF($D274="","",IF(COUNTIFS($B$2:$B274,$B274,$D$2:$D274,$D274)=1,1,0))</f>
        <v>0</v>
      </c>
      <c r="W274" t="str">
        <f>IF($D274="","",mEQA.PadronizarStatus($L274))</f>
        <v>ACEITO</v>
      </c>
      <c r="X274" t="str">
        <f>IF(OR($D274="",$W274&lt;&gt;"NAO ACEITO"),"",IF(COUNTIFS($D$2:$D274,$D274,$W$2:$W274,"NAO ACEITO")=1,1,0))</f>
        <v/>
      </c>
    </row>
    <row r="275" spans="1:24" x14ac:dyDescent="0.3">
      <c r="A275" t="s">
        <v>402</v>
      </c>
      <c r="B275" t="s">
        <v>507</v>
      </c>
      <c r="C275" s="126">
        <v>2025</v>
      </c>
      <c r="D275" t="s">
        <v>490</v>
      </c>
      <c r="E275" t="s">
        <v>511</v>
      </c>
      <c r="F275" s="137">
        <v>3.7</v>
      </c>
      <c r="G275" s="138">
        <v>3.64</v>
      </c>
      <c r="H275" s="138">
        <v>0.08</v>
      </c>
      <c r="I275" s="139">
        <v>0.8</v>
      </c>
      <c r="J275" s="137">
        <v>3.3</v>
      </c>
      <c r="K275" s="137">
        <v>4</v>
      </c>
      <c r="L275" t="s">
        <v>499</v>
      </c>
      <c r="M275" s="126">
        <v>429</v>
      </c>
      <c r="N275" t="s">
        <v>129</v>
      </c>
      <c r="O275" s="137">
        <f t="shared" si="8"/>
        <v>1.6483516483516498</v>
      </c>
      <c r="P275" s="137">
        <f t="shared" si="9"/>
        <v>1.6483516483516498</v>
      </c>
      <c r="Q275" s="126">
        <v>9</v>
      </c>
      <c r="R275" t="s">
        <v>522</v>
      </c>
      <c r="S275" t="str">
        <f>IF($W275&lt;&gt;"NAO ACEITO","",COUNTIFS($W$2:$W275,"NAO ACEITO"))</f>
        <v/>
      </c>
      <c r="T275" t="str">
        <f>IF($B275="","",IF(COUNTIF($B$2:$B275,$B275)=1,MAX($T$1:$T274)+1,""))</f>
        <v/>
      </c>
      <c r="U275" t="str">
        <f>IF($D275="","",IF(COUNTIF($D$2:$D275,$D275)=1,MAX($U$1:$U274)+1,""))</f>
        <v/>
      </c>
      <c r="V275">
        <f>IF($D275="","",IF(COUNTIFS($B$2:$B275,$B275,$D$2:$D275,$D275)=1,1,0))</f>
        <v>0</v>
      </c>
      <c r="W275" t="str">
        <f>IF($D275="","",mEQA.PadronizarStatus($L275))</f>
        <v>ACEITO</v>
      </c>
      <c r="X275" t="str">
        <f>IF(OR($D275="",$W275&lt;&gt;"NAO ACEITO"),"",IF(COUNTIFS($D$2:$D275,$D275,$W$2:$W275,"NAO ACEITO")=1,1,0))</f>
        <v/>
      </c>
    </row>
    <row r="276" spans="1:24" x14ac:dyDescent="0.3">
      <c r="A276" t="s">
        <v>402</v>
      </c>
      <c r="B276" t="s">
        <v>507</v>
      </c>
      <c r="C276" s="126">
        <v>2025</v>
      </c>
      <c r="D276" t="s">
        <v>490</v>
      </c>
      <c r="E276" t="s">
        <v>512</v>
      </c>
      <c r="F276" s="137">
        <v>6</v>
      </c>
      <c r="G276" s="138">
        <v>5.76</v>
      </c>
      <c r="H276" s="138">
        <v>0.1</v>
      </c>
      <c r="I276" s="139">
        <v>2.5</v>
      </c>
      <c r="J276" s="137">
        <v>5.2</v>
      </c>
      <c r="K276" s="137">
        <v>6.3</v>
      </c>
      <c r="L276" t="s">
        <v>499</v>
      </c>
      <c r="M276" s="126">
        <v>428</v>
      </c>
      <c r="N276" t="s">
        <v>129</v>
      </c>
      <c r="O276" s="137">
        <f t="shared" si="8"/>
        <v>4.1666666666666705</v>
      </c>
      <c r="P276" s="137">
        <f t="shared" si="9"/>
        <v>4.1666666666666705</v>
      </c>
      <c r="Q276" s="126">
        <v>9</v>
      </c>
      <c r="R276" t="s">
        <v>522</v>
      </c>
      <c r="S276" t="str">
        <f>IF($W276&lt;&gt;"NAO ACEITO","",COUNTIFS($W$2:$W276,"NAO ACEITO"))</f>
        <v/>
      </c>
      <c r="T276" t="str">
        <f>IF($B276="","",IF(COUNTIF($B$2:$B276,$B276)=1,MAX($T$1:$T275)+1,""))</f>
        <v/>
      </c>
      <c r="U276" t="str">
        <f>IF($D276="","",IF(COUNTIF($D$2:$D276,$D276)=1,MAX($U$1:$U275)+1,""))</f>
        <v/>
      </c>
      <c r="V276">
        <f>IF($D276="","",IF(COUNTIFS($B$2:$B276,$B276,$D$2:$D276,$D276)=1,1,0))</f>
        <v>0</v>
      </c>
      <c r="W276" t="str">
        <f>IF($D276="","",mEQA.PadronizarStatus($L276))</f>
        <v>ACEITO</v>
      </c>
      <c r="X276" t="str">
        <f>IF(OR($D276="",$W276&lt;&gt;"NAO ACEITO"),"",IF(COUNTIFS($D$2:$D276,$D276,$W$2:$W276,"NAO ACEITO")=1,1,0))</f>
        <v/>
      </c>
    </row>
    <row r="277" spans="1:24" x14ac:dyDescent="0.3">
      <c r="A277" t="s">
        <v>402</v>
      </c>
      <c r="B277" t="s">
        <v>507</v>
      </c>
      <c r="C277" s="126">
        <v>2025</v>
      </c>
      <c r="D277" t="s">
        <v>491</v>
      </c>
      <c r="E277" t="s">
        <v>508</v>
      </c>
      <c r="F277" s="137">
        <v>134</v>
      </c>
      <c r="G277" s="138">
        <v>129.30000000000001</v>
      </c>
      <c r="H277" s="138">
        <v>2.2000000000000002</v>
      </c>
      <c r="I277" s="139">
        <v>2.2000000000000002</v>
      </c>
      <c r="J277" s="137">
        <v>125</v>
      </c>
      <c r="K277" s="137">
        <v>134</v>
      </c>
      <c r="L277" t="s">
        <v>499</v>
      </c>
      <c r="M277" s="126">
        <v>114</v>
      </c>
      <c r="N277" t="s">
        <v>134</v>
      </c>
      <c r="O277" s="137">
        <f t="shared" si="8"/>
        <v>3.6349574632637189</v>
      </c>
      <c r="P277" s="137">
        <f t="shared" si="9"/>
        <v>3.6349574632637189</v>
      </c>
      <c r="Q277" s="126">
        <v>5</v>
      </c>
      <c r="R277" t="s">
        <v>522</v>
      </c>
      <c r="S277" t="str">
        <f>IF($W277&lt;&gt;"NAO ACEITO","",COUNTIFS($W$2:$W277,"NAO ACEITO"))</f>
        <v/>
      </c>
      <c r="T277" t="str">
        <f>IF($B277="","",IF(COUNTIF($B$2:$B277,$B277)=1,MAX($T$1:$T276)+1,""))</f>
        <v/>
      </c>
      <c r="U277" t="str">
        <f>IF($D277="","",IF(COUNTIF($D$2:$D277,$D277)=1,MAX($U$1:$U276)+1,""))</f>
        <v/>
      </c>
      <c r="V277">
        <f>IF($D277="","",IF(COUNTIFS($B$2:$B277,$B277,$D$2:$D277,$D277)=1,1,0))</f>
        <v>1</v>
      </c>
      <c r="W277" t="str">
        <f>IF($D277="","",mEQA.PadronizarStatus($L277))</f>
        <v>ACEITO</v>
      </c>
      <c r="X277" t="str">
        <f>IF(OR($D277="",$W277&lt;&gt;"NAO ACEITO"),"",IF(COUNTIFS($D$2:$D277,$D277,$W$2:$W277,"NAO ACEITO")=1,1,0))</f>
        <v/>
      </c>
    </row>
    <row r="278" spans="1:24" x14ac:dyDescent="0.3">
      <c r="A278" t="s">
        <v>402</v>
      </c>
      <c r="B278" t="s">
        <v>507</v>
      </c>
      <c r="C278" s="126">
        <v>2025</v>
      </c>
      <c r="D278" t="s">
        <v>491</v>
      </c>
      <c r="E278" t="s">
        <v>509</v>
      </c>
      <c r="F278" s="137">
        <v>149</v>
      </c>
      <c r="G278" s="138">
        <v>141.5</v>
      </c>
      <c r="H278" s="138">
        <v>2.4</v>
      </c>
      <c r="I278" s="139">
        <v>3.1</v>
      </c>
      <c r="J278" s="137">
        <v>137</v>
      </c>
      <c r="K278" s="137">
        <v>146</v>
      </c>
      <c r="L278" t="s">
        <v>506</v>
      </c>
      <c r="M278" s="126">
        <v>115</v>
      </c>
      <c r="N278" t="s">
        <v>134</v>
      </c>
      <c r="O278" s="137">
        <f t="shared" si="8"/>
        <v>5.3003533568904597</v>
      </c>
      <c r="P278" s="137">
        <f t="shared" si="9"/>
        <v>5.3003533568904597</v>
      </c>
      <c r="Q278" s="126">
        <v>5</v>
      </c>
      <c r="R278" t="s">
        <v>522</v>
      </c>
      <c r="S278">
        <f>IF($W278&lt;&gt;"NAO ACEITO","",COUNTIFS($W$2:$W278,"NAO ACEITO"))</f>
        <v>11</v>
      </c>
      <c r="T278" t="str">
        <f>IF($B278="","",IF(COUNTIF($B$2:$B278,$B278)=1,MAX($T$1:$T277)+1,""))</f>
        <v/>
      </c>
      <c r="U278" t="str">
        <f>IF($D278="","",IF(COUNTIF($D$2:$D278,$D278)=1,MAX($U$1:$U277)+1,""))</f>
        <v/>
      </c>
      <c r="V278">
        <f>IF($D278="","",IF(COUNTIFS($B$2:$B278,$B278,$D$2:$D278,$D278)=1,1,0))</f>
        <v>0</v>
      </c>
      <c r="W278" t="str">
        <f>IF($D278="","",mEQA.PadronizarStatus($L278))</f>
        <v>NAO ACEITO</v>
      </c>
      <c r="X278">
        <f>IF(OR($D278="",$W278&lt;&gt;"NAO ACEITO"),"",IF(COUNTIFS($D$2:$D278,$D278,$W$2:$W278,"NAO ACEITO")=1,1,0))</f>
        <v>1</v>
      </c>
    </row>
    <row r="279" spans="1:24" x14ac:dyDescent="0.3">
      <c r="A279" t="s">
        <v>402</v>
      </c>
      <c r="B279" t="s">
        <v>507</v>
      </c>
      <c r="C279" s="126">
        <v>2025</v>
      </c>
      <c r="D279" t="s">
        <v>491</v>
      </c>
      <c r="E279" t="s">
        <v>510</v>
      </c>
      <c r="F279" s="137">
        <v>144</v>
      </c>
      <c r="G279" s="138">
        <v>138.80000000000001</v>
      </c>
      <c r="H279" s="138">
        <v>1.9</v>
      </c>
      <c r="I279" s="139">
        <v>2.8</v>
      </c>
      <c r="J279" s="137">
        <v>134</v>
      </c>
      <c r="K279" s="137">
        <v>143</v>
      </c>
      <c r="L279" t="s">
        <v>506</v>
      </c>
      <c r="M279" s="126">
        <v>114</v>
      </c>
      <c r="N279" t="s">
        <v>134</v>
      </c>
      <c r="O279" s="137">
        <f t="shared" si="8"/>
        <v>3.7463976945244872</v>
      </c>
      <c r="P279" s="137">
        <f t="shared" si="9"/>
        <v>3.7463976945244872</v>
      </c>
      <c r="Q279" s="126">
        <v>5</v>
      </c>
      <c r="R279" t="s">
        <v>522</v>
      </c>
      <c r="S279">
        <f>IF($W279&lt;&gt;"NAO ACEITO","",COUNTIFS($W$2:$W279,"NAO ACEITO"))</f>
        <v>12</v>
      </c>
      <c r="T279" t="str">
        <f>IF($B279="","",IF(COUNTIF($B$2:$B279,$B279)=1,MAX($T$1:$T278)+1,""))</f>
        <v/>
      </c>
      <c r="U279" t="str">
        <f>IF($D279="","",IF(COUNTIF($D$2:$D279,$D279)=1,MAX($U$1:$U278)+1,""))</f>
        <v/>
      </c>
      <c r="V279">
        <f>IF($D279="","",IF(COUNTIFS($B$2:$B279,$B279,$D$2:$D279,$D279)=1,1,0))</f>
        <v>0</v>
      </c>
      <c r="W279" t="str">
        <f>IF($D279="","",mEQA.PadronizarStatus($L279))</f>
        <v>NAO ACEITO</v>
      </c>
      <c r="X279">
        <f>IF(OR($D279="",$W279&lt;&gt;"NAO ACEITO"),"",IF(COUNTIFS($D$2:$D279,$D279,$W$2:$W279,"NAO ACEITO")=1,1,0))</f>
        <v>0</v>
      </c>
    </row>
    <row r="280" spans="1:24" x14ac:dyDescent="0.3">
      <c r="A280" t="s">
        <v>402</v>
      </c>
      <c r="B280" t="s">
        <v>507</v>
      </c>
      <c r="C280" s="126">
        <v>2025</v>
      </c>
      <c r="D280" t="s">
        <v>491</v>
      </c>
      <c r="E280" t="s">
        <v>511</v>
      </c>
      <c r="F280" s="137">
        <v>153</v>
      </c>
      <c r="G280" s="138">
        <v>146.9</v>
      </c>
      <c r="H280" s="138">
        <v>2.2999999999999998</v>
      </c>
      <c r="I280" s="139">
        <v>2.7</v>
      </c>
      <c r="J280" s="137">
        <v>142</v>
      </c>
      <c r="K280" s="137">
        <v>151</v>
      </c>
      <c r="L280" t="s">
        <v>506</v>
      </c>
      <c r="M280" s="126">
        <v>116</v>
      </c>
      <c r="N280" t="s">
        <v>134</v>
      </c>
      <c r="O280" s="137">
        <f t="shared" si="8"/>
        <v>4.1524846834581313</v>
      </c>
      <c r="P280" s="137">
        <f t="shared" si="9"/>
        <v>4.1524846834581313</v>
      </c>
      <c r="Q280" s="126">
        <v>5</v>
      </c>
      <c r="R280" t="s">
        <v>522</v>
      </c>
      <c r="S280">
        <f>IF($W280&lt;&gt;"NAO ACEITO","",COUNTIFS($W$2:$W280,"NAO ACEITO"))</f>
        <v>13</v>
      </c>
      <c r="T280" t="str">
        <f>IF($B280="","",IF(COUNTIF($B$2:$B280,$B280)=1,MAX($T$1:$T279)+1,""))</f>
        <v/>
      </c>
      <c r="U280" t="str">
        <f>IF($D280="","",IF(COUNTIF($D$2:$D280,$D280)=1,MAX($U$1:$U279)+1,""))</f>
        <v/>
      </c>
      <c r="V280">
        <f>IF($D280="","",IF(COUNTIFS($B$2:$B280,$B280,$D$2:$D280,$D280)=1,1,0))</f>
        <v>0</v>
      </c>
      <c r="W280" t="str">
        <f>IF($D280="","",mEQA.PadronizarStatus($L280))</f>
        <v>NAO ACEITO</v>
      </c>
      <c r="X280">
        <f>IF(OR($D280="",$W280&lt;&gt;"NAO ACEITO"),"",IF(COUNTIFS($D$2:$D280,$D280,$W$2:$W280,"NAO ACEITO")=1,1,0))</f>
        <v>0</v>
      </c>
    </row>
    <row r="281" spans="1:24" x14ac:dyDescent="0.3">
      <c r="A281" t="s">
        <v>402</v>
      </c>
      <c r="B281" t="s">
        <v>507</v>
      </c>
      <c r="C281" s="126">
        <v>2025</v>
      </c>
      <c r="D281" t="s">
        <v>491</v>
      </c>
      <c r="E281" t="s">
        <v>512</v>
      </c>
      <c r="F281" s="137">
        <v>152</v>
      </c>
      <c r="G281" s="138">
        <v>148.5</v>
      </c>
      <c r="H281" s="138">
        <v>2.5</v>
      </c>
      <c r="I281" s="139">
        <v>1.4</v>
      </c>
      <c r="J281" s="137">
        <v>144</v>
      </c>
      <c r="K281" s="137">
        <v>153</v>
      </c>
      <c r="L281" t="s">
        <v>499</v>
      </c>
      <c r="M281" s="126">
        <v>113</v>
      </c>
      <c r="N281" t="s">
        <v>134</v>
      </c>
      <c r="O281" s="137">
        <f t="shared" si="8"/>
        <v>2.3569023569023568</v>
      </c>
      <c r="P281" s="137">
        <f t="shared" si="9"/>
        <v>2.3569023569023568</v>
      </c>
      <c r="Q281" s="126">
        <v>5</v>
      </c>
      <c r="R281" t="s">
        <v>522</v>
      </c>
      <c r="S281" t="str">
        <f>IF($W281&lt;&gt;"NAO ACEITO","",COUNTIFS($W$2:$W281,"NAO ACEITO"))</f>
        <v/>
      </c>
      <c r="T281" t="str">
        <f>IF($B281="","",IF(COUNTIF($B$2:$B281,$B281)=1,MAX($T$1:$T280)+1,""))</f>
        <v/>
      </c>
      <c r="U281" t="str">
        <f>IF($D281="","",IF(COUNTIF($D$2:$D281,$D281)=1,MAX($U$1:$U280)+1,""))</f>
        <v/>
      </c>
      <c r="V281">
        <f>IF($D281="","",IF(COUNTIFS($B$2:$B281,$B281,$D$2:$D281,$D281)=1,1,0))</f>
        <v>0</v>
      </c>
      <c r="W281" t="str">
        <f>IF($D281="","",mEQA.PadronizarStatus($L281))</f>
        <v>ACEITO</v>
      </c>
      <c r="X281" t="str">
        <f>IF(OR($D281="",$W281&lt;&gt;"NAO ACEITO"),"",IF(COUNTIFS($D$2:$D281,$D281,$W$2:$W281,"NAO ACEITO")=1,1,0))</f>
        <v/>
      </c>
    </row>
    <row r="282" spans="1:24" x14ac:dyDescent="0.3">
      <c r="A282" t="s">
        <v>402</v>
      </c>
      <c r="B282" t="s">
        <v>507</v>
      </c>
      <c r="C282" s="126">
        <v>2025</v>
      </c>
      <c r="D282" t="s">
        <v>492</v>
      </c>
      <c r="E282" t="s">
        <v>508</v>
      </c>
      <c r="F282" s="137">
        <v>133</v>
      </c>
      <c r="G282" s="138">
        <v>153.5</v>
      </c>
      <c r="H282" s="138">
        <v>10.199999999999999</v>
      </c>
      <c r="I282" s="139">
        <v>-2</v>
      </c>
      <c r="J282" s="137">
        <v>122</v>
      </c>
      <c r="K282" s="137">
        <v>185</v>
      </c>
      <c r="L282" t="s">
        <v>499</v>
      </c>
      <c r="M282" s="126">
        <v>145</v>
      </c>
      <c r="N282" t="s">
        <v>505</v>
      </c>
      <c r="O282" s="137">
        <f t="shared" si="8"/>
        <v>-13.355048859934854</v>
      </c>
      <c r="P282" s="137">
        <f t="shared" si="9"/>
        <v>13.355048859934854</v>
      </c>
      <c r="Q282" s="126">
        <v>10</v>
      </c>
      <c r="R282" t="s">
        <v>522</v>
      </c>
      <c r="S282" t="str">
        <f>IF($W282&lt;&gt;"NAO ACEITO","",COUNTIFS($W$2:$W282,"NAO ACEITO"))</f>
        <v/>
      </c>
      <c r="T282" t="str">
        <f>IF($B282="","",IF(COUNTIF($B$2:$B282,$B282)=1,MAX($T$1:$T281)+1,""))</f>
        <v/>
      </c>
      <c r="U282" t="str">
        <f>IF($D282="","",IF(COUNTIF($D$2:$D282,$D282)=1,MAX($U$1:$U281)+1,""))</f>
        <v/>
      </c>
      <c r="V282">
        <f>IF($D282="","",IF(COUNTIFS($B$2:$B282,$B282,$D$2:$D282,$D282)=1,1,0))</f>
        <v>1</v>
      </c>
      <c r="W282" t="str">
        <f>IF($D282="","",mEQA.PadronizarStatus($L282))</f>
        <v>ACEITO</v>
      </c>
      <c r="X282" t="str">
        <f>IF(OR($D282="",$W282&lt;&gt;"NAO ACEITO"),"",IF(COUNTIFS($D$2:$D282,$D282,$W$2:$W282,"NAO ACEITO")=1,1,0))</f>
        <v/>
      </c>
    </row>
    <row r="283" spans="1:24" x14ac:dyDescent="0.3">
      <c r="A283" t="s">
        <v>402</v>
      </c>
      <c r="B283" t="s">
        <v>507</v>
      </c>
      <c r="C283" s="126">
        <v>2025</v>
      </c>
      <c r="D283" t="s">
        <v>492</v>
      </c>
      <c r="E283" t="s">
        <v>509</v>
      </c>
      <c r="F283" s="137">
        <v>43</v>
      </c>
      <c r="G283" s="138">
        <v>63.2</v>
      </c>
      <c r="H283" s="138">
        <v>8.9</v>
      </c>
      <c r="I283" s="139">
        <v>-2.2999999999999998</v>
      </c>
      <c r="J283" s="137">
        <v>50</v>
      </c>
      <c r="K283" s="137">
        <v>76</v>
      </c>
      <c r="L283" t="s">
        <v>506</v>
      </c>
      <c r="M283" s="126">
        <v>145</v>
      </c>
      <c r="N283" t="s">
        <v>505</v>
      </c>
      <c r="O283" s="137">
        <f t="shared" si="8"/>
        <v>-31.962025316455701</v>
      </c>
      <c r="P283" s="137">
        <f t="shared" si="9"/>
        <v>31.962025316455701</v>
      </c>
      <c r="Q283" s="126">
        <v>10</v>
      </c>
      <c r="R283" t="s">
        <v>522</v>
      </c>
      <c r="S283">
        <f>IF($W283&lt;&gt;"NAO ACEITO","",COUNTIFS($W$2:$W283,"NAO ACEITO"))</f>
        <v>14</v>
      </c>
      <c r="T283" t="str">
        <f>IF($B283="","",IF(COUNTIF($B$2:$B283,$B283)=1,MAX($T$1:$T282)+1,""))</f>
        <v/>
      </c>
      <c r="U283" t="str">
        <f>IF($D283="","",IF(COUNTIF($D$2:$D283,$D283)=1,MAX($U$1:$U282)+1,""))</f>
        <v/>
      </c>
      <c r="V283">
        <f>IF($D283="","",IF(COUNTIFS($B$2:$B283,$B283,$D$2:$D283,$D283)=1,1,0))</f>
        <v>0</v>
      </c>
      <c r="W283" t="str">
        <f>IF($D283="","",mEQA.PadronizarStatus($L283))</f>
        <v>NAO ACEITO</v>
      </c>
      <c r="X283">
        <f>IF(OR($D283="",$W283&lt;&gt;"NAO ACEITO"),"",IF(COUNTIFS($D$2:$D283,$D283,$W$2:$W283,"NAO ACEITO")=1,1,0))</f>
        <v>1</v>
      </c>
    </row>
    <row r="284" spans="1:24" x14ac:dyDescent="0.3">
      <c r="A284" t="s">
        <v>402</v>
      </c>
      <c r="B284" t="s">
        <v>507</v>
      </c>
      <c r="C284" s="126">
        <v>2025</v>
      </c>
      <c r="D284" t="s">
        <v>492</v>
      </c>
      <c r="E284" t="s">
        <v>510</v>
      </c>
      <c r="F284" s="137">
        <v>194</v>
      </c>
      <c r="G284" s="138">
        <v>209</v>
      </c>
      <c r="H284" s="138">
        <v>10.1</v>
      </c>
      <c r="I284" s="139">
        <v>-1.5</v>
      </c>
      <c r="J284" s="137">
        <v>167</v>
      </c>
      <c r="K284" s="137">
        <v>251</v>
      </c>
      <c r="L284" t="s">
        <v>499</v>
      </c>
      <c r="M284" s="126">
        <v>144</v>
      </c>
      <c r="N284" t="s">
        <v>505</v>
      </c>
      <c r="O284" s="137">
        <f t="shared" si="8"/>
        <v>-7.1770334928229662</v>
      </c>
      <c r="P284" s="137">
        <f t="shared" si="9"/>
        <v>7.1770334928229662</v>
      </c>
      <c r="Q284" s="126">
        <v>10</v>
      </c>
      <c r="R284" t="s">
        <v>522</v>
      </c>
      <c r="S284" t="str">
        <f>IF($W284&lt;&gt;"NAO ACEITO","",COUNTIFS($W$2:$W284,"NAO ACEITO"))</f>
        <v/>
      </c>
      <c r="T284" t="str">
        <f>IF($B284="","",IF(COUNTIF($B$2:$B284,$B284)=1,MAX($T$1:$T283)+1,""))</f>
        <v/>
      </c>
      <c r="U284" t="str">
        <f>IF($D284="","",IF(COUNTIF($D$2:$D284,$D284)=1,MAX($U$1:$U283)+1,""))</f>
        <v/>
      </c>
      <c r="V284">
        <f>IF($D284="","",IF(COUNTIFS($B$2:$B284,$B284,$D$2:$D284,$D284)=1,1,0))</f>
        <v>0</v>
      </c>
      <c r="W284" t="str">
        <f>IF($D284="","",mEQA.PadronizarStatus($L284))</f>
        <v>ACEITO</v>
      </c>
      <c r="X284" t="str">
        <f>IF(OR($D284="",$W284&lt;&gt;"NAO ACEITO"),"",IF(COUNTIFS($D$2:$D284,$D284,$W$2:$W284,"NAO ACEITO")=1,1,0))</f>
        <v/>
      </c>
    </row>
    <row r="285" spans="1:24" x14ac:dyDescent="0.3">
      <c r="A285" t="s">
        <v>402</v>
      </c>
      <c r="B285" t="s">
        <v>507</v>
      </c>
      <c r="C285" s="126">
        <v>2025</v>
      </c>
      <c r="D285" t="s">
        <v>492</v>
      </c>
      <c r="E285" t="s">
        <v>511</v>
      </c>
      <c r="F285" s="137">
        <v>127</v>
      </c>
      <c r="G285" s="138">
        <v>149</v>
      </c>
      <c r="H285" s="138">
        <v>8.6999999999999993</v>
      </c>
      <c r="I285" s="139">
        <v>-2.5</v>
      </c>
      <c r="J285" s="137">
        <v>119</v>
      </c>
      <c r="K285" s="137">
        <v>179</v>
      </c>
      <c r="L285" t="s">
        <v>499</v>
      </c>
      <c r="M285" s="126">
        <v>147</v>
      </c>
      <c r="N285" t="s">
        <v>505</v>
      </c>
      <c r="O285" s="137">
        <f t="shared" si="8"/>
        <v>-14.76510067114094</v>
      </c>
      <c r="P285" s="137">
        <f t="shared" si="9"/>
        <v>14.76510067114094</v>
      </c>
      <c r="Q285" s="126">
        <v>10</v>
      </c>
      <c r="R285" t="s">
        <v>522</v>
      </c>
      <c r="S285" t="str">
        <f>IF($W285&lt;&gt;"NAO ACEITO","",COUNTIFS($W$2:$W285,"NAO ACEITO"))</f>
        <v/>
      </c>
      <c r="T285" t="str">
        <f>IF($B285="","",IF(COUNTIF($B$2:$B285,$B285)=1,MAX($T$1:$T284)+1,""))</f>
        <v/>
      </c>
      <c r="U285" t="str">
        <f>IF($D285="","",IF(COUNTIF($D$2:$D285,$D285)=1,MAX($U$1:$U284)+1,""))</f>
        <v/>
      </c>
      <c r="V285">
        <f>IF($D285="","",IF(COUNTIFS($B$2:$B285,$B285,$D$2:$D285,$D285)=1,1,0))</f>
        <v>0</v>
      </c>
      <c r="W285" t="str">
        <f>IF($D285="","",mEQA.PadronizarStatus($L285))</f>
        <v>ACEITO</v>
      </c>
      <c r="X285" t="str">
        <f>IF(OR($D285="",$W285&lt;&gt;"NAO ACEITO"),"",IF(COUNTIFS($D$2:$D285,$D285,$W$2:$W285,"NAO ACEITO")=1,1,0))</f>
        <v/>
      </c>
    </row>
    <row r="286" spans="1:24" x14ac:dyDescent="0.3">
      <c r="A286" t="s">
        <v>402</v>
      </c>
      <c r="B286" t="s">
        <v>507</v>
      </c>
      <c r="C286" s="126">
        <v>2025</v>
      </c>
      <c r="D286" t="s">
        <v>492</v>
      </c>
      <c r="E286" t="s">
        <v>512</v>
      </c>
      <c r="F286" s="137">
        <v>245</v>
      </c>
      <c r="G286" s="138">
        <v>263.39999999999998</v>
      </c>
      <c r="H286" s="138">
        <v>9.6999999999999993</v>
      </c>
      <c r="I286" s="139">
        <v>-1.9</v>
      </c>
      <c r="J286" s="137">
        <v>210</v>
      </c>
      <c r="K286" s="137">
        <v>317</v>
      </c>
      <c r="L286" t="s">
        <v>499</v>
      </c>
      <c r="M286" s="126">
        <v>146</v>
      </c>
      <c r="N286" t="s">
        <v>505</v>
      </c>
      <c r="O286" s="137">
        <f t="shared" si="8"/>
        <v>-6.9855732725892103</v>
      </c>
      <c r="P286" s="137">
        <f t="shared" si="9"/>
        <v>6.9855732725892103</v>
      </c>
      <c r="Q286" s="126">
        <v>10</v>
      </c>
      <c r="R286" t="s">
        <v>522</v>
      </c>
      <c r="S286" t="str">
        <f>IF($W286&lt;&gt;"NAO ACEITO","",COUNTIFS($W$2:$W286,"NAO ACEITO"))</f>
        <v/>
      </c>
      <c r="T286" t="str">
        <f>IF($B286="","",IF(COUNTIF($B$2:$B286,$B286)=1,MAX($T$1:$T285)+1,""))</f>
        <v/>
      </c>
      <c r="U286" t="str">
        <f>IF($D286="","",IF(COUNTIF($D$2:$D286,$D286)=1,MAX($U$1:$U285)+1,""))</f>
        <v/>
      </c>
      <c r="V286">
        <f>IF($D286="","",IF(COUNTIFS($B$2:$B286,$B286,$D$2:$D286,$D286)=1,1,0))</f>
        <v>0</v>
      </c>
      <c r="W286" t="str">
        <f>IF($D286="","",mEQA.PadronizarStatus($L286))</f>
        <v>ACEITO</v>
      </c>
      <c r="X286" t="str">
        <f>IF(OR($D286="",$W286&lt;&gt;"NAO ACEITO"),"",IF(COUNTIFS($D$2:$D286,$D286,$W$2:$W286,"NAO ACEITO")=1,1,0))</f>
        <v/>
      </c>
    </row>
    <row r="287" spans="1:24" x14ac:dyDescent="0.3">
      <c r="A287" t="s">
        <v>402</v>
      </c>
      <c r="B287" t="s">
        <v>507</v>
      </c>
      <c r="C287" s="126">
        <v>2025</v>
      </c>
      <c r="D287" t="s">
        <v>493</v>
      </c>
      <c r="E287" t="s">
        <v>508</v>
      </c>
      <c r="F287" s="137">
        <v>0.57999999999999996</v>
      </c>
      <c r="G287" s="138">
        <v>0.56999999999999995</v>
      </c>
      <c r="H287" s="138">
        <v>3.3000000000000002E-2</v>
      </c>
      <c r="I287" s="139">
        <v>0.3</v>
      </c>
      <c r="J287" s="137">
        <v>0.37</v>
      </c>
      <c r="K287" s="137">
        <v>0.77</v>
      </c>
      <c r="L287" t="s">
        <v>499</v>
      </c>
      <c r="M287" s="126">
        <v>230</v>
      </c>
      <c r="N287" t="s">
        <v>513</v>
      </c>
      <c r="O287" s="137">
        <f t="shared" si="8"/>
        <v>1.7543859649122824</v>
      </c>
      <c r="P287" s="137">
        <f t="shared" si="9"/>
        <v>1.7543859649122824</v>
      </c>
      <c r="Q287" s="126">
        <v>9</v>
      </c>
      <c r="R287" t="s">
        <v>522</v>
      </c>
      <c r="S287" t="str">
        <f>IF($W287&lt;&gt;"NAO ACEITO","",COUNTIFS($W$2:$W287,"NAO ACEITO"))</f>
        <v/>
      </c>
      <c r="T287" t="str">
        <f>IF($B287="","",IF(COUNTIF($B$2:$B287,$B287)=1,MAX($T$1:$T286)+1,""))</f>
        <v/>
      </c>
      <c r="U287">
        <f>IF($D287="","",IF(COUNTIF($D$2:$D287,$D287)=1,MAX($U$1:$U286)+1,""))</f>
        <v>31</v>
      </c>
      <c r="V287">
        <f>IF($D287="","",IF(COUNTIFS($B$2:$B287,$B287,$D$2:$D287,$D287)=1,1,0))</f>
        <v>1</v>
      </c>
      <c r="W287" t="str">
        <f>IF($D287="","",mEQA.PadronizarStatus($L287))</f>
        <v>ACEITO</v>
      </c>
      <c r="X287" t="str">
        <f>IF(OR($D287="",$W287&lt;&gt;"NAO ACEITO"),"",IF(COUNTIFS($D$2:$D287,$D287,$W$2:$W287,"NAO ACEITO")=1,1,0))</f>
        <v/>
      </c>
    </row>
    <row r="288" spans="1:24" x14ac:dyDescent="0.3">
      <c r="A288" t="s">
        <v>402</v>
      </c>
      <c r="B288" t="s">
        <v>507</v>
      </c>
      <c r="C288" s="126">
        <v>2025</v>
      </c>
      <c r="D288" t="s">
        <v>493</v>
      </c>
      <c r="E288" t="s">
        <v>509</v>
      </c>
      <c r="F288" s="137">
        <v>0.3</v>
      </c>
      <c r="G288" s="138">
        <v>0.29099999999999998</v>
      </c>
      <c r="H288" s="138">
        <v>1.7000000000000001E-2</v>
      </c>
      <c r="I288" s="139">
        <v>0.5</v>
      </c>
      <c r="J288" s="137">
        <v>0.09</v>
      </c>
      <c r="K288" s="137">
        <v>0.5</v>
      </c>
      <c r="L288" t="s">
        <v>499</v>
      </c>
      <c r="M288" s="126">
        <v>231</v>
      </c>
      <c r="N288" t="s">
        <v>513</v>
      </c>
      <c r="O288" s="137">
        <f t="shared" si="8"/>
        <v>3.092783505154642</v>
      </c>
      <c r="P288" s="137">
        <f t="shared" si="9"/>
        <v>3.092783505154642</v>
      </c>
      <c r="Q288" s="126">
        <v>9</v>
      </c>
      <c r="R288" t="s">
        <v>522</v>
      </c>
      <c r="S288" t="str">
        <f>IF($W288&lt;&gt;"NAO ACEITO","",COUNTIFS($W$2:$W288,"NAO ACEITO"))</f>
        <v/>
      </c>
      <c r="T288" t="str">
        <f>IF($B288="","",IF(COUNTIF($B$2:$B288,$B288)=1,MAX($T$1:$T287)+1,""))</f>
        <v/>
      </c>
      <c r="U288" t="str">
        <f>IF($D288="","",IF(COUNTIF($D$2:$D288,$D288)=1,MAX($U$1:$U287)+1,""))</f>
        <v/>
      </c>
      <c r="V288">
        <f>IF($D288="","",IF(COUNTIFS($B$2:$B288,$B288,$D$2:$D288,$D288)=1,1,0))</f>
        <v>0</v>
      </c>
      <c r="W288" t="str">
        <f>IF($D288="","",mEQA.PadronizarStatus($L288))</f>
        <v>ACEITO</v>
      </c>
      <c r="X288" t="str">
        <f>IF(OR($D288="",$W288&lt;&gt;"NAO ACEITO"),"",IF(COUNTIFS($D$2:$D288,$D288,$W$2:$W288,"NAO ACEITO")=1,1,0))</f>
        <v/>
      </c>
    </row>
    <row r="289" spans="1:24" x14ac:dyDescent="0.3">
      <c r="A289" t="s">
        <v>402</v>
      </c>
      <c r="B289" t="s">
        <v>507</v>
      </c>
      <c r="C289" s="126">
        <v>2025</v>
      </c>
      <c r="D289" t="s">
        <v>493</v>
      </c>
      <c r="E289" t="s">
        <v>510</v>
      </c>
      <c r="F289" s="137">
        <v>2.73</v>
      </c>
      <c r="G289" s="138">
        <v>2.7040000000000002</v>
      </c>
      <c r="H289" s="138">
        <v>0.14199999999999999</v>
      </c>
      <c r="I289" s="139">
        <v>0.2</v>
      </c>
      <c r="J289" s="137">
        <v>2.16</v>
      </c>
      <c r="K289" s="137">
        <v>3.25</v>
      </c>
      <c r="L289" t="s">
        <v>499</v>
      </c>
      <c r="M289" s="126">
        <v>231</v>
      </c>
      <c r="N289" t="s">
        <v>513</v>
      </c>
      <c r="O289" s="137">
        <f t="shared" si="8"/>
        <v>0.96153846153845413</v>
      </c>
      <c r="P289" s="137">
        <f t="shared" si="9"/>
        <v>0.96153846153845413</v>
      </c>
      <c r="Q289" s="126">
        <v>9</v>
      </c>
      <c r="R289" t="s">
        <v>522</v>
      </c>
      <c r="S289" t="str">
        <f>IF($W289&lt;&gt;"NAO ACEITO","",COUNTIFS($W$2:$W289,"NAO ACEITO"))</f>
        <v/>
      </c>
      <c r="T289" t="str">
        <f>IF($B289="","",IF(COUNTIF($B$2:$B289,$B289)=1,MAX($T$1:$T288)+1,""))</f>
        <v/>
      </c>
      <c r="U289" t="str">
        <f>IF($D289="","",IF(COUNTIF($D$2:$D289,$D289)=1,MAX($U$1:$U288)+1,""))</f>
        <v/>
      </c>
      <c r="V289">
        <f>IF($D289="","",IF(COUNTIFS($B$2:$B289,$B289,$D$2:$D289,$D289)=1,1,0))</f>
        <v>0</v>
      </c>
      <c r="W289" t="str">
        <f>IF($D289="","",mEQA.PadronizarStatus($L289))</f>
        <v>ACEITO</v>
      </c>
      <c r="X289" t="str">
        <f>IF(OR($D289="",$W289&lt;&gt;"NAO ACEITO"),"",IF(COUNTIFS($D$2:$D289,$D289,$W$2:$W289,"NAO ACEITO")=1,1,0))</f>
        <v/>
      </c>
    </row>
    <row r="290" spans="1:24" x14ac:dyDescent="0.3">
      <c r="A290" t="s">
        <v>402</v>
      </c>
      <c r="B290" t="s">
        <v>507</v>
      </c>
      <c r="C290" s="126">
        <v>2025</v>
      </c>
      <c r="D290" t="s">
        <v>493</v>
      </c>
      <c r="E290" t="s">
        <v>511</v>
      </c>
      <c r="F290" s="137">
        <v>2.5299999999999998</v>
      </c>
      <c r="G290" s="138">
        <v>2.57</v>
      </c>
      <c r="H290" s="138">
        <v>0.13</v>
      </c>
      <c r="I290" s="139">
        <v>-0.3</v>
      </c>
      <c r="J290" s="137">
        <v>2.0499999999999998</v>
      </c>
      <c r="K290" s="137">
        <v>3.09</v>
      </c>
      <c r="L290" t="s">
        <v>499</v>
      </c>
      <c r="M290" s="126">
        <v>229</v>
      </c>
      <c r="N290" t="s">
        <v>513</v>
      </c>
      <c r="O290" s="137">
        <f t="shared" si="8"/>
        <v>-1.5564202334630364</v>
      </c>
      <c r="P290" s="137">
        <f t="shared" si="9"/>
        <v>1.5564202334630364</v>
      </c>
      <c r="Q290" s="126">
        <v>9</v>
      </c>
      <c r="R290" t="s">
        <v>522</v>
      </c>
      <c r="S290" t="str">
        <f>IF($W290&lt;&gt;"NAO ACEITO","",COUNTIFS($W$2:$W290,"NAO ACEITO"))</f>
        <v/>
      </c>
      <c r="T290" t="str">
        <f>IF($B290="","",IF(COUNTIF($B$2:$B290,$B290)=1,MAX($T$1:$T289)+1,""))</f>
        <v/>
      </c>
      <c r="U290" t="str">
        <f>IF($D290="","",IF(COUNTIF($D$2:$D290,$D290)=1,MAX($U$1:$U289)+1,""))</f>
        <v/>
      </c>
      <c r="V290">
        <f>IF($D290="","",IF(COUNTIFS($B$2:$B290,$B290,$D$2:$D290,$D290)=1,1,0))</f>
        <v>0</v>
      </c>
      <c r="W290" t="str">
        <f>IF($D290="","",mEQA.PadronizarStatus($L290))</f>
        <v>ACEITO</v>
      </c>
      <c r="X290" t="str">
        <f>IF(OR($D290="",$W290&lt;&gt;"NAO ACEITO"),"",IF(COUNTIFS($D$2:$D290,$D290,$W$2:$W290,"NAO ACEITO")=1,1,0))</f>
        <v/>
      </c>
    </row>
    <row r="291" spans="1:24" x14ac:dyDescent="0.3">
      <c r="A291" t="s">
        <v>402</v>
      </c>
      <c r="B291" t="s">
        <v>507</v>
      </c>
      <c r="C291" s="126">
        <v>2025</v>
      </c>
      <c r="D291" t="s">
        <v>493</v>
      </c>
      <c r="E291" t="s">
        <v>512</v>
      </c>
      <c r="F291" s="137">
        <v>4.76</v>
      </c>
      <c r="G291" s="138">
        <v>4.7850000000000001</v>
      </c>
      <c r="H291" s="138">
        <v>0.249</v>
      </c>
      <c r="I291" s="139">
        <v>-0.1</v>
      </c>
      <c r="J291" s="137">
        <v>3.82</v>
      </c>
      <c r="K291" s="137">
        <v>5.75</v>
      </c>
      <c r="L291" t="s">
        <v>499</v>
      </c>
      <c r="M291" s="126">
        <v>231</v>
      </c>
      <c r="N291" t="s">
        <v>513</v>
      </c>
      <c r="O291" s="137">
        <f t="shared" si="8"/>
        <v>-0.52246603970742644</v>
      </c>
      <c r="P291" s="137">
        <f t="shared" si="9"/>
        <v>0.52246603970742644</v>
      </c>
      <c r="Q291" s="126">
        <v>9</v>
      </c>
      <c r="R291" t="s">
        <v>522</v>
      </c>
      <c r="S291" t="str">
        <f>IF($W291&lt;&gt;"NAO ACEITO","",COUNTIFS($W$2:$W291,"NAO ACEITO"))</f>
        <v/>
      </c>
      <c r="T291" t="str">
        <f>IF($B291="","",IF(COUNTIF($B$2:$B291,$B291)=1,MAX($T$1:$T290)+1,""))</f>
        <v/>
      </c>
      <c r="U291" t="str">
        <f>IF($D291="","",IF(COUNTIF($D$2:$D291,$D291)=1,MAX($U$1:$U290)+1,""))</f>
        <v/>
      </c>
      <c r="V291">
        <f>IF($D291="","",IF(COUNTIFS($B$2:$B291,$B291,$D$2:$D291,$D291)=1,1,0))</f>
        <v>0</v>
      </c>
      <c r="W291" t="str">
        <f>IF($D291="","",mEQA.PadronizarStatus($L291))</f>
        <v>ACEITO</v>
      </c>
      <c r="X291" t="str">
        <f>IF(OR($D291="",$W291&lt;&gt;"NAO ACEITO"),"",IF(COUNTIFS($D$2:$D291,$D291,$W$2:$W291,"NAO ACEITO")=1,1,0))</f>
        <v/>
      </c>
    </row>
    <row r="292" spans="1:24" x14ac:dyDescent="0.3">
      <c r="A292" t="s">
        <v>402</v>
      </c>
      <c r="B292" t="s">
        <v>507</v>
      </c>
      <c r="C292" s="126">
        <v>2025</v>
      </c>
      <c r="D292" t="s">
        <v>494</v>
      </c>
      <c r="E292" t="s">
        <v>508</v>
      </c>
      <c r="F292" s="137">
        <v>105</v>
      </c>
      <c r="G292" s="138">
        <v>103.977</v>
      </c>
      <c r="H292" s="138">
        <v>2.5499999999999998</v>
      </c>
      <c r="I292" s="139">
        <v>0.4</v>
      </c>
      <c r="J292" s="137">
        <v>88.38</v>
      </c>
      <c r="K292" s="137">
        <v>119.58</v>
      </c>
      <c r="L292" t="s">
        <v>499</v>
      </c>
      <c r="M292" s="126">
        <v>204</v>
      </c>
      <c r="N292" t="s">
        <v>112</v>
      </c>
      <c r="O292" s="137">
        <f t="shared" si="8"/>
        <v>0.98387143310539449</v>
      </c>
      <c r="P292" s="137">
        <f t="shared" si="9"/>
        <v>0.98387143310539449</v>
      </c>
      <c r="Q292" s="126">
        <v>5</v>
      </c>
      <c r="R292" t="s">
        <v>522</v>
      </c>
      <c r="S292" t="str">
        <f>IF($W292&lt;&gt;"NAO ACEITO","",COUNTIFS($W$2:$W292,"NAO ACEITO"))</f>
        <v/>
      </c>
      <c r="T292" t="str">
        <f>IF($B292="","",IF(COUNTIF($B$2:$B292,$B292)=1,MAX($T$1:$T291)+1,""))</f>
        <v/>
      </c>
      <c r="U292" t="str">
        <f>IF($D292="","",IF(COUNTIF($D$2:$D292,$D292)=1,MAX($U$1:$U291)+1,""))</f>
        <v/>
      </c>
      <c r="V292">
        <f>IF($D292="","",IF(COUNTIFS($B$2:$B292,$B292,$D$2:$D292,$D292)=1,1,0))</f>
        <v>1</v>
      </c>
      <c r="W292" t="str">
        <f>IF($D292="","",mEQA.PadronizarStatus($L292))</f>
        <v>ACEITO</v>
      </c>
      <c r="X292" t="str">
        <f>IF(OR($D292="",$W292&lt;&gt;"NAO ACEITO"),"",IF(COUNTIFS($D$2:$D292,$D292,$W$2:$W292,"NAO ACEITO")=1,1,0))</f>
        <v/>
      </c>
    </row>
    <row r="293" spans="1:24" x14ac:dyDescent="0.3">
      <c r="A293" t="s">
        <v>402</v>
      </c>
      <c r="B293" t="s">
        <v>507</v>
      </c>
      <c r="C293" s="126">
        <v>2025</v>
      </c>
      <c r="D293" t="s">
        <v>494</v>
      </c>
      <c r="E293" t="s">
        <v>509</v>
      </c>
      <c r="F293" s="137">
        <v>86</v>
      </c>
      <c r="G293" s="138">
        <v>86.462999999999994</v>
      </c>
      <c r="H293" s="138">
        <v>2.492</v>
      </c>
      <c r="I293" s="139">
        <v>-0.2</v>
      </c>
      <c r="J293" s="137">
        <v>73.489999999999995</v>
      </c>
      <c r="K293" s="137">
        <v>99.44</v>
      </c>
      <c r="L293" t="s">
        <v>499</v>
      </c>
      <c r="M293" s="126">
        <v>207</v>
      </c>
      <c r="N293" t="s">
        <v>112</v>
      </c>
      <c r="O293" s="137">
        <f t="shared" si="8"/>
        <v>-0.53548916877738906</v>
      </c>
      <c r="P293" s="137">
        <f t="shared" si="9"/>
        <v>0.53548916877738906</v>
      </c>
      <c r="Q293" s="126">
        <v>5</v>
      </c>
      <c r="R293" t="s">
        <v>522</v>
      </c>
      <c r="S293" t="str">
        <f>IF($W293&lt;&gt;"NAO ACEITO","",COUNTIFS($W$2:$W293,"NAO ACEITO"))</f>
        <v/>
      </c>
      <c r="T293" t="str">
        <f>IF($B293="","",IF(COUNTIF($B$2:$B293,$B293)=1,MAX($T$1:$T292)+1,""))</f>
        <v/>
      </c>
      <c r="U293" t="str">
        <f>IF($D293="","",IF(COUNTIF($D$2:$D293,$D293)=1,MAX($U$1:$U292)+1,""))</f>
        <v/>
      </c>
      <c r="V293">
        <f>IF($D293="","",IF(COUNTIFS($B$2:$B293,$B293,$D$2:$D293,$D293)=1,1,0))</f>
        <v>0</v>
      </c>
      <c r="W293" t="str">
        <f>IF($D293="","",mEQA.PadronizarStatus($L293))</f>
        <v>ACEITO</v>
      </c>
      <c r="X293" t="str">
        <f>IF(OR($D293="",$W293&lt;&gt;"NAO ACEITO"),"",IF(COUNTIFS($D$2:$D293,$D293,$W$2:$W293,"NAO ACEITO")=1,1,0))</f>
        <v/>
      </c>
    </row>
    <row r="294" spans="1:24" x14ac:dyDescent="0.3">
      <c r="A294" t="s">
        <v>402</v>
      </c>
      <c r="B294" t="s">
        <v>507</v>
      </c>
      <c r="C294" s="126">
        <v>2025</v>
      </c>
      <c r="D294" t="s">
        <v>494</v>
      </c>
      <c r="E294" t="s">
        <v>510</v>
      </c>
      <c r="F294" s="137">
        <v>157</v>
      </c>
      <c r="G294" s="138">
        <v>158.00200000000001</v>
      </c>
      <c r="H294" s="138">
        <v>2.823</v>
      </c>
      <c r="I294" s="139">
        <v>-0.4</v>
      </c>
      <c r="J294" s="137">
        <v>134.30000000000001</v>
      </c>
      <c r="K294" s="137">
        <v>181.71</v>
      </c>
      <c r="L294" t="s">
        <v>499</v>
      </c>
      <c r="M294" s="126">
        <v>209</v>
      </c>
      <c r="N294" t="s">
        <v>112</v>
      </c>
      <c r="O294" s="137">
        <f t="shared" si="8"/>
        <v>-0.63416918773180686</v>
      </c>
      <c r="P294" s="137">
        <f t="shared" si="9"/>
        <v>0.63416918773180686</v>
      </c>
      <c r="Q294" s="126">
        <v>5</v>
      </c>
      <c r="R294" t="s">
        <v>522</v>
      </c>
      <c r="S294" t="str">
        <f>IF($W294&lt;&gt;"NAO ACEITO","",COUNTIFS($W$2:$W294,"NAO ACEITO"))</f>
        <v/>
      </c>
      <c r="T294" t="str">
        <f>IF($B294="","",IF(COUNTIF($B$2:$B294,$B294)=1,MAX($T$1:$T293)+1,""))</f>
        <v/>
      </c>
      <c r="U294" t="str">
        <f>IF($D294="","",IF(COUNTIF($D$2:$D294,$D294)=1,MAX($U$1:$U293)+1,""))</f>
        <v/>
      </c>
      <c r="V294">
        <f>IF($D294="","",IF(COUNTIFS($B$2:$B294,$B294,$D$2:$D294,$D294)=1,1,0))</f>
        <v>0</v>
      </c>
      <c r="W294" t="str">
        <f>IF($D294="","",mEQA.PadronizarStatus($L294))</f>
        <v>ACEITO</v>
      </c>
      <c r="X294" t="str">
        <f>IF(OR($D294="",$W294&lt;&gt;"NAO ACEITO"),"",IF(COUNTIFS($D$2:$D294,$D294,$W$2:$W294,"NAO ACEITO")=1,1,0))</f>
        <v/>
      </c>
    </row>
    <row r="295" spans="1:24" x14ac:dyDescent="0.3">
      <c r="A295" t="s">
        <v>402</v>
      </c>
      <c r="B295" t="s">
        <v>507</v>
      </c>
      <c r="C295" s="126">
        <v>2025</v>
      </c>
      <c r="D295" t="s">
        <v>494</v>
      </c>
      <c r="E295" t="s">
        <v>511</v>
      </c>
      <c r="F295" s="137">
        <v>149</v>
      </c>
      <c r="G295" s="138">
        <v>146.51499999999999</v>
      </c>
      <c r="H295" s="138">
        <v>3.32</v>
      </c>
      <c r="I295" s="139">
        <v>0.7</v>
      </c>
      <c r="J295" s="137">
        <v>124.53</v>
      </c>
      <c r="K295" s="137">
        <v>168.5</v>
      </c>
      <c r="L295" t="s">
        <v>499</v>
      </c>
      <c r="M295" s="126">
        <v>208</v>
      </c>
      <c r="N295" t="s">
        <v>112</v>
      </c>
      <c r="O295" s="137">
        <f t="shared" si="8"/>
        <v>1.6960720745316273</v>
      </c>
      <c r="P295" s="137">
        <f t="shared" si="9"/>
        <v>1.6960720745316273</v>
      </c>
      <c r="Q295" s="126">
        <v>5</v>
      </c>
      <c r="R295" t="s">
        <v>522</v>
      </c>
      <c r="S295" t="str">
        <f>IF($W295&lt;&gt;"NAO ACEITO","",COUNTIFS($W$2:$W295,"NAO ACEITO"))</f>
        <v/>
      </c>
      <c r="T295" t="str">
        <f>IF($B295="","",IF(COUNTIF($B$2:$B295,$B295)=1,MAX($T$1:$T294)+1,""))</f>
        <v/>
      </c>
      <c r="U295" t="str">
        <f>IF($D295="","",IF(COUNTIF($D$2:$D295,$D295)=1,MAX($U$1:$U294)+1,""))</f>
        <v/>
      </c>
      <c r="V295">
        <f>IF($D295="","",IF(COUNTIFS($B$2:$B295,$B295,$D$2:$D295,$D295)=1,1,0))</f>
        <v>0</v>
      </c>
      <c r="W295" t="str">
        <f>IF($D295="","",mEQA.PadronizarStatus($L295))</f>
        <v>ACEITO</v>
      </c>
      <c r="X295" t="str">
        <f>IF(OR($D295="",$W295&lt;&gt;"NAO ACEITO"),"",IF(COUNTIFS($D$2:$D295,$D295,$W$2:$W295,"NAO ACEITO")=1,1,0))</f>
        <v/>
      </c>
    </row>
    <row r="296" spans="1:24" x14ac:dyDescent="0.3">
      <c r="A296" t="s">
        <v>402</v>
      </c>
      <c r="B296" t="s">
        <v>507</v>
      </c>
      <c r="C296" s="126">
        <v>2025</v>
      </c>
      <c r="D296" t="s">
        <v>494</v>
      </c>
      <c r="E296" t="s">
        <v>512</v>
      </c>
      <c r="F296" s="137">
        <v>215</v>
      </c>
      <c r="G296" s="138">
        <v>211.11</v>
      </c>
      <c r="H296" s="138">
        <v>3.4540000000000002</v>
      </c>
      <c r="I296" s="139">
        <v>1.1000000000000001</v>
      </c>
      <c r="J296" s="137">
        <v>179.44</v>
      </c>
      <c r="K296" s="137">
        <v>242.78</v>
      </c>
      <c r="L296" t="s">
        <v>499</v>
      </c>
      <c r="M296" s="126">
        <v>208</v>
      </c>
      <c r="N296" t="s">
        <v>112</v>
      </c>
      <c r="O296" s="137">
        <f t="shared" si="8"/>
        <v>1.8426412770593463</v>
      </c>
      <c r="P296" s="137">
        <f t="shared" si="9"/>
        <v>1.8426412770593463</v>
      </c>
      <c r="Q296" s="126">
        <v>5</v>
      </c>
      <c r="R296" t="s">
        <v>522</v>
      </c>
      <c r="S296" t="str">
        <f>IF($W296&lt;&gt;"NAO ACEITO","",COUNTIFS($W$2:$W296,"NAO ACEITO"))</f>
        <v/>
      </c>
      <c r="T296" t="str">
        <f>IF($B296="","",IF(COUNTIF($B$2:$B296,$B296)=1,MAX($T$1:$T295)+1,""))</f>
        <v/>
      </c>
      <c r="U296" t="str">
        <f>IF($D296="","",IF(COUNTIF($D$2:$D296,$D296)=1,MAX($U$1:$U295)+1,""))</f>
        <v/>
      </c>
      <c r="V296">
        <f>IF($D296="","",IF(COUNTIFS($B$2:$B296,$B296,$D$2:$D296,$D296)=1,1,0))</f>
        <v>0</v>
      </c>
      <c r="W296" t="str">
        <f>IF($D296="","",mEQA.PadronizarStatus($L296))</f>
        <v>ACEITO</v>
      </c>
      <c r="X296" t="str">
        <f>IF(OR($D296="",$W296&lt;&gt;"NAO ACEITO"),"",IF(COUNTIFS($D$2:$D296,$D296,$W$2:$W296,"NAO ACEITO")=1,1,0))</f>
        <v/>
      </c>
    </row>
    <row r="297" spans="1:24" x14ac:dyDescent="0.3">
      <c r="A297" t="s">
        <v>402</v>
      </c>
      <c r="B297" t="s">
        <v>507</v>
      </c>
      <c r="C297" s="126">
        <v>2025</v>
      </c>
      <c r="D297" t="s">
        <v>495</v>
      </c>
      <c r="E297" t="s">
        <v>508</v>
      </c>
      <c r="F297" s="137">
        <v>34.6</v>
      </c>
      <c r="G297" s="138">
        <v>35.33</v>
      </c>
      <c r="H297" s="138">
        <v>1.33</v>
      </c>
      <c r="I297" s="139">
        <v>-0.5</v>
      </c>
      <c r="J297" s="137">
        <v>32.1</v>
      </c>
      <c r="K297" s="137">
        <v>38.6</v>
      </c>
      <c r="L297" t="s">
        <v>499</v>
      </c>
      <c r="M297" s="126">
        <v>438</v>
      </c>
      <c r="N297" t="s">
        <v>112</v>
      </c>
      <c r="O297" s="137">
        <f t="shared" si="8"/>
        <v>-2.0662326634588082</v>
      </c>
      <c r="P297" s="137">
        <f t="shared" si="9"/>
        <v>2.0662326634588082</v>
      </c>
      <c r="Q297" s="126">
        <v>6</v>
      </c>
      <c r="R297" t="s">
        <v>522</v>
      </c>
      <c r="S297" t="str">
        <f>IF($W297&lt;&gt;"NAO ACEITO","",COUNTIFS($W$2:$W297,"NAO ACEITO"))</f>
        <v/>
      </c>
      <c r="T297" t="str">
        <f>IF($B297="","",IF(COUNTIF($B$2:$B297,$B297)=1,MAX($T$1:$T296)+1,""))</f>
        <v/>
      </c>
      <c r="U297" t="str">
        <f>IF($D297="","",IF(COUNTIF($D$2:$D297,$D297)=1,MAX($U$1:$U296)+1,""))</f>
        <v/>
      </c>
      <c r="V297">
        <f>IF($D297="","",IF(COUNTIFS($B$2:$B297,$B297,$D$2:$D297,$D297)=1,1,0))</f>
        <v>1</v>
      </c>
      <c r="W297" t="str">
        <f>IF($D297="","",mEQA.PadronizarStatus($L297))</f>
        <v>ACEITO</v>
      </c>
      <c r="X297" t="str">
        <f>IF(OR($D297="",$W297&lt;&gt;"NAO ACEITO"),"",IF(COUNTIFS($D$2:$D297,$D297,$W$2:$W297,"NAO ACEITO")=1,1,0))</f>
        <v/>
      </c>
    </row>
    <row r="298" spans="1:24" x14ac:dyDescent="0.3">
      <c r="A298" t="s">
        <v>402</v>
      </c>
      <c r="B298" t="s">
        <v>507</v>
      </c>
      <c r="C298" s="126">
        <v>2025</v>
      </c>
      <c r="D298" t="s">
        <v>495</v>
      </c>
      <c r="E298" t="s">
        <v>509</v>
      </c>
      <c r="F298" s="137">
        <v>6.1</v>
      </c>
      <c r="G298" s="138">
        <v>6.67</v>
      </c>
      <c r="H298" s="138">
        <v>0.68</v>
      </c>
      <c r="I298" s="139">
        <v>-0.8</v>
      </c>
      <c r="J298" s="137">
        <v>4.5999999999999996</v>
      </c>
      <c r="K298" s="137">
        <v>8.6999999999999993</v>
      </c>
      <c r="L298" t="s">
        <v>499</v>
      </c>
      <c r="M298" s="126">
        <v>432</v>
      </c>
      <c r="N298" t="s">
        <v>112</v>
      </c>
      <c r="O298" s="137">
        <f t="shared" si="8"/>
        <v>-8.5457271364317879</v>
      </c>
      <c r="P298" s="137">
        <f t="shared" si="9"/>
        <v>8.5457271364317879</v>
      </c>
      <c r="Q298" s="126">
        <v>6</v>
      </c>
      <c r="R298" t="s">
        <v>522</v>
      </c>
      <c r="S298" t="str">
        <f>IF($W298&lt;&gt;"NAO ACEITO","",COUNTIFS($W$2:$W298,"NAO ACEITO"))</f>
        <v/>
      </c>
      <c r="T298" t="str">
        <f>IF($B298="","",IF(COUNTIF($B$2:$B298,$B298)=1,MAX($T$1:$T297)+1,""))</f>
        <v/>
      </c>
      <c r="U298" t="str">
        <f>IF($D298="","",IF(COUNTIF($D$2:$D298,$D298)=1,MAX($U$1:$U297)+1,""))</f>
        <v/>
      </c>
      <c r="V298">
        <f>IF($D298="","",IF(COUNTIFS($B$2:$B298,$B298,$D$2:$D298,$D298)=1,1,0))</f>
        <v>0</v>
      </c>
      <c r="W298" t="str">
        <f>IF($D298="","",mEQA.PadronizarStatus($L298))</f>
        <v>ACEITO</v>
      </c>
      <c r="X298" t="str">
        <f>IF(OR($D298="",$W298&lt;&gt;"NAO ACEITO"),"",IF(COUNTIFS($D$2:$D298,$D298,$W$2:$W298,"NAO ACEITO")=1,1,0))</f>
        <v/>
      </c>
    </row>
    <row r="299" spans="1:24" x14ac:dyDescent="0.3">
      <c r="A299" t="s">
        <v>402</v>
      </c>
      <c r="B299" t="s">
        <v>507</v>
      </c>
      <c r="C299" s="126">
        <v>2025</v>
      </c>
      <c r="D299" t="s">
        <v>495</v>
      </c>
      <c r="E299" t="s">
        <v>510</v>
      </c>
      <c r="F299" s="137">
        <v>28</v>
      </c>
      <c r="G299" s="138">
        <v>29.35</v>
      </c>
      <c r="H299" s="138">
        <v>1.1299999999999999</v>
      </c>
      <c r="I299" s="139">
        <v>-1.2</v>
      </c>
      <c r="J299" s="137">
        <v>26.7</v>
      </c>
      <c r="K299" s="137">
        <v>32</v>
      </c>
      <c r="L299" t="s">
        <v>499</v>
      </c>
      <c r="M299" s="126">
        <v>434</v>
      </c>
      <c r="N299" t="s">
        <v>112</v>
      </c>
      <c r="O299" s="137">
        <f t="shared" si="8"/>
        <v>-4.5996592844974495</v>
      </c>
      <c r="P299" s="137">
        <f t="shared" si="9"/>
        <v>4.5996592844974495</v>
      </c>
      <c r="Q299" s="126">
        <v>6</v>
      </c>
      <c r="R299" t="s">
        <v>522</v>
      </c>
      <c r="S299" t="str">
        <f>IF($W299&lt;&gt;"NAO ACEITO","",COUNTIFS($W$2:$W299,"NAO ACEITO"))</f>
        <v/>
      </c>
      <c r="T299" t="str">
        <f>IF($B299="","",IF(COUNTIF($B$2:$B299,$B299)=1,MAX($T$1:$T298)+1,""))</f>
        <v/>
      </c>
      <c r="U299" t="str">
        <f>IF($D299="","",IF(COUNTIF($D$2:$D299,$D299)=1,MAX($U$1:$U298)+1,""))</f>
        <v/>
      </c>
      <c r="V299">
        <f>IF($D299="","",IF(COUNTIFS($B$2:$B299,$B299,$D$2:$D299,$D299)=1,1,0))</f>
        <v>0</v>
      </c>
      <c r="W299" t="str">
        <f>IF($D299="","",mEQA.PadronizarStatus($L299))</f>
        <v>ACEITO</v>
      </c>
      <c r="X299" t="str">
        <f>IF(OR($D299="",$W299&lt;&gt;"NAO ACEITO"),"",IF(COUNTIFS($D$2:$D299,$D299,$W$2:$W299,"NAO ACEITO")=1,1,0))</f>
        <v/>
      </c>
    </row>
    <row r="300" spans="1:24" x14ac:dyDescent="0.3">
      <c r="A300" t="s">
        <v>402</v>
      </c>
      <c r="B300" t="s">
        <v>507</v>
      </c>
      <c r="C300" s="126">
        <v>2025</v>
      </c>
      <c r="D300" t="s">
        <v>495</v>
      </c>
      <c r="E300" t="s">
        <v>511</v>
      </c>
      <c r="F300" s="137">
        <v>9.3000000000000007</v>
      </c>
      <c r="G300" s="138">
        <v>10.25</v>
      </c>
      <c r="H300" s="138">
        <v>0.82</v>
      </c>
      <c r="I300" s="139">
        <v>-1.2</v>
      </c>
      <c r="J300" s="137">
        <v>8.1999999999999993</v>
      </c>
      <c r="K300" s="137">
        <v>12.3</v>
      </c>
      <c r="L300" t="s">
        <v>499</v>
      </c>
      <c r="M300" s="126">
        <v>438</v>
      </c>
      <c r="N300" t="s">
        <v>112</v>
      </c>
      <c r="O300" s="137">
        <f t="shared" si="8"/>
        <v>-9.2682926829268215</v>
      </c>
      <c r="P300" s="137">
        <f t="shared" si="9"/>
        <v>9.2682926829268215</v>
      </c>
      <c r="Q300" s="126">
        <v>6</v>
      </c>
      <c r="R300" t="s">
        <v>522</v>
      </c>
      <c r="S300" t="str">
        <f>IF($W300&lt;&gt;"NAO ACEITO","",COUNTIFS($W$2:$W300,"NAO ACEITO"))</f>
        <v/>
      </c>
      <c r="T300" t="str">
        <f>IF($B300="","",IF(COUNTIF($B$2:$B300,$B300)=1,MAX($T$1:$T299)+1,""))</f>
        <v/>
      </c>
      <c r="U300" t="str">
        <f>IF($D300="","",IF(COUNTIF($D$2:$D300,$D300)=1,MAX($U$1:$U299)+1,""))</f>
        <v/>
      </c>
      <c r="V300">
        <f>IF($D300="","",IF(COUNTIFS($B$2:$B300,$B300,$D$2:$D300,$D300)=1,1,0))</f>
        <v>0</v>
      </c>
      <c r="W300" t="str">
        <f>IF($D300="","",mEQA.PadronizarStatus($L300))</f>
        <v>ACEITO</v>
      </c>
      <c r="X300" t="str">
        <f>IF(OR($D300="",$W300&lt;&gt;"NAO ACEITO"),"",IF(COUNTIFS($D$2:$D300,$D300,$W$2:$W300,"NAO ACEITO")=1,1,0))</f>
        <v/>
      </c>
    </row>
    <row r="301" spans="1:24" x14ac:dyDescent="0.3">
      <c r="A301" t="s">
        <v>402</v>
      </c>
      <c r="B301" t="s">
        <v>507</v>
      </c>
      <c r="C301" s="126">
        <v>2025</v>
      </c>
      <c r="D301" t="s">
        <v>495</v>
      </c>
      <c r="E301" t="s">
        <v>512</v>
      </c>
      <c r="F301" s="137">
        <v>23.4</v>
      </c>
      <c r="G301" s="138">
        <v>23.37</v>
      </c>
      <c r="H301" s="138">
        <v>1</v>
      </c>
      <c r="I301" s="139">
        <v>0</v>
      </c>
      <c r="J301" s="137">
        <v>21.2</v>
      </c>
      <c r="K301" s="137">
        <v>25.5</v>
      </c>
      <c r="L301" t="s">
        <v>499</v>
      </c>
      <c r="M301" s="126">
        <v>436</v>
      </c>
      <c r="N301" t="s">
        <v>112</v>
      </c>
      <c r="O301" s="137">
        <f t="shared" si="8"/>
        <v>0.12836970474966872</v>
      </c>
      <c r="P301" s="137">
        <f t="shared" si="9"/>
        <v>0.12836970474966872</v>
      </c>
      <c r="Q301" s="126">
        <v>6</v>
      </c>
      <c r="R301" t="s">
        <v>522</v>
      </c>
      <c r="S301" t="str">
        <f>IF($W301&lt;&gt;"NAO ACEITO","",COUNTIFS($W$2:$W301,"NAO ACEITO"))</f>
        <v/>
      </c>
      <c r="T301" t="str">
        <f>IF($B301="","",IF(COUNTIF($B$2:$B301,$B301)=1,MAX($T$1:$T300)+1,""))</f>
        <v/>
      </c>
      <c r="U301" t="str">
        <f>IF($D301="","",IF(COUNTIF($D$2:$D301,$D301)=1,MAX($U$1:$U300)+1,""))</f>
        <v/>
      </c>
      <c r="V301">
        <f>IF($D301="","",IF(COUNTIFS($B$2:$B301,$B301,$D$2:$D301,$D301)=1,1,0))</f>
        <v>0</v>
      </c>
      <c r="W301" t="str">
        <f>IF($D301="","",mEQA.PadronizarStatus($L301))</f>
        <v>ACEITO</v>
      </c>
      <c r="X301" t="str">
        <f>IF(OR($D301="",$W301&lt;&gt;"NAO ACEITO"),"",IF(COUNTIFS($D$2:$D301,$D301,$W$2:$W301,"NAO ACEITO")=1,1,0))</f>
        <v/>
      </c>
    </row>
    <row r="302" spans="1:24" x14ac:dyDescent="0.3">
      <c r="A302" t="s">
        <v>402</v>
      </c>
      <c r="B302" t="s">
        <v>507</v>
      </c>
      <c r="C302" s="126">
        <v>2025</v>
      </c>
      <c r="D302" t="s">
        <v>496</v>
      </c>
      <c r="E302" t="s">
        <v>508</v>
      </c>
      <c r="F302" s="137">
        <v>9.6999999999999993</v>
      </c>
      <c r="G302" s="138">
        <v>9.81</v>
      </c>
      <c r="H302" s="138">
        <v>0.24</v>
      </c>
      <c r="I302" s="139">
        <v>-0.5</v>
      </c>
      <c r="J302" s="137">
        <v>8.8000000000000007</v>
      </c>
      <c r="K302" s="137">
        <v>10.8</v>
      </c>
      <c r="L302" t="s">
        <v>499</v>
      </c>
      <c r="M302" s="126">
        <v>327</v>
      </c>
      <c r="N302" t="s">
        <v>112</v>
      </c>
      <c r="O302" s="137">
        <f t="shared" si="8"/>
        <v>-1.1213047910295739</v>
      </c>
      <c r="P302" s="137">
        <f t="shared" si="9"/>
        <v>1.1213047910295739</v>
      </c>
      <c r="Q302" s="126">
        <v>6</v>
      </c>
      <c r="R302" t="s">
        <v>522</v>
      </c>
      <c r="S302" t="str">
        <f>IF($W302&lt;&gt;"NAO ACEITO","",COUNTIFS($W$2:$W302,"NAO ACEITO"))</f>
        <v/>
      </c>
      <c r="T302" t="str">
        <f>IF($B302="","",IF(COUNTIF($B$2:$B302,$B302)=1,MAX($T$1:$T301)+1,""))</f>
        <v/>
      </c>
      <c r="U302" t="str">
        <f>IF($D302="","",IF(COUNTIF($D$2:$D302,$D302)=1,MAX($U$1:$U301)+1,""))</f>
        <v/>
      </c>
      <c r="V302">
        <f>IF($D302="","",IF(COUNTIFS($B$2:$B302,$B302,$D$2:$D302,$D302)=1,1,0))</f>
        <v>1</v>
      </c>
      <c r="W302" t="str">
        <f>IF($D302="","",mEQA.PadronizarStatus($L302))</f>
        <v>ACEITO</v>
      </c>
      <c r="X302" t="str">
        <f>IF(OR($D302="",$W302&lt;&gt;"NAO ACEITO"),"",IF(COUNTIFS($D$2:$D302,$D302,$W$2:$W302,"NAO ACEITO")=1,1,0))</f>
        <v/>
      </c>
    </row>
    <row r="303" spans="1:24" x14ac:dyDescent="0.3">
      <c r="A303" t="s">
        <v>402</v>
      </c>
      <c r="B303" t="s">
        <v>507</v>
      </c>
      <c r="C303" s="126">
        <v>2025</v>
      </c>
      <c r="D303" t="s">
        <v>496</v>
      </c>
      <c r="E303" t="s">
        <v>509</v>
      </c>
      <c r="F303" s="137">
        <v>5.9</v>
      </c>
      <c r="G303" s="138">
        <v>5.8</v>
      </c>
      <c r="H303" s="138">
        <v>0.14000000000000001</v>
      </c>
      <c r="I303" s="139">
        <v>0.8</v>
      </c>
      <c r="J303" s="137">
        <v>5.2</v>
      </c>
      <c r="K303" s="137">
        <v>6.4</v>
      </c>
      <c r="L303" t="s">
        <v>499</v>
      </c>
      <c r="M303" s="126">
        <v>341</v>
      </c>
      <c r="N303" t="s">
        <v>112</v>
      </c>
      <c r="O303" s="137">
        <f t="shared" si="8"/>
        <v>1.7241379310344922</v>
      </c>
      <c r="P303" s="137">
        <f t="shared" si="9"/>
        <v>1.7241379310344922</v>
      </c>
      <c r="Q303" s="126">
        <v>6</v>
      </c>
      <c r="R303" t="s">
        <v>522</v>
      </c>
      <c r="S303" t="str">
        <f>IF($W303&lt;&gt;"NAO ACEITO","",COUNTIFS($W$2:$W303,"NAO ACEITO"))</f>
        <v/>
      </c>
      <c r="T303" t="str">
        <f>IF($B303="","",IF(COUNTIF($B$2:$B303,$B303)=1,MAX($T$1:$T302)+1,""))</f>
        <v/>
      </c>
      <c r="U303" t="str">
        <f>IF($D303="","",IF(COUNTIF($D$2:$D303,$D303)=1,MAX($U$1:$U302)+1,""))</f>
        <v/>
      </c>
      <c r="V303">
        <f>IF($D303="","",IF(COUNTIFS($B$2:$B303,$B303,$D$2:$D303,$D303)=1,1,0))</f>
        <v>0</v>
      </c>
      <c r="W303" t="str">
        <f>IF($D303="","",mEQA.PadronizarStatus($L303))</f>
        <v>ACEITO</v>
      </c>
      <c r="X303" t="str">
        <f>IF(OR($D303="",$W303&lt;&gt;"NAO ACEITO"),"",IF(COUNTIFS($D$2:$D303,$D303,$W$2:$W303,"NAO ACEITO")=1,1,0))</f>
        <v/>
      </c>
    </row>
    <row r="304" spans="1:24" x14ac:dyDescent="0.3">
      <c r="A304" t="s">
        <v>402</v>
      </c>
      <c r="B304" t="s">
        <v>507</v>
      </c>
      <c r="C304" s="126">
        <v>2025</v>
      </c>
      <c r="D304" t="s">
        <v>496</v>
      </c>
      <c r="E304" t="s">
        <v>510</v>
      </c>
      <c r="F304" s="137">
        <v>7.6</v>
      </c>
      <c r="G304" s="138">
        <v>7.52</v>
      </c>
      <c r="H304" s="138">
        <v>0.19</v>
      </c>
      <c r="I304" s="139">
        <v>0.4</v>
      </c>
      <c r="J304" s="137">
        <v>6.7</v>
      </c>
      <c r="K304" s="137">
        <v>8.3000000000000007</v>
      </c>
      <c r="L304" t="s">
        <v>499</v>
      </c>
      <c r="M304" s="126">
        <v>326</v>
      </c>
      <c r="N304" t="s">
        <v>112</v>
      </c>
      <c r="O304" s="137">
        <f t="shared" si="8"/>
        <v>1.0638297872340436</v>
      </c>
      <c r="P304" s="137">
        <f t="shared" si="9"/>
        <v>1.0638297872340436</v>
      </c>
      <c r="Q304" s="126">
        <v>6</v>
      </c>
      <c r="R304" t="s">
        <v>522</v>
      </c>
      <c r="S304" t="str">
        <f>IF($W304&lt;&gt;"NAO ACEITO","",COUNTIFS($W$2:$W304,"NAO ACEITO"))</f>
        <v/>
      </c>
      <c r="T304" t="str">
        <f>IF($B304="","",IF(COUNTIF($B$2:$B304,$B304)=1,MAX($T$1:$T303)+1,""))</f>
        <v/>
      </c>
      <c r="U304" t="str">
        <f>IF($D304="","",IF(COUNTIF($D$2:$D304,$D304)=1,MAX($U$1:$U303)+1,""))</f>
        <v/>
      </c>
      <c r="V304">
        <f>IF($D304="","",IF(COUNTIFS($B$2:$B304,$B304,$D$2:$D304,$D304)=1,1,0))</f>
        <v>0</v>
      </c>
      <c r="W304" t="str">
        <f>IF($D304="","",mEQA.PadronizarStatus($L304))</f>
        <v>ACEITO</v>
      </c>
      <c r="X304" t="str">
        <f>IF(OR($D304="",$W304&lt;&gt;"NAO ACEITO"),"",IF(COUNTIFS($D$2:$D304,$D304,$W$2:$W304,"NAO ACEITO")=1,1,0))</f>
        <v/>
      </c>
    </row>
    <row r="305" spans="1:24" x14ac:dyDescent="0.3">
      <c r="A305" t="s">
        <v>402</v>
      </c>
      <c r="B305" t="s">
        <v>507</v>
      </c>
      <c r="C305" s="126">
        <v>2025</v>
      </c>
      <c r="D305" t="s">
        <v>496</v>
      </c>
      <c r="E305" t="s">
        <v>511</v>
      </c>
      <c r="F305" s="137">
        <v>4.9000000000000004</v>
      </c>
      <c r="G305" s="138">
        <v>4.83</v>
      </c>
      <c r="H305" s="138">
        <v>0.13</v>
      </c>
      <c r="I305" s="139">
        <v>0.6</v>
      </c>
      <c r="J305" s="137">
        <v>4.3</v>
      </c>
      <c r="K305" s="137">
        <v>5.4</v>
      </c>
      <c r="L305" t="s">
        <v>499</v>
      </c>
      <c r="M305" s="126">
        <v>341</v>
      </c>
      <c r="N305" t="s">
        <v>112</v>
      </c>
      <c r="O305" s="137">
        <f t="shared" si="8"/>
        <v>1.4492753623188466</v>
      </c>
      <c r="P305" s="137">
        <f t="shared" si="9"/>
        <v>1.4492753623188466</v>
      </c>
      <c r="Q305" s="126">
        <v>6</v>
      </c>
      <c r="R305" t="s">
        <v>522</v>
      </c>
      <c r="S305" t="str">
        <f>IF($W305&lt;&gt;"NAO ACEITO","",COUNTIFS($W$2:$W305,"NAO ACEITO"))</f>
        <v/>
      </c>
      <c r="T305" t="str">
        <f>IF($B305="","",IF(COUNTIF($B$2:$B305,$B305)=1,MAX($T$1:$T304)+1,""))</f>
        <v/>
      </c>
      <c r="U305" t="str">
        <f>IF($D305="","",IF(COUNTIF($D$2:$D305,$D305)=1,MAX($U$1:$U304)+1,""))</f>
        <v/>
      </c>
      <c r="V305">
        <f>IF($D305="","",IF(COUNTIFS($B$2:$B305,$B305,$D$2:$D305,$D305)=1,1,0))</f>
        <v>0</v>
      </c>
      <c r="W305" t="str">
        <f>IF($D305="","",mEQA.PadronizarStatus($L305))</f>
        <v>ACEITO</v>
      </c>
      <c r="X305" t="str">
        <f>IF(OR($D305="",$W305&lt;&gt;"NAO ACEITO"),"",IF(COUNTIFS($D$2:$D305,$D305,$W$2:$W305,"NAO ACEITO")=1,1,0))</f>
        <v/>
      </c>
    </row>
    <row r="306" spans="1:24" x14ac:dyDescent="0.3">
      <c r="A306" t="s">
        <v>402</v>
      </c>
      <c r="B306" t="s">
        <v>507</v>
      </c>
      <c r="C306" s="126">
        <v>2025</v>
      </c>
      <c r="D306" t="s">
        <v>496</v>
      </c>
      <c r="E306" t="s">
        <v>512</v>
      </c>
      <c r="F306" s="137">
        <v>5.2</v>
      </c>
      <c r="G306" s="138">
        <v>5.21</v>
      </c>
      <c r="H306" s="138">
        <v>0.14000000000000001</v>
      </c>
      <c r="I306" s="139">
        <v>-0.1</v>
      </c>
      <c r="J306" s="137">
        <v>4.5999999999999996</v>
      </c>
      <c r="K306" s="137">
        <v>5.8</v>
      </c>
      <c r="L306" t="s">
        <v>499</v>
      </c>
      <c r="M306" s="126">
        <v>344</v>
      </c>
      <c r="N306" t="s">
        <v>112</v>
      </c>
      <c r="O306" s="137">
        <f t="shared" si="8"/>
        <v>-0.19193857965450647</v>
      </c>
      <c r="P306" s="137">
        <f t="shared" si="9"/>
        <v>0.19193857965450647</v>
      </c>
      <c r="Q306" s="126">
        <v>6</v>
      </c>
      <c r="R306" t="s">
        <v>522</v>
      </c>
      <c r="S306" t="str">
        <f>IF($W306&lt;&gt;"NAO ACEITO","",COUNTIFS($W$2:$W306,"NAO ACEITO"))</f>
        <v/>
      </c>
      <c r="T306" t="str">
        <f>IF($B306="","",IF(COUNTIF($B$2:$B306,$B306)=1,MAX($T$1:$T305)+1,""))</f>
        <v/>
      </c>
      <c r="U306" t="str">
        <f>IF($D306="","",IF(COUNTIF($D$2:$D306,$D306)=1,MAX($U$1:$U305)+1,""))</f>
        <v/>
      </c>
      <c r="V306">
        <f>IF($D306="","",IF(COUNTIFS($B$2:$B306,$B306,$D$2:$D306,$D306)=1,1,0))</f>
        <v>0</v>
      </c>
      <c r="W306" t="str">
        <f>IF($D306="","",mEQA.PadronizarStatus($L306))</f>
        <v>ACEITO</v>
      </c>
      <c r="X306" t="str">
        <f>IF(OR($D306="",$W306&lt;&gt;"NAO ACEITO"),"",IF(COUNTIFS($D$2:$D306,$D306,$W$2:$W306,"NAO ACEITO")=1,1,0))</f>
        <v/>
      </c>
    </row>
    <row r="307" spans="1:24" x14ac:dyDescent="0.3">
      <c r="A307" t="s">
        <v>402</v>
      </c>
      <c r="B307" t="s">
        <v>514</v>
      </c>
      <c r="C307" s="126">
        <v>2025</v>
      </c>
      <c r="D307" t="s">
        <v>467</v>
      </c>
      <c r="E307" t="s">
        <v>515</v>
      </c>
      <c r="F307" s="137">
        <v>141</v>
      </c>
      <c r="G307" s="138">
        <v>133.6</v>
      </c>
      <c r="H307" s="138">
        <v>3.4</v>
      </c>
      <c r="I307" s="139">
        <v>2.2000000000000002</v>
      </c>
      <c r="J307" s="137">
        <v>113</v>
      </c>
      <c r="K307" s="137">
        <v>154</v>
      </c>
      <c r="L307" t="s">
        <v>499</v>
      </c>
      <c r="M307" s="126">
        <v>281</v>
      </c>
      <c r="N307" t="s">
        <v>123</v>
      </c>
      <c r="O307" s="137">
        <f t="shared" si="8"/>
        <v>5.5389221556886277</v>
      </c>
      <c r="P307" s="137">
        <f t="shared" si="9"/>
        <v>5.5389221556886277</v>
      </c>
      <c r="Q307" s="126">
        <v>6</v>
      </c>
      <c r="R307" t="s">
        <v>523</v>
      </c>
      <c r="S307" t="str">
        <f>IF($W307&lt;&gt;"NAO ACEITO","",COUNTIFS($W$2:$W307,"NAO ACEITO"))</f>
        <v/>
      </c>
      <c r="T307">
        <f>IF($B307="","",IF(COUNTIF($B$2:$B307,$B307)=1,MAX($T$1:$T306)+1,""))</f>
        <v>3</v>
      </c>
      <c r="U307" t="str">
        <f>IF($D307="","",IF(COUNTIF($D$2:$D307,$D307)=1,MAX($U$1:$U306)+1,""))</f>
        <v/>
      </c>
      <c r="V307">
        <f>IF($D307="","",IF(COUNTIFS($B$2:$B307,$B307,$D$2:$D307,$D307)=1,1,0))</f>
        <v>1</v>
      </c>
      <c r="W307" t="str">
        <f>IF($D307="","",mEQA.PadronizarStatus($L307))</f>
        <v>ACEITO</v>
      </c>
      <c r="X307" t="str">
        <f>IF(OR($D307="",$W307&lt;&gt;"NAO ACEITO"),"",IF(COUNTIFS($D$2:$D307,$D307,$W$2:$W307,"NAO ACEITO")=1,1,0))</f>
        <v/>
      </c>
    </row>
    <row r="308" spans="1:24" x14ac:dyDescent="0.3">
      <c r="A308" t="s">
        <v>402</v>
      </c>
      <c r="B308" t="s">
        <v>514</v>
      </c>
      <c r="C308" s="126">
        <v>2025</v>
      </c>
      <c r="D308" t="s">
        <v>467</v>
      </c>
      <c r="E308" t="s">
        <v>516</v>
      </c>
      <c r="F308" s="137">
        <v>40</v>
      </c>
      <c r="G308" s="138">
        <v>41.5</v>
      </c>
      <c r="H308" s="138">
        <v>2.2000000000000002</v>
      </c>
      <c r="I308" s="139">
        <v>-0.7</v>
      </c>
      <c r="J308" s="137">
        <v>35</v>
      </c>
      <c r="K308" s="137">
        <v>48</v>
      </c>
      <c r="L308" t="s">
        <v>499</v>
      </c>
      <c r="M308" s="126">
        <v>284</v>
      </c>
      <c r="N308" t="s">
        <v>123</v>
      </c>
      <c r="O308" s="137">
        <f t="shared" si="8"/>
        <v>-3.6144578313253009</v>
      </c>
      <c r="P308" s="137">
        <f t="shared" si="9"/>
        <v>3.6144578313253009</v>
      </c>
      <c r="Q308" s="126">
        <v>6</v>
      </c>
      <c r="R308" t="s">
        <v>523</v>
      </c>
      <c r="S308" t="str">
        <f>IF($W308&lt;&gt;"NAO ACEITO","",COUNTIFS($W$2:$W308,"NAO ACEITO"))</f>
        <v/>
      </c>
      <c r="T308" t="str">
        <f>IF($B308="","",IF(COUNTIF($B$2:$B308,$B308)=1,MAX($T$1:$T307)+1,""))</f>
        <v/>
      </c>
      <c r="U308" t="str">
        <f>IF($D308="","",IF(COUNTIF($D$2:$D308,$D308)=1,MAX($U$1:$U307)+1,""))</f>
        <v/>
      </c>
      <c r="V308">
        <f>IF($D308="","",IF(COUNTIFS($B$2:$B308,$B308,$D$2:$D308,$D308)=1,1,0))</f>
        <v>0</v>
      </c>
      <c r="W308" t="str">
        <f>IF($D308="","",mEQA.PadronizarStatus($L308))</f>
        <v>ACEITO</v>
      </c>
      <c r="X308" t="str">
        <f>IF(OR($D308="",$W308&lt;&gt;"NAO ACEITO"),"",IF(COUNTIFS($D$2:$D308,$D308,$W$2:$W308,"NAO ACEITO")=1,1,0))</f>
        <v/>
      </c>
    </row>
    <row r="309" spans="1:24" x14ac:dyDescent="0.3">
      <c r="A309" t="s">
        <v>402</v>
      </c>
      <c r="B309" t="s">
        <v>514</v>
      </c>
      <c r="C309" s="126">
        <v>2025</v>
      </c>
      <c r="D309" t="s">
        <v>467</v>
      </c>
      <c r="E309" t="s">
        <v>517</v>
      </c>
      <c r="F309" s="137">
        <v>255</v>
      </c>
      <c r="G309" s="138">
        <v>248</v>
      </c>
      <c r="H309" s="138">
        <v>5.0999999999999996</v>
      </c>
      <c r="I309" s="139">
        <v>1.4</v>
      </c>
      <c r="J309" s="137">
        <v>210</v>
      </c>
      <c r="K309" s="137">
        <v>286</v>
      </c>
      <c r="L309" t="s">
        <v>499</v>
      </c>
      <c r="M309" s="126">
        <v>282</v>
      </c>
      <c r="N309" t="s">
        <v>123</v>
      </c>
      <c r="O309" s="137">
        <f t="shared" si="8"/>
        <v>2.82258064516129</v>
      </c>
      <c r="P309" s="137">
        <f t="shared" si="9"/>
        <v>2.82258064516129</v>
      </c>
      <c r="Q309" s="126">
        <v>6</v>
      </c>
      <c r="R309" t="s">
        <v>523</v>
      </c>
      <c r="S309" t="str">
        <f>IF($W309&lt;&gt;"NAO ACEITO","",COUNTIFS($W$2:$W309,"NAO ACEITO"))</f>
        <v/>
      </c>
      <c r="T309" t="str">
        <f>IF($B309="","",IF(COUNTIF($B$2:$B309,$B309)=1,MAX($T$1:$T308)+1,""))</f>
        <v/>
      </c>
      <c r="U309" t="str">
        <f>IF($D309="","",IF(COUNTIF($D$2:$D309,$D309)=1,MAX($U$1:$U308)+1,""))</f>
        <v/>
      </c>
      <c r="V309">
        <f>IF($D309="","",IF(COUNTIFS($B$2:$B309,$B309,$D$2:$D309,$D309)=1,1,0))</f>
        <v>0</v>
      </c>
      <c r="W309" t="str">
        <f>IF($D309="","",mEQA.PadronizarStatus($L309))</f>
        <v>ACEITO</v>
      </c>
      <c r="X309" t="str">
        <f>IF(OR($D309="",$W309&lt;&gt;"NAO ACEITO"),"",IF(COUNTIFS($D$2:$D309,$D309,$W$2:$W309,"NAO ACEITO")=1,1,0))</f>
        <v/>
      </c>
    </row>
    <row r="310" spans="1:24" x14ac:dyDescent="0.3">
      <c r="A310" t="s">
        <v>402</v>
      </c>
      <c r="B310" t="s">
        <v>514</v>
      </c>
      <c r="C310" s="126">
        <v>2025</v>
      </c>
      <c r="D310" t="s">
        <v>467</v>
      </c>
      <c r="E310" t="s">
        <v>518</v>
      </c>
      <c r="F310" s="137">
        <v>103</v>
      </c>
      <c r="G310" s="138">
        <v>99.2</v>
      </c>
      <c r="H310" s="138">
        <v>2.8</v>
      </c>
      <c r="I310" s="139">
        <v>1.4</v>
      </c>
      <c r="J310" s="137">
        <v>84</v>
      </c>
      <c r="K310" s="137">
        <v>115</v>
      </c>
      <c r="L310" t="s">
        <v>499</v>
      </c>
      <c r="M310" s="126">
        <v>282</v>
      </c>
      <c r="N310" t="s">
        <v>123</v>
      </c>
      <c r="O310" s="137">
        <f t="shared" si="8"/>
        <v>3.8306451612903198</v>
      </c>
      <c r="P310" s="137">
        <f t="shared" si="9"/>
        <v>3.8306451612903198</v>
      </c>
      <c r="Q310" s="126">
        <v>6</v>
      </c>
      <c r="R310" t="s">
        <v>523</v>
      </c>
      <c r="S310" t="str">
        <f>IF($W310&lt;&gt;"NAO ACEITO","",COUNTIFS($W$2:$W310,"NAO ACEITO"))</f>
        <v/>
      </c>
      <c r="T310" t="str">
        <f>IF($B310="","",IF(COUNTIF($B$2:$B310,$B310)=1,MAX($T$1:$T309)+1,""))</f>
        <v/>
      </c>
      <c r="U310" t="str">
        <f>IF($D310="","",IF(COUNTIF($D$2:$D310,$D310)=1,MAX($U$1:$U309)+1,""))</f>
        <v/>
      </c>
      <c r="V310">
        <f>IF($D310="","",IF(COUNTIFS($B$2:$B310,$B310,$D$2:$D310,$D310)=1,1,0))</f>
        <v>0</v>
      </c>
      <c r="W310" t="str">
        <f>IF($D310="","",mEQA.PadronizarStatus($L310))</f>
        <v>ACEITO</v>
      </c>
      <c r="X310" t="str">
        <f>IF(OR($D310="",$W310&lt;&gt;"NAO ACEITO"),"",IF(COUNTIFS($D$2:$D310,$D310,$W$2:$W310,"NAO ACEITO")=1,1,0))</f>
        <v/>
      </c>
    </row>
    <row r="311" spans="1:24" x14ac:dyDescent="0.3">
      <c r="A311" t="s">
        <v>402</v>
      </c>
      <c r="B311" t="s">
        <v>514</v>
      </c>
      <c r="C311" s="126">
        <v>2025</v>
      </c>
      <c r="D311" t="s">
        <v>467</v>
      </c>
      <c r="E311" t="s">
        <v>519</v>
      </c>
      <c r="F311" s="137">
        <v>108</v>
      </c>
      <c r="G311" s="138">
        <v>104.4</v>
      </c>
      <c r="H311" s="138">
        <v>3.3</v>
      </c>
      <c r="I311" s="139">
        <v>1.1000000000000001</v>
      </c>
      <c r="J311" s="137">
        <v>88</v>
      </c>
      <c r="K311" s="137">
        <v>121</v>
      </c>
      <c r="L311" t="s">
        <v>499</v>
      </c>
      <c r="M311" s="126">
        <v>282</v>
      </c>
      <c r="N311" t="s">
        <v>123</v>
      </c>
      <c r="O311" s="137">
        <f t="shared" si="8"/>
        <v>3.44827586206896</v>
      </c>
      <c r="P311" s="137">
        <f t="shared" si="9"/>
        <v>3.44827586206896</v>
      </c>
      <c r="Q311" s="126">
        <v>6</v>
      </c>
      <c r="R311" t="s">
        <v>523</v>
      </c>
      <c r="S311" t="str">
        <f>IF($W311&lt;&gt;"NAO ACEITO","",COUNTIFS($W$2:$W311,"NAO ACEITO"))</f>
        <v/>
      </c>
      <c r="T311" t="str">
        <f>IF($B311="","",IF(COUNTIF($B$2:$B311,$B311)=1,MAX($T$1:$T310)+1,""))</f>
        <v/>
      </c>
      <c r="U311" t="str">
        <f>IF($D311="","",IF(COUNTIF($D$2:$D311,$D311)=1,MAX($U$1:$U310)+1,""))</f>
        <v/>
      </c>
      <c r="V311">
        <f>IF($D311="","",IF(COUNTIFS($B$2:$B311,$B311,$D$2:$D311,$D311)=1,1,0))</f>
        <v>0</v>
      </c>
      <c r="W311" t="str">
        <f>IF($D311="","",mEQA.PadronizarStatus($L311))</f>
        <v>ACEITO</v>
      </c>
      <c r="X311" t="str">
        <f>IF(OR($D311="",$W311&lt;&gt;"NAO ACEITO"),"",IF(COUNTIFS($D$2:$D311,$D311,$W$2:$W311,"NAO ACEITO")=1,1,0))</f>
        <v/>
      </c>
    </row>
    <row r="312" spans="1:24" x14ac:dyDescent="0.3">
      <c r="A312" t="s">
        <v>402</v>
      </c>
      <c r="B312" t="s">
        <v>514</v>
      </c>
      <c r="C312" s="126">
        <v>2025</v>
      </c>
      <c r="D312" t="s">
        <v>468</v>
      </c>
      <c r="E312" t="s">
        <v>515</v>
      </c>
      <c r="F312" s="137">
        <v>149</v>
      </c>
      <c r="G312" s="138">
        <v>139.4</v>
      </c>
      <c r="H312" s="138">
        <v>4.2</v>
      </c>
      <c r="I312" s="139">
        <v>2.2999999999999998</v>
      </c>
      <c r="J312" s="137">
        <v>118</v>
      </c>
      <c r="K312" s="137">
        <v>161</v>
      </c>
      <c r="L312" t="s">
        <v>499</v>
      </c>
      <c r="M312" s="126">
        <v>288</v>
      </c>
      <c r="N312" t="s">
        <v>123</v>
      </c>
      <c r="O312" s="137">
        <f t="shared" si="8"/>
        <v>6.8866571018651319</v>
      </c>
      <c r="P312" s="137">
        <f t="shared" si="9"/>
        <v>6.8866571018651319</v>
      </c>
      <c r="Q312" s="126">
        <v>7</v>
      </c>
      <c r="R312" t="s">
        <v>523</v>
      </c>
      <c r="S312" t="str">
        <f>IF($W312&lt;&gt;"NAO ACEITO","",COUNTIFS($W$2:$W312,"NAO ACEITO"))</f>
        <v/>
      </c>
      <c r="T312" t="str">
        <f>IF($B312="","",IF(COUNTIF($B$2:$B312,$B312)=1,MAX($T$1:$T311)+1,""))</f>
        <v/>
      </c>
      <c r="U312" t="str">
        <f>IF($D312="","",IF(COUNTIF($D$2:$D312,$D312)=1,MAX($U$1:$U311)+1,""))</f>
        <v/>
      </c>
      <c r="V312">
        <f>IF($D312="","",IF(COUNTIFS($B$2:$B312,$B312,$D$2:$D312,$D312)=1,1,0))</f>
        <v>1</v>
      </c>
      <c r="W312" t="str">
        <f>IF($D312="","",mEQA.PadronizarStatus($L312))</f>
        <v>ACEITO</v>
      </c>
      <c r="X312" t="str">
        <f>IF(OR($D312="",$W312&lt;&gt;"NAO ACEITO"),"",IF(COUNTIFS($D$2:$D312,$D312,$W$2:$W312,"NAO ACEITO")=1,1,0))</f>
        <v/>
      </c>
    </row>
    <row r="313" spans="1:24" x14ac:dyDescent="0.3">
      <c r="A313" t="s">
        <v>402</v>
      </c>
      <c r="B313" t="s">
        <v>514</v>
      </c>
      <c r="C313" s="126">
        <v>2025</v>
      </c>
      <c r="D313" t="s">
        <v>468</v>
      </c>
      <c r="E313" t="s">
        <v>516</v>
      </c>
      <c r="F313" s="137">
        <v>43</v>
      </c>
      <c r="G313" s="138">
        <v>39.9</v>
      </c>
      <c r="H313" s="138">
        <v>2.2000000000000002</v>
      </c>
      <c r="I313" s="139">
        <v>1.4</v>
      </c>
      <c r="J313" s="137">
        <v>33</v>
      </c>
      <c r="K313" s="137">
        <v>46</v>
      </c>
      <c r="L313" t="s">
        <v>499</v>
      </c>
      <c r="M313" s="126">
        <v>285</v>
      </c>
      <c r="N313" t="s">
        <v>123</v>
      </c>
      <c r="O313" s="137">
        <f t="shared" si="8"/>
        <v>7.7694235588972465</v>
      </c>
      <c r="P313" s="137">
        <f t="shared" si="9"/>
        <v>7.7694235588972465</v>
      </c>
      <c r="Q313" s="126">
        <v>7</v>
      </c>
      <c r="R313" t="s">
        <v>523</v>
      </c>
      <c r="S313" t="str">
        <f>IF($W313&lt;&gt;"NAO ACEITO","",COUNTIFS($W$2:$W313,"NAO ACEITO"))</f>
        <v/>
      </c>
      <c r="T313" t="str">
        <f>IF($B313="","",IF(COUNTIF($B$2:$B313,$B313)=1,MAX($T$1:$T312)+1,""))</f>
        <v/>
      </c>
      <c r="U313" t="str">
        <f>IF($D313="","",IF(COUNTIF($D$2:$D313,$D313)=1,MAX($U$1:$U312)+1,""))</f>
        <v/>
      </c>
      <c r="V313">
        <f>IF($D313="","",IF(COUNTIFS($B$2:$B313,$B313,$D$2:$D313,$D313)=1,1,0))</f>
        <v>0</v>
      </c>
      <c r="W313" t="str">
        <f>IF($D313="","",mEQA.PadronizarStatus($L313))</f>
        <v>ACEITO</v>
      </c>
      <c r="X313" t="str">
        <f>IF(OR($D313="",$W313&lt;&gt;"NAO ACEITO"),"",IF(COUNTIFS($D$2:$D313,$D313,$W$2:$W313,"NAO ACEITO")=1,1,0))</f>
        <v/>
      </c>
    </row>
    <row r="314" spans="1:24" x14ac:dyDescent="0.3">
      <c r="A314" t="s">
        <v>402</v>
      </c>
      <c r="B314" t="s">
        <v>514</v>
      </c>
      <c r="C314" s="126">
        <v>2025</v>
      </c>
      <c r="D314" t="s">
        <v>468</v>
      </c>
      <c r="E314" t="s">
        <v>517</v>
      </c>
      <c r="F314" s="137">
        <v>330</v>
      </c>
      <c r="G314" s="138">
        <v>308.7</v>
      </c>
      <c r="H314" s="138">
        <v>7.6</v>
      </c>
      <c r="I314" s="139">
        <v>2.8</v>
      </c>
      <c r="J314" s="137">
        <v>262</v>
      </c>
      <c r="K314" s="137">
        <v>355</v>
      </c>
      <c r="L314" t="s">
        <v>499</v>
      </c>
      <c r="M314" s="126">
        <v>288</v>
      </c>
      <c r="N314" t="s">
        <v>123</v>
      </c>
      <c r="O314" s="137">
        <f t="shared" si="8"/>
        <v>6.8999028182701689</v>
      </c>
      <c r="P314" s="137">
        <f t="shared" si="9"/>
        <v>6.8999028182701689</v>
      </c>
      <c r="Q314" s="126">
        <v>7</v>
      </c>
      <c r="R314" t="s">
        <v>523</v>
      </c>
      <c r="S314" t="str">
        <f>IF($W314&lt;&gt;"NAO ACEITO","",COUNTIFS($W$2:$W314,"NAO ACEITO"))</f>
        <v/>
      </c>
      <c r="T314" t="str">
        <f>IF($B314="","",IF(COUNTIF($B$2:$B314,$B314)=1,MAX($T$1:$T313)+1,""))</f>
        <v/>
      </c>
      <c r="U314" t="str">
        <f>IF($D314="","",IF(COUNTIF($D$2:$D314,$D314)=1,MAX($U$1:$U313)+1,""))</f>
        <v/>
      </c>
      <c r="V314">
        <f>IF($D314="","",IF(COUNTIFS($B$2:$B314,$B314,$D$2:$D314,$D314)=1,1,0))</f>
        <v>0</v>
      </c>
      <c r="W314" t="str">
        <f>IF($D314="","",mEQA.PadronizarStatus($L314))</f>
        <v>ACEITO</v>
      </c>
      <c r="X314" t="str">
        <f>IF(OR($D314="",$W314&lt;&gt;"NAO ACEITO"),"",IF(COUNTIFS($D$2:$D314,$D314,$W$2:$W314,"NAO ACEITO")=1,1,0))</f>
        <v/>
      </c>
    </row>
    <row r="315" spans="1:24" x14ac:dyDescent="0.3">
      <c r="A315" t="s">
        <v>402</v>
      </c>
      <c r="B315" t="s">
        <v>514</v>
      </c>
      <c r="C315" s="126">
        <v>2025</v>
      </c>
      <c r="D315" t="s">
        <v>468</v>
      </c>
      <c r="E315" t="s">
        <v>518</v>
      </c>
      <c r="F315" s="137">
        <v>122</v>
      </c>
      <c r="G315" s="138">
        <v>114.6</v>
      </c>
      <c r="H315" s="138">
        <v>3.6</v>
      </c>
      <c r="I315" s="139">
        <v>2.1</v>
      </c>
      <c r="J315" s="137">
        <v>97</v>
      </c>
      <c r="K315" s="137">
        <v>132</v>
      </c>
      <c r="L315" t="s">
        <v>499</v>
      </c>
      <c r="M315" s="126">
        <v>289</v>
      </c>
      <c r="N315" t="s">
        <v>123</v>
      </c>
      <c r="O315" s="137">
        <f t="shared" si="8"/>
        <v>6.4572425828970381</v>
      </c>
      <c r="P315" s="137">
        <f t="shared" si="9"/>
        <v>6.4572425828970381</v>
      </c>
      <c r="Q315" s="126">
        <v>7</v>
      </c>
      <c r="R315" t="s">
        <v>523</v>
      </c>
      <c r="S315" t="str">
        <f>IF($W315&lt;&gt;"NAO ACEITO","",COUNTIFS($W$2:$W315,"NAO ACEITO"))</f>
        <v/>
      </c>
      <c r="T315" t="str">
        <f>IF($B315="","",IF(COUNTIF($B$2:$B315,$B315)=1,MAX($T$1:$T314)+1,""))</f>
        <v/>
      </c>
      <c r="U315" t="str">
        <f>IF($D315="","",IF(COUNTIF($D$2:$D315,$D315)=1,MAX($U$1:$U314)+1,""))</f>
        <v/>
      </c>
      <c r="V315">
        <f>IF($D315="","",IF(COUNTIFS($B$2:$B315,$B315,$D$2:$D315,$D315)=1,1,0))</f>
        <v>0</v>
      </c>
      <c r="W315" t="str">
        <f>IF($D315="","",mEQA.PadronizarStatus($L315))</f>
        <v>ACEITO</v>
      </c>
      <c r="X315" t="str">
        <f>IF(OR($D315="",$W315&lt;&gt;"NAO ACEITO"),"",IF(COUNTIFS($D$2:$D315,$D315,$W$2:$W315,"NAO ACEITO")=1,1,0))</f>
        <v/>
      </c>
    </row>
    <row r="316" spans="1:24" x14ac:dyDescent="0.3">
      <c r="A316" t="s">
        <v>402</v>
      </c>
      <c r="B316" t="s">
        <v>514</v>
      </c>
      <c r="C316" s="126">
        <v>2025</v>
      </c>
      <c r="D316" t="s">
        <v>468</v>
      </c>
      <c r="E316" t="s">
        <v>519</v>
      </c>
      <c r="F316" s="137">
        <v>121</v>
      </c>
      <c r="G316" s="138">
        <v>108.3</v>
      </c>
      <c r="H316" s="138">
        <v>3.8</v>
      </c>
      <c r="I316" s="139">
        <v>3.4</v>
      </c>
      <c r="J316" s="137">
        <v>92</v>
      </c>
      <c r="K316" s="137">
        <v>125</v>
      </c>
      <c r="L316" t="s">
        <v>499</v>
      </c>
      <c r="M316" s="126">
        <v>288</v>
      </c>
      <c r="N316" t="s">
        <v>123</v>
      </c>
      <c r="O316" s="137">
        <f t="shared" si="8"/>
        <v>11.726685133887353</v>
      </c>
      <c r="P316" s="137">
        <f t="shared" si="9"/>
        <v>11.726685133887353</v>
      </c>
      <c r="Q316" s="126">
        <v>7</v>
      </c>
      <c r="R316" t="s">
        <v>523</v>
      </c>
      <c r="S316" t="str">
        <f>IF($W316&lt;&gt;"NAO ACEITO","",COUNTIFS($W$2:$W316,"NAO ACEITO"))</f>
        <v/>
      </c>
      <c r="T316" t="str">
        <f>IF($B316="","",IF(COUNTIF($B$2:$B316,$B316)=1,MAX($T$1:$T315)+1,""))</f>
        <v/>
      </c>
      <c r="U316" t="str">
        <f>IF($D316="","",IF(COUNTIF($D$2:$D316,$D316)=1,MAX($U$1:$U315)+1,""))</f>
        <v/>
      </c>
      <c r="V316">
        <f>IF($D316="","",IF(COUNTIFS($B$2:$B316,$B316,$D$2:$D316,$D316)=1,1,0))</f>
        <v>0</v>
      </c>
      <c r="W316" t="str">
        <f>IF($D316="","",mEQA.PadronizarStatus($L316))</f>
        <v>ACEITO</v>
      </c>
      <c r="X316" t="str">
        <f>IF(OR($D316="",$W316&lt;&gt;"NAO ACEITO"),"",IF(COUNTIFS($D$2:$D316,$D316,$W$2:$W316,"NAO ACEITO")=1,1,0))</f>
        <v/>
      </c>
    </row>
    <row r="317" spans="1:24" x14ac:dyDescent="0.3">
      <c r="A317" t="s">
        <v>402</v>
      </c>
      <c r="B317" t="s">
        <v>514</v>
      </c>
      <c r="C317" s="126">
        <v>2025</v>
      </c>
      <c r="D317" t="s">
        <v>469</v>
      </c>
      <c r="E317" t="s">
        <v>515</v>
      </c>
      <c r="F317" s="137">
        <v>4.4000000000000004</v>
      </c>
      <c r="G317" s="138">
        <v>4.57</v>
      </c>
      <c r="H317" s="138">
        <v>0.09</v>
      </c>
      <c r="I317" s="139">
        <v>-1.8</v>
      </c>
      <c r="J317" s="137">
        <v>4.2</v>
      </c>
      <c r="K317" s="137">
        <v>5</v>
      </c>
      <c r="L317" t="s">
        <v>499</v>
      </c>
      <c r="M317" s="126">
        <v>393</v>
      </c>
      <c r="N317" t="s">
        <v>129</v>
      </c>
      <c r="O317" s="137">
        <f t="shared" si="8"/>
        <v>-3.7199124726477004</v>
      </c>
      <c r="P317" s="137">
        <f t="shared" si="9"/>
        <v>3.7199124726477004</v>
      </c>
      <c r="Q317" s="126">
        <v>6</v>
      </c>
      <c r="R317" t="s">
        <v>523</v>
      </c>
      <c r="S317" t="str">
        <f>IF($W317&lt;&gt;"NAO ACEITO","",COUNTIFS($W$2:$W317,"NAO ACEITO"))</f>
        <v/>
      </c>
      <c r="T317" t="str">
        <f>IF($B317="","",IF(COUNTIF($B$2:$B317,$B317)=1,MAX($T$1:$T316)+1,""))</f>
        <v/>
      </c>
      <c r="U317" t="str">
        <f>IF($D317="","",IF(COUNTIF($D$2:$D317,$D317)=1,MAX($U$1:$U316)+1,""))</f>
        <v/>
      </c>
      <c r="V317">
        <f>IF($D317="","",IF(COUNTIFS($B$2:$B317,$B317,$D$2:$D317,$D317)=1,1,0))</f>
        <v>1</v>
      </c>
      <c r="W317" t="str">
        <f>IF($D317="","",mEQA.PadronizarStatus($L317))</f>
        <v>ACEITO</v>
      </c>
      <c r="X317" t="str">
        <f>IF(OR($D317="",$W317&lt;&gt;"NAO ACEITO"),"",IF(COUNTIFS($D$2:$D317,$D317,$W$2:$W317,"NAO ACEITO")=1,1,0))</f>
        <v/>
      </c>
    </row>
    <row r="318" spans="1:24" x14ac:dyDescent="0.3">
      <c r="A318" t="s">
        <v>402</v>
      </c>
      <c r="B318" t="s">
        <v>514</v>
      </c>
      <c r="C318" s="126">
        <v>2025</v>
      </c>
      <c r="D318" t="s">
        <v>469</v>
      </c>
      <c r="E318" t="s">
        <v>516</v>
      </c>
      <c r="F318" s="137">
        <v>1.6</v>
      </c>
      <c r="G318" s="138">
        <v>1.73</v>
      </c>
      <c r="H318" s="138">
        <v>0.06</v>
      </c>
      <c r="I318" s="139">
        <v>-2.2999999999999998</v>
      </c>
      <c r="J318" s="137">
        <v>1.5</v>
      </c>
      <c r="K318" s="137">
        <v>1.9</v>
      </c>
      <c r="L318" t="s">
        <v>499</v>
      </c>
      <c r="M318" s="126">
        <v>395</v>
      </c>
      <c r="N318" t="s">
        <v>129</v>
      </c>
      <c r="O318" s="137">
        <f t="shared" si="8"/>
        <v>-7.5144508670520169</v>
      </c>
      <c r="P318" s="137">
        <f t="shared" si="9"/>
        <v>7.5144508670520169</v>
      </c>
      <c r="Q318" s="126">
        <v>6</v>
      </c>
      <c r="R318" t="s">
        <v>523</v>
      </c>
      <c r="S318" t="str">
        <f>IF($W318&lt;&gt;"NAO ACEITO","",COUNTIFS($W$2:$W318,"NAO ACEITO"))</f>
        <v/>
      </c>
      <c r="T318" t="str">
        <f>IF($B318="","",IF(COUNTIF($B$2:$B318,$B318)=1,MAX($T$1:$T317)+1,""))</f>
        <v/>
      </c>
      <c r="U318" t="str">
        <f>IF($D318="","",IF(COUNTIF($D$2:$D318,$D318)=1,MAX($U$1:$U317)+1,""))</f>
        <v/>
      </c>
      <c r="V318">
        <f>IF($D318="","",IF(COUNTIFS($B$2:$B318,$B318,$D$2:$D318,$D318)=1,1,0))</f>
        <v>0</v>
      </c>
      <c r="W318" t="str">
        <f>IF($D318="","",mEQA.PadronizarStatus($L318))</f>
        <v>ACEITO</v>
      </c>
      <c r="X318" t="str">
        <f>IF(OR($D318="",$W318&lt;&gt;"NAO ACEITO"),"",IF(COUNTIFS($D$2:$D318,$D318,$W$2:$W318,"NAO ACEITO")=1,1,0))</f>
        <v/>
      </c>
    </row>
    <row r="319" spans="1:24" x14ac:dyDescent="0.3">
      <c r="A319" t="s">
        <v>402</v>
      </c>
      <c r="B319" t="s">
        <v>514</v>
      </c>
      <c r="C319" s="126">
        <v>2025</v>
      </c>
      <c r="D319" t="s">
        <v>469</v>
      </c>
      <c r="E319" t="s">
        <v>517</v>
      </c>
      <c r="F319" s="137">
        <v>2.1</v>
      </c>
      <c r="G319" s="138">
        <v>2.29</v>
      </c>
      <c r="H319" s="138">
        <v>0.05</v>
      </c>
      <c r="I319" s="139">
        <v>-3.4</v>
      </c>
      <c r="J319" s="137">
        <v>2.1</v>
      </c>
      <c r="K319" s="137">
        <v>2.5</v>
      </c>
      <c r="L319" t="s">
        <v>499</v>
      </c>
      <c r="M319" s="126">
        <v>390</v>
      </c>
      <c r="N319" t="s">
        <v>129</v>
      </c>
      <c r="O319" s="137">
        <f t="shared" si="8"/>
        <v>-8.2969432314410447</v>
      </c>
      <c r="P319" s="137">
        <f t="shared" si="9"/>
        <v>8.2969432314410447</v>
      </c>
      <c r="Q319" s="126">
        <v>6</v>
      </c>
      <c r="R319" t="s">
        <v>523</v>
      </c>
      <c r="S319" t="str">
        <f>IF($W319&lt;&gt;"NAO ACEITO","",COUNTIFS($W$2:$W319,"NAO ACEITO"))</f>
        <v/>
      </c>
      <c r="T319" t="str">
        <f>IF($B319="","",IF(COUNTIF($B$2:$B319,$B319)=1,MAX($T$1:$T318)+1,""))</f>
        <v/>
      </c>
      <c r="U319" t="str">
        <f>IF($D319="","",IF(COUNTIF($D$2:$D319,$D319)=1,MAX($U$1:$U318)+1,""))</f>
        <v/>
      </c>
      <c r="V319">
        <f>IF($D319="","",IF(COUNTIFS($B$2:$B319,$B319,$D$2:$D319,$D319)=1,1,0))</f>
        <v>0</v>
      </c>
      <c r="W319" t="str">
        <f>IF($D319="","",mEQA.PadronizarStatus($L319))</f>
        <v>ACEITO</v>
      </c>
      <c r="X319" t="str">
        <f>IF(OR($D319="",$W319&lt;&gt;"NAO ACEITO"),"",IF(COUNTIFS($D$2:$D319,$D319,$W$2:$W319,"NAO ACEITO")=1,1,0))</f>
        <v/>
      </c>
    </row>
    <row r="320" spans="1:24" x14ac:dyDescent="0.3">
      <c r="A320" t="s">
        <v>402</v>
      </c>
      <c r="B320" t="s">
        <v>514</v>
      </c>
      <c r="C320" s="126">
        <v>2025</v>
      </c>
      <c r="D320" t="s">
        <v>469</v>
      </c>
      <c r="E320" t="s">
        <v>518</v>
      </c>
      <c r="F320" s="137">
        <v>1.9</v>
      </c>
      <c r="G320" s="138">
        <v>2.1</v>
      </c>
      <c r="H320" s="138">
        <v>0.05</v>
      </c>
      <c r="I320" s="139">
        <v>-4</v>
      </c>
      <c r="J320" s="137">
        <v>1.9</v>
      </c>
      <c r="K320" s="137">
        <v>2.2999999999999998</v>
      </c>
      <c r="L320" t="s">
        <v>499</v>
      </c>
      <c r="M320" s="126">
        <v>393</v>
      </c>
      <c r="N320" t="s">
        <v>129</v>
      </c>
      <c r="O320" s="137">
        <f t="shared" si="8"/>
        <v>-9.5238095238095308</v>
      </c>
      <c r="P320" s="137">
        <f t="shared" si="9"/>
        <v>9.5238095238095308</v>
      </c>
      <c r="Q320" s="126">
        <v>6</v>
      </c>
      <c r="R320" t="s">
        <v>523</v>
      </c>
      <c r="S320" t="str">
        <f>IF($W320&lt;&gt;"NAO ACEITO","",COUNTIFS($W$2:$W320,"NAO ACEITO"))</f>
        <v/>
      </c>
      <c r="T320" t="str">
        <f>IF($B320="","",IF(COUNTIF($B$2:$B320,$B320)=1,MAX($T$1:$T319)+1,""))</f>
        <v/>
      </c>
      <c r="U320" t="str">
        <f>IF($D320="","",IF(COUNTIF($D$2:$D320,$D320)=1,MAX($U$1:$U319)+1,""))</f>
        <v/>
      </c>
      <c r="V320">
        <f>IF($D320="","",IF(COUNTIFS($B$2:$B320,$B320,$D$2:$D320,$D320)=1,1,0))</f>
        <v>0</v>
      </c>
      <c r="W320" t="str">
        <f>IF($D320="","",mEQA.PadronizarStatus($L320))</f>
        <v>ACEITO</v>
      </c>
      <c r="X320" t="str">
        <f>IF(OR($D320="",$W320&lt;&gt;"NAO ACEITO"),"",IF(COUNTIFS($D$2:$D320,$D320,$W$2:$W320,"NAO ACEITO")=1,1,0))</f>
        <v/>
      </c>
    </row>
    <row r="321" spans="1:24" x14ac:dyDescent="0.3">
      <c r="A321" t="s">
        <v>402</v>
      </c>
      <c r="B321" t="s">
        <v>514</v>
      </c>
      <c r="C321" s="126">
        <v>2025</v>
      </c>
      <c r="D321" t="s">
        <v>469</v>
      </c>
      <c r="E321" t="s">
        <v>519</v>
      </c>
      <c r="F321" s="137">
        <v>3.5</v>
      </c>
      <c r="G321" s="138">
        <v>3.65</v>
      </c>
      <c r="H321" s="138">
        <v>0.08</v>
      </c>
      <c r="I321" s="139">
        <v>-2</v>
      </c>
      <c r="J321" s="137">
        <v>3.3</v>
      </c>
      <c r="K321" s="137">
        <v>4</v>
      </c>
      <c r="L321" t="s">
        <v>499</v>
      </c>
      <c r="M321" s="126">
        <v>393</v>
      </c>
      <c r="N321" t="s">
        <v>129</v>
      </c>
      <c r="O321" s="137">
        <f t="shared" si="8"/>
        <v>-4.1095890410958882</v>
      </c>
      <c r="P321" s="137">
        <f t="shared" si="9"/>
        <v>4.1095890410958882</v>
      </c>
      <c r="Q321" s="126">
        <v>6</v>
      </c>
      <c r="R321" t="s">
        <v>523</v>
      </c>
      <c r="S321" t="str">
        <f>IF($W321&lt;&gt;"NAO ACEITO","",COUNTIFS($W$2:$W321,"NAO ACEITO"))</f>
        <v/>
      </c>
      <c r="T321" t="str">
        <f>IF($B321="","",IF(COUNTIF($B$2:$B321,$B321)=1,MAX($T$1:$T320)+1,""))</f>
        <v/>
      </c>
      <c r="U321" t="str">
        <f>IF($D321="","",IF(COUNTIF($D$2:$D321,$D321)=1,MAX($U$1:$U320)+1,""))</f>
        <v/>
      </c>
      <c r="V321">
        <f>IF($D321="","",IF(COUNTIFS($B$2:$B321,$B321,$D$2:$D321,$D321)=1,1,0))</f>
        <v>0</v>
      </c>
      <c r="W321" t="str">
        <f>IF($D321="","",mEQA.PadronizarStatus($L321))</f>
        <v>ACEITO</v>
      </c>
      <c r="X321" t="str">
        <f>IF(OR($D321="",$W321&lt;&gt;"NAO ACEITO"),"",IF(COUNTIFS($D$2:$D321,$D321,$W$2:$W321,"NAO ACEITO")=1,1,0))</f>
        <v/>
      </c>
    </row>
    <row r="322" spans="1:24" x14ac:dyDescent="0.3">
      <c r="A322" t="s">
        <v>402</v>
      </c>
      <c r="B322" t="s">
        <v>514</v>
      </c>
      <c r="C322" s="126">
        <v>2025</v>
      </c>
      <c r="D322" t="s">
        <v>470</v>
      </c>
      <c r="E322" t="s">
        <v>515</v>
      </c>
      <c r="F322" s="137">
        <v>180</v>
      </c>
      <c r="G322" s="138">
        <v>169.5</v>
      </c>
      <c r="H322" s="138">
        <v>6.2</v>
      </c>
      <c r="I322" s="139">
        <v>1.7</v>
      </c>
      <c r="J322" s="137">
        <v>135</v>
      </c>
      <c r="K322" s="137">
        <v>204</v>
      </c>
      <c r="L322" t="s">
        <v>499</v>
      </c>
      <c r="M322" s="126">
        <v>339</v>
      </c>
      <c r="N322" t="s">
        <v>123</v>
      </c>
      <c r="O322" s="137">
        <f t="shared" ref="O322:O385" si="10">IFERROR((F322-G322)/G322*100,"")</f>
        <v>6.1946902654867255</v>
      </c>
      <c r="P322" s="137">
        <f t="shared" ref="P322:P385" si="11">IF(O322="","",ABS(O322))</f>
        <v>6.1946902654867255</v>
      </c>
      <c r="Q322" s="126">
        <v>7</v>
      </c>
      <c r="R322" t="s">
        <v>523</v>
      </c>
      <c r="S322" t="str">
        <f>IF($W322&lt;&gt;"NAO ACEITO","",COUNTIFS($W$2:$W322,"NAO ACEITO"))</f>
        <v/>
      </c>
      <c r="T322" t="str">
        <f>IF($B322="","",IF(COUNTIF($B$2:$B322,$B322)=1,MAX($T$1:$T321)+1,""))</f>
        <v/>
      </c>
      <c r="U322" t="str">
        <f>IF($D322="","",IF(COUNTIF($D$2:$D322,$D322)=1,MAX($U$1:$U321)+1,""))</f>
        <v/>
      </c>
      <c r="V322">
        <f>IF($D322="","",IF(COUNTIFS($B$2:$B322,$B322,$D$2:$D322,$D322)=1,1,0))</f>
        <v>1</v>
      </c>
      <c r="W322" t="str">
        <f>IF($D322="","",mEQA.PadronizarStatus($L322))</f>
        <v>ACEITO</v>
      </c>
      <c r="X322" t="str">
        <f>IF(OR($D322="",$W322&lt;&gt;"NAO ACEITO"),"",IF(COUNTIFS($D$2:$D322,$D322,$W$2:$W322,"NAO ACEITO")=1,1,0))</f>
        <v/>
      </c>
    </row>
    <row r="323" spans="1:24" x14ac:dyDescent="0.3">
      <c r="A323" t="s">
        <v>402</v>
      </c>
      <c r="B323" t="s">
        <v>514</v>
      </c>
      <c r="C323" s="126">
        <v>2025</v>
      </c>
      <c r="D323" t="s">
        <v>470</v>
      </c>
      <c r="E323" t="s">
        <v>516</v>
      </c>
      <c r="F323" s="137">
        <v>67</v>
      </c>
      <c r="G323" s="138">
        <v>60</v>
      </c>
      <c r="H323" s="138">
        <v>3.4</v>
      </c>
      <c r="I323" s="139">
        <v>2</v>
      </c>
      <c r="J323" s="137">
        <v>48</v>
      </c>
      <c r="K323" s="137">
        <v>73</v>
      </c>
      <c r="L323" t="s">
        <v>499</v>
      </c>
      <c r="M323" s="126">
        <v>339</v>
      </c>
      <c r="N323" t="s">
        <v>123</v>
      </c>
      <c r="O323" s="137">
        <f t="shared" si="10"/>
        <v>11.666666666666666</v>
      </c>
      <c r="P323" s="137">
        <f t="shared" si="11"/>
        <v>11.666666666666666</v>
      </c>
      <c r="Q323" s="126">
        <v>7</v>
      </c>
      <c r="R323" t="s">
        <v>523</v>
      </c>
      <c r="S323" t="str">
        <f>IF($W323&lt;&gt;"NAO ACEITO","",COUNTIFS($W$2:$W323,"NAO ACEITO"))</f>
        <v/>
      </c>
      <c r="T323" t="str">
        <f>IF($B323="","",IF(COUNTIF($B$2:$B323,$B323)=1,MAX($T$1:$T322)+1,""))</f>
        <v/>
      </c>
      <c r="U323" t="str">
        <f>IF($D323="","",IF(COUNTIF($D$2:$D323,$D323)=1,MAX($U$1:$U322)+1,""))</f>
        <v/>
      </c>
      <c r="V323">
        <f>IF($D323="","",IF(COUNTIFS($B$2:$B323,$B323,$D$2:$D323,$D323)=1,1,0))</f>
        <v>0</v>
      </c>
      <c r="W323" t="str">
        <f>IF($D323="","",mEQA.PadronizarStatus($L323))</f>
        <v>ACEITO</v>
      </c>
      <c r="X323" t="str">
        <f>IF(OR($D323="",$W323&lt;&gt;"NAO ACEITO"),"",IF(COUNTIFS($D$2:$D323,$D323,$W$2:$W323,"NAO ACEITO")=1,1,0))</f>
        <v/>
      </c>
    </row>
    <row r="324" spans="1:24" x14ac:dyDescent="0.3">
      <c r="A324" t="s">
        <v>402</v>
      </c>
      <c r="B324" t="s">
        <v>514</v>
      </c>
      <c r="C324" s="126">
        <v>2025</v>
      </c>
      <c r="D324" t="s">
        <v>470</v>
      </c>
      <c r="E324" t="s">
        <v>517</v>
      </c>
      <c r="F324" s="137">
        <v>457</v>
      </c>
      <c r="G324" s="138">
        <v>435.5</v>
      </c>
      <c r="H324" s="138">
        <v>11.9</v>
      </c>
      <c r="I324" s="139">
        <v>1.8</v>
      </c>
      <c r="J324" s="137">
        <v>348</v>
      </c>
      <c r="K324" s="137">
        <v>523</v>
      </c>
      <c r="L324" t="s">
        <v>499</v>
      </c>
      <c r="M324" s="126">
        <v>338</v>
      </c>
      <c r="N324" t="s">
        <v>123</v>
      </c>
      <c r="O324" s="137">
        <f t="shared" si="10"/>
        <v>4.9368541905855334</v>
      </c>
      <c r="P324" s="137">
        <f t="shared" si="11"/>
        <v>4.9368541905855334</v>
      </c>
      <c r="Q324" s="126">
        <v>7</v>
      </c>
      <c r="R324" t="s">
        <v>523</v>
      </c>
      <c r="S324" t="str">
        <f>IF($W324&lt;&gt;"NAO ACEITO","",COUNTIFS($W$2:$W324,"NAO ACEITO"))</f>
        <v/>
      </c>
      <c r="T324" t="str">
        <f>IF($B324="","",IF(COUNTIF($B$2:$B324,$B324)=1,MAX($T$1:$T323)+1,""))</f>
        <v/>
      </c>
      <c r="U324" t="str">
        <f>IF($D324="","",IF(COUNTIF($D$2:$D324,$D324)=1,MAX($U$1:$U323)+1,""))</f>
        <v/>
      </c>
      <c r="V324">
        <f>IF($D324="","",IF(COUNTIFS($B$2:$B324,$B324,$D$2:$D324,$D324)=1,1,0))</f>
        <v>0</v>
      </c>
      <c r="W324" t="str">
        <f>IF($D324="","",mEQA.PadronizarStatus($L324))</f>
        <v>ACEITO</v>
      </c>
      <c r="X324" t="str">
        <f>IF(OR($D324="",$W324&lt;&gt;"NAO ACEITO"),"",IF(COUNTIFS($D$2:$D324,$D324,$W$2:$W324,"NAO ACEITO")=1,1,0))</f>
        <v/>
      </c>
    </row>
    <row r="325" spans="1:24" x14ac:dyDescent="0.3">
      <c r="A325" t="s">
        <v>402</v>
      </c>
      <c r="B325" t="s">
        <v>514</v>
      </c>
      <c r="C325" s="126">
        <v>2025</v>
      </c>
      <c r="D325" t="s">
        <v>470</v>
      </c>
      <c r="E325" t="s">
        <v>518</v>
      </c>
      <c r="F325" s="137">
        <v>172</v>
      </c>
      <c r="G325" s="138">
        <v>160.4</v>
      </c>
      <c r="H325" s="138">
        <v>5.8</v>
      </c>
      <c r="I325" s="139">
        <v>2</v>
      </c>
      <c r="J325" s="137">
        <v>128</v>
      </c>
      <c r="K325" s="137">
        <v>193</v>
      </c>
      <c r="L325" t="s">
        <v>499</v>
      </c>
      <c r="M325" s="126">
        <v>337</v>
      </c>
      <c r="N325" t="s">
        <v>123</v>
      </c>
      <c r="O325" s="137">
        <f t="shared" si="10"/>
        <v>7.2319201995012437</v>
      </c>
      <c r="P325" s="137">
        <f t="shared" si="11"/>
        <v>7.2319201995012437</v>
      </c>
      <c r="Q325" s="126">
        <v>7</v>
      </c>
      <c r="R325" t="s">
        <v>523</v>
      </c>
      <c r="S325" t="str">
        <f>IF($W325&lt;&gt;"NAO ACEITO","",COUNTIFS($W$2:$W325,"NAO ACEITO"))</f>
        <v/>
      </c>
      <c r="T325" t="str">
        <f>IF($B325="","",IF(COUNTIF($B$2:$B325,$B325)=1,MAX($T$1:$T324)+1,""))</f>
        <v/>
      </c>
      <c r="U325" t="str">
        <f>IF($D325="","",IF(COUNTIF($D$2:$D325,$D325)=1,MAX($U$1:$U324)+1,""))</f>
        <v/>
      </c>
      <c r="V325">
        <f>IF($D325="","",IF(COUNTIFS($B$2:$B325,$B325,$D$2:$D325,$D325)=1,1,0))</f>
        <v>0</v>
      </c>
      <c r="W325" t="str">
        <f>IF($D325="","",mEQA.PadronizarStatus($L325))</f>
        <v>ACEITO</v>
      </c>
      <c r="X325" t="str">
        <f>IF(OR($D325="",$W325&lt;&gt;"NAO ACEITO"),"",IF(COUNTIFS($D$2:$D325,$D325,$W$2:$W325,"NAO ACEITO")=1,1,0))</f>
        <v/>
      </c>
    </row>
    <row r="326" spans="1:24" x14ac:dyDescent="0.3">
      <c r="A326" t="s">
        <v>402</v>
      </c>
      <c r="B326" t="s">
        <v>514</v>
      </c>
      <c r="C326" s="126">
        <v>2025</v>
      </c>
      <c r="D326" t="s">
        <v>470</v>
      </c>
      <c r="E326" t="s">
        <v>519</v>
      </c>
      <c r="F326" s="137">
        <v>143</v>
      </c>
      <c r="G326" s="138">
        <v>135.19999999999999</v>
      </c>
      <c r="H326" s="138">
        <v>5.6</v>
      </c>
      <c r="I326" s="139">
        <v>1.4</v>
      </c>
      <c r="J326" s="137">
        <v>108</v>
      </c>
      <c r="K326" s="137">
        <v>163</v>
      </c>
      <c r="L326" t="s">
        <v>499</v>
      </c>
      <c r="M326" s="126">
        <v>340</v>
      </c>
      <c r="N326" t="s">
        <v>123</v>
      </c>
      <c r="O326" s="137">
        <f t="shared" si="10"/>
        <v>5.769230769230778</v>
      </c>
      <c r="P326" s="137">
        <f t="shared" si="11"/>
        <v>5.769230769230778</v>
      </c>
      <c r="Q326" s="126">
        <v>7</v>
      </c>
      <c r="R326" t="s">
        <v>523</v>
      </c>
      <c r="S326" t="str">
        <f>IF($W326&lt;&gt;"NAO ACEITO","",COUNTIFS($W$2:$W326,"NAO ACEITO"))</f>
        <v/>
      </c>
      <c r="T326" t="str">
        <f>IF($B326="","",IF(COUNTIF($B$2:$B326,$B326)=1,MAX($T$1:$T325)+1,""))</f>
        <v/>
      </c>
      <c r="U326" t="str">
        <f>IF($D326="","",IF(COUNTIF($D$2:$D326,$D326)=1,MAX($U$1:$U325)+1,""))</f>
        <v/>
      </c>
      <c r="V326">
        <f>IF($D326="","",IF(COUNTIFS($B$2:$B326,$B326,$D$2:$D326,$D326)=1,1,0))</f>
        <v>0</v>
      </c>
      <c r="W326" t="str">
        <f>IF($D326="","",mEQA.PadronizarStatus($L326))</f>
        <v>ACEITO</v>
      </c>
      <c r="X326" t="str">
        <f>IF(OR($D326="",$W326&lt;&gt;"NAO ACEITO"),"",IF(COUNTIFS($D$2:$D326,$D326,$W$2:$W326,"NAO ACEITO")=1,1,0))</f>
        <v/>
      </c>
    </row>
    <row r="327" spans="1:24" x14ac:dyDescent="0.3">
      <c r="A327" t="s">
        <v>402</v>
      </c>
      <c r="B327" t="s">
        <v>514</v>
      </c>
      <c r="C327" s="126">
        <v>2025</v>
      </c>
      <c r="D327" t="s">
        <v>471</v>
      </c>
      <c r="E327" t="s">
        <v>515</v>
      </c>
      <c r="F327" s="137">
        <v>155</v>
      </c>
      <c r="G327" s="138">
        <v>151.6</v>
      </c>
      <c r="H327" s="138">
        <v>1.9</v>
      </c>
      <c r="I327" s="139">
        <v>1.7</v>
      </c>
      <c r="J327" s="137">
        <v>121</v>
      </c>
      <c r="K327" s="137">
        <v>182</v>
      </c>
      <c r="L327" t="s">
        <v>499</v>
      </c>
      <c r="M327" s="126">
        <v>275</v>
      </c>
      <c r="N327" t="s">
        <v>123</v>
      </c>
      <c r="O327" s="137">
        <f t="shared" si="10"/>
        <v>2.2427440633245421</v>
      </c>
      <c r="P327" s="137">
        <f t="shared" si="11"/>
        <v>2.2427440633245421</v>
      </c>
      <c r="Q327" s="126">
        <v>7</v>
      </c>
      <c r="R327" t="s">
        <v>523</v>
      </c>
      <c r="S327" t="str">
        <f>IF($W327&lt;&gt;"NAO ACEITO","",COUNTIFS($W$2:$W327,"NAO ACEITO"))</f>
        <v/>
      </c>
      <c r="T327" t="str">
        <f>IF($B327="","",IF(COUNTIF($B$2:$B327,$B327)=1,MAX($T$1:$T326)+1,""))</f>
        <v/>
      </c>
      <c r="U327" t="str">
        <f>IF($D327="","",IF(COUNTIF($D$2:$D327,$D327)=1,MAX($U$1:$U326)+1,""))</f>
        <v/>
      </c>
      <c r="V327">
        <f>IF($D327="","",IF(COUNTIFS($B$2:$B327,$B327,$D$2:$D327,$D327)=1,1,0))</f>
        <v>1</v>
      </c>
      <c r="W327" t="str">
        <f>IF($D327="","",mEQA.PadronizarStatus($L327))</f>
        <v>ACEITO</v>
      </c>
      <c r="X327" t="str">
        <f>IF(OR($D327="",$W327&lt;&gt;"NAO ACEITO"),"",IF(COUNTIFS($D$2:$D327,$D327,$W$2:$W327,"NAO ACEITO")=1,1,0))</f>
        <v/>
      </c>
    </row>
    <row r="328" spans="1:24" x14ac:dyDescent="0.3">
      <c r="A328" t="s">
        <v>402</v>
      </c>
      <c r="B328" t="s">
        <v>514</v>
      </c>
      <c r="C328" s="126">
        <v>2025</v>
      </c>
      <c r="D328" t="s">
        <v>471</v>
      </c>
      <c r="E328" t="s">
        <v>516</v>
      </c>
      <c r="F328" s="137">
        <v>64</v>
      </c>
      <c r="G328" s="138">
        <v>60.1</v>
      </c>
      <c r="H328" s="138">
        <v>1.2</v>
      </c>
      <c r="I328" s="139">
        <v>3.2</v>
      </c>
      <c r="J328" s="137">
        <v>48</v>
      </c>
      <c r="K328" s="137">
        <v>73</v>
      </c>
      <c r="L328" t="s">
        <v>499</v>
      </c>
      <c r="M328" s="126">
        <v>273</v>
      </c>
      <c r="N328" t="s">
        <v>123</v>
      </c>
      <c r="O328" s="137">
        <f t="shared" si="10"/>
        <v>6.4891846921796974</v>
      </c>
      <c r="P328" s="137">
        <f t="shared" si="11"/>
        <v>6.4891846921796974</v>
      </c>
      <c r="Q328" s="126">
        <v>7</v>
      </c>
      <c r="R328" t="s">
        <v>523</v>
      </c>
      <c r="S328" t="str">
        <f>IF($W328&lt;&gt;"NAO ACEITO","",COUNTIFS($W$2:$W328,"NAO ACEITO"))</f>
        <v/>
      </c>
      <c r="T328" t="str">
        <f>IF($B328="","",IF(COUNTIF($B$2:$B328,$B328)=1,MAX($T$1:$T327)+1,""))</f>
        <v/>
      </c>
      <c r="U328" t="str">
        <f>IF($D328="","",IF(COUNTIF($D$2:$D328,$D328)=1,MAX($U$1:$U327)+1,""))</f>
        <v/>
      </c>
      <c r="V328">
        <f>IF($D328="","",IF(COUNTIFS($B$2:$B328,$B328,$D$2:$D328,$D328)=1,1,0))</f>
        <v>0</v>
      </c>
      <c r="W328" t="str">
        <f>IF($D328="","",mEQA.PadronizarStatus($L328))</f>
        <v>ACEITO</v>
      </c>
      <c r="X328" t="str">
        <f>IF(OR($D328="",$W328&lt;&gt;"NAO ACEITO"),"",IF(COUNTIFS($D$2:$D328,$D328,$W$2:$W328,"NAO ACEITO")=1,1,0))</f>
        <v/>
      </c>
    </row>
    <row r="329" spans="1:24" x14ac:dyDescent="0.3">
      <c r="A329" t="s">
        <v>402</v>
      </c>
      <c r="B329" t="s">
        <v>514</v>
      </c>
      <c r="C329" s="126">
        <v>2025</v>
      </c>
      <c r="D329" t="s">
        <v>471</v>
      </c>
      <c r="E329" t="s">
        <v>517</v>
      </c>
      <c r="F329" s="137">
        <v>456</v>
      </c>
      <c r="G329" s="138">
        <v>445.8</v>
      </c>
      <c r="H329" s="138">
        <v>5.5</v>
      </c>
      <c r="I329" s="139">
        <v>1.9</v>
      </c>
      <c r="J329" s="137">
        <v>356</v>
      </c>
      <c r="K329" s="137">
        <v>535</v>
      </c>
      <c r="L329" t="s">
        <v>499</v>
      </c>
      <c r="M329" s="126">
        <v>275</v>
      </c>
      <c r="N329" t="s">
        <v>123</v>
      </c>
      <c r="O329" s="137">
        <f t="shared" si="10"/>
        <v>2.2880215343203205</v>
      </c>
      <c r="P329" s="137">
        <f t="shared" si="11"/>
        <v>2.2880215343203205</v>
      </c>
      <c r="Q329" s="126">
        <v>7</v>
      </c>
      <c r="R329" t="s">
        <v>523</v>
      </c>
      <c r="S329" t="str">
        <f>IF($W329&lt;&gt;"NAO ACEITO","",COUNTIFS($W$2:$W329,"NAO ACEITO"))</f>
        <v/>
      </c>
      <c r="T329" t="str">
        <f>IF($B329="","",IF(COUNTIF($B$2:$B329,$B329)=1,MAX($T$1:$T328)+1,""))</f>
        <v/>
      </c>
      <c r="U329" t="str">
        <f>IF($D329="","",IF(COUNTIF($D$2:$D329,$D329)=1,MAX($U$1:$U328)+1,""))</f>
        <v/>
      </c>
      <c r="V329">
        <f>IF($D329="","",IF(COUNTIFS($B$2:$B329,$B329,$D$2:$D329,$D329)=1,1,0))</f>
        <v>0</v>
      </c>
      <c r="W329" t="str">
        <f>IF($D329="","",mEQA.PadronizarStatus($L329))</f>
        <v>ACEITO</v>
      </c>
      <c r="X329" t="str">
        <f>IF(OR($D329="",$W329&lt;&gt;"NAO ACEITO"),"",IF(COUNTIFS($D$2:$D329,$D329,$W$2:$W329,"NAO ACEITO")=1,1,0))</f>
        <v/>
      </c>
    </row>
    <row r="330" spans="1:24" x14ac:dyDescent="0.3">
      <c r="A330" t="s">
        <v>402</v>
      </c>
      <c r="B330" t="s">
        <v>514</v>
      </c>
      <c r="C330" s="126">
        <v>2025</v>
      </c>
      <c r="D330" t="s">
        <v>471</v>
      </c>
      <c r="E330" t="s">
        <v>518</v>
      </c>
      <c r="F330" s="137">
        <v>169</v>
      </c>
      <c r="G330" s="138">
        <v>165.5</v>
      </c>
      <c r="H330" s="138">
        <v>2.1</v>
      </c>
      <c r="I330" s="139">
        <v>1.7</v>
      </c>
      <c r="J330" s="137">
        <v>132</v>
      </c>
      <c r="K330" s="137">
        <v>199</v>
      </c>
      <c r="L330" t="s">
        <v>499</v>
      </c>
      <c r="M330" s="126">
        <v>274</v>
      </c>
      <c r="N330" t="s">
        <v>123</v>
      </c>
      <c r="O330" s="137">
        <f t="shared" si="10"/>
        <v>2.1148036253776437</v>
      </c>
      <c r="P330" s="137">
        <f t="shared" si="11"/>
        <v>2.1148036253776437</v>
      </c>
      <c r="Q330" s="126">
        <v>7</v>
      </c>
      <c r="R330" t="s">
        <v>523</v>
      </c>
      <c r="S330" t="str">
        <f>IF($W330&lt;&gt;"NAO ACEITO","",COUNTIFS($W$2:$W330,"NAO ACEITO"))</f>
        <v/>
      </c>
      <c r="T330" t="str">
        <f>IF($B330="","",IF(COUNTIF($B$2:$B330,$B330)=1,MAX($T$1:$T329)+1,""))</f>
        <v/>
      </c>
      <c r="U330" t="str">
        <f>IF($D330="","",IF(COUNTIF($D$2:$D330,$D330)=1,MAX($U$1:$U329)+1,""))</f>
        <v/>
      </c>
      <c r="V330">
        <f>IF($D330="","",IF(COUNTIFS($B$2:$B330,$B330,$D$2:$D330,$D330)=1,1,0))</f>
        <v>0</v>
      </c>
      <c r="W330" t="str">
        <f>IF($D330="","",mEQA.PadronizarStatus($L330))</f>
        <v>ACEITO</v>
      </c>
      <c r="X330" t="str">
        <f>IF(OR($D330="",$W330&lt;&gt;"NAO ACEITO"),"",IF(COUNTIFS($D$2:$D330,$D330,$W$2:$W330,"NAO ACEITO")=1,1,0))</f>
        <v/>
      </c>
    </row>
    <row r="331" spans="1:24" x14ac:dyDescent="0.3">
      <c r="A331" t="s">
        <v>402</v>
      </c>
      <c r="B331" t="s">
        <v>514</v>
      </c>
      <c r="C331" s="126">
        <v>2025</v>
      </c>
      <c r="D331" t="s">
        <v>471</v>
      </c>
      <c r="E331" t="s">
        <v>519</v>
      </c>
      <c r="F331" s="137">
        <v>129</v>
      </c>
      <c r="G331" s="138">
        <v>124.1</v>
      </c>
      <c r="H331" s="138">
        <v>1.6</v>
      </c>
      <c r="I331" s="139">
        <v>3.1</v>
      </c>
      <c r="J331" s="137">
        <v>99</v>
      </c>
      <c r="K331" s="137">
        <v>149</v>
      </c>
      <c r="L331" t="s">
        <v>499</v>
      </c>
      <c r="M331" s="126">
        <v>274</v>
      </c>
      <c r="N331" t="s">
        <v>123</v>
      </c>
      <c r="O331" s="137">
        <f t="shared" si="10"/>
        <v>3.9484286865431151</v>
      </c>
      <c r="P331" s="137">
        <f t="shared" si="11"/>
        <v>3.9484286865431151</v>
      </c>
      <c r="Q331" s="126">
        <v>7</v>
      </c>
      <c r="R331" t="s">
        <v>523</v>
      </c>
      <c r="S331" t="str">
        <f>IF($W331&lt;&gt;"NAO ACEITO","",COUNTIFS($W$2:$W331,"NAO ACEITO"))</f>
        <v/>
      </c>
      <c r="T331" t="str">
        <f>IF($B331="","",IF(COUNTIF($B$2:$B331,$B331)=1,MAX($T$1:$T330)+1,""))</f>
        <v/>
      </c>
      <c r="U331" t="str">
        <f>IF($D331="","",IF(COUNTIF($D$2:$D331,$D331)=1,MAX($U$1:$U330)+1,""))</f>
        <v/>
      </c>
      <c r="V331">
        <f>IF($D331="","",IF(COUNTIFS($B$2:$B331,$B331,$D$2:$D331,$D331)=1,1,0))</f>
        <v>0</v>
      </c>
      <c r="W331" t="str">
        <f>IF($D331="","",mEQA.PadronizarStatus($L331))</f>
        <v>ACEITO</v>
      </c>
      <c r="X331" t="str">
        <f>IF(OR($D331="",$W331&lt;&gt;"NAO ACEITO"),"",IF(COUNTIFS($D$2:$D331,$D331,$W$2:$W331,"NAO ACEITO")=1,1,0))</f>
        <v/>
      </c>
    </row>
    <row r="332" spans="1:24" x14ac:dyDescent="0.3">
      <c r="A332" t="s">
        <v>402</v>
      </c>
      <c r="B332" t="s">
        <v>514</v>
      </c>
      <c r="C332" s="126">
        <v>2025</v>
      </c>
      <c r="D332" t="s">
        <v>472</v>
      </c>
      <c r="E332" t="s">
        <v>515</v>
      </c>
      <c r="F332" s="137">
        <v>0.2</v>
      </c>
      <c r="G332" s="138">
        <v>0.2</v>
      </c>
      <c r="H332" s="138">
        <v>0.06</v>
      </c>
      <c r="I332" s="139">
        <v>0</v>
      </c>
      <c r="J332" s="137">
        <v>0</v>
      </c>
      <c r="K332" s="137">
        <v>0.7</v>
      </c>
      <c r="L332" t="s">
        <v>499</v>
      </c>
      <c r="M332" s="126">
        <v>377</v>
      </c>
      <c r="N332" t="s">
        <v>112</v>
      </c>
      <c r="O332" s="137">
        <f t="shared" si="10"/>
        <v>0</v>
      </c>
      <c r="P332" s="137">
        <f t="shared" si="11"/>
        <v>0</v>
      </c>
      <c r="Q332" s="126">
        <v>2</v>
      </c>
      <c r="R332" t="s">
        <v>523</v>
      </c>
      <c r="S332" t="str">
        <f>IF($W332&lt;&gt;"NAO ACEITO","",COUNTIFS($W$2:$W332,"NAO ACEITO"))</f>
        <v/>
      </c>
      <c r="T332" t="str">
        <f>IF($B332="","",IF(COUNTIF($B$2:$B332,$B332)=1,MAX($T$1:$T331)+1,""))</f>
        <v/>
      </c>
      <c r="U332" t="str">
        <f>IF($D332="","",IF(COUNTIF($D$2:$D332,$D332)=1,MAX($U$1:$U331)+1,""))</f>
        <v/>
      </c>
      <c r="V332">
        <f>IF($D332="","",IF(COUNTIFS($B$2:$B332,$B332,$D$2:$D332,$D332)=1,1,0))</f>
        <v>1</v>
      </c>
      <c r="W332" t="str">
        <f>IF($D332="","",mEQA.PadronizarStatus($L332))</f>
        <v>ACEITO</v>
      </c>
      <c r="X332" t="str">
        <f>IF(OR($D332="",$W332&lt;&gt;"NAO ACEITO"),"",IF(COUNTIFS($D$2:$D332,$D332,$W$2:$W332,"NAO ACEITO")=1,1,0))</f>
        <v/>
      </c>
    </row>
    <row r="333" spans="1:24" x14ac:dyDescent="0.3">
      <c r="A333" t="s">
        <v>402</v>
      </c>
      <c r="B333" t="s">
        <v>514</v>
      </c>
      <c r="C333" s="126">
        <v>2025</v>
      </c>
      <c r="D333" t="s">
        <v>472</v>
      </c>
      <c r="E333" t="s">
        <v>516</v>
      </c>
      <c r="F333" s="137">
        <v>0.4</v>
      </c>
      <c r="G333" s="138">
        <v>0.43</v>
      </c>
      <c r="H333" s="138">
        <v>0.1</v>
      </c>
      <c r="I333" s="139">
        <v>-0.3</v>
      </c>
      <c r="J333" s="137">
        <v>0</v>
      </c>
      <c r="K333" s="137">
        <v>0.9</v>
      </c>
      <c r="L333" t="s">
        <v>499</v>
      </c>
      <c r="M333" s="126">
        <v>375</v>
      </c>
      <c r="N333" t="s">
        <v>112</v>
      </c>
      <c r="O333" s="137">
        <f t="shared" si="10"/>
        <v>-6.9767441860465045</v>
      </c>
      <c r="P333" s="137">
        <f t="shared" si="11"/>
        <v>6.9767441860465045</v>
      </c>
      <c r="Q333" s="126">
        <v>2</v>
      </c>
      <c r="R333" t="s">
        <v>523</v>
      </c>
      <c r="S333" t="str">
        <f>IF($W333&lt;&gt;"NAO ACEITO","",COUNTIFS($W$2:$W333,"NAO ACEITO"))</f>
        <v/>
      </c>
      <c r="T333" t="str">
        <f>IF($B333="","",IF(COUNTIF($B$2:$B333,$B333)=1,MAX($T$1:$T332)+1,""))</f>
        <v/>
      </c>
      <c r="U333" t="str">
        <f>IF($D333="","",IF(COUNTIF($D$2:$D333,$D333)=1,MAX($U$1:$U332)+1,""))</f>
        <v/>
      </c>
      <c r="V333">
        <f>IF($D333="","",IF(COUNTIFS($B$2:$B333,$B333,$D$2:$D333,$D333)=1,1,0))</f>
        <v>0</v>
      </c>
      <c r="W333" t="str">
        <f>IF($D333="","",mEQA.PadronizarStatus($L333))</f>
        <v>ACEITO</v>
      </c>
      <c r="X333" t="str">
        <f>IF(OR($D333="",$W333&lt;&gt;"NAO ACEITO"),"",IF(COUNTIFS($D$2:$D333,$D333,$W$2:$W333,"NAO ACEITO")=1,1,0))</f>
        <v/>
      </c>
    </row>
    <row r="334" spans="1:24" x14ac:dyDescent="0.3">
      <c r="A334" t="s">
        <v>402</v>
      </c>
      <c r="B334" t="s">
        <v>514</v>
      </c>
      <c r="C334" s="126">
        <v>2025</v>
      </c>
      <c r="D334" t="s">
        <v>472</v>
      </c>
      <c r="E334" t="s">
        <v>517</v>
      </c>
      <c r="F334" s="137">
        <v>0</v>
      </c>
      <c r="G334" s="138">
        <v>0.03</v>
      </c>
      <c r="H334" s="138">
        <v>0.04</v>
      </c>
      <c r="I334" s="139">
        <v>-0.6</v>
      </c>
      <c r="J334" s="137">
        <v>0</v>
      </c>
      <c r="K334" s="137">
        <v>0.5</v>
      </c>
      <c r="L334" t="s">
        <v>499</v>
      </c>
      <c r="M334" s="126">
        <v>216</v>
      </c>
      <c r="N334" t="s">
        <v>112</v>
      </c>
      <c r="O334" s="137">
        <f t="shared" si="10"/>
        <v>-100</v>
      </c>
      <c r="P334" s="137">
        <f t="shared" si="11"/>
        <v>100</v>
      </c>
      <c r="Q334" s="126">
        <v>2</v>
      </c>
      <c r="R334" t="s">
        <v>523</v>
      </c>
      <c r="S334" t="str">
        <f>IF($W334&lt;&gt;"NAO ACEITO","",COUNTIFS($W$2:$W334,"NAO ACEITO"))</f>
        <v/>
      </c>
      <c r="T334" t="str">
        <f>IF($B334="","",IF(COUNTIF($B$2:$B334,$B334)=1,MAX($T$1:$T333)+1,""))</f>
        <v/>
      </c>
      <c r="U334" t="str">
        <f>IF($D334="","",IF(COUNTIF($D$2:$D334,$D334)=1,MAX($U$1:$U333)+1,""))</f>
        <v/>
      </c>
      <c r="V334">
        <f>IF($D334="","",IF(COUNTIFS($B$2:$B334,$B334,$D$2:$D334,$D334)=1,1,0))</f>
        <v>0</v>
      </c>
      <c r="W334" t="str">
        <f>IF($D334="","",mEQA.PadronizarStatus($L334))</f>
        <v>ACEITO</v>
      </c>
      <c r="X334" t="str">
        <f>IF(OR($D334="",$W334&lt;&gt;"NAO ACEITO"),"",IF(COUNTIFS($D$2:$D334,$D334,$W$2:$W334,"NAO ACEITO")=1,1,0))</f>
        <v/>
      </c>
    </row>
    <row r="335" spans="1:24" x14ac:dyDescent="0.3">
      <c r="A335" t="s">
        <v>402</v>
      </c>
      <c r="B335" t="s">
        <v>514</v>
      </c>
      <c r="C335" s="126">
        <v>2025</v>
      </c>
      <c r="D335" t="s">
        <v>472</v>
      </c>
      <c r="E335" t="s">
        <v>518</v>
      </c>
      <c r="F335" s="137">
        <v>0.2</v>
      </c>
      <c r="G335" s="138">
        <v>0.22</v>
      </c>
      <c r="H335" s="138">
        <v>0.05</v>
      </c>
      <c r="I335" s="139">
        <v>-0.3</v>
      </c>
      <c r="J335" s="137">
        <v>0</v>
      </c>
      <c r="K335" s="137">
        <v>0.7</v>
      </c>
      <c r="L335" t="s">
        <v>499</v>
      </c>
      <c r="M335" s="126">
        <v>372</v>
      </c>
      <c r="N335" t="s">
        <v>112</v>
      </c>
      <c r="O335" s="137">
        <f t="shared" si="10"/>
        <v>-9.0909090909090864</v>
      </c>
      <c r="P335" s="137">
        <f t="shared" si="11"/>
        <v>9.0909090909090864</v>
      </c>
      <c r="Q335" s="126">
        <v>2</v>
      </c>
      <c r="R335" t="s">
        <v>523</v>
      </c>
      <c r="S335" t="str">
        <f>IF($W335&lt;&gt;"NAO ACEITO","",COUNTIFS($W$2:$W335,"NAO ACEITO"))</f>
        <v/>
      </c>
      <c r="T335" t="str">
        <f>IF($B335="","",IF(COUNTIF($B$2:$B335,$B335)=1,MAX($T$1:$T334)+1,""))</f>
        <v/>
      </c>
      <c r="U335" t="str">
        <f>IF($D335="","",IF(COUNTIF($D$2:$D335,$D335)=1,MAX($U$1:$U334)+1,""))</f>
        <v/>
      </c>
      <c r="V335">
        <f>IF($D335="","",IF(COUNTIFS($B$2:$B335,$B335,$D$2:$D335,$D335)=1,1,0))</f>
        <v>0</v>
      </c>
      <c r="W335" t="str">
        <f>IF($D335="","",mEQA.PadronizarStatus($L335))</f>
        <v>ACEITO</v>
      </c>
      <c r="X335" t="str">
        <f>IF(OR($D335="",$W335&lt;&gt;"NAO ACEITO"),"",IF(COUNTIFS($D$2:$D335,$D335,$W$2:$W335,"NAO ACEITO")=1,1,0))</f>
        <v/>
      </c>
    </row>
    <row r="336" spans="1:24" x14ac:dyDescent="0.3">
      <c r="A336" t="s">
        <v>402</v>
      </c>
      <c r="B336" t="s">
        <v>514</v>
      </c>
      <c r="C336" s="126">
        <v>2025</v>
      </c>
      <c r="D336" t="s">
        <v>472</v>
      </c>
      <c r="E336" t="s">
        <v>519</v>
      </c>
      <c r="F336" s="137">
        <v>0.2</v>
      </c>
      <c r="G336" s="138">
        <v>0.23</v>
      </c>
      <c r="H336" s="138">
        <v>0.06</v>
      </c>
      <c r="I336" s="139">
        <v>-0.5</v>
      </c>
      <c r="J336" s="137">
        <v>0</v>
      </c>
      <c r="K336" s="137">
        <v>0.7</v>
      </c>
      <c r="L336" t="s">
        <v>499</v>
      </c>
      <c r="M336" s="126">
        <v>378</v>
      </c>
      <c r="N336" t="s">
        <v>112</v>
      </c>
      <c r="O336" s="137">
        <f t="shared" si="10"/>
        <v>-13.043478260869565</v>
      </c>
      <c r="P336" s="137">
        <f t="shared" si="11"/>
        <v>13.043478260869565</v>
      </c>
      <c r="Q336" s="126">
        <v>2</v>
      </c>
      <c r="R336" t="s">
        <v>523</v>
      </c>
      <c r="S336" t="str">
        <f>IF($W336&lt;&gt;"NAO ACEITO","",COUNTIFS($W$2:$W336,"NAO ACEITO"))</f>
        <v/>
      </c>
      <c r="T336" t="str">
        <f>IF($B336="","",IF(COUNTIF($B$2:$B336,$B336)=1,MAX($T$1:$T335)+1,""))</f>
        <v/>
      </c>
      <c r="U336" t="str">
        <f>IF($D336="","",IF(COUNTIF($D$2:$D336,$D336)=1,MAX($U$1:$U335)+1,""))</f>
        <v/>
      </c>
      <c r="V336">
        <f>IF($D336="","",IF(COUNTIFS($B$2:$B336,$B336,$D$2:$D336,$D336)=1,1,0))</f>
        <v>0</v>
      </c>
      <c r="W336" t="str">
        <f>IF($D336="","",mEQA.PadronizarStatus($L336))</f>
        <v>ACEITO</v>
      </c>
      <c r="X336" t="str">
        <f>IF(OR($D336="",$W336&lt;&gt;"NAO ACEITO"),"",IF(COUNTIFS($D$2:$D336,$D336,$W$2:$W336,"NAO ACEITO")=1,1,0))</f>
        <v/>
      </c>
    </row>
    <row r="337" spans="1:24" x14ac:dyDescent="0.3">
      <c r="A337" t="s">
        <v>402</v>
      </c>
      <c r="B337" t="s">
        <v>514</v>
      </c>
      <c r="C337" s="126">
        <v>2025</v>
      </c>
      <c r="D337" t="s">
        <v>473</v>
      </c>
      <c r="E337" t="s">
        <v>515</v>
      </c>
      <c r="F337" s="137">
        <v>1</v>
      </c>
      <c r="G337" s="138">
        <v>0.93</v>
      </c>
      <c r="H337" s="138">
        <v>0.19</v>
      </c>
      <c r="I337" s="139">
        <v>0.4</v>
      </c>
      <c r="J337" s="137">
        <v>0.5</v>
      </c>
      <c r="K337" s="137">
        <v>1.4</v>
      </c>
      <c r="L337" t="s">
        <v>499</v>
      </c>
      <c r="M337" s="126">
        <v>391</v>
      </c>
      <c r="N337" t="s">
        <v>112</v>
      </c>
      <c r="O337" s="137">
        <f t="shared" si="10"/>
        <v>7.5268817204301026</v>
      </c>
      <c r="P337" s="137">
        <f t="shared" si="11"/>
        <v>7.5268817204301026</v>
      </c>
      <c r="Q337" s="126">
        <v>2</v>
      </c>
      <c r="R337" t="s">
        <v>523</v>
      </c>
      <c r="S337" t="str">
        <f>IF($W337&lt;&gt;"NAO ACEITO","",COUNTIFS($W$2:$W337,"NAO ACEITO"))</f>
        <v/>
      </c>
      <c r="T337" t="str">
        <f>IF($B337="","",IF(COUNTIF($B$2:$B337,$B337)=1,MAX($T$1:$T336)+1,""))</f>
        <v/>
      </c>
      <c r="U337" t="str">
        <f>IF($D337="","",IF(COUNTIF($D$2:$D337,$D337)=1,MAX($U$1:$U336)+1,""))</f>
        <v/>
      </c>
      <c r="V337">
        <f>IF($D337="","",IF(COUNTIFS($B$2:$B337,$B337,$D$2:$D337,$D337)=1,1,0))</f>
        <v>1</v>
      </c>
      <c r="W337" t="str">
        <f>IF($D337="","",mEQA.PadronizarStatus($L337))</f>
        <v>ACEITO</v>
      </c>
      <c r="X337" t="str">
        <f>IF(OR($D337="",$W337&lt;&gt;"NAO ACEITO"),"",IF(COUNTIFS($D$2:$D337,$D337,$W$2:$W337,"NAO ACEITO")=1,1,0))</f>
        <v/>
      </c>
    </row>
    <row r="338" spans="1:24" x14ac:dyDescent="0.3">
      <c r="A338" t="s">
        <v>402</v>
      </c>
      <c r="B338" t="s">
        <v>514</v>
      </c>
      <c r="C338" s="126">
        <v>2025</v>
      </c>
      <c r="D338" t="s">
        <v>473</v>
      </c>
      <c r="E338" t="s">
        <v>516</v>
      </c>
      <c r="F338" s="137">
        <v>3</v>
      </c>
      <c r="G338" s="138">
        <v>2.89</v>
      </c>
      <c r="H338" s="138">
        <v>0.35</v>
      </c>
      <c r="I338" s="139">
        <v>0.3</v>
      </c>
      <c r="J338" s="137">
        <v>2.2999999999999998</v>
      </c>
      <c r="K338" s="137">
        <v>3.5</v>
      </c>
      <c r="L338" t="s">
        <v>499</v>
      </c>
      <c r="M338" s="126">
        <v>394</v>
      </c>
      <c r="N338" t="s">
        <v>112</v>
      </c>
      <c r="O338" s="137">
        <f t="shared" si="10"/>
        <v>3.8062283737024178</v>
      </c>
      <c r="P338" s="137">
        <f t="shared" si="11"/>
        <v>3.8062283737024178</v>
      </c>
      <c r="Q338" s="126">
        <v>2</v>
      </c>
      <c r="R338" t="s">
        <v>523</v>
      </c>
      <c r="S338" t="str">
        <f>IF($W338&lt;&gt;"NAO ACEITO","",COUNTIFS($W$2:$W338,"NAO ACEITO"))</f>
        <v/>
      </c>
      <c r="T338" t="str">
        <f>IF($B338="","",IF(COUNTIF($B$2:$B338,$B338)=1,MAX($T$1:$T337)+1,""))</f>
        <v/>
      </c>
      <c r="U338" t="str">
        <f>IF($D338="","",IF(COUNTIF($D$2:$D338,$D338)=1,MAX($U$1:$U337)+1,""))</f>
        <v/>
      </c>
      <c r="V338">
        <f>IF($D338="","",IF(COUNTIFS($B$2:$B338,$B338,$D$2:$D338,$D338)=1,1,0))</f>
        <v>0</v>
      </c>
      <c r="W338" t="str">
        <f>IF($D338="","",mEQA.PadronizarStatus($L338))</f>
        <v>ACEITO</v>
      </c>
      <c r="X338" t="str">
        <f>IF(OR($D338="",$W338&lt;&gt;"NAO ACEITO"),"",IF(COUNTIFS($D$2:$D338,$D338,$W$2:$W338,"NAO ACEITO")=1,1,0))</f>
        <v/>
      </c>
    </row>
    <row r="339" spans="1:24" x14ac:dyDescent="0.3">
      <c r="A339" t="s">
        <v>402</v>
      </c>
      <c r="B339" t="s">
        <v>514</v>
      </c>
      <c r="C339" s="126">
        <v>2025</v>
      </c>
      <c r="D339" t="s">
        <v>473</v>
      </c>
      <c r="E339" t="s">
        <v>517</v>
      </c>
      <c r="F339" s="137">
        <v>0.1</v>
      </c>
      <c r="G339" s="138">
        <v>0.1</v>
      </c>
      <c r="H339" s="138">
        <v>0.03</v>
      </c>
      <c r="I339" s="139">
        <v>-0.1</v>
      </c>
      <c r="J339" s="137">
        <v>0</v>
      </c>
      <c r="K339" s="137">
        <v>0.6</v>
      </c>
      <c r="L339" t="s">
        <v>499</v>
      </c>
      <c r="M339" s="126">
        <v>331</v>
      </c>
      <c r="N339" t="s">
        <v>112</v>
      </c>
      <c r="O339" s="137">
        <f t="shared" si="10"/>
        <v>0</v>
      </c>
      <c r="P339" s="137">
        <f t="shared" si="11"/>
        <v>0</v>
      </c>
      <c r="Q339" s="126">
        <v>2</v>
      </c>
      <c r="R339" t="s">
        <v>523</v>
      </c>
      <c r="S339" t="str">
        <f>IF($W339&lt;&gt;"NAO ACEITO","",COUNTIFS($W$2:$W339,"NAO ACEITO"))</f>
        <v/>
      </c>
      <c r="T339" t="str">
        <f>IF($B339="","",IF(COUNTIF($B$2:$B339,$B339)=1,MAX($T$1:$T338)+1,""))</f>
        <v/>
      </c>
      <c r="U339" t="str">
        <f>IF($D339="","",IF(COUNTIF($D$2:$D339,$D339)=1,MAX($U$1:$U338)+1,""))</f>
        <v/>
      </c>
      <c r="V339">
        <f>IF($D339="","",IF(COUNTIFS($B$2:$B339,$B339,$D$2:$D339,$D339)=1,1,0))</f>
        <v>0</v>
      </c>
      <c r="W339" t="str">
        <f>IF($D339="","",mEQA.PadronizarStatus($L339))</f>
        <v>ACEITO</v>
      </c>
      <c r="X339" t="str">
        <f>IF(OR($D339="",$W339&lt;&gt;"NAO ACEITO"),"",IF(COUNTIFS($D$2:$D339,$D339,$W$2:$W339,"NAO ACEITO")=1,1,0))</f>
        <v/>
      </c>
    </row>
    <row r="340" spans="1:24" x14ac:dyDescent="0.3">
      <c r="A340" t="s">
        <v>402</v>
      </c>
      <c r="B340" t="s">
        <v>514</v>
      </c>
      <c r="C340" s="126">
        <v>2025</v>
      </c>
      <c r="D340" t="s">
        <v>473</v>
      </c>
      <c r="E340" t="s">
        <v>518</v>
      </c>
      <c r="F340" s="137">
        <v>1.5</v>
      </c>
      <c r="G340" s="138">
        <v>1.5</v>
      </c>
      <c r="H340" s="138">
        <v>0.28000000000000003</v>
      </c>
      <c r="I340" s="139">
        <v>0</v>
      </c>
      <c r="J340" s="137">
        <v>1.1000000000000001</v>
      </c>
      <c r="K340" s="137">
        <v>2</v>
      </c>
      <c r="L340" t="s">
        <v>499</v>
      </c>
      <c r="M340" s="126">
        <v>395</v>
      </c>
      <c r="N340" t="s">
        <v>112</v>
      </c>
      <c r="O340" s="137">
        <f t="shared" si="10"/>
        <v>0</v>
      </c>
      <c r="P340" s="137">
        <f t="shared" si="11"/>
        <v>0</v>
      </c>
      <c r="Q340" s="126">
        <v>2</v>
      </c>
      <c r="R340" t="s">
        <v>523</v>
      </c>
      <c r="S340" t="str">
        <f>IF($W340&lt;&gt;"NAO ACEITO","",COUNTIFS($W$2:$W340,"NAO ACEITO"))</f>
        <v/>
      </c>
      <c r="T340" t="str">
        <f>IF($B340="","",IF(COUNTIF($B$2:$B340,$B340)=1,MAX($T$1:$T339)+1,""))</f>
        <v/>
      </c>
      <c r="U340" t="str">
        <f>IF($D340="","",IF(COUNTIF($D$2:$D340,$D340)=1,MAX($U$1:$U339)+1,""))</f>
        <v/>
      </c>
      <c r="V340">
        <f>IF($D340="","",IF(COUNTIFS($B$2:$B340,$B340,$D$2:$D340,$D340)=1,1,0))</f>
        <v>0</v>
      </c>
      <c r="W340" t="str">
        <f>IF($D340="","",mEQA.PadronizarStatus($L340))</f>
        <v>ACEITO</v>
      </c>
      <c r="X340" t="str">
        <f>IF(OR($D340="",$W340&lt;&gt;"NAO ACEITO"),"",IF(COUNTIFS($D$2:$D340,$D340,$W$2:$W340,"NAO ACEITO")=1,1,0))</f>
        <v/>
      </c>
    </row>
    <row r="341" spans="1:24" x14ac:dyDescent="0.3">
      <c r="A341" t="s">
        <v>402</v>
      </c>
      <c r="B341" t="s">
        <v>514</v>
      </c>
      <c r="C341" s="126">
        <v>2025</v>
      </c>
      <c r="D341" t="s">
        <v>473</v>
      </c>
      <c r="E341" t="s">
        <v>519</v>
      </c>
      <c r="F341" s="137">
        <v>1.3</v>
      </c>
      <c r="G341" s="138">
        <v>1.19</v>
      </c>
      <c r="H341" s="138">
        <v>0.24</v>
      </c>
      <c r="I341" s="139">
        <v>0.5</v>
      </c>
      <c r="J341" s="137">
        <v>0.7</v>
      </c>
      <c r="K341" s="137">
        <v>1.6</v>
      </c>
      <c r="L341" t="s">
        <v>499</v>
      </c>
      <c r="M341" s="126">
        <v>394</v>
      </c>
      <c r="N341" t="s">
        <v>112</v>
      </c>
      <c r="O341" s="137">
        <f t="shared" si="10"/>
        <v>9.2436974789916047</v>
      </c>
      <c r="P341" s="137">
        <f t="shared" si="11"/>
        <v>9.2436974789916047</v>
      </c>
      <c r="Q341" s="126">
        <v>2</v>
      </c>
      <c r="R341" t="s">
        <v>523</v>
      </c>
      <c r="S341" t="str">
        <f>IF($W341&lt;&gt;"NAO ACEITO","",COUNTIFS($W$2:$W341,"NAO ACEITO"))</f>
        <v/>
      </c>
      <c r="T341" t="str">
        <f>IF($B341="","",IF(COUNTIF($B$2:$B341,$B341)=1,MAX($T$1:$T340)+1,""))</f>
        <v/>
      </c>
      <c r="U341" t="str">
        <f>IF($D341="","",IF(COUNTIF($D$2:$D341,$D341)=1,MAX($U$1:$U340)+1,""))</f>
        <v/>
      </c>
      <c r="V341">
        <f>IF($D341="","",IF(COUNTIFS($B$2:$B341,$B341,$D$2:$D341,$D341)=1,1,0))</f>
        <v>0</v>
      </c>
      <c r="W341" t="str">
        <f>IF($D341="","",mEQA.PadronizarStatus($L341))</f>
        <v>ACEITO</v>
      </c>
      <c r="X341" t="str">
        <f>IF(OR($D341="",$W341&lt;&gt;"NAO ACEITO"),"",IF(COUNTIFS($D$2:$D341,$D341,$W$2:$W341,"NAO ACEITO")=1,1,0))</f>
        <v/>
      </c>
    </row>
    <row r="342" spans="1:24" x14ac:dyDescent="0.3">
      <c r="A342" t="s">
        <v>402</v>
      </c>
      <c r="B342" t="s">
        <v>514</v>
      </c>
      <c r="C342" s="126">
        <v>2025</v>
      </c>
      <c r="D342" t="s">
        <v>474</v>
      </c>
      <c r="E342" t="s">
        <v>515</v>
      </c>
      <c r="F342" s="137">
        <v>39</v>
      </c>
      <c r="G342" s="138">
        <v>34.5</v>
      </c>
      <c r="H342" s="138">
        <v>1.8</v>
      </c>
      <c r="I342" s="139">
        <v>2.5</v>
      </c>
      <c r="J342" s="137">
        <v>27</v>
      </c>
      <c r="K342" s="137">
        <v>42</v>
      </c>
      <c r="L342" t="s">
        <v>499</v>
      </c>
      <c r="M342" s="126">
        <v>378</v>
      </c>
      <c r="N342" t="s">
        <v>134</v>
      </c>
      <c r="O342" s="137">
        <f t="shared" si="10"/>
        <v>13.043478260869565</v>
      </c>
      <c r="P342" s="137">
        <f t="shared" si="11"/>
        <v>13.043478260869565</v>
      </c>
      <c r="Q342" s="126">
        <v>3</v>
      </c>
      <c r="R342" t="s">
        <v>523</v>
      </c>
      <c r="S342" t="str">
        <f>IF($W342&lt;&gt;"NAO ACEITO","",COUNTIFS($W$2:$W342,"NAO ACEITO"))</f>
        <v/>
      </c>
      <c r="T342" t="str">
        <f>IF($B342="","",IF(COUNTIF($B$2:$B342,$B342)=1,MAX($T$1:$T341)+1,""))</f>
        <v/>
      </c>
      <c r="U342" t="str">
        <f>IF($D342="","",IF(COUNTIF($D$2:$D342,$D342)=1,MAX($U$1:$U341)+1,""))</f>
        <v/>
      </c>
      <c r="V342">
        <f>IF($D342="","",IF(COUNTIFS($B$2:$B342,$B342,$D$2:$D342,$D342)=1,1,0))</f>
        <v>1</v>
      </c>
      <c r="W342" t="str">
        <f>IF($D342="","",mEQA.PadronizarStatus($L342))</f>
        <v>ACEITO</v>
      </c>
      <c r="X342" t="str">
        <f>IF(OR($D342="",$W342&lt;&gt;"NAO ACEITO"),"",IF(COUNTIFS($D$2:$D342,$D342,$W$2:$W342,"NAO ACEITO")=1,1,0))</f>
        <v/>
      </c>
    </row>
    <row r="343" spans="1:24" x14ac:dyDescent="0.3">
      <c r="A343" t="s">
        <v>402</v>
      </c>
      <c r="B343" t="s">
        <v>514</v>
      </c>
      <c r="C343" s="126">
        <v>2025</v>
      </c>
      <c r="D343" t="s">
        <v>474</v>
      </c>
      <c r="E343" t="s">
        <v>516</v>
      </c>
      <c r="F343" s="137">
        <v>34</v>
      </c>
      <c r="G343" s="138">
        <v>30.1</v>
      </c>
      <c r="H343" s="138">
        <v>1.4</v>
      </c>
      <c r="I343" s="139">
        <v>2.8</v>
      </c>
      <c r="J343" s="137">
        <v>24</v>
      </c>
      <c r="K343" s="137">
        <v>37</v>
      </c>
      <c r="L343" t="s">
        <v>499</v>
      </c>
      <c r="M343" s="126">
        <v>374</v>
      </c>
      <c r="N343" t="s">
        <v>134</v>
      </c>
      <c r="O343" s="137">
        <f t="shared" si="10"/>
        <v>12.956810631229231</v>
      </c>
      <c r="P343" s="137">
        <f t="shared" si="11"/>
        <v>12.956810631229231</v>
      </c>
      <c r="Q343" s="126">
        <v>3</v>
      </c>
      <c r="R343" t="s">
        <v>523</v>
      </c>
      <c r="S343" t="str">
        <f>IF($W343&lt;&gt;"NAO ACEITO","",COUNTIFS($W$2:$W343,"NAO ACEITO"))</f>
        <v/>
      </c>
      <c r="T343" t="str">
        <f>IF($B343="","",IF(COUNTIF($B$2:$B343,$B343)=1,MAX($T$1:$T342)+1,""))</f>
        <v/>
      </c>
      <c r="U343" t="str">
        <f>IF($D343="","",IF(COUNTIF($D$2:$D343,$D343)=1,MAX($U$1:$U342)+1,""))</f>
        <v/>
      </c>
      <c r="V343">
        <f>IF($D343="","",IF(COUNTIFS($B$2:$B343,$B343,$D$2:$D343,$D343)=1,1,0))</f>
        <v>0</v>
      </c>
      <c r="W343" t="str">
        <f>IF($D343="","",mEQA.PadronizarStatus($L343))</f>
        <v>ACEITO</v>
      </c>
      <c r="X343" t="str">
        <f>IF(OR($D343="",$W343&lt;&gt;"NAO ACEITO"),"",IF(COUNTIFS($D$2:$D343,$D343,$W$2:$W343,"NAO ACEITO")=1,1,0))</f>
        <v/>
      </c>
    </row>
    <row r="344" spans="1:24" x14ac:dyDescent="0.3">
      <c r="A344" t="s">
        <v>402</v>
      </c>
      <c r="B344" t="s">
        <v>514</v>
      </c>
      <c r="C344" s="126">
        <v>2025</v>
      </c>
      <c r="D344" t="s">
        <v>474</v>
      </c>
      <c r="E344" t="s">
        <v>517</v>
      </c>
      <c r="F344" s="137">
        <v>21</v>
      </c>
      <c r="G344" s="138">
        <v>16.899999999999999</v>
      </c>
      <c r="H344" s="138">
        <v>1.4</v>
      </c>
      <c r="I344" s="139">
        <v>2.9</v>
      </c>
      <c r="J344" s="137">
        <v>13</v>
      </c>
      <c r="K344" s="137">
        <v>21</v>
      </c>
      <c r="L344" t="s">
        <v>499</v>
      </c>
      <c r="M344" s="126">
        <v>379</v>
      </c>
      <c r="N344" t="s">
        <v>134</v>
      </c>
      <c r="O344" s="137">
        <f t="shared" si="10"/>
        <v>24.26035502958581</v>
      </c>
      <c r="P344" s="137">
        <f t="shared" si="11"/>
        <v>24.26035502958581</v>
      </c>
      <c r="Q344" s="126">
        <v>3</v>
      </c>
      <c r="R344" t="s">
        <v>523</v>
      </c>
      <c r="S344" t="str">
        <f>IF($W344&lt;&gt;"NAO ACEITO","",COUNTIFS($W$2:$W344,"NAO ACEITO"))</f>
        <v/>
      </c>
      <c r="T344" t="str">
        <f>IF($B344="","",IF(COUNTIF($B$2:$B344,$B344)=1,MAX($T$1:$T343)+1,""))</f>
        <v/>
      </c>
      <c r="U344" t="str">
        <f>IF($D344="","",IF(COUNTIF($D$2:$D344,$D344)=1,MAX($U$1:$U343)+1,""))</f>
        <v/>
      </c>
      <c r="V344">
        <f>IF($D344="","",IF(COUNTIFS($B$2:$B344,$B344,$D$2:$D344,$D344)=1,1,0))</f>
        <v>0</v>
      </c>
      <c r="W344" t="str">
        <f>IF($D344="","",mEQA.PadronizarStatus($L344))</f>
        <v>ACEITO</v>
      </c>
      <c r="X344" t="str">
        <f>IF(OR($D344="",$W344&lt;&gt;"NAO ACEITO"),"",IF(COUNTIFS($D$2:$D344,$D344,$W$2:$W344,"NAO ACEITO")=1,1,0))</f>
        <v/>
      </c>
    </row>
    <row r="345" spans="1:24" x14ac:dyDescent="0.3">
      <c r="A345" t="s">
        <v>402</v>
      </c>
      <c r="B345" t="s">
        <v>514</v>
      </c>
      <c r="C345" s="126">
        <v>2025</v>
      </c>
      <c r="D345" t="s">
        <v>474</v>
      </c>
      <c r="E345" t="s">
        <v>518</v>
      </c>
      <c r="F345" s="137">
        <v>33</v>
      </c>
      <c r="G345" s="138">
        <v>26.9</v>
      </c>
      <c r="H345" s="138">
        <v>1.7</v>
      </c>
      <c r="I345" s="139">
        <v>3.6</v>
      </c>
      <c r="J345" s="137">
        <v>21</v>
      </c>
      <c r="K345" s="137">
        <v>33</v>
      </c>
      <c r="L345" t="s">
        <v>499</v>
      </c>
      <c r="M345" s="126">
        <v>377</v>
      </c>
      <c r="N345" t="s">
        <v>134</v>
      </c>
      <c r="O345" s="137">
        <f t="shared" si="10"/>
        <v>22.676579925650564</v>
      </c>
      <c r="P345" s="137">
        <f t="shared" si="11"/>
        <v>22.676579925650564</v>
      </c>
      <c r="Q345" s="126">
        <v>3</v>
      </c>
      <c r="R345" t="s">
        <v>523</v>
      </c>
      <c r="S345" t="str">
        <f>IF($W345&lt;&gt;"NAO ACEITO","",COUNTIFS($W$2:$W345,"NAO ACEITO"))</f>
        <v/>
      </c>
      <c r="T345" t="str">
        <f>IF($B345="","",IF(COUNTIF($B$2:$B345,$B345)=1,MAX($T$1:$T344)+1,""))</f>
        <v/>
      </c>
      <c r="U345" t="str">
        <f>IF($D345="","",IF(COUNTIF($D$2:$D345,$D345)=1,MAX($U$1:$U344)+1,""))</f>
        <v/>
      </c>
      <c r="V345">
        <f>IF($D345="","",IF(COUNTIFS($B$2:$B345,$B345,$D$2:$D345,$D345)=1,1,0))</f>
        <v>0</v>
      </c>
      <c r="W345" t="str">
        <f>IF($D345="","",mEQA.PadronizarStatus($L345))</f>
        <v>ACEITO</v>
      </c>
      <c r="X345" t="str">
        <f>IF(OR($D345="",$W345&lt;&gt;"NAO ACEITO"),"",IF(COUNTIFS($D$2:$D345,$D345,$W$2:$W345,"NAO ACEITO")=1,1,0))</f>
        <v/>
      </c>
    </row>
    <row r="346" spans="1:24" x14ac:dyDescent="0.3">
      <c r="A346" t="s">
        <v>402</v>
      </c>
      <c r="B346" t="s">
        <v>514</v>
      </c>
      <c r="C346" s="126">
        <v>2025</v>
      </c>
      <c r="D346" t="s">
        <v>474</v>
      </c>
      <c r="E346" t="s">
        <v>519</v>
      </c>
      <c r="F346" s="137">
        <v>37</v>
      </c>
      <c r="G346" s="138">
        <v>33.1</v>
      </c>
      <c r="H346" s="138">
        <v>1.7</v>
      </c>
      <c r="I346" s="139">
        <v>2.2999999999999998</v>
      </c>
      <c r="J346" s="137">
        <v>26</v>
      </c>
      <c r="K346" s="137">
        <v>40</v>
      </c>
      <c r="L346" t="s">
        <v>499</v>
      </c>
      <c r="M346" s="126">
        <v>373</v>
      </c>
      <c r="N346" t="s">
        <v>134</v>
      </c>
      <c r="O346" s="137">
        <f t="shared" si="10"/>
        <v>11.782477341389724</v>
      </c>
      <c r="P346" s="137">
        <f t="shared" si="11"/>
        <v>11.782477341389724</v>
      </c>
      <c r="Q346" s="126">
        <v>3</v>
      </c>
      <c r="R346" t="s">
        <v>523</v>
      </c>
      <c r="S346" t="str">
        <f>IF($W346&lt;&gt;"NAO ACEITO","",COUNTIFS($W$2:$W346,"NAO ACEITO"))</f>
        <v/>
      </c>
      <c r="T346" t="str">
        <f>IF($B346="","",IF(COUNTIF($B$2:$B346,$B346)=1,MAX($T$1:$T345)+1,""))</f>
        <v/>
      </c>
      <c r="U346" t="str">
        <f>IF($D346="","",IF(COUNTIF($D$2:$D346,$D346)=1,MAX($U$1:$U345)+1,""))</f>
        <v/>
      </c>
      <c r="V346">
        <f>IF($D346="","",IF(COUNTIFS($B$2:$B346,$B346,$D$2:$D346,$D346)=1,1,0))</f>
        <v>0</v>
      </c>
      <c r="W346" t="str">
        <f>IF($D346="","",mEQA.PadronizarStatus($L346))</f>
        <v>ACEITO</v>
      </c>
      <c r="X346" t="str">
        <f>IF(OR($D346="",$W346&lt;&gt;"NAO ACEITO"),"",IF(COUNTIFS($D$2:$D346,$D346,$W$2:$W346,"NAO ACEITO")=1,1,0))</f>
        <v/>
      </c>
    </row>
    <row r="347" spans="1:24" x14ac:dyDescent="0.3">
      <c r="A347" t="s">
        <v>402</v>
      </c>
      <c r="B347" t="s">
        <v>514</v>
      </c>
      <c r="C347" s="126">
        <v>2025</v>
      </c>
      <c r="D347" t="s">
        <v>475</v>
      </c>
      <c r="E347" t="s">
        <v>515</v>
      </c>
      <c r="F347" s="137">
        <v>6</v>
      </c>
      <c r="G347" s="138">
        <v>6.0030000000000001</v>
      </c>
      <c r="H347" s="138">
        <v>0.17</v>
      </c>
      <c r="I347" s="139">
        <v>0</v>
      </c>
      <c r="J347" s="137">
        <v>5</v>
      </c>
      <c r="K347" s="137">
        <v>7.01</v>
      </c>
      <c r="L347" t="s">
        <v>499</v>
      </c>
      <c r="M347" s="126">
        <v>401</v>
      </c>
      <c r="N347" t="s">
        <v>112</v>
      </c>
      <c r="O347" s="137">
        <f t="shared" si="10"/>
        <v>-4.9975012493755022E-2</v>
      </c>
      <c r="P347" s="137">
        <f t="shared" si="11"/>
        <v>4.9975012493755022E-2</v>
      </c>
      <c r="Q347" s="126">
        <v>2</v>
      </c>
      <c r="R347" t="s">
        <v>523</v>
      </c>
      <c r="S347" t="str">
        <f>IF($W347&lt;&gt;"NAO ACEITO","",COUNTIFS($W$2:$W347,"NAO ACEITO"))</f>
        <v/>
      </c>
      <c r="T347" t="str">
        <f>IF($B347="","",IF(COUNTIF($B$2:$B347,$B347)=1,MAX($T$1:$T346)+1,""))</f>
        <v/>
      </c>
      <c r="U347" t="str">
        <f>IF($D347="","",IF(COUNTIF($D$2:$D347,$D347)=1,MAX($U$1:$U346)+1,""))</f>
        <v/>
      </c>
      <c r="V347">
        <f>IF($D347="","",IF(COUNTIFS($B$2:$B347,$B347,$D$2:$D347,$D347)=1,1,0))</f>
        <v>1</v>
      </c>
      <c r="W347" t="str">
        <f>IF($D347="","",mEQA.PadronizarStatus($L347))</f>
        <v>ACEITO</v>
      </c>
      <c r="X347" t="str">
        <f>IF(OR($D347="",$W347&lt;&gt;"NAO ACEITO"),"",IF(COUNTIFS($D$2:$D347,$D347,$W$2:$W347,"NAO ACEITO")=1,1,0))</f>
        <v/>
      </c>
    </row>
    <row r="348" spans="1:24" x14ac:dyDescent="0.3">
      <c r="A348" t="s">
        <v>402</v>
      </c>
      <c r="B348" t="s">
        <v>514</v>
      </c>
      <c r="C348" s="126">
        <v>2025</v>
      </c>
      <c r="D348" t="s">
        <v>475</v>
      </c>
      <c r="E348" t="s">
        <v>516</v>
      </c>
      <c r="F348" s="137">
        <v>8.9</v>
      </c>
      <c r="G348" s="138">
        <v>8.8109999999999999</v>
      </c>
      <c r="H348" s="138">
        <v>0.17699999999999999</v>
      </c>
      <c r="I348" s="139">
        <v>0.5</v>
      </c>
      <c r="J348" s="137">
        <v>7.81</v>
      </c>
      <c r="K348" s="137">
        <v>9.82</v>
      </c>
      <c r="L348" t="s">
        <v>499</v>
      </c>
      <c r="M348" s="126">
        <v>401</v>
      </c>
      <c r="N348" t="s">
        <v>112</v>
      </c>
      <c r="O348" s="137">
        <f t="shared" si="10"/>
        <v>1.0101010101010148</v>
      </c>
      <c r="P348" s="137">
        <f t="shared" si="11"/>
        <v>1.0101010101010148</v>
      </c>
      <c r="Q348" s="126">
        <v>2</v>
      </c>
      <c r="R348" t="s">
        <v>523</v>
      </c>
      <c r="S348" t="str">
        <f>IF($W348&lt;&gt;"NAO ACEITO","",COUNTIFS($W$2:$W348,"NAO ACEITO"))</f>
        <v/>
      </c>
      <c r="T348" t="str">
        <f>IF($B348="","",IF(COUNTIF($B$2:$B348,$B348)=1,MAX($T$1:$T347)+1,""))</f>
        <v/>
      </c>
      <c r="U348" t="str">
        <f>IF($D348="","",IF(COUNTIF($D$2:$D348,$D348)=1,MAX($U$1:$U347)+1,""))</f>
        <v/>
      </c>
      <c r="V348">
        <f>IF($D348="","",IF(COUNTIFS($B$2:$B348,$B348,$D$2:$D348,$D348)=1,1,0))</f>
        <v>0</v>
      </c>
      <c r="W348" t="str">
        <f>IF($D348="","",mEQA.PadronizarStatus($L348))</f>
        <v>ACEITO</v>
      </c>
      <c r="X348" t="str">
        <f>IF(OR($D348="",$W348&lt;&gt;"NAO ACEITO"),"",IF(COUNTIFS($D$2:$D348,$D348,$W$2:$W348,"NAO ACEITO")=1,1,0))</f>
        <v/>
      </c>
    </row>
    <row r="349" spans="1:24" x14ac:dyDescent="0.3">
      <c r="A349" t="s">
        <v>402</v>
      </c>
      <c r="B349" t="s">
        <v>514</v>
      </c>
      <c r="C349" s="126">
        <v>2025</v>
      </c>
      <c r="D349" t="s">
        <v>475</v>
      </c>
      <c r="E349" t="s">
        <v>517</v>
      </c>
      <c r="F349" s="137">
        <v>13</v>
      </c>
      <c r="G349" s="138">
        <v>12.869</v>
      </c>
      <c r="H349" s="138">
        <v>0.23899999999999999</v>
      </c>
      <c r="I349" s="139">
        <v>0.5</v>
      </c>
      <c r="J349" s="137">
        <v>11.86</v>
      </c>
      <c r="K349" s="137">
        <v>13.87</v>
      </c>
      <c r="L349" t="s">
        <v>499</v>
      </c>
      <c r="M349" s="126">
        <v>401</v>
      </c>
      <c r="N349" t="s">
        <v>112</v>
      </c>
      <c r="O349" s="137">
        <f t="shared" si="10"/>
        <v>1.0179501126738693</v>
      </c>
      <c r="P349" s="137">
        <f t="shared" si="11"/>
        <v>1.0179501126738693</v>
      </c>
      <c r="Q349" s="126">
        <v>2</v>
      </c>
      <c r="R349" t="s">
        <v>523</v>
      </c>
      <c r="S349" t="str">
        <f>IF($W349&lt;&gt;"NAO ACEITO","",COUNTIFS($W$2:$W349,"NAO ACEITO"))</f>
        <v/>
      </c>
      <c r="T349" t="str">
        <f>IF($B349="","",IF(COUNTIF($B$2:$B349,$B349)=1,MAX($T$1:$T348)+1,""))</f>
        <v/>
      </c>
      <c r="U349" t="str">
        <f>IF($D349="","",IF(COUNTIF($D$2:$D349,$D349)=1,MAX($U$1:$U348)+1,""))</f>
        <v/>
      </c>
      <c r="V349">
        <f>IF($D349="","",IF(COUNTIFS($B$2:$B349,$B349,$D$2:$D349,$D349)=1,1,0))</f>
        <v>0</v>
      </c>
      <c r="W349" t="str">
        <f>IF($D349="","",mEQA.PadronizarStatus($L349))</f>
        <v>ACEITO</v>
      </c>
      <c r="X349" t="str">
        <f>IF(OR($D349="",$W349&lt;&gt;"NAO ACEITO"),"",IF(COUNTIFS($D$2:$D349,$D349,$W$2:$W349,"NAO ACEITO")=1,1,0))</f>
        <v/>
      </c>
    </row>
    <row r="350" spans="1:24" x14ac:dyDescent="0.3">
      <c r="A350" t="s">
        <v>402</v>
      </c>
      <c r="B350" t="s">
        <v>514</v>
      </c>
      <c r="C350" s="126">
        <v>2025</v>
      </c>
      <c r="D350" t="s">
        <v>475</v>
      </c>
      <c r="E350" t="s">
        <v>518</v>
      </c>
      <c r="F350" s="137">
        <v>9.6999999999999993</v>
      </c>
      <c r="G350" s="138">
        <v>9.5760000000000005</v>
      </c>
      <c r="H350" s="138">
        <v>0.189</v>
      </c>
      <c r="I350" s="139">
        <v>0.7</v>
      </c>
      <c r="J350" s="137">
        <v>8.57</v>
      </c>
      <c r="K350" s="137">
        <v>10.58</v>
      </c>
      <c r="L350" t="s">
        <v>499</v>
      </c>
      <c r="M350" s="126">
        <v>399</v>
      </c>
      <c r="N350" t="s">
        <v>112</v>
      </c>
      <c r="O350" s="137">
        <f t="shared" si="10"/>
        <v>1.294903926482861</v>
      </c>
      <c r="P350" s="137">
        <f t="shared" si="11"/>
        <v>1.294903926482861</v>
      </c>
      <c r="Q350" s="126">
        <v>2</v>
      </c>
      <c r="R350" t="s">
        <v>523</v>
      </c>
      <c r="S350" t="str">
        <f>IF($W350&lt;&gt;"NAO ACEITO","",COUNTIFS($W$2:$W350,"NAO ACEITO"))</f>
        <v/>
      </c>
      <c r="T350" t="str">
        <f>IF($B350="","",IF(COUNTIF($B$2:$B350,$B350)=1,MAX($T$1:$T349)+1,""))</f>
        <v/>
      </c>
      <c r="U350" t="str">
        <f>IF($D350="","",IF(COUNTIF($D$2:$D350,$D350)=1,MAX($U$1:$U349)+1,""))</f>
        <v/>
      </c>
      <c r="V350">
        <f>IF($D350="","",IF(COUNTIFS($B$2:$B350,$B350,$D$2:$D350,$D350)=1,1,0))</f>
        <v>0</v>
      </c>
      <c r="W350" t="str">
        <f>IF($D350="","",mEQA.PadronizarStatus($L350))</f>
        <v>ACEITO</v>
      </c>
      <c r="X350" t="str">
        <f>IF(OR($D350="",$W350&lt;&gt;"NAO ACEITO"),"",IF(COUNTIFS($D$2:$D350,$D350,$W$2:$W350,"NAO ACEITO")=1,1,0))</f>
        <v/>
      </c>
    </row>
    <row r="351" spans="1:24" x14ac:dyDescent="0.3">
      <c r="A351" t="s">
        <v>402</v>
      </c>
      <c r="B351" t="s">
        <v>514</v>
      </c>
      <c r="C351" s="126">
        <v>2025</v>
      </c>
      <c r="D351" t="s">
        <v>475</v>
      </c>
      <c r="E351" t="s">
        <v>519</v>
      </c>
      <c r="F351" s="137">
        <v>7</v>
      </c>
      <c r="G351" s="138">
        <v>6.96</v>
      </c>
      <c r="H351" s="138">
        <v>0.17299999999999999</v>
      </c>
      <c r="I351" s="139">
        <v>0.2</v>
      </c>
      <c r="J351" s="137">
        <v>5.95</v>
      </c>
      <c r="K351" s="137">
        <v>7.96</v>
      </c>
      <c r="L351" t="s">
        <v>499</v>
      </c>
      <c r="M351" s="126">
        <v>401</v>
      </c>
      <c r="N351" t="s">
        <v>112</v>
      </c>
      <c r="O351" s="137">
        <f t="shared" si="10"/>
        <v>0.57471264367816144</v>
      </c>
      <c r="P351" s="137">
        <f t="shared" si="11"/>
        <v>0.57471264367816144</v>
      </c>
      <c r="Q351" s="126">
        <v>2</v>
      </c>
      <c r="R351" t="s">
        <v>523</v>
      </c>
      <c r="S351" t="str">
        <f>IF($W351&lt;&gt;"NAO ACEITO","",COUNTIFS($W$2:$W351,"NAO ACEITO"))</f>
        <v/>
      </c>
      <c r="T351" t="str">
        <f>IF($B351="","",IF(COUNTIF($B$2:$B351,$B351)=1,MAX($T$1:$T350)+1,""))</f>
        <v/>
      </c>
      <c r="U351" t="str">
        <f>IF($D351="","",IF(COUNTIF($D$2:$D351,$D351)=1,MAX($U$1:$U350)+1,""))</f>
        <v/>
      </c>
      <c r="V351">
        <f>IF($D351="","",IF(COUNTIFS($B$2:$B351,$B351,$D$2:$D351,$D351)=1,1,0))</f>
        <v>0</v>
      </c>
      <c r="W351" t="str">
        <f>IF($D351="","",mEQA.PadronizarStatus($L351))</f>
        <v>ACEITO</v>
      </c>
      <c r="X351" t="str">
        <f>IF(OR($D351="",$W351&lt;&gt;"NAO ACEITO"),"",IF(COUNTIFS($D$2:$D351,$D351,$W$2:$W351,"NAO ACEITO")=1,1,0))</f>
        <v/>
      </c>
    </row>
    <row r="352" spans="1:24" x14ac:dyDescent="0.3">
      <c r="A352" t="s">
        <v>402</v>
      </c>
      <c r="B352" t="s">
        <v>514</v>
      </c>
      <c r="C352" s="126">
        <v>2025</v>
      </c>
      <c r="D352" t="s">
        <v>476</v>
      </c>
      <c r="E352" t="s">
        <v>515</v>
      </c>
      <c r="F352" s="137">
        <v>120</v>
      </c>
      <c r="G352" s="138">
        <v>116.1</v>
      </c>
      <c r="H352" s="138">
        <v>1.5</v>
      </c>
      <c r="I352" s="139">
        <v>2.6</v>
      </c>
      <c r="J352" s="137">
        <v>110</v>
      </c>
      <c r="K352" s="137">
        <v>122</v>
      </c>
      <c r="L352" t="s">
        <v>499</v>
      </c>
      <c r="M352" s="126">
        <v>821</v>
      </c>
      <c r="N352" t="s">
        <v>134</v>
      </c>
      <c r="O352" s="137">
        <f t="shared" si="10"/>
        <v>3.359173126614992</v>
      </c>
      <c r="P352" s="137">
        <f t="shared" si="11"/>
        <v>3.359173126614992</v>
      </c>
      <c r="Q352" s="126">
        <v>3</v>
      </c>
      <c r="R352" t="s">
        <v>523</v>
      </c>
      <c r="S352" t="str">
        <f>IF($W352&lt;&gt;"NAO ACEITO","",COUNTIFS($W$2:$W352,"NAO ACEITO"))</f>
        <v/>
      </c>
      <c r="T352" t="str">
        <f>IF($B352="","",IF(COUNTIF($B$2:$B352,$B352)=1,MAX($T$1:$T351)+1,""))</f>
        <v/>
      </c>
      <c r="U352" t="str">
        <f>IF($D352="","",IF(COUNTIF($D$2:$D352,$D352)=1,MAX($U$1:$U351)+1,""))</f>
        <v/>
      </c>
      <c r="V352">
        <f>IF($D352="","",IF(COUNTIFS($B$2:$B352,$B352,$D$2:$D352,$D352)=1,1,0))</f>
        <v>1</v>
      </c>
      <c r="W352" t="str">
        <f>IF($D352="","",mEQA.PadronizarStatus($L352))</f>
        <v>ACEITO</v>
      </c>
      <c r="X352" t="str">
        <f>IF(OR($D352="",$W352&lt;&gt;"NAO ACEITO"),"",IF(COUNTIFS($D$2:$D352,$D352,$W$2:$W352,"NAO ACEITO")=1,1,0))</f>
        <v/>
      </c>
    </row>
    <row r="353" spans="1:24" x14ac:dyDescent="0.3">
      <c r="A353" t="s">
        <v>402</v>
      </c>
      <c r="B353" t="s">
        <v>514</v>
      </c>
      <c r="C353" s="126">
        <v>2025</v>
      </c>
      <c r="D353" t="s">
        <v>476</v>
      </c>
      <c r="E353" t="s">
        <v>516</v>
      </c>
      <c r="F353" s="137">
        <v>109</v>
      </c>
      <c r="G353" s="138">
        <v>105.3</v>
      </c>
      <c r="H353" s="138">
        <v>1.3</v>
      </c>
      <c r="I353" s="139">
        <v>2.9</v>
      </c>
      <c r="J353" s="137">
        <v>100</v>
      </c>
      <c r="K353" s="137">
        <v>111</v>
      </c>
      <c r="L353" t="s">
        <v>499</v>
      </c>
      <c r="M353" s="126">
        <v>850</v>
      </c>
      <c r="N353" t="s">
        <v>134</v>
      </c>
      <c r="O353" s="137">
        <f t="shared" si="10"/>
        <v>3.5137701804368495</v>
      </c>
      <c r="P353" s="137">
        <f t="shared" si="11"/>
        <v>3.5137701804368495</v>
      </c>
      <c r="Q353" s="126">
        <v>3</v>
      </c>
      <c r="R353" t="s">
        <v>523</v>
      </c>
      <c r="S353" t="str">
        <f>IF($W353&lt;&gt;"NAO ACEITO","",COUNTIFS($W$2:$W353,"NAO ACEITO"))</f>
        <v/>
      </c>
      <c r="T353" t="str">
        <f>IF($B353="","",IF(COUNTIF($B$2:$B353,$B353)=1,MAX($T$1:$T352)+1,""))</f>
        <v/>
      </c>
      <c r="U353" t="str">
        <f>IF($D353="","",IF(COUNTIF($D$2:$D353,$D353)=1,MAX($U$1:$U352)+1,""))</f>
        <v/>
      </c>
      <c r="V353">
        <f>IF($D353="","",IF(COUNTIFS($B$2:$B353,$B353,$D$2:$D353,$D353)=1,1,0))</f>
        <v>0</v>
      </c>
      <c r="W353" t="str">
        <f>IF($D353="","",mEQA.PadronizarStatus($L353))</f>
        <v>ACEITO</v>
      </c>
      <c r="X353" t="str">
        <f>IF(OR($D353="",$W353&lt;&gt;"NAO ACEITO"),"",IF(COUNTIFS($D$2:$D353,$D353,$W$2:$W353,"NAO ACEITO")=1,1,0))</f>
        <v/>
      </c>
    </row>
    <row r="354" spans="1:24" x14ac:dyDescent="0.3">
      <c r="A354" t="s">
        <v>402</v>
      </c>
      <c r="B354" t="s">
        <v>514</v>
      </c>
      <c r="C354" s="126">
        <v>2025</v>
      </c>
      <c r="D354" t="s">
        <v>476</v>
      </c>
      <c r="E354" t="s">
        <v>517</v>
      </c>
      <c r="F354" s="137">
        <v>88</v>
      </c>
      <c r="G354" s="138">
        <v>88.6</v>
      </c>
      <c r="H354" s="138">
        <v>1.4</v>
      </c>
      <c r="I354" s="139">
        <v>-0.4</v>
      </c>
      <c r="J354" s="137">
        <v>84</v>
      </c>
      <c r="K354" s="137">
        <v>94</v>
      </c>
      <c r="L354" t="s">
        <v>499</v>
      </c>
      <c r="M354" s="126">
        <v>846</v>
      </c>
      <c r="N354" t="s">
        <v>134</v>
      </c>
      <c r="O354" s="137">
        <f t="shared" si="10"/>
        <v>-0.67720090293453095</v>
      </c>
      <c r="P354" s="137">
        <f t="shared" si="11"/>
        <v>0.67720090293453095</v>
      </c>
      <c r="Q354" s="126">
        <v>3</v>
      </c>
      <c r="R354" t="s">
        <v>523</v>
      </c>
      <c r="S354" t="str">
        <f>IF($W354&lt;&gt;"NAO ACEITO","",COUNTIFS($W$2:$W354,"NAO ACEITO"))</f>
        <v/>
      </c>
      <c r="T354" t="str">
        <f>IF($B354="","",IF(COUNTIF($B$2:$B354,$B354)=1,MAX($T$1:$T353)+1,""))</f>
        <v/>
      </c>
      <c r="U354" t="str">
        <f>IF($D354="","",IF(COUNTIF($D$2:$D354,$D354)=1,MAX($U$1:$U353)+1,""))</f>
        <v/>
      </c>
      <c r="V354">
        <f>IF($D354="","",IF(COUNTIFS($B$2:$B354,$B354,$D$2:$D354,$D354)=1,1,0))</f>
        <v>0</v>
      </c>
      <c r="W354" t="str">
        <f>IF($D354="","",mEQA.PadronizarStatus($L354))</f>
        <v>ACEITO</v>
      </c>
      <c r="X354" t="str">
        <f>IF(OR($D354="",$W354&lt;&gt;"NAO ACEITO"),"",IF(COUNTIFS($D$2:$D354,$D354,$W$2:$W354,"NAO ACEITO")=1,1,0))</f>
        <v/>
      </c>
    </row>
    <row r="355" spans="1:24" x14ac:dyDescent="0.3">
      <c r="A355" t="s">
        <v>402</v>
      </c>
      <c r="B355" t="s">
        <v>514</v>
      </c>
      <c r="C355" s="126">
        <v>2025</v>
      </c>
      <c r="D355" t="s">
        <v>476</v>
      </c>
      <c r="E355" t="s">
        <v>518</v>
      </c>
      <c r="F355" s="137">
        <v>104</v>
      </c>
      <c r="G355" s="138">
        <v>101.9</v>
      </c>
      <c r="H355" s="138">
        <v>1.3</v>
      </c>
      <c r="I355" s="139">
        <v>1.6</v>
      </c>
      <c r="J355" s="137">
        <v>96</v>
      </c>
      <c r="K355" s="137">
        <v>108</v>
      </c>
      <c r="L355" t="s">
        <v>499</v>
      </c>
      <c r="M355" s="126">
        <v>844</v>
      </c>
      <c r="N355" t="s">
        <v>134</v>
      </c>
      <c r="O355" s="137">
        <f t="shared" si="10"/>
        <v>2.0608439646712404</v>
      </c>
      <c r="P355" s="137">
        <f t="shared" si="11"/>
        <v>2.0608439646712404</v>
      </c>
      <c r="Q355" s="126">
        <v>3</v>
      </c>
      <c r="R355" t="s">
        <v>523</v>
      </c>
      <c r="S355" t="str">
        <f>IF($W355&lt;&gt;"NAO ACEITO","",COUNTIFS($W$2:$W355,"NAO ACEITO"))</f>
        <v/>
      </c>
      <c r="T355" t="str">
        <f>IF($B355="","",IF(COUNTIF($B$2:$B355,$B355)=1,MAX($T$1:$T354)+1,""))</f>
        <v/>
      </c>
      <c r="U355" t="str">
        <f>IF($D355="","",IF(COUNTIF($D$2:$D355,$D355)=1,MAX($U$1:$U354)+1,""))</f>
        <v/>
      </c>
      <c r="V355">
        <f>IF($D355="","",IF(COUNTIFS($B$2:$B355,$B355,$D$2:$D355,$D355)=1,1,0))</f>
        <v>0</v>
      </c>
      <c r="W355" t="str">
        <f>IF($D355="","",mEQA.PadronizarStatus($L355))</f>
        <v>ACEITO</v>
      </c>
      <c r="X355" t="str">
        <f>IF(OR($D355="",$W355&lt;&gt;"NAO ACEITO"),"",IF(COUNTIFS($D$2:$D355,$D355,$W$2:$W355,"NAO ACEITO")=1,1,0))</f>
        <v/>
      </c>
    </row>
    <row r="356" spans="1:24" x14ac:dyDescent="0.3">
      <c r="A356" t="s">
        <v>402</v>
      </c>
      <c r="B356" t="s">
        <v>514</v>
      </c>
      <c r="C356" s="126">
        <v>2025</v>
      </c>
      <c r="D356" t="s">
        <v>476</v>
      </c>
      <c r="E356" t="s">
        <v>519</v>
      </c>
      <c r="F356" s="137">
        <v>116</v>
      </c>
      <c r="G356" s="138">
        <v>112.3</v>
      </c>
      <c r="H356" s="138">
        <v>1.4</v>
      </c>
      <c r="I356" s="139">
        <v>2.7</v>
      </c>
      <c r="J356" s="137">
        <v>106</v>
      </c>
      <c r="K356" s="137">
        <v>118</v>
      </c>
      <c r="L356" t="s">
        <v>499</v>
      </c>
      <c r="M356" s="126">
        <v>830</v>
      </c>
      <c r="N356" t="s">
        <v>134</v>
      </c>
      <c r="O356" s="137">
        <f t="shared" si="10"/>
        <v>3.2947462154942144</v>
      </c>
      <c r="P356" s="137">
        <f t="shared" si="11"/>
        <v>3.2947462154942144</v>
      </c>
      <c r="Q356" s="126">
        <v>3</v>
      </c>
      <c r="R356" t="s">
        <v>523</v>
      </c>
      <c r="S356" t="str">
        <f>IF($W356&lt;&gt;"NAO ACEITO","",COUNTIFS($W$2:$W356,"NAO ACEITO"))</f>
        <v/>
      </c>
      <c r="T356" t="str">
        <f>IF($B356="","",IF(COUNTIF($B$2:$B356,$B356)=1,MAX($T$1:$T355)+1,""))</f>
        <v/>
      </c>
      <c r="U356" t="str">
        <f>IF($D356="","",IF(COUNTIF($D$2:$D356,$D356)=1,MAX($U$1:$U355)+1,""))</f>
        <v/>
      </c>
      <c r="V356">
        <f>IF($D356="","",IF(COUNTIFS($B$2:$B356,$B356,$D$2:$D356,$D356)=1,1,0))</f>
        <v>0</v>
      </c>
      <c r="W356" t="str">
        <f>IF($D356="","",mEQA.PadronizarStatus($L356))</f>
        <v>ACEITO</v>
      </c>
      <c r="X356" t="str">
        <f>IF(OR($D356="",$W356&lt;&gt;"NAO ACEITO"),"",IF(COUNTIFS($D$2:$D356,$D356,$W$2:$W356,"NAO ACEITO")=1,1,0))</f>
        <v/>
      </c>
    </row>
    <row r="357" spans="1:24" x14ac:dyDescent="0.3">
      <c r="A357" t="s">
        <v>402</v>
      </c>
      <c r="B357" t="s">
        <v>514</v>
      </c>
      <c r="C357" s="126">
        <v>2025</v>
      </c>
      <c r="D357" t="s">
        <v>477</v>
      </c>
      <c r="E357" t="s">
        <v>515</v>
      </c>
      <c r="F357" s="137">
        <v>262</v>
      </c>
      <c r="G357" s="138">
        <v>254.47300000000001</v>
      </c>
      <c r="H357" s="138">
        <v>5.8019999999999996</v>
      </c>
      <c r="I357" s="139">
        <v>1.3</v>
      </c>
      <c r="J357" s="137">
        <v>229.02</v>
      </c>
      <c r="K357" s="137">
        <v>279.92</v>
      </c>
      <c r="L357" t="s">
        <v>499</v>
      </c>
      <c r="M357" s="126">
        <v>4486</v>
      </c>
      <c r="N357" t="s">
        <v>112</v>
      </c>
      <c r="O357" s="137">
        <f t="shared" si="10"/>
        <v>2.9578776530319471</v>
      </c>
      <c r="P357" s="137">
        <f t="shared" si="11"/>
        <v>2.9578776530319471</v>
      </c>
      <c r="Q357" s="126">
        <v>3</v>
      </c>
      <c r="R357" t="s">
        <v>523</v>
      </c>
      <c r="S357" t="str">
        <f>IF($W357&lt;&gt;"NAO ACEITO","",COUNTIFS($W$2:$W357,"NAO ACEITO"))</f>
        <v/>
      </c>
      <c r="T357" t="str">
        <f>IF($B357="","",IF(COUNTIF($B$2:$B357,$B357)=1,MAX($T$1:$T356)+1,""))</f>
        <v/>
      </c>
      <c r="U357" t="str">
        <f>IF($D357="","",IF(COUNTIF($D$2:$D357,$D357)=1,MAX($U$1:$U356)+1,""))</f>
        <v/>
      </c>
      <c r="V357">
        <f>IF($D357="","",IF(COUNTIFS($B$2:$B357,$B357,$D$2:$D357,$D357)=1,1,0))</f>
        <v>1</v>
      </c>
      <c r="W357" t="str">
        <f>IF($D357="","",mEQA.PadronizarStatus($L357))</f>
        <v>ACEITO</v>
      </c>
      <c r="X357" t="str">
        <f>IF(OR($D357="",$W357&lt;&gt;"NAO ACEITO"),"",IF(COUNTIFS($D$2:$D357,$D357,$W$2:$W357,"NAO ACEITO")=1,1,0))</f>
        <v/>
      </c>
    </row>
    <row r="358" spans="1:24" x14ac:dyDescent="0.3">
      <c r="A358" t="s">
        <v>402</v>
      </c>
      <c r="B358" t="s">
        <v>514</v>
      </c>
      <c r="C358" s="126">
        <v>2025</v>
      </c>
      <c r="D358" t="s">
        <v>477</v>
      </c>
      <c r="E358" t="s">
        <v>516</v>
      </c>
      <c r="F358" s="137">
        <v>116</v>
      </c>
      <c r="G358" s="138">
        <v>117.133</v>
      </c>
      <c r="H358" s="138">
        <v>3.9489999999999998</v>
      </c>
      <c r="I358" s="139">
        <v>-0.3</v>
      </c>
      <c r="J358" s="137">
        <v>105.41</v>
      </c>
      <c r="K358" s="137">
        <v>128.85</v>
      </c>
      <c r="L358" t="s">
        <v>499</v>
      </c>
      <c r="M358" s="126">
        <v>4483</v>
      </c>
      <c r="N358" t="s">
        <v>112</v>
      </c>
      <c r="O358" s="137">
        <f t="shared" si="10"/>
        <v>-0.96727651473111387</v>
      </c>
      <c r="P358" s="137">
        <f t="shared" si="11"/>
        <v>0.96727651473111387</v>
      </c>
      <c r="Q358" s="126">
        <v>3</v>
      </c>
      <c r="R358" t="s">
        <v>523</v>
      </c>
      <c r="S358" t="str">
        <f>IF($W358&lt;&gt;"NAO ACEITO","",COUNTIFS($W$2:$W358,"NAO ACEITO"))</f>
        <v/>
      </c>
      <c r="T358" t="str">
        <f>IF($B358="","",IF(COUNTIF($B$2:$B358,$B358)=1,MAX($T$1:$T357)+1,""))</f>
        <v/>
      </c>
      <c r="U358" t="str">
        <f>IF($D358="","",IF(COUNTIF($D$2:$D358,$D358)=1,MAX($U$1:$U357)+1,""))</f>
        <v/>
      </c>
      <c r="V358">
        <f>IF($D358="","",IF(COUNTIFS($B$2:$B358,$B358,$D$2:$D358,$D358)=1,1,0))</f>
        <v>0</v>
      </c>
      <c r="W358" t="str">
        <f>IF($D358="","",mEQA.PadronizarStatus($L358))</f>
        <v>ACEITO</v>
      </c>
      <c r="X358" t="str">
        <f>IF(OR($D358="",$W358&lt;&gt;"NAO ACEITO"),"",IF(COUNTIFS($D$2:$D358,$D358,$W$2:$W358,"NAO ACEITO")=1,1,0))</f>
        <v/>
      </c>
    </row>
    <row r="359" spans="1:24" x14ac:dyDescent="0.3">
      <c r="A359" t="s">
        <v>402</v>
      </c>
      <c r="B359" t="s">
        <v>514</v>
      </c>
      <c r="C359" s="126">
        <v>2025</v>
      </c>
      <c r="D359" t="s">
        <v>477</v>
      </c>
      <c r="E359" t="s">
        <v>517</v>
      </c>
      <c r="F359" s="137">
        <v>201</v>
      </c>
      <c r="G359" s="138">
        <v>195.52099999999999</v>
      </c>
      <c r="H359" s="138">
        <v>4.6710000000000003</v>
      </c>
      <c r="I359" s="139">
        <v>1.2</v>
      </c>
      <c r="J359" s="137">
        <v>175.96</v>
      </c>
      <c r="K359" s="137">
        <v>215.08</v>
      </c>
      <c r="L359" t="s">
        <v>499</v>
      </c>
      <c r="M359" s="126">
        <v>4482</v>
      </c>
      <c r="N359" t="s">
        <v>112</v>
      </c>
      <c r="O359" s="137">
        <f t="shared" si="10"/>
        <v>2.8022565351036532</v>
      </c>
      <c r="P359" s="137">
        <f t="shared" si="11"/>
        <v>2.8022565351036532</v>
      </c>
      <c r="Q359" s="126">
        <v>3</v>
      </c>
      <c r="R359" t="s">
        <v>523</v>
      </c>
      <c r="S359" t="str">
        <f>IF($W359&lt;&gt;"NAO ACEITO","",COUNTIFS($W$2:$W359,"NAO ACEITO"))</f>
        <v/>
      </c>
      <c r="T359" t="str">
        <f>IF($B359="","",IF(COUNTIF($B$2:$B359,$B359)=1,MAX($T$1:$T358)+1,""))</f>
        <v/>
      </c>
      <c r="U359" t="str">
        <f>IF($D359="","",IF(COUNTIF($D$2:$D359,$D359)=1,MAX($U$1:$U358)+1,""))</f>
        <v/>
      </c>
      <c r="V359">
        <f>IF($D359="","",IF(COUNTIFS($B$2:$B359,$B359,$D$2:$D359,$D359)=1,1,0))</f>
        <v>0</v>
      </c>
      <c r="W359" t="str">
        <f>IF($D359="","",mEQA.PadronizarStatus($L359))</f>
        <v>ACEITO</v>
      </c>
      <c r="X359" t="str">
        <f>IF(OR($D359="",$W359&lt;&gt;"NAO ACEITO"),"",IF(COUNTIFS($D$2:$D359,$D359,$W$2:$W359,"NAO ACEITO")=1,1,0))</f>
        <v/>
      </c>
    </row>
    <row r="360" spans="1:24" x14ac:dyDescent="0.3">
      <c r="A360" t="s">
        <v>402</v>
      </c>
      <c r="B360" t="s">
        <v>514</v>
      </c>
      <c r="C360" s="126">
        <v>2025</v>
      </c>
      <c r="D360" t="s">
        <v>477</v>
      </c>
      <c r="E360" t="s">
        <v>518</v>
      </c>
      <c r="F360" s="137">
        <v>151</v>
      </c>
      <c r="G360" s="138">
        <v>147.88999999999999</v>
      </c>
      <c r="H360" s="138">
        <v>3.8380000000000001</v>
      </c>
      <c r="I360" s="139">
        <v>0.8</v>
      </c>
      <c r="J360" s="137">
        <v>133.1</v>
      </c>
      <c r="K360" s="137">
        <v>162.68</v>
      </c>
      <c r="L360" t="s">
        <v>499</v>
      </c>
      <c r="M360" s="126">
        <v>4470</v>
      </c>
      <c r="N360" t="s">
        <v>112</v>
      </c>
      <c r="O360" s="137">
        <f t="shared" si="10"/>
        <v>2.1029143282169276</v>
      </c>
      <c r="P360" s="137">
        <f t="shared" si="11"/>
        <v>2.1029143282169276</v>
      </c>
      <c r="Q360" s="126">
        <v>3</v>
      </c>
      <c r="R360" t="s">
        <v>523</v>
      </c>
      <c r="S360" t="str">
        <f>IF($W360&lt;&gt;"NAO ACEITO","",COUNTIFS($W$2:$W360,"NAO ACEITO"))</f>
        <v/>
      </c>
      <c r="T360" t="str">
        <f>IF($B360="","",IF(COUNTIF($B$2:$B360,$B360)=1,MAX($T$1:$T359)+1,""))</f>
        <v/>
      </c>
      <c r="U360" t="str">
        <f>IF($D360="","",IF(COUNTIF($D$2:$D360,$D360)=1,MAX($U$1:$U359)+1,""))</f>
        <v/>
      </c>
      <c r="V360">
        <f>IF($D360="","",IF(COUNTIFS($B$2:$B360,$B360,$D$2:$D360,$D360)=1,1,0))</f>
        <v>0</v>
      </c>
      <c r="W360" t="str">
        <f>IF($D360="","",mEQA.PadronizarStatus($L360))</f>
        <v>ACEITO</v>
      </c>
      <c r="X360" t="str">
        <f>IF(OR($D360="",$W360&lt;&gt;"NAO ACEITO"),"",IF(COUNTIFS($D$2:$D360,$D360,$W$2:$W360,"NAO ACEITO")=1,1,0))</f>
        <v/>
      </c>
    </row>
    <row r="361" spans="1:24" x14ac:dyDescent="0.3">
      <c r="A361" t="s">
        <v>402</v>
      </c>
      <c r="B361" t="s">
        <v>514</v>
      </c>
      <c r="C361" s="126">
        <v>2025</v>
      </c>
      <c r="D361" t="s">
        <v>477</v>
      </c>
      <c r="E361" t="s">
        <v>519</v>
      </c>
      <c r="F361" s="137">
        <v>217</v>
      </c>
      <c r="G361" s="138">
        <v>209.31800000000001</v>
      </c>
      <c r="H361" s="138">
        <v>4.8419999999999996</v>
      </c>
      <c r="I361" s="139">
        <v>1.6</v>
      </c>
      <c r="J361" s="137">
        <v>188.38</v>
      </c>
      <c r="K361" s="137">
        <v>230.25</v>
      </c>
      <c r="L361" t="s">
        <v>499</v>
      </c>
      <c r="M361" s="126">
        <v>4474</v>
      </c>
      <c r="N361" t="s">
        <v>112</v>
      </c>
      <c r="O361" s="137">
        <f t="shared" si="10"/>
        <v>3.6700140456148</v>
      </c>
      <c r="P361" s="137">
        <f t="shared" si="11"/>
        <v>3.6700140456148</v>
      </c>
      <c r="Q361" s="126">
        <v>3</v>
      </c>
      <c r="R361" t="s">
        <v>523</v>
      </c>
      <c r="S361" t="str">
        <f>IF($W361&lt;&gt;"NAO ACEITO","",COUNTIFS($W$2:$W361,"NAO ACEITO"))</f>
        <v/>
      </c>
      <c r="T361" t="str">
        <f>IF($B361="","",IF(COUNTIF($B$2:$B361,$B361)=1,MAX($T$1:$T360)+1,""))</f>
        <v/>
      </c>
      <c r="U361" t="str">
        <f>IF($D361="","",IF(COUNTIF($D$2:$D361,$D361)=1,MAX($U$1:$U360)+1,""))</f>
        <v/>
      </c>
      <c r="V361">
        <f>IF($D361="","",IF(COUNTIFS($B$2:$B361,$B361,$D$2:$D361,$D361)=1,1,0))</f>
        <v>0</v>
      </c>
      <c r="W361" t="str">
        <f>IF($D361="","",mEQA.PadronizarStatus($L361))</f>
        <v>ACEITO</v>
      </c>
      <c r="X361" t="str">
        <f>IF(OR($D361="",$W361&lt;&gt;"NAO ACEITO"),"",IF(COUNTIFS($D$2:$D361,$D361,$W$2:$W361,"NAO ACEITO")=1,1,0))</f>
        <v/>
      </c>
    </row>
    <row r="362" spans="1:24" x14ac:dyDescent="0.3">
      <c r="A362" t="s">
        <v>402</v>
      </c>
      <c r="B362" t="s">
        <v>514</v>
      </c>
      <c r="C362" s="126">
        <v>2025</v>
      </c>
      <c r="D362" t="s">
        <v>478</v>
      </c>
      <c r="E362" t="s">
        <v>515</v>
      </c>
      <c r="F362" s="137">
        <v>598</v>
      </c>
      <c r="G362" s="138">
        <v>575.5</v>
      </c>
      <c r="H362" s="138">
        <v>24.3</v>
      </c>
      <c r="I362" s="139">
        <v>0.9</v>
      </c>
      <c r="J362" s="137">
        <v>460</v>
      </c>
      <c r="K362" s="137">
        <v>691</v>
      </c>
      <c r="L362" t="s">
        <v>499</v>
      </c>
      <c r="M362" s="126">
        <v>324</v>
      </c>
      <c r="N362" t="s">
        <v>123</v>
      </c>
      <c r="O362" s="137">
        <f t="shared" si="10"/>
        <v>3.9096437880104258</v>
      </c>
      <c r="P362" s="137">
        <f t="shared" si="11"/>
        <v>3.9096437880104258</v>
      </c>
      <c r="Q362" s="126">
        <v>7</v>
      </c>
      <c r="R362" t="s">
        <v>523</v>
      </c>
      <c r="S362" t="str">
        <f>IF($W362&lt;&gt;"NAO ACEITO","",COUNTIFS($W$2:$W362,"NAO ACEITO"))</f>
        <v/>
      </c>
      <c r="T362" t="str">
        <f>IF($B362="","",IF(COUNTIF($B$2:$B362,$B362)=1,MAX($T$1:$T361)+1,""))</f>
        <v/>
      </c>
      <c r="U362" t="str">
        <f>IF($D362="","",IF(COUNTIF($D$2:$D362,$D362)=1,MAX($U$1:$U361)+1,""))</f>
        <v/>
      </c>
      <c r="V362">
        <f>IF($D362="","",IF(COUNTIFS($B$2:$B362,$B362,$D$2:$D362,$D362)=1,1,0))</f>
        <v>1</v>
      </c>
      <c r="W362" t="str">
        <f>IF($D362="","",mEQA.PadronizarStatus($L362))</f>
        <v>ACEITO</v>
      </c>
      <c r="X362" t="str">
        <f>IF(OR($D362="",$W362&lt;&gt;"NAO ACEITO"),"",IF(COUNTIFS($D$2:$D362,$D362,$W$2:$W362,"NAO ACEITO")=1,1,0))</f>
        <v/>
      </c>
    </row>
    <row r="363" spans="1:24" x14ac:dyDescent="0.3">
      <c r="A363" t="s">
        <v>402</v>
      </c>
      <c r="B363" t="s">
        <v>514</v>
      </c>
      <c r="C363" s="126">
        <v>2025</v>
      </c>
      <c r="D363" t="s">
        <v>478</v>
      </c>
      <c r="E363" t="s">
        <v>516</v>
      </c>
      <c r="F363" s="137">
        <v>158</v>
      </c>
      <c r="G363" s="138">
        <v>150.69999999999999</v>
      </c>
      <c r="H363" s="138">
        <v>8.5</v>
      </c>
      <c r="I363" s="139">
        <v>0.9</v>
      </c>
      <c r="J363" s="137">
        <v>120</v>
      </c>
      <c r="K363" s="137">
        <v>181</v>
      </c>
      <c r="L363" t="s">
        <v>499</v>
      </c>
      <c r="M363" s="126">
        <v>324</v>
      </c>
      <c r="N363" t="s">
        <v>123</v>
      </c>
      <c r="O363" s="137">
        <f t="shared" si="10"/>
        <v>4.8440610484406186</v>
      </c>
      <c r="P363" s="137">
        <f t="shared" si="11"/>
        <v>4.8440610484406186</v>
      </c>
      <c r="Q363" s="126">
        <v>7</v>
      </c>
      <c r="R363" t="s">
        <v>523</v>
      </c>
      <c r="S363" t="str">
        <f>IF($W363&lt;&gt;"NAO ACEITO","",COUNTIFS($W$2:$W363,"NAO ACEITO"))</f>
        <v/>
      </c>
      <c r="T363" t="str">
        <f>IF($B363="","",IF(COUNTIF($B$2:$B363,$B363)=1,MAX($T$1:$T362)+1,""))</f>
        <v/>
      </c>
      <c r="U363" t="str">
        <f>IF($D363="","",IF(COUNTIF($D$2:$D363,$D363)=1,MAX($U$1:$U362)+1,""))</f>
        <v/>
      </c>
      <c r="V363">
        <f>IF($D363="","",IF(COUNTIFS($B$2:$B363,$B363,$D$2:$D363,$D363)=1,1,0))</f>
        <v>0</v>
      </c>
      <c r="W363" t="str">
        <f>IF($D363="","",mEQA.PadronizarStatus($L363))</f>
        <v>ACEITO</v>
      </c>
      <c r="X363" t="str">
        <f>IF(OR($D363="",$W363&lt;&gt;"NAO ACEITO"),"",IF(COUNTIFS($D$2:$D363,$D363,$W$2:$W363,"NAO ACEITO")=1,1,0))</f>
        <v/>
      </c>
    </row>
    <row r="364" spans="1:24" x14ac:dyDescent="0.3">
      <c r="A364" t="s">
        <v>402</v>
      </c>
      <c r="B364" t="s">
        <v>514</v>
      </c>
      <c r="C364" s="126">
        <v>2025</v>
      </c>
      <c r="D364" t="s">
        <v>478</v>
      </c>
      <c r="E364" t="s">
        <v>517</v>
      </c>
      <c r="F364" s="137">
        <v>124</v>
      </c>
      <c r="G364" s="138">
        <v>119.2</v>
      </c>
      <c r="H364" s="138">
        <v>13.3</v>
      </c>
      <c r="I364" s="139">
        <v>0.4</v>
      </c>
      <c r="J364" s="137">
        <v>95</v>
      </c>
      <c r="K364" s="137">
        <v>143</v>
      </c>
      <c r="L364" t="s">
        <v>499</v>
      </c>
      <c r="M364" s="126">
        <v>326</v>
      </c>
      <c r="N364" t="s">
        <v>123</v>
      </c>
      <c r="O364" s="137">
        <f t="shared" si="10"/>
        <v>4.0268456375838904</v>
      </c>
      <c r="P364" s="137">
        <f t="shared" si="11"/>
        <v>4.0268456375838904</v>
      </c>
      <c r="Q364" s="126">
        <v>7</v>
      </c>
      <c r="R364" t="s">
        <v>523</v>
      </c>
      <c r="S364" t="str">
        <f>IF($W364&lt;&gt;"NAO ACEITO","",COUNTIFS($W$2:$W364,"NAO ACEITO"))</f>
        <v/>
      </c>
      <c r="T364" t="str">
        <f>IF($B364="","",IF(COUNTIF($B$2:$B364,$B364)=1,MAX($T$1:$T363)+1,""))</f>
        <v/>
      </c>
      <c r="U364" t="str">
        <f>IF($D364="","",IF(COUNTIF($D$2:$D364,$D364)=1,MAX($U$1:$U363)+1,""))</f>
        <v/>
      </c>
      <c r="V364">
        <f>IF($D364="","",IF(COUNTIFS($B$2:$B364,$B364,$D$2:$D364,$D364)=1,1,0))</f>
        <v>0</v>
      </c>
      <c r="W364" t="str">
        <f>IF($D364="","",mEQA.PadronizarStatus($L364))</f>
        <v>ACEITO</v>
      </c>
      <c r="X364" t="str">
        <f>IF(OR($D364="",$W364&lt;&gt;"NAO ACEITO"),"",IF(COUNTIFS($D$2:$D364,$D364,$W$2:$W364,"NAO ACEITO")=1,1,0))</f>
        <v/>
      </c>
    </row>
    <row r="365" spans="1:24" x14ac:dyDescent="0.3">
      <c r="A365" t="s">
        <v>402</v>
      </c>
      <c r="B365" t="s">
        <v>514</v>
      </c>
      <c r="C365" s="126">
        <v>2025</v>
      </c>
      <c r="D365" t="s">
        <v>478</v>
      </c>
      <c r="E365" t="s">
        <v>518</v>
      </c>
      <c r="F365" s="137">
        <v>173</v>
      </c>
      <c r="G365" s="138">
        <v>167.7</v>
      </c>
      <c r="H365" s="138">
        <v>12.9</v>
      </c>
      <c r="I365" s="139">
        <v>0.4</v>
      </c>
      <c r="J365" s="137">
        <v>134</v>
      </c>
      <c r="K365" s="137">
        <v>202</v>
      </c>
      <c r="L365" t="s">
        <v>499</v>
      </c>
      <c r="M365" s="126">
        <v>324</v>
      </c>
      <c r="N365" t="s">
        <v>123</v>
      </c>
      <c r="O365" s="137">
        <f t="shared" si="10"/>
        <v>3.1604054859868884</v>
      </c>
      <c r="P365" s="137">
        <f t="shared" si="11"/>
        <v>3.1604054859868884</v>
      </c>
      <c r="Q365" s="126">
        <v>7</v>
      </c>
      <c r="R365" t="s">
        <v>523</v>
      </c>
      <c r="S365" t="str">
        <f>IF($W365&lt;&gt;"NAO ACEITO","",COUNTIFS($W$2:$W365,"NAO ACEITO"))</f>
        <v/>
      </c>
      <c r="T365" t="str">
        <f>IF($B365="","",IF(COUNTIF($B$2:$B365,$B365)=1,MAX($T$1:$T364)+1,""))</f>
        <v/>
      </c>
      <c r="U365" t="str">
        <f>IF($D365="","",IF(COUNTIF($D$2:$D365,$D365)=1,MAX($U$1:$U364)+1,""))</f>
        <v/>
      </c>
      <c r="V365">
        <f>IF($D365="","",IF(COUNTIFS($B$2:$B365,$B365,$D$2:$D365,$D365)=1,1,0))</f>
        <v>0</v>
      </c>
      <c r="W365" t="str">
        <f>IF($D365="","",mEQA.PadronizarStatus($L365))</f>
        <v>ACEITO</v>
      </c>
      <c r="X365" t="str">
        <f>IF(OR($D365="",$W365&lt;&gt;"NAO ACEITO"),"",IF(COUNTIFS($D$2:$D365,$D365,$W$2:$W365,"NAO ACEITO")=1,1,0))</f>
        <v/>
      </c>
    </row>
    <row r="366" spans="1:24" x14ac:dyDescent="0.3">
      <c r="A366" t="s">
        <v>402</v>
      </c>
      <c r="B366" t="s">
        <v>514</v>
      </c>
      <c r="C366" s="126">
        <v>2025</v>
      </c>
      <c r="D366" t="s">
        <v>478</v>
      </c>
      <c r="E366" t="s">
        <v>519</v>
      </c>
      <c r="F366" s="137">
        <v>450</v>
      </c>
      <c r="G366" s="138">
        <v>430.2</v>
      </c>
      <c r="H366" s="138">
        <v>20.2</v>
      </c>
      <c r="I366" s="139">
        <v>1</v>
      </c>
      <c r="J366" s="137">
        <v>344</v>
      </c>
      <c r="K366" s="137">
        <v>517</v>
      </c>
      <c r="L366" t="s">
        <v>499</v>
      </c>
      <c r="M366" s="126">
        <v>324</v>
      </c>
      <c r="N366" t="s">
        <v>123</v>
      </c>
      <c r="O366" s="137">
        <f t="shared" si="10"/>
        <v>4.6025104602510494</v>
      </c>
      <c r="P366" s="137">
        <f t="shared" si="11"/>
        <v>4.6025104602510494</v>
      </c>
      <c r="Q366" s="126">
        <v>7</v>
      </c>
      <c r="R366" t="s">
        <v>523</v>
      </c>
      <c r="S366" t="str">
        <f>IF($W366&lt;&gt;"NAO ACEITO","",COUNTIFS($W$2:$W366,"NAO ACEITO"))</f>
        <v/>
      </c>
      <c r="T366" t="str">
        <f>IF($B366="","",IF(COUNTIF($B$2:$B366,$B366)=1,MAX($T$1:$T365)+1,""))</f>
        <v/>
      </c>
      <c r="U366" t="str">
        <f>IF($D366="","",IF(COUNTIF($D$2:$D366,$D366)=1,MAX($U$1:$U365)+1,""))</f>
        <v/>
      </c>
      <c r="V366">
        <f>IF($D366="","",IF(COUNTIFS($B$2:$B366,$B366,$D$2:$D366,$D366)=1,1,0))</f>
        <v>0</v>
      </c>
      <c r="W366" t="str">
        <f>IF($D366="","",mEQA.PadronizarStatus($L366))</f>
        <v>ACEITO</v>
      </c>
      <c r="X366" t="str">
        <f>IF(OR($D366="",$W366&lt;&gt;"NAO ACEITO"),"",IF(COUNTIFS($D$2:$D366,$D366,$W$2:$W366,"NAO ACEITO")=1,1,0))</f>
        <v/>
      </c>
    </row>
    <row r="367" spans="1:24" x14ac:dyDescent="0.3">
      <c r="A367" t="s">
        <v>402</v>
      </c>
      <c r="B367" t="s">
        <v>514</v>
      </c>
      <c r="C367" s="126">
        <v>2025</v>
      </c>
      <c r="D367" t="s">
        <v>479</v>
      </c>
      <c r="E367" t="s">
        <v>515</v>
      </c>
      <c r="F367" s="137">
        <v>0.79</v>
      </c>
      <c r="G367" s="138">
        <v>0.748</v>
      </c>
      <c r="H367" s="138">
        <v>6.5000000000000002E-2</v>
      </c>
      <c r="I367" s="139">
        <v>0.7</v>
      </c>
      <c r="J367" s="137">
        <v>0.54</v>
      </c>
      <c r="K367" s="137">
        <v>0.95</v>
      </c>
      <c r="L367" t="s">
        <v>499</v>
      </c>
      <c r="M367" s="126">
        <v>344</v>
      </c>
      <c r="N367" t="s">
        <v>112</v>
      </c>
      <c r="O367" s="137">
        <f t="shared" si="10"/>
        <v>5.6149732620320902</v>
      </c>
      <c r="P367" s="137">
        <f t="shared" si="11"/>
        <v>5.6149732620320902</v>
      </c>
      <c r="Q367" s="126">
        <v>4</v>
      </c>
      <c r="R367" t="s">
        <v>523</v>
      </c>
      <c r="S367" t="str">
        <f>IF($W367&lt;&gt;"NAO ACEITO","",COUNTIFS($W$2:$W367,"NAO ACEITO"))</f>
        <v/>
      </c>
      <c r="T367" t="str">
        <f>IF($B367="","",IF(COUNTIF($B$2:$B367,$B367)=1,MAX($T$1:$T366)+1,""))</f>
        <v/>
      </c>
      <c r="U367" t="str">
        <f>IF($D367="","",IF(COUNTIF($D$2:$D367,$D367)=1,MAX($U$1:$U366)+1,""))</f>
        <v/>
      </c>
      <c r="V367">
        <f>IF($D367="","",IF(COUNTIFS($B$2:$B367,$B367,$D$2:$D367,$D367)=1,1,0))</f>
        <v>1</v>
      </c>
      <c r="W367" t="str">
        <f>IF($D367="","",mEQA.PadronizarStatus($L367))</f>
        <v>ACEITO</v>
      </c>
      <c r="X367" t="str">
        <f>IF(OR($D367="",$W367&lt;&gt;"NAO ACEITO"),"",IF(COUNTIFS($D$2:$D367,$D367,$W$2:$W367,"NAO ACEITO")=1,1,0))</f>
        <v/>
      </c>
    </row>
    <row r="368" spans="1:24" x14ac:dyDescent="0.3">
      <c r="A368" t="s">
        <v>402</v>
      </c>
      <c r="B368" t="s">
        <v>514</v>
      </c>
      <c r="C368" s="126">
        <v>2025</v>
      </c>
      <c r="D368" t="s">
        <v>479</v>
      </c>
      <c r="E368" t="s">
        <v>516</v>
      </c>
      <c r="F368" s="137">
        <v>5.49</v>
      </c>
      <c r="G368" s="138">
        <v>5.3620000000000001</v>
      </c>
      <c r="H368" s="138">
        <v>0.123</v>
      </c>
      <c r="I368" s="139">
        <v>1</v>
      </c>
      <c r="J368" s="137">
        <v>4.82</v>
      </c>
      <c r="K368" s="137">
        <v>5.9</v>
      </c>
      <c r="L368" t="s">
        <v>499</v>
      </c>
      <c r="M368" s="126">
        <v>342</v>
      </c>
      <c r="N368" t="s">
        <v>112</v>
      </c>
      <c r="O368" s="137">
        <f t="shared" si="10"/>
        <v>2.3871689668034337</v>
      </c>
      <c r="P368" s="137">
        <f t="shared" si="11"/>
        <v>2.3871689668034337</v>
      </c>
      <c r="Q368" s="126">
        <v>4</v>
      </c>
      <c r="R368" t="s">
        <v>523</v>
      </c>
      <c r="S368" t="str">
        <f>IF($W368&lt;&gt;"NAO ACEITO","",COUNTIFS($W$2:$W368,"NAO ACEITO"))</f>
        <v/>
      </c>
      <c r="T368" t="str">
        <f>IF($B368="","",IF(COUNTIF($B$2:$B368,$B368)=1,MAX($T$1:$T367)+1,""))</f>
        <v/>
      </c>
      <c r="U368" t="str">
        <f>IF($D368="","",IF(COUNTIF($D$2:$D368,$D368)=1,MAX($U$1:$U367)+1,""))</f>
        <v/>
      </c>
      <c r="V368">
        <f>IF($D368="","",IF(COUNTIFS($B$2:$B368,$B368,$D$2:$D368,$D368)=1,1,0))</f>
        <v>0</v>
      </c>
      <c r="W368" t="str">
        <f>IF($D368="","",mEQA.PadronizarStatus($L368))</f>
        <v>ACEITO</v>
      </c>
      <c r="X368" t="str">
        <f>IF(OR($D368="",$W368&lt;&gt;"NAO ACEITO"),"",IF(COUNTIFS($D$2:$D368,$D368,$W$2:$W368,"NAO ACEITO")=1,1,0))</f>
        <v/>
      </c>
    </row>
    <row r="369" spans="1:24" x14ac:dyDescent="0.3">
      <c r="A369" t="s">
        <v>402</v>
      </c>
      <c r="B369" t="s">
        <v>514</v>
      </c>
      <c r="C369" s="126">
        <v>2025</v>
      </c>
      <c r="D369" t="s">
        <v>479</v>
      </c>
      <c r="E369" t="s">
        <v>517</v>
      </c>
      <c r="F369" s="137">
        <v>2.17</v>
      </c>
      <c r="G369" s="138">
        <v>2.052</v>
      </c>
      <c r="H369" s="138">
        <v>7.3999999999999996E-2</v>
      </c>
      <c r="I369" s="139">
        <v>1.6</v>
      </c>
      <c r="J369" s="137">
        <v>1.84</v>
      </c>
      <c r="K369" s="137">
        <v>2.2599999999999998</v>
      </c>
      <c r="L369" t="s">
        <v>499</v>
      </c>
      <c r="M369" s="126">
        <v>345</v>
      </c>
      <c r="N369" t="s">
        <v>112</v>
      </c>
      <c r="O369" s="137">
        <f t="shared" si="10"/>
        <v>5.7504873294346917</v>
      </c>
      <c r="P369" s="137">
        <f t="shared" si="11"/>
        <v>5.7504873294346917</v>
      </c>
      <c r="Q369" s="126">
        <v>4</v>
      </c>
      <c r="R369" t="s">
        <v>523</v>
      </c>
      <c r="S369" t="str">
        <f>IF($W369&lt;&gt;"NAO ACEITO","",COUNTIFS($W$2:$W369,"NAO ACEITO"))</f>
        <v/>
      </c>
      <c r="T369" t="str">
        <f>IF($B369="","",IF(COUNTIF($B$2:$B369,$B369)=1,MAX($T$1:$T368)+1,""))</f>
        <v/>
      </c>
      <c r="U369" t="str">
        <f>IF($D369="","",IF(COUNTIF($D$2:$D369,$D369)=1,MAX($U$1:$U368)+1,""))</f>
        <v/>
      </c>
      <c r="V369">
        <f>IF($D369="","",IF(COUNTIFS($B$2:$B369,$B369,$D$2:$D369,$D369)=1,1,0))</f>
        <v>0</v>
      </c>
      <c r="W369" t="str">
        <f>IF($D369="","",mEQA.PadronizarStatus($L369))</f>
        <v>ACEITO</v>
      </c>
      <c r="X369" t="str">
        <f>IF(OR($D369="",$W369&lt;&gt;"NAO ACEITO"),"",IF(COUNTIFS($D$2:$D369,$D369,$W$2:$W369,"NAO ACEITO")=1,1,0))</f>
        <v/>
      </c>
    </row>
    <row r="370" spans="1:24" x14ac:dyDescent="0.3">
      <c r="A370" t="s">
        <v>402</v>
      </c>
      <c r="B370" t="s">
        <v>514</v>
      </c>
      <c r="C370" s="126">
        <v>2025</v>
      </c>
      <c r="D370" t="s">
        <v>479</v>
      </c>
      <c r="E370" t="s">
        <v>518</v>
      </c>
      <c r="F370" s="137">
        <v>4.18</v>
      </c>
      <c r="G370" s="138">
        <v>4.1689999999999996</v>
      </c>
      <c r="H370" s="138">
        <v>0.104</v>
      </c>
      <c r="I370" s="139">
        <v>0.1</v>
      </c>
      <c r="J370" s="137">
        <v>3.75</v>
      </c>
      <c r="K370" s="137">
        <v>4.59</v>
      </c>
      <c r="L370" t="s">
        <v>499</v>
      </c>
      <c r="M370" s="126">
        <v>342</v>
      </c>
      <c r="N370" t="s">
        <v>112</v>
      </c>
      <c r="O370" s="137">
        <f t="shared" si="10"/>
        <v>0.26385224274406627</v>
      </c>
      <c r="P370" s="137">
        <f t="shared" si="11"/>
        <v>0.26385224274406627</v>
      </c>
      <c r="Q370" s="126">
        <v>4</v>
      </c>
      <c r="R370" t="s">
        <v>523</v>
      </c>
      <c r="S370" t="str">
        <f>IF($W370&lt;&gt;"NAO ACEITO","",COUNTIFS($W$2:$W370,"NAO ACEITO"))</f>
        <v/>
      </c>
      <c r="T370" t="str">
        <f>IF($B370="","",IF(COUNTIF($B$2:$B370,$B370)=1,MAX($T$1:$T369)+1,""))</f>
        <v/>
      </c>
      <c r="U370" t="str">
        <f>IF($D370="","",IF(COUNTIF($D$2:$D370,$D370)=1,MAX($U$1:$U369)+1,""))</f>
        <v/>
      </c>
      <c r="V370">
        <f>IF($D370="","",IF(COUNTIFS($B$2:$B370,$B370,$D$2:$D370,$D370)=1,1,0))</f>
        <v>0</v>
      </c>
      <c r="W370" t="str">
        <f>IF($D370="","",mEQA.PadronizarStatus($L370))</f>
        <v>ACEITO</v>
      </c>
      <c r="X370" t="str">
        <f>IF(OR($D370="",$W370&lt;&gt;"NAO ACEITO"),"",IF(COUNTIFS($D$2:$D370,$D370,$W$2:$W370,"NAO ACEITO")=1,1,0))</f>
        <v/>
      </c>
    </row>
    <row r="371" spans="1:24" x14ac:dyDescent="0.3">
      <c r="A371" t="s">
        <v>402</v>
      </c>
      <c r="B371" t="s">
        <v>514</v>
      </c>
      <c r="C371" s="126">
        <v>2025</v>
      </c>
      <c r="D371" t="s">
        <v>479</v>
      </c>
      <c r="E371" t="s">
        <v>519</v>
      </c>
      <c r="F371" s="137">
        <v>2.4</v>
      </c>
      <c r="G371" s="138">
        <v>2.266</v>
      </c>
      <c r="H371" s="138">
        <v>0.08</v>
      </c>
      <c r="I371" s="139">
        <v>1.7</v>
      </c>
      <c r="J371" s="137">
        <v>2.0299999999999998</v>
      </c>
      <c r="K371" s="137">
        <v>2.5</v>
      </c>
      <c r="L371" t="s">
        <v>499</v>
      </c>
      <c r="M371" s="126">
        <v>343</v>
      </c>
      <c r="N371" t="s">
        <v>112</v>
      </c>
      <c r="O371" s="137">
        <f t="shared" si="10"/>
        <v>5.9135039717563949</v>
      </c>
      <c r="P371" s="137">
        <f t="shared" si="11"/>
        <v>5.9135039717563949</v>
      </c>
      <c r="Q371" s="126">
        <v>4</v>
      </c>
      <c r="R371" t="s">
        <v>523</v>
      </c>
      <c r="S371" t="str">
        <f>IF($W371&lt;&gt;"NAO ACEITO","",COUNTIFS($W$2:$W371,"NAO ACEITO"))</f>
        <v/>
      </c>
      <c r="T371" t="str">
        <f>IF($B371="","",IF(COUNTIF($B$2:$B371,$B371)=1,MAX($T$1:$T370)+1,""))</f>
        <v/>
      </c>
      <c r="U371" t="str">
        <f>IF($D371="","",IF(COUNTIF($D$2:$D371,$D371)=1,MAX($U$1:$U370)+1,""))</f>
        <v/>
      </c>
      <c r="V371">
        <f>IF($D371="","",IF(COUNTIFS($B$2:$B371,$B371,$D$2:$D371,$D371)=1,1,0))</f>
        <v>0</v>
      </c>
      <c r="W371" t="str">
        <f>IF($D371="","",mEQA.PadronizarStatus($L371))</f>
        <v>ACEITO</v>
      </c>
      <c r="X371" t="str">
        <f>IF(OR($D371="",$W371&lt;&gt;"NAO ACEITO"),"",IF(COUNTIFS($D$2:$D371,$D371,$W$2:$W371,"NAO ACEITO")=1,1,0))</f>
        <v/>
      </c>
    </row>
    <row r="372" spans="1:24" x14ac:dyDescent="0.3">
      <c r="A372" t="s">
        <v>402</v>
      </c>
      <c r="B372" t="s">
        <v>514</v>
      </c>
      <c r="C372" s="126">
        <v>2025</v>
      </c>
      <c r="D372" t="s">
        <v>480</v>
      </c>
      <c r="E372" t="s">
        <v>515</v>
      </c>
      <c r="F372" s="137">
        <v>212</v>
      </c>
      <c r="G372" s="138">
        <v>215.4</v>
      </c>
      <c r="H372" s="138">
        <v>6.4</v>
      </c>
      <c r="I372" s="139">
        <v>-0.5</v>
      </c>
      <c r="J372" s="137">
        <v>172</v>
      </c>
      <c r="K372" s="137">
        <v>259</v>
      </c>
      <c r="L372" t="s">
        <v>499</v>
      </c>
      <c r="M372" s="126">
        <v>71</v>
      </c>
      <c r="N372" t="s">
        <v>504</v>
      </c>
      <c r="O372" s="137">
        <f t="shared" si="10"/>
        <v>-1.578458681522751</v>
      </c>
      <c r="P372" s="137">
        <f t="shared" si="11"/>
        <v>1.578458681522751</v>
      </c>
      <c r="Q372" s="126">
        <v>9</v>
      </c>
      <c r="R372" t="s">
        <v>523</v>
      </c>
      <c r="S372" t="str">
        <f>IF($W372&lt;&gt;"NAO ACEITO","",COUNTIFS($W$2:$W372,"NAO ACEITO"))</f>
        <v/>
      </c>
      <c r="T372" t="str">
        <f>IF($B372="","",IF(COUNTIF($B$2:$B372,$B372)=1,MAX($T$1:$T371)+1,""))</f>
        <v/>
      </c>
      <c r="U372" t="str">
        <f>IF($D372="","",IF(COUNTIF($D$2:$D372,$D372)=1,MAX($U$1:$U371)+1,""))</f>
        <v/>
      </c>
      <c r="V372">
        <f>IF($D372="","",IF(COUNTIFS($B$2:$B372,$B372,$D$2:$D372,$D372)=1,1,0))</f>
        <v>1</v>
      </c>
      <c r="W372" t="str">
        <f>IF($D372="","",mEQA.PadronizarStatus($L372))</f>
        <v>ACEITO</v>
      </c>
      <c r="X372" t="str">
        <f>IF(OR($D372="",$W372&lt;&gt;"NAO ACEITO"),"",IF(COUNTIFS($D$2:$D372,$D372,$W$2:$W372,"NAO ACEITO")=1,1,0))</f>
        <v/>
      </c>
    </row>
    <row r="373" spans="1:24" x14ac:dyDescent="0.3">
      <c r="A373" t="s">
        <v>402</v>
      </c>
      <c r="B373" t="s">
        <v>514</v>
      </c>
      <c r="C373" s="126">
        <v>2025</v>
      </c>
      <c r="D373" t="s">
        <v>480</v>
      </c>
      <c r="E373" t="s">
        <v>516</v>
      </c>
      <c r="F373" s="137">
        <v>67</v>
      </c>
      <c r="G373" s="138">
        <v>70.8</v>
      </c>
      <c r="H373" s="138">
        <v>2.7</v>
      </c>
      <c r="I373" s="139">
        <v>-1.4</v>
      </c>
      <c r="J373" s="137">
        <v>56</v>
      </c>
      <c r="K373" s="137">
        <v>85</v>
      </c>
      <c r="L373" t="s">
        <v>499</v>
      </c>
      <c r="M373" s="126">
        <v>70</v>
      </c>
      <c r="N373" t="s">
        <v>504</v>
      </c>
      <c r="O373" s="137">
        <f t="shared" si="10"/>
        <v>-5.3672316384180752</v>
      </c>
      <c r="P373" s="137">
        <f t="shared" si="11"/>
        <v>5.3672316384180752</v>
      </c>
      <c r="Q373" s="126">
        <v>9</v>
      </c>
      <c r="R373" t="s">
        <v>523</v>
      </c>
      <c r="S373" t="str">
        <f>IF($W373&lt;&gt;"NAO ACEITO","",COUNTIFS($W$2:$W373,"NAO ACEITO"))</f>
        <v/>
      </c>
      <c r="T373" t="str">
        <f>IF($B373="","",IF(COUNTIF($B$2:$B373,$B373)=1,MAX($T$1:$T372)+1,""))</f>
        <v/>
      </c>
      <c r="U373" t="str">
        <f>IF($D373="","",IF(COUNTIF($D$2:$D373,$D373)=1,MAX($U$1:$U372)+1,""))</f>
        <v/>
      </c>
      <c r="V373">
        <f>IF($D373="","",IF(COUNTIFS($B$2:$B373,$B373,$D$2:$D373,$D373)=1,1,0))</f>
        <v>0</v>
      </c>
      <c r="W373" t="str">
        <f>IF($D373="","",mEQA.PadronizarStatus($L373))</f>
        <v>ACEITO</v>
      </c>
      <c r="X373" t="str">
        <f>IF(OR($D373="",$W373&lt;&gt;"NAO ACEITO"),"",IF(COUNTIFS($D$2:$D373,$D373,$W$2:$W373,"NAO ACEITO")=1,1,0))</f>
        <v/>
      </c>
    </row>
    <row r="374" spans="1:24" x14ac:dyDescent="0.3">
      <c r="A374" t="s">
        <v>402</v>
      </c>
      <c r="B374" t="s">
        <v>514</v>
      </c>
      <c r="C374" s="126">
        <v>2025</v>
      </c>
      <c r="D374" t="s">
        <v>480</v>
      </c>
      <c r="E374" t="s">
        <v>517</v>
      </c>
      <c r="F374" s="137">
        <v>46</v>
      </c>
      <c r="G374" s="138">
        <v>48.6</v>
      </c>
      <c r="H374" s="138">
        <v>1.9</v>
      </c>
      <c r="I374" s="139">
        <v>-1.4</v>
      </c>
      <c r="J374" s="137">
        <v>38</v>
      </c>
      <c r="K374" s="137">
        <v>59</v>
      </c>
      <c r="L374" t="s">
        <v>499</v>
      </c>
      <c r="M374" s="126">
        <v>68</v>
      </c>
      <c r="N374" t="s">
        <v>504</v>
      </c>
      <c r="O374" s="137">
        <f t="shared" si="10"/>
        <v>-5.3497942386831303</v>
      </c>
      <c r="P374" s="137">
        <f t="shared" si="11"/>
        <v>5.3497942386831303</v>
      </c>
      <c r="Q374" s="126">
        <v>9</v>
      </c>
      <c r="R374" t="s">
        <v>523</v>
      </c>
      <c r="S374" t="str">
        <f>IF($W374&lt;&gt;"NAO ACEITO","",COUNTIFS($W$2:$W374,"NAO ACEITO"))</f>
        <v/>
      </c>
      <c r="T374" t="str">
        <f>IF($B374="","",IF(COUNTIF($B$2:$B374,$B374)=1,MAX($T$1:$T373)+1,""))</f>
        <v/>
      </c>
      <c r="U374" t="str">
        <f>IF($D374="","",IF(COUNTIF($D$2:$D374,$D374)=1,MAX($U$1:$U373)+1,""))</f>
        <v/>
      </c>
      <c r="V374">
        <f>IF($D374="","",IF(COUNTIFS($B$2:$B374,$B374,$D$2:$D374,$D374)=1,1,0))</f>
        <v>0</v>
      </c>
      <c r="W374" t="str">
        <f>IF($D374="","",mEQA.PadronizarStatus($L374))</f>
        <v>ACEITO</v>
      </c>
      <c r="X374" t="str">
        <f>IF(OR($D374="",$W374&lt;&gt;"NAO ACEITO"),"",IF(COUNTIFS($D$2:$D374,$D374,$W$2:$W374,"NAO ACEITO")=1,1,0))</f>
        <v/>
      </c>
    </row>
    <row r="375" spans="1:24" x14ac:dyDescent="0.3">
      <c r="A375" t="s">
        <v>402</v>
      </c>
      <c r="B375" t="s">
        <v>514</v>
      </c>
      <c r="C375" s="126">
        <v>2025</v>
      </c>
      <c r="D375" t="s">
        <v>480</v>
      </c>
      <c r="E375" t="s">
        <v>518</v>
      </c>
      <c r="F375" s="137">
        <v>73</v>
      </c>
      <c r="G375" s="138">
        <v>77.8</v>
      </c>
      <c r="H375" s="138">
        <v>2.7</v>
      </c>
      <c r="I375" s="139">
        <v>-1.8</v>
      </c>
      <c r="J375" s="137">
        <v>62</v>
      </c>
      <c r="K375" s="137">
        <v>94</v>
      </c>
      <c r="L375" t="s">
        <v>499</v>
      </c>
      <c r="M375" s="126">
        <v>70</v>
      </c>
      <c r="N375" t="s">
        <v>504</v>
      </c>
      <c r="O375" s="137">
        <f t="shared" si="10"/>
        <v>-6.1696658097686337</v>
      </c>
      <c r="P375" s="137">
        <f t="shared" si="11"/>
        <v>6.1696658097686337</v>
      </c>
      <c r="Q375" s="126">
        <v>9</v>
      </c>
      <c r="R375" t="s">
        <v>523</v>
      </c>
      <c r="S375" t="str">
        <f>IF($W375&lt;&gt;"NAO ACEITO","",COUNTIFS($W$2:$W375,"NAO ACEITO"))</f>
        <v/>
      </c>
      <c r="T375" t="str">
        <f>IF($B375="","",IF(COUNTIF($B$2:$B375,$B375)=1,MAX($T$1:$T374)+1,""))</f>
        <v/>
      </c>
      <c r="U375" t="str">
        <f>IF($D375="","",IF(COUNTIF($D$2:$D375,$D375)=1,MAX($U$1:$U374)+1,""))</f>
        <v/>
      </c>
      <c r="V375">
        <f>IF($D375="","",IF(COUNTIFS($B$2:$B375,$B375,$D$2:$D375,$D375)=1,1,0))</f>
        <v>0</v>
      </c>
      <c r="W375" t="str">
        <f>IF($D375="","",mEQA.PadronizarStatus($L375))</f>
        <v>ACEITO</v>
      </c>
      <c r="X375" t="str">
        <f>IF(OR($D375="",$W375&lt;&gt;"NAO ACEITO"),"",IF(COUNTIFS($D$2:$D375,$D375,$W$2:$W375,"NAO ACEITO")=1,1,0))</f>
        <v/>
      </c>
    </row>
    <row r="376" spans="1:24" x14ac:dyDescent="0.3">
      <c r="A376" t="s">
        <v>402</v>
      </c>
      <c r="B376" t="s">
        <v>514</v>
      </c>
      <c r="C376" s="126">
        <v>2025</v>
      </c>
      <c r="D376" t="s">
        <v>480</v>
      </c>
      <c r="E376" t="s">
        <v>519</v>
      </c>
      <c r="F376" s="137">
        <v>162</v>
      </c>
      <c r="G376" s="138">
        <v>168.1</v>
      </c>
      <c r="H376" s="138">
        <v>4.4000000000000004</v>
      </c>
      <c r="I376" s="139">
        <v>-1.4</v>
      </c>
      <c r="J376" s="137">
        <v>134</v>
      </c>
      <c r="K376" s="137">
        <v>202</v>
      </c>
      <c r="L376" t="s">
        <v>499</v>
      </c>
      <c r="M376" s="126">
        <v>68</v>
      </c>
      <c r="N376" t="s">
        <v>504</v>
      </c>
      <c r="O376" s="137">
        <f t="shared" si="10"/>
        <v>-3.6287923854848274</v>
      </c>
      <c r="P376" s="137">
        <f t="shared" si="11"/>
        <v>3.6287923854848274</v>
      </c>
      <c r="Q376" s="126">
        <v>9</v>
      </c>
      <c r="R376" t="s">
        <v>523</v>
      </c>
      <c r="S376" t="str">
        <f>IF($W376&lt;&gt;"NAO ACEITO","",COUNTIFS($W$2:$W376,"NAO ACEITO"))</f>
        <v/>
      </c>
      <c r="T376" t="str">
        <f>IF($B376="","",IF(COUNTIF($B$2:$B376,$B376)=1,MAX($T$1:$T375)+1,""))</f>
        <v/>
      </c>
      <c r="U376" t="str">
        <f>IF($D376="","",IF(COUNTIF($D$2:$D376,$D376)=1,MAX($U$1:$U375)+1,""))</f>
        <v/>
      </c>
      <c r="V376">
        <f>IF($D376="","",IF(COUNTIFS($B$2:$B376,$B376,$D$2:$D376,$D376)=1,1,0))</f>
        <v>0</v>
      </c>
      <c r="W376" t="str">
        <f>IF($D376="","",mEQA.PadronizarStatus($L376))</f>
        <v>ACEITO</v>
      </c>
      <c r="X376" t="str">
        <f>IF(OR($D376="",$W376&lt;&gt;"NAO ACEITO"),"",IF(COUNTIFS($D$2:$D376,$D376,$W$2:$W376,"NAO ACEITO")=1,1,0))</f>
        <v/>
      </c>
    </row>
    <row r="377" spans="1:24" x14ac:dyDescent="0.3">
      <c r="A377" t="s">
        <v>402</v>
      </c>
      <c r="B377" t="s">
        <v>514</v>
      </c>
      <c r="C377" s="126">
        <v>2025</v>
      </c>
      <c r="D377" t="s">
        <v>481</v>
      </c>
      <c r="E377" t="s">
        <v>515</v>
      </c>
      <c r="F377" s="137">
        <v>178</v>
      </c>
      <c r="G377" s="138">
        <v>172</v>
      </c>
      <c r="H377" s="138">
        <v>4.2</v>
      </c>
      <c r="I377" s="139">
        <v>1.4</v>
      </c>
      <c r="J377" s="137">
        <v>146</v>
      </c>
      <c r="K377" s="137">
        <v>198</v>
      </c>
      <c r="L377" t="s">
        <v>499</v>
      </c>
      <c r="M377" s="126">
        <v>135</v>
      </c>
      <c r="N377" t="s">
        <v>123</v>
      </c>
      <c r="O377" s="137">
        <f t="shared" si="10"/>
        <v>3.4883720930232558</v>
      </c>
      <c r="P377" s="137">
        <f t="shared" si="11"/>
        <v>3.4883720930232558</v>
      </c>
      <c r="Q377" s="126">
        <v>8</v>
      </c>
      <c r="R377" t="s">
        <v>523</v>
      </c>
      <c r="S377" t="str">
        <f>IF($W377&lt;&gt;"NAO ACEITO","",COUNTIFS($W$2:$W377,"NAO ACEITO"))</f>
        <v/>
      </c>
      <c r="T377" t="str">
        <f>IF($B377="","",IF(COUNTIF($B$2:$B377,$B377)=1,MAX($T$1:$T376)+1,""))</f>
        <v/>
      </c>
      <c r="U377" t="str">
        <f>IF($D377="","",IF(COUNTIF($D$2:$D377,$D377)=1,MAX($U$1:$U376)+1,""))</f>
        <v/>
      </c>
      <c r="V377">
        <f>IF($D377="","",IF(COUNTIFS($B$2:$B377,$B377,$D$2:$D377,$D377)=1,1,0))</f>
        <v>1</v>
      </c>
      <c r="W377" t="str">
        <f>IF($D377="","",mEQA.PadronizarStatus($L377))</f>
        <v>ACEITO</v>
      </c>
      <c r="X377" t="str">
        <f>IF(OR($D377="",$W377&lt;&gt;"NAO ACEITO"),"",IF(COUNTIFS($D$2:$D377,$D377,$W$2:$W377,"NAO ACEITO")=1,1,0))</f>
        <v/>
      </c>
    </row>
    <row r="378" spans="1:24" x14ac:dyDescent="0.3">
      <c r="A378" t="s">
        <v>402</v>
      </c>
      <c r="B378" t="s">
        <v>514</v>
      </c>
      <c r="C378" s="126">
        <v>2025</v>
      </c>
      <c r="D378" t="s">
        <v>481</v>
      </c>
      <c r="E378" t="s">
        <v>516</v>
      </c>
      <c r="F378" s="137">
        <v>76</v>
      </c>
      <c r="G378" s="138">
        <v>75</v>
      </c>
      <c r="H378" s="138">
        <v>2.4</v>
      </c>
      <c r="I378" s="139">
        <v>0.4</v>
      </c>
      <c r="J378" s="137">
        <v>63</v>
      </c>
      <c r="K378" s="137">
        <v>87</v>
      </c>
      <c r="L378" t="s">
        <v>499</v>
      </c>
      <c r="M378" s="126">
        <v>135</v>
      </c>
      <c r="N378" t="s">
        <v>123</v>
      </c>
      <c r="O378" s="137">
        <f t="shared" si="10"/>
        <v>1.3333333333333335</v>
      </c>
      <c r="P378" s="137">
        <f t="shared" si="11"/>
        <v>1.3333333333333335</v>
      </c>
      <c r="Q378" s="126">
        <v>8</v>
      </c>
      <c r="R378" t="s">
        <v>523</v>
      </c>
      <c r="S378" t="str">
        <f>IF($W378&lt;&gt;"NAO ACEITO","",COUNTIFS($W$2:$W378,"NAO ACEITO"))</f>
        <v/>
      </c>
      <c r="T378" t="str">
        <f>IF($B378="","",IF(COUNTIF($B$2:$B378,$B378)=1,MAX($T$1:$T377)+1,""))</f>
        <v/>
      </c>
      <c r="U378" t="str">
        <f>IF($D378="","",IF(COUNTIF($D$2:$D378,$D378)=1,MAX($U$1:$U377)+1,""))</f>
        <v/>
      </c>
      <c r="V378">
        <f>IF($D378="","",IF(COUNTIFS($B$2:$B378,$B378,$D$2:$D378,$D378)=1,1,0))</f>
        <v>0</v>
      </c>
      <c r="W378" t="str">
        <f>IF($D378="","",mEQA.PadronizarStatus($L378))</f>
        <v>ACEITO</v>
      </c>
      <c r="X378" t="str">
        <f>IF(OR($D378="",$W378&lt;&gt;"NAO ACEITO"),"",IF(COUNTIFS($D$2:$D378,$D378,$W$2:$W378,"NAO ACEITO")=1,1,0))</f>
        <v/>
      </c>
    </row>
    <row r="379" spans="1:24" x14ac:dyDescent="0.3">
      <c r="A379" t="s">
        <v>402</v>
      </c>
      <c r="B379" t="s">
        <v>514</v>
      </c>
      <c r="C379" s="126">
        <v>2025</v>
      </c>
      <c r="D379" t="s">
        <v>481</v>
      </c>
      <c r="E379" t="s">
        <v>517</v>
      </c>
      <c r="F379" s="137">
        <v>320</v>
      </c>
      <c r="G379" s="138">
        <v>310.60000000000002</v>
      </c>
      <c r="H379" s="138">
        <v>6.8</v>
      </c>
      <c r="I379" s="139">
        <v>1.4</v>
      </c>
      <c r="J379" s="137">
        <v>263</v>
      </c>
      <c r="K379" s="137">
        <v>358</v>
      </c>
      <c r="L379" t="s">
        <v>499</v>
      </c>
      <c r="M379" s="126">
        <v>134</v>
      </c>
      <c r="N379" t="s">
        <v>123</v>
      </c>
      <c r="O379" s="137">
        <f t="shared" si="10"/>
        <v>3.026400515131995</v>
      </c>
      <c r="P379" s="137">
        <f t="shared" si="11"/>
        <v>3.026400515131995</v>
      </c>
      <c r="Q379" s="126">
        <v>8</v>
      </c>
      <c r="R379" t="s">
        <v>523</v>
      </c>
      <c r="S379" t="str">
        <f>IF($W379&lt;&gt;"NAO ACEITO","",COUNTIFS($W$2:$W379,"NAO ACEITO"))</f>
        <v/>
      </c>
      <c r="T379" t="str">
        <f>IF($B379="","",IF(COUNTIF($B$2:$B379,$B379)=1,MAX($T$1:$T378)+1,""))</f>
        <v/>
      </c>
      <c r="U379" t="str">
        <f>IF($D379="","",IF(COUNTIF($D$2:$D379,$D379)=1,MAX($U$1:$U378)+1,""))</f>
        <v/>
      </c>
      <c r="V379">
        <f>IF($D379="","",IF(COUNTIFS($B$2:$B379,$B379,$D$2:$D379,$D379)=1,1,0))</f>
        <v>0</v>
      </c>
      <c r="W379" t="str">
        <f>IF($D379="","",mEQA.PadronizarStatus($L379))</f>
        <v>ACEITO</v>
      </c>
      <c r="X379" t="str">
        <f>IF(OR($D379="",$W379&lt;&gt;"NAO ACEITO"),"",IF(COUNTIFS($D$2:$D379,$D379,$W$2:$W379,"NAO ACEITO")=1,1,0))</f>
        <v/>
      </c>
    </row>
    <row r="380" spans="1:24" x14ac:dyDescent="0.3">
      <c r="A380" t="s">
        <v>402</v>
      </c>
      <c r="B380" t="s">
        <v>514</v>
      </c>
      <c r="C380" s="126">
        <v>2025</v>
      </c>
      <c r="D380" t="s">
        <v>481</v>
      </c>
      <c r="E380" t="s">
        <v>518</v>
      </c>
      <c r="F380" s="137">
        <v>147</v>
      </c>
      <c r="G380" s="138">
        <v>141.69999999999999</v>
      </c>
      <c r="H380" s="138">
        <v>3.7</v>
      </c>
      <c r="I380" s="139">
        <v>1.4</v>
      </c>
      <c r="J380" s="137">
        <v>120</v>
      </c>
      <c r="K380" s="137">
        <v>163</v>
      </c>
      <c r="L380" t="s">
        <v>499</v>
      </c>
      <c r="M380" s="126">
        <v>135</v>
      </c>
      <c r="N380" t="s">
        <v>123</v>
      </c>
      <c r="O380" s="137">
        <f t="shared" si="10"/>
        <v>3.740296400846868</v>
      </c>
      <c r="P380" s="137">
        <f t="shared" si="11"/>
        <v>3.740296400846868</v>
      </c>
      <c r="Q380" s="126">
        <v>8</v>
      </c>
      <c r="R380" t="s">
        <v>523</v>
      </c>
      <c r="S380" t="str">
        <f>IF($W380&lt;&gt;"NAO ACEITO","",COUNTIFS($W$2:$W380,"NAO ACEITO"))</f>
        <v/>
      </c>
      <c r="T380" t="str">
        <f>IF($B380="","",IF(COUNTIF($B$2:$B380,$B380)=1,MAX($T$1:$T379)+1,""))</f>
        <v/>
      </c>
      <c r="U380" t="str">
        <f>IF($D380="","",IF(COUNTIF($D$2:$D380,$D380)=1,MAX($U$1:$U379)+1,""))</f>
        <v/>
      </c>
      <c r="V380">
        <f>IF($D380="","",IF(COUNTIFS($B$2:$B380,$B380,$D$2:$D380,$D380)=1,1,0))</f>
        <v>0</v>
      </c>
      <c r="W380" t="str">
        <f>IF($D380="","",mEQA.PadronizarStatus($L380))</f>
        <v>ACEITO</v>
      </c>
      <c r="X380" t="str">
        <f>IF(OR($D380="",$W380&lt;&gt;"NAO ACEITO"),"",IF(COUNTIFS($D$2:$D380,$D380,$W$2:$W380,"NAO ACEITO")=1,1,0))</f>
        <v/>
      </c>
    </row>
    <row r="381" spans="1:24" x14ac:dyDescent="0.3">
      <c r="A381" t="s">
        <v>402</v>
      </c>
      <c r="B381" t="s">
        <v>514</v>
      </c>
      <c r="C381" s="126">
        <v>2025</v>
      </c>
      <c r="D381" t="s">
        <v>481</v>
      </c>
      <c r="E381" t="s">
        <v>519</v>
      </c>
      <c r="F381" s="137">
        <v>148</v>
      </c>
      <c r="G381" s="138">
        <v>141.69999999999999</v>
      </c>
      <c r="H381" s="138">
        <v>3.6</v>
      </c>
      <c r="I381" s="139">
        <v>1.7</v>
      </c>
      <c r="J381" s="137">
        <v>120</v>
      </c>
      <c r="K381" s="137">
        <v>163</v>
      </c>
      <c r="L381" t="s">
        <v>499</v>
      </c>
      <c r="M381" s="126">
        <v>132</v>
      </c>
      <c r="N381" t="s">
        <v>123</v>
      </c>
      <c r="O381" s="137">
        <f t="shared" si="10"/>
        <v>4.4460127028934453</v>
      </c>
      <c r="P381" s="137">
        <f t="shared" si="11"/>
        <v>4.4460127028934453</v>
      </c>
      <c r="Q381" s="126">
        <v>8</v>
      </c>
      <c r="R381" t="s">
        <v>523</v>
      </c>
      <c r="S381" t="str">
        <f>IF($W381&lt;&gt;"NAO ACEITO","",COUNTIFS($W$2:$W381,"NAO ACEITO"))</f>
        <v/>
      </c>
      <c r="T381" t="str">
        <f>IF($B381="","",IF(COUNTIF($B$2:$B381,$B381)=1,MAX($T$1:$T380)+1,""))</f>
        <v/>
      </c>
      <c r="U381" t="str">
        <f>IF($D381="","",IF(COUNTIF($D$2:$D381,$D381)=1,MAX($U$1:$U380)+1,""))</f>
        <v/>
      </c>
      <c r="V381">
        <f>IF($D381="","",IF(COUNTIFS($B$2:$B381,$B381,$D$2:$D381,$D381)=1,1,0))</f>
        <v>0</v>
      </c>
      <c r="W381" t="str">
        <f>IF($D381="","",mEQA.PadronizarStatus($L381))</f>
        <v>ACEITO</v>
      </c>
      <c r="X381" t="str">
        <f>IF(OR($D381="",$W381&lt;&gt;"NAO ACEITO"),"",IF(COUNTIFS($D$2:$D381,$D381,$W$2:$W381,"NAO ACEITO")=1,1,0))</f>
        <v/>
      </c>
    </row>
    <row r="382" spans="1:24" x14ac:dyDescent="0.3">
      <c r="A382" t="s">
        <v>402</v>
      </c>
      <c r="B382" t="s">
        <v>514</v>
      </c>
      <c r="C382" s="126">
        <v>2025</v>
      </c>
      <c r="D382" t="s">
        <v>482</v>
      </c>
      <c r="E382" t="s">
        <v>515</v>
      </c>
      <c r="F382" s="137">
        <v>57</v>
      </c>
      <c r="G382" s="138">
        <v>63.85</v>
      </c>
      <c r="H382" s="138">
        <v>3.61</v>
      </c>
      <c r="I382" s="139">
        <v>-1.9</v>
      </c>
      <c r="J382" s="137">
        <v>57.8</v>
      </c>
      <c r="K382" s="137">
        <v>69.900000000000006</v>
      </c>
      <c r="L382" t="s">
        <v>506</v>
      </c>
      <c r="M382" s="126">
        <v>26</v>
      </c>
      <c r="N382" t="s">
        <v>112</v>
      </c>
      <c r="O382" s="137">
        <f t="shared" si="10"/>
        <v>-10.728269381362571</v>
      </c>
      <c r="P382" s="137">
        <f t="shared" si="11"/>
        <v>10.728269381362571</v>
      </c>
      <c r="Q382" s="126">
        <v>4</v>
      </c>
      <c r="R382" t="s">
        <v>523</v>
      </c>
      <c r="S382">
        <f>IF($W382&lt;&gt;"NAO ACEITO","",COUNTIFS($W$2:$W382,"NAO ACEITO"))</f>
        <v>15</v>
      </c>
      <c r="T382" t="str">
        <f>IF($B382="","",IF(COUNTIF($B$2:$B382,$B382)=1,MAX($T$1:$T381)+1,""))</f>
        <v/>
      </c>
      <c r="U382" t="str">
        <f>IF($D382="","",IF(COUNTIF($D$2:$D382,$D382)=1,MAX($U$1:$U381)+1,""))</f>
        <v/>
      </c>
      <c r="V382">
        <f>IF($D382="","",IF(COUNTIFS($B$2:$B382,$B382,$D$2:$D382,$D382)=1,1,0))</f>
        <v>1</v>
      </c>
      <c r="W382" t="str">
        <f>IF($D382="","",mEQA.PadronizarStatus($L382))</f>
        <v>NAO ACEITO</v>
      </c>
      <c r="X382">
        <f>IF(OR($D382="",$W382&lt;&gt;"NAO ACEITO"),"",IF(COUNTIFS($D$2:$D382,$D382,$W$2:$W382,"NAO ACEITO")=1,1,0))</f>
        <v>1</v>
      </c>
    </row>
    <row r="383" spans="1:24" x14ac:dyDescent="0.3">
      <c r="A383" t="s">
        <v>402</v>
      </c>
      <c r="B383" t="s">
        <v>514</v>
      </c>
      <c r="C383" s="126">
        <v>2025</v>
      </c>
      <c r="D383" t="s">
        <v>482</v>
      </c>
      <c r="E383" t="s">
        <v>516</v>
      </c>
      <c r="F383" s="137">
        <v>80</v>
      </c>
      <c r="G383" s="138">
        <v>83.15</v>
      </c>
      <c r="H383" s="138">
        <v>2.13</v>
      </c>
      <c r="I383" s="139">
        <v>-1.5</v>
      </c>
      <c r="J383" s="137">
        <v>76.5</v>
      </c>
      <c r="K383" s="137">
        <v>89.9</v>
      </c>
      <c r="L383" t="s">
        <v>499</v>
      </c>
      <c r="M383" s="126">
        <v>26</v>
      </c>
      <c r="N383" t="s">
        <v>112</v>
      </c>
      <c r="O383" s="137">
        <f t="shared" si="10"/>
        <v>-3.7883343355381904</v>
      </c>
      <c r="P383" s="137">
        <f t="shared" si="11"/>
        <v>3.7883343355381904</v>
      </c>
      <c r="Q383" s="126">
        <v>4</v>
      </c>
      <c r="R383" t="s">
        <v>523</v>
      </c>
      <c r="S383" t="str">
        <f>IF($W383&lt;&gt;"NAO ACEITO","",COUNTIFS($W$2:$W383,"NAO ACEITO"))</f>
        <v/>
      </c>
      <c r="T383" t="str">
        <f>IF($B383="","",IF(COUNTIF($B$2:$B383,$B383)=1,MAX($T$1:$T382)+1,""))</f>
        <v/>
      </c>
      <c r="U383" t="str">
        <f>IF($D383="","",IF(COUNTIF($D$2:$D383,$D383)=1,MAX($U$1:$U382)+1,""))</f>
        <v/>
      </c>
      <c r="V383">
        <f>IF($D383="","",IF(COUNTIFS($B$2:$B383,$B383,$D$2:$D383,$D383)=1,1,0))</f>
        <v>0</v>
      </c>
      <c r="W383" t="str">
        <f>IF($D383="","",mEQA.PadronizarStatus($L383))</f>
        <v>ACEITO</v>
      </c>
      <c r="X383" t="str">
        <f>IF(OR($D383="",$W383&lt;&gt;"NAO ACEITO"),"",IF(COUNTIFS($D$2:$D383,$D383,$W$2:$W383,"NAO ACEITO")=1,1,0))</f>
        <v/>
      </c>
    </row>
    <row r="384" spans="1:24" x14ac:dyDescent="0.3">
      <c r="A384" t="s">
        <v>402</v>
      </c>
      <c r="B384" t="s">
        <v>514</v>
      </c>
      <c r="C384" s="126">
        <v>2025</v>
      </c>
      <c r="D384" t="s">
        <v>482</v>
      </c>
      <c r="E384" t="s">
        <v>517</v>
      </c>
      <c r="F384" s="137">
        <v>286</v>
      </c>
      <c r="G384" s="138">
        <v>288.04000000000002</v>
      </c>
      <c r="H384" s="138">
        <v>5.13</v>
      </c>
      <c r="I384" s="139">
        <v>-0.4</v>
      </c>
      <c r="J384" s="137">
        <v>264.89999999999998</v>
      </c>
      <c r="K384" s="137">
        <v>311.10000000000002</v>
      </c>
      <c r="L384" t="s">
        <v>499</v>
      </c>
      <c r="M384" s="126">
        <v>26</v>
      </c>
      <c r="N384" t="s">
        <v>112</v>
      </c>
      <c r="O384" s="137">
        <f t="shared" si="10"/>
        <v>-0.70823496736565072</v>
      </c>
      <c r="P384" s="137">
        <f t="shared" si="11"/>
        <v>0.70823496736565072</v>
      </c>
      <c r="Q384" s="126">
        <v>4</v>
      </c>
      <c r="R384" t="s">
        <v>523</v>
      </c>
      <c r="S384" t="str">
        <f>IF($W384&lt;&gt;"NAO ACEITO","",COUNTIFS($W$2:$W384,"NAO ACEITO"))</f>
        <v/>
      </c>
      <c r="T384" t="str">
        <f>IF($B384="","",IF(COUNTIF($B$2:$B384,$B384)=1,MAX($T$1:$T383)+1,""))</f>
        <v/>
      </c>
      <c r="U384" t="str">
        <f>IF($D384="","",IF(COUNTIF($D$2:$D384,$D384)=1,MAX($U$1:$U383)+1,""))</f>
        <v/>
      </c>
      <c r="V384">
        <f>IF($D384="","",IF(COUNTIFS($B$2:$B384,$B384,$D$2:$D384,$D384)=1,1,0))</f>
        <v>0</v>
      </c>
      <c r="W384" t="str">
        <f>IF($D384="","",mEQA.PadronizarStatus($L384))</f>
        <v>ACEITO</v>
      </c>
      <c r="X384" t="str">
        <f>IF(OR($D384="",$W384&lt;&gt;"NAO ACEITO"),"",IF(COUNTIFS($D$2:$D384,$D384,$W$2:$W384,"NAO ACEITO")=1,1,0))</f>
        <v/>
      </c>
    </row>
    <row r="385" spans="1:24" x14ac:dyDescent="0.3">
      <c r="A385" t="s">
        <v>402</v>
      </c>
      <c r="B385" t="s">
        <v>514</v>
      </c>
      <c r="C385" s="126">
        <v>2025</v>
      </c>
      <c r="D385" t="s">
        <v>482</v>
      </c>
      <c r="E385" t="s">
        <v>518</v>
      </c>
      <c r="F385" s="137">
        <v>129</v>
      </c>
      <c r="G385" s="138">
        <v>133.54</v>
      </c>
      <c r="H385" s="138">
        <v>3.3</v>
      </c>
      <c r="I385" s="139">
        <v>-1.4</v>
      </c>
      <c r="J385" s="137">
        <v>122.8</v>
      </c>
      <c r="K385" s="137">
        <v>144.30000000000001</v>
      </c>
      <c r="L385" t="s">
        <v>499</v>
      </c>
      <c r="M385" s="126">
        <v>26</v>
      </c>
      <c r="N385" t="s">
        <v>112</v>
      </c>
      <c r="O385" s="137">
        <f t="shared" si="10"/>
        <v>-3.3997304178523229</v>
      </c>
      <c r="P385" s="137">
        <f t="shared" si="11"/>
        <v>3.3997304178523229</v>
      </c>
      <c r="Q385" s="126">
        <v>4</v>
      </c>
      <c r="R385" t="s">
        <v>523</v>
      </c>
      <c r="S385" t="str">
        <f>IF($W385&lt;&gt;"NAO ACEITO","",COUNTIFS($W$2:$W385,"NAO ACEITO"))</f>
        <v/>
      </c>
      <c r="T385" t="str">
        <f>IF($B385="","",IF(COUNTIF($B$2:$B385,$B385)=1,MAX($T$1:$T384)+1,""))</f>
        <v/>
      </c>
      <c r="U385" t="str">
        <f>IF($D385="","",IF(COUNTIF($D$2:$D385,$D385)=1,MAX($U$1:$U384)+1,""))</f>
        <v/>
      </c>
      <c r="V385">
        <f>IF($D385="","",IF(COUNTIFS($B$2:$B385,$B385,$D$2:$D385,$D385)=1,1,0))</f>
        <v>0</v>
      </c>
      <c r="W385" t="str">
        <f>IF($D385="","",mEQA.PadronizarStatus($L385))</f>
        <v>ACEITO</v>
      </c>
      <c r="X385" t="str">
        <f>IF(OR($D385="",$W385&lt;&gt;"NAO ACEITO"),"",IF(COUNTIFS($D$2:$D385,$D385,$W$2:$W385,"NAO ACEITO")=1,1,0))</f>
        <v/>
      </c>
    </row>
    <row r="386" spans="1:24" x14ac:dyDescent="0.3">
      <c r="A386" t="s">
        <v>402</v>
      </c>
      <c r="B386" t="s">
        <v>514</v>
      </c>
      <c r="C386" s="126">
        <v>2025</v>
      </c>
      <c r="D386" t="s">
        <v>482</v>
      </c>
      <c r="E386" t="s">
        <v>519</v>
      </c>
      <c r="F386" s="137">
        <v>67</v>
      </c>
      <c r="G386" s="138">
        <v>72.62</v>
      </c>
      <c r="H386" s="138">
        <v>2.73</v>
      </c>
      <c r="I386" s="139">
        <v>-2.1</v>
      </c>
      <c r="J386" s="137">
        <v>66.599999999999994</v>
      </c>
      <c r="K386" s="137">
        <v>78.7</v>
      </c>
      <c r="L386" t="s">
        <v>499</v>
      </c>
      <c r="M386" s="126">
        <v>26</v>
      </c>
      <c r="N386" t="s">
        <v>112</v>
      </c>
      <c r="O386" s="137">
        <f t="shared" ref="O386:O449" si="12">IFERROR((F386-G386)/G386*100,"")</f>
        <v>-7.7389148994767343</v>
      </c>
      <c r="P386" s="137">
        <f t="shared" ref="P386:P449" si="13">IF(O386="","",ABS(O386))</f>
        <v>7.7389148994767343</v>
      </c>
      <c r="Q386" s="126">
        <v>4</v>
      </c>
      <c r="R386" t="s">
        <v>523</v>
      </c>
      <c r="S386" t="str">
        <f>IF($W386&lt;&gt;"NAO ACEITO","",COUNTIFS($W$2:$W386,"NAO ACEITO"))</f>
        <v/>
      </c>
      <c r="T386" t="str">
        <f>IF($B386="","",IF(COUNTIF($B$2:$B386,$B386)=1,MAX($T$1:$T385)+1,""))</f>
        <v/>
      </c>
      <c r="U386" t="str">
        <f>IF($D386="","",IF(COUNTIF($D$2:$D386,$D386)=1,MAX($U$1:$U385)+1,""))</f>
        <v/>
      </c>
      <c r="V386">
        <f>IF($D386="","",IF(COUNTIFS($B$2:$B386,$B386,$D$2:$D386,$D386)=1,1,0))</f>
        <v>0</v>
      </c>
      <c r="W386" t="str">
        <f>IF($D386="","",mEQA.PadronizarStatus($L386))</f>
        <v>ACEITO</v>
      </c>
      <c r="X386" t="str">
        <f>IF(OR($D386="",$W386&lt;&gt;"NAO ACEITO"),"",IF(COUNTIFS($D$2:$D386,$D386,$W$2:$W386,"NAO ACEITO")=1,1,0))</f>
        <v/>
      </c>
    </row>
    <row r="387" spans="1:24" x14ac:dyDescent="0.3">
      <c r="A387" t="s">
        <v>402</v>
      </c>
      <c r="B387" t="s">
        <v>514</v>
      </c>
      <c r="C387" s="126">
        <v>2025</v>
      </c>
      <c r="D387" t="s">
        <v>483</v>
      </c>
      <c r="E387" t="s">
        <v>515</v>
      </c>
      <c r="F387" s="137">
        <v>51</v>
      </c>
      <c r="G387" s="138">
        <v>58.683999999999997</v>
      </c>
      <c r="H387" s="138">
        <v>4.4969999999999999</v>
      </c>
      <c r="I387" s="139">
        <v>-1.7</v>
      </c>
      <c r="J387" s="137">
        <v>46.94</v>
      </c>
      <c r="K387" s="137">
        <v>70.430000000000007</v>
      </c>
      <c r="L387" t="s">
        <v>499</v>
      </c>
      <c r="M387" s="126">
        <v>247</v>
      </c>
      <c r="N387" t="s">
        <v>112</v>
      </c>
      <c r="O387" s="137">
        <f t="shared" si="12"/>
        <v>-13.093858632676705</v>
      </c>
      <c r="P387" s="137">
        <f t="shared" si="13"/>
        <v>13.093858632676705</v>
      </c>
      <c r="Q387" s="126">
        <v>4</v>
      </c>
      <c r="R387" t="s">
        <v>523</v>
      </c>
      <c r="S387" t="str">
        <f>IF($W387&lt;&gt;"NAO ACEITO","",COUNTIFS($W$2:$W387,"NAO ACEITO"))</f>
        <v/>
      </c>
      <c r="T387" t="str">
        <f>IF($B387="","",IF(COUNTIF($B$2:$B387,$B387)=1,MAX($T$1:$T386)+1,""))</f>
        <v/>
      </c>
      <c r="U387" t="str">
        <f>IF($D387="","",IF(COUNTIF($D$2:$D387,$D387)=1,MAX($U$1:$U386)+1,""))</f>
        <v/>
      </c>
      <c r="V387">
        <f>IF($D387="","",IF(COUNTIFS($B$2:$B387,$B387,$D$2:$D387,$D387)=1,1,0))</f>
        <v>1</v>
      </c>
      <c r="W387" t="str">
        <f>IF($D387="","",mEQA.PadronizarStatus($L387))</f>
        <v>ACEITO</v>
      </c>
      <c r="X387" t="str">
        <f>IF(OR($D387="",$W387&lt;&gt;"NAO ACEITO"),"",IF(COUNTIFS($D$2:$D387,$D387,$W$2:$W387,"NAO ACEITO")=1,1,0))</f>
        <v/>
      </c>
    </row>
    <row r="388" spans="1:24" x14ac:dyDescent="0.3">
      <c r="A388" t="s">
        <v>402</v>
      </c>
      <c r="B388" t="s">
        <v>514</v>
      </c>
      <c r="C388" s="126">
        <v>2025</v>
      </c>
      <c r="D388" t="s">
        <v>483</v>
      </c>
      <c r="E388" t="s">
        <v>516</v>
      </c>
      <c r="F388" s="137">
        <v>36</v>
      </c>
      <c r="G388" s="138">
        <v>37.343000000000004</v>
      </c>
      <c r="H388" s="138">
        <v>2.4769999999999999</v>
      </c>
      <c r="I388" s="139">
        <v>-0.5</v>
      </c>
      <c r="J388" s="137">
        <v>29.87</v>
      </c>
      <c r="K388" s="137">
        <v>44.82</v>
      </c>
      <c r="L388" t="s">
        <v>499</v>
      </c>
      <c r="M388" s="126">
        <v>244</v>
      </c>
      <c r="N388" t="s">
        <v>112</v>
      </c>
      <c r="O388" s="137">
        <f t="shared" si="12"/>
        <v>-3.5963902203893729</v>
      </c>
      <c r="P388" s="137">
        <f t="shared" si="13"/>
        <v>3.5963902203893729</v>
      </c>
      <c r="Q388" s="126">
        <v>4</v>
      </c>
      <c r="R388" t="s">
        <v>523</v>
      </c>
      <c r="S388" t="str">
        <f>IF($W388&lt;&gt;"NAO ACEITO","",COUNTIFS($W$2:$W388,"NAO ACEITO"))</f>
        <v/>
      </c>
      <c r="T388" t="str">
        <f>IF($B388="","",IF(COUNTIF($B$2:$B388,$B388)=1,MAX($T$1:$T387)+1,""))</f>
        <v/>
      </c>
      <c r="U388" t="str">
        <f>IF($D388="","",IF(COUNTIF($D$2:$D388,$D388)=1,MAX($U$1:$U387)+1,""))</f>
        <v/>
      </c>
      <c r="V388">
        <f>IF($D388="","",IF(COUNTIFS($B$2:$B388,$B388,$D$2:$D388,$D388)=1,1,0))</f>
        <v>0</v>
      </c>
      <c r="W388" t="str">
        <f>IF($D388="","",mEQA.PadronizarStatus($L388))</f>
        <v>ACEITO</v>
      </c>
      <c r="X388" t="str">
        <f>IF(OR($D388="",$W388&lt;&gt;"NAO ACEITO"),"",IF(COUNTIFS($D$2:$D388,$D388,$W$2:$W388,"NAO ACEITO")=1,1,0))</f>
        <v/>
      </c>
    </row>
    <row r="389" spans="1:24" x14ac:dyDescent="0.3">
      <c r="A389" t="s">
        <v>402</v>
      </c>
      <c r="B389" t="s">
        <v>514</v>
      </c>
      <c r="C389" s="126">
        <v>2025</v>
      </c>
      <c r="D389" t="s">
        <v>483</v>
      </c>
      <c r="E389" t="s">
        <v>517</v>
      </c>
      <c r="F389" s="137">
        <v>62</v>
      </c>
      <c r="G389" s="138">
        <v>61.040999999999997</v>
      </c>
      <c r="H389" s="138">
        <v>3.282</v>
      </c>
      <c r="I389" s="139">
        <v>0.3</v>
      </c>
      <c r="J389" s="137">
        <v>48.83</v>
      </c>
      <c r="K389" s="137">
        <v>73.25</v>
      </c>
      <c r="L389" t="s">
        <v>499</v>
      </c>
      <c r="M389" s="126">
        <v>246</v>
      </c>
      <c r="N389" t="s">
        <v>112</v>
      </c>
      <c r="O389" s="137">
        <f t="shared" si="12"/>
        <v>1.571075178978069</v>
      </c>
      <c r="P389" s="137">
        <f t="shared" si="13"/>
        <v>1.571075178978069</v>
      </c>
      <c r="Q389" s="126">
        <v>4</v>
      </c>
      <c r="R389" t="s">
        <v>523</v>
      </c>
      <c r="S389" t="str">
        <f>IF($W389&lt;&gt;"NAO ACEITO","",COUNTIFS($W$2:$W389,"NAO ACEITO"))</f>
        <v/>
      </c>
      <c r="T389" t="str">
        <f>IF($B389="","",IF(COUNTIF($B$2:$B389,$B389)=1,MAX($T$1:$T388)+1,""))</f>
        <v/>
      </c>
      <c r="U389" t="str">
        <f>IF($D389="","",IF(COUNTIF($D$2:$D389,$D389)=1,MAX($U$1:$U388)+1,""))</f>
        <v/>
      </c>
      <c r="V389">
        <f>IF($D389="","",IF(COUNTIFS($B$2:$B389,$B389,$D$2:$D389,$D389)=1,1,0))</f>
        <v>0</v>
      </c>
      <c r="W389" t="str">
        <f>IF($D389="","",mEQA.PadronizarStatus($L389))</f>
        <v>ACEITO</v>
      </c>
      <c r="X389" t="str">
        <f>IF(OR($D389="",$W389&lt;&gt;"NAO ACEITO"),"",IF(COUNTIFS($D$2:$D389,$D389,$W$2:$W389,"NAO ACEITO")=1,1,0))</f>
        <v/>
      </c>
    </row>
    <row r="390" spans="1:24" x14ac:dyDescent="0.3">
      <c r="A390" t="s">
        <v>402</v>
      </c>
      <c r="B390" t="s">
        <v>514</v>
      </c>
      <c r="C390" s="126">
        <v>2025</v>
      </c>
      <c r="D390" t="s">
        <v>483</v>
      </c>
      <c r="E390" t="s">
        <v>518</v>
      </c>
      <c r="F390" s="137">
        <v>42</v>
      </c>
      <c r="G390" s="138">
        <v>44.99</v>
      </c>
      <c r="H390" s="138">
        <v>2.7130000000000001</v>
      </c>
      <c r="I390" s="139">
        <v>-1.1000000000000001</v>
      </c>
      <c r="J390" s="137">
        <v>35.99</v>
      </c>
      <c r="K390" s="137">
        <v>53.99</v>
      </c>
      <c r="L390" t="s">
        <v>499</v>
      </c>
      <c r="M390" s="126">
        <v>244</v>
      </c>
      <c r="N390" t="s">
        <v>112</v>
      </c>
      <c r="O390" s="137">
        <f t="shared" si="12"/>
        <v>-6.6459213158479704</v>
      </c>
      <c r="P390" s="137">
        <f t="shared" si="13"/>
        <v>6.6459213158479704</v>
      </c>
      <c r="Q390" s="126">
        <v>4</v>
      </c>
      <c r="R390" t="s">
        <v>523</v>
      </c>
      <c r="S390" t="str">
        <f>IF($W390&lt;&gt;"NAO ACEITO","",COUNTIFS($W$2:$W390,"NAO ACEITO"))</f>
        <v/>
      </c>
      <c r="T390" t="str">
        <f>IF($B390="","",IF(COUNTIF($B$2:$B390,$B390)=1,MAX($T$1:$T389)+1,""))</f>
        <v/>
      </c>
      <c r="U390" t="str">
        <f>IF($D390="","",IF(COUNTIF($D$2:$D390,$D390)=1,MAX($U$1:$U389)+1,""))</f>
        <v/>
      </c>
      <c r="V390">
        <f>IF($D390="","",IF(COUNTIFS($B$2:$B390,$B390,$D$2:$D390,$D390)=1,1,0))</f>
        <v>0</v>
      </c>
      <c r="W390" t="str">
        <f>IF($D390="","",mEQA.PadronizarStatus($L390))</f>
        <v>ACEITO</v>
      </c>
      <c r="X390" t="str">
        <f>IF(OR($D390="",$W390&lt;&gt;"NAO ACEITO"),"",IF(COUNTIFS($D$2:$D390,$D390,$W$2:$W390,"NAO ACEITO")=1,1,0))</f>
        <v/>
      </c>
    </row>
    <row r="391" spans="1:24" x14ac:dyDescent="0.3">
      <c r="A391" t="s">
        <v>402</v>
      </c>
      <c r="B391" t="s">
        <v>514</v>
      </c>
      <c r="C391" s="126">
        <v>2025</v>
      </c>
      <c r="D391" t="s">
        <v>483</v>
      </c>
      <c r="E391" t="s">
        <v>519</v>
      </c>
      <c r="F391" s="137">
        <v>49</v>
      </c>
      <c r="G391" s="138">
        <v>53.002000000000002</v>
      </c>
      <c r="H391" s="138">
        <v>3.5630000000000002</v>
      </c>
      <c r="I391" s="139">
        <v>-1.1000000000000001</v>
      </c>
      <c r="J391" s="137">
        <v>42.4</v>
      </c>
      <c r="K391" s="137">
        <v>63.61</v>
      </c>
      <c r="L391" t="s">
        <v>499</v>
      </c>
      <c r="M391" s="126">
        <v>245</v>
      </c>
      <c r="N391" t="s">
        <v>112</v>
      </c>
      <c r="O391" s="137">
        <f t="shared" si="12"/>
        <v>-7.5506584657182794</v>
      </c>
      <c r="P391" s="137">
        <f t="shared" si="13"/>
        <v>7.5506584657182794</v>
      </c>
      <c r="Q391" s="126">
        <v>4</v>
      </c>
      <c r="R391" t="s">
        <v>523</v>
      </c>
      <c r="S391" t="str">
        <f>IF($W391&lt;&gt;"NAO ACEITO","",COUNTIFS($W$2:$W391,"NAO ACEITO"))</f>
        <v/>
      </c>
      <c r="T391" t="str">
        <f>IF($B391="","",IF(COUNTIF($B$2:$B391,$B391)=1,MAX($T$1:$T390)+1,""))</f>
        <v/>
      </c>
      <c r="U391" t="str">
        <f>IF($D391="","",IF(COUNTIF($D$2:$D391,$D391)=1,MAX($U$1:$U390)+1,""))</f>
        <v/>
      </c>
      <c r="V391">
        <f>IF($D391="","",IF(COUNTIFS($B$2:$B391,$B391,$D$2:$D391,$D391)=1,1,0))</f>
        <v>0</v>
      </c>
      <c r="W391" t="str">
        <f>IF($D391="","",mEQA.PadronizarStatus($L391))</f>
        <v>ACEITO</v>
      </c>
      <c r="X391" t="str">
        <f>IF(OR($D391="",$W391&lt;&gt;"NAO ACEITO"),"",IF(COUNTIFS($D$2:$D391,$D391,$W$2:$W391,"NAO ACEITO")=1,1,0))</f>
        <v/>
      </c>
    </row>
    <row r="392" spans="1:24" x14ac:dyDescent="0.3">
      <c r="A392" t="s">
        <v>402</v>
      </c>
      <c r="B392" t="s">
        <v>514</v>
      </c>
      <c r="C392" s="126">
        <v>2025</v>
      </c>
      <c r="D392" t="s">
        <v>484</v>
      </c>
      <c r="E392" t="s">
        <v>515</v>
      </c>
      <c r="F392" s="137">
        <v>229</v>
      </c>
      <c r="G392" s="138">
        <v>228.8</v>
      </c>
      <c r="H392" s="138">
        <v>2.8</v>
      </c>
      <c r="I392" s="139">
        <v>0.1</v>
      </c>
      <c r="J392" s="137">
        <v>194</v>
      </c>
      <c r="K392" s="137">
        <v>264</v>
      </c>
      <c r="L392" t="s">
        <v>499</v>
      </c>
      <c r="M392" s="126">
        <v>124</v>
      </c>
      <c r="N392" t="s">
        <v>505</v>
      </c>
      <c r="O392" s="137">
        <f t="shared" si="12"/>
        <v>8.741258741258244E-2</v>
      </c>
      <c r="P392" s="137">
        <f t="shared" si="13"/>
        <v>8.741258741258244E-2</v>
      </c>
      <c r="Q392" s="126">
        <v>8</v>
      </c>
      <c r="R392" t="s">
        <v>523</v>
      </c>
      <c r="S392" t="str">
        <f>IF($W392&lt;&gt;"NAO ACEITO","",COUNTIFS($W$2:$W392,"NAO ACEITO"))</f>
        <v/>
      </c>
      <c r="T392" t="str">
        <f>IF($B392="","",IF(COUNTIF($B$2:$B392,$B392)=1,MAX($T$1:$T391)+1,""))</f>
        <v/>
      </c>
      <c r="U392" t="str">
        <f>IF($D392="","",IF(COUNTIF($D$2:$D392,$D392)=1,MAX($U$1:$U391)+1,""))</f>
        <v/>
      </c>
      <c r="V392">
        <f>IF($D392="","",IF(COUNTIFS($B$2:$B392,$B392,$D$2:$D392,$D392)=1,1,0))</f>
        <v>1</v>
      </c>
      <c r="W392" t="str">
        <f>IF($D392="","",mEQA.PadronizarStatus($L392))</f>
        <v>ACEITO</v>
      </c>
      <c r="X392" t="str">
        <f>IF(OR($D392="",$W392&lt;&gt;"NAO ACEITO"),"",IF(COUNTIFS($D$2:$D392,$D392,$W$2:$W392,"NAO ACEITO")=1,1,0))</f>
        <v/>
      </c>
    </row>
    <row r="393" spans="1:24" x14ac:dyDescent="0.3">
      <c r="A393" t="s">
        <v>402</v>
      </c>
      <c r="B393" t="s">
        <v>514</v>
      </c>
      <c r="C393" s="126">
        <v>2025</v>
      </c>
      <c r="D393" t="s">
        <v>484</v>
      </c>
      <c r="E393" t="s">
        <v>516</v>
      </c>
      <c r="F393" s="137">
        <v>76</v>
      </c>
      <c r="G393" s="138">
        <v>77.2</v>
      </c>
      <c r="H393" s="138">
        <v>1.4</v>
      </c>
      <c r="I393" s="139">
        <v>-0.8</v>
      </c>
      <c r="J393" s="137">
        <v>65</v>
      </c>
      <c r="K393" s="137">
        <v>89</v>
      </c>
      <c r="L393" t="s">
        <v>499</v>
      </c>
      <c r="M393" s="126">
        <v>120</v>
      </c>
      <c r="N393" t="s">
        <v>505</v>
      </c>
      <c r="O393" s="137">
        <f t="shared" si="12"/>
        <v>-1.5544041450777237</v>
      </c>
      <c r="P393" s="137">
        <f t="shared" si="13"/>
        <v>1.5544041450777237</v>
      </c>
      <c r="Q393" s="126">
        <v>8</v>
      </c>
      <c r="R393" t="s">
        <v>523</v>
      </c>
      <c r="S393" t="str">
        <f>IF($W393&lt;&gt;"NAO ACEITO","",COUNTIFS($W$2:$W393,"NAO ACEITO"))</f>
        <v/>
      </c>
      <c r="T393" t="str">
        <f>IF($B393="","",IF(COUNTIF($B$2:$B393,$B393)=1,MAX($T$1:$T392)+1,""))</f>
        <v/>
      </c>
      <c r="U393" t="str">
        <f>IF($D393="","",IF(COUNTIF($D$2:$D393,$D393)=1,MAX($U$1:$U392)+1,""))</f>
        <v/>
      </c>
      <c r="V393">
        <f>IF($D393="","",IF(COUNTIFS($B$2:$B393,$B393,$D$2:$D393,$D393)=1,1,0))</f>
        <v>0</v>
      </c>
      <c r="W393" t="str">
        <f>IF($D393="","",mEQA.PadronizarStatus($L393))</f>
        <v>ACEITO</v>
      </c>
      <c r="X393" t="str">
        <f>IF(OR($D393="",$W393&lt;&gt;"NAO ACEITO"),"",IF(COUNTIFS($D$2:$D393,$D393,$W$2:$W393,"NAO ACEITO")=1,1,0))</f>
        <v/>
      </c>
    </row>
    <row r="394" spans="1:24" x14ac:dyDescent="0.3">
      <c r="A394" t="s">
        <v>402</v>
      </c>
      <c r="B394" t="s">
        <v>514</v>
      </c>
      <c r="C394" s="126">
        <v>2025</v>
      </c>
      <c r="D394" t="s">
        <v>484</v>
      </c>
      <c r="E394" t="s">
        <v>517</v>
      </c>
      <c r="F394" s="137">
        <v>135</v>
      </c>
      <c r="G394" s="138">
        <v>131.6</v>
      </c>
      <c r="H394" s="138">
        <v>1.8</v>
      </c>
      <c r="I394" s="139">
        <v>1.9</v>
      </c>
      <c r="J394" s="137">
        <v>111</v>
      </c>
      <c r="K394" s="137">
        <v>152</v>
      </c>
      <c r="L394" t="s">
        <v>499</v>
      </c>
      <c r="M394" s="126">
        <v>122</v>
      </c>
      <c r="N394" t="s">
        <v>505</v>
      </c>
      <c r="O394" s="137">
        <f t="shared" si="12"/>
        <v>2.5835866261398222</v>
      </c>
      <c r="P394" s="137">
        <f t="shared" si="13"/>
        <v>2.5835866261398222</v>
      </c>
      <c r="Q394" s="126">
        <v>8</v>
      </c>
      <c r="R394" t="s">
        <v>523</v>
      </c>
      <c r="S394" t="str">
        <f>IF($W394&lt;&gt;"NAO ACEITO","",COUNTIFS($W$2:$W394,"NAO ACEITO"))</f>
        <v/>
      </c>
      <c r="T394" t="str">
        <f>IF($B394="","",IF(COUNTIF($B$2:$B394,$B394)=1,MAX($T$1:$T393)+1,""))</f>
        <v/>
      </c>
      <c r="U394" t="str">
        <f>IF($D394="","",IF(COUNTIF($D$2:$D394,$D394)=1,MAX($U$1:$U393)+1,""))</f>
        <v/>
      </c>
      <c r="V394">
        <f>IF($D394="","",IF(COUNTIFS($B$2:$B394,$B394,$D$2:$D394,$D394)=1,1,0))</f>
        <v>0</v>
      </c>
      <c r="W394" t="str">
        <f>IF($D394="","",mEQA.PadronizarStatus($L394))</f>
        <v>ACEITO</v>
      </c>
      <c r="X394" t="str">
        <f>IF(OR($D394="",$W394&lt;&gt;"NAO ACEITO"),"",IF(COUNTIFS($D$2:$D394,$D394,$W$2:$W394,"NAO ACEITO")=1,1,0))</f>
        <v/>
      </c>
    </row>
    <row r="395" spans="1:24" x14ac:dyDescent="0.3">
      <c r="A395" t="s">
        <v>402</v>
      </c>
      <c r="B395" t="s">
        <v>514</v>
      </c>
      <c r="C395" s="126">
        <v>2025</v>
      </c>
      <c r="D395" t="s">
        <v>484</v>
      </c>
      <c r="E395" t="s">
        <v>518</v>
      </c>
      <c r="F395" s="137">
        <v>103</v>
      </c>
      <c r="G395" s="138">
        <v>102.9</v>
      </c>
      <c r="H395" s="138">
        <v>1.9</v>
      </c>
      <c r="I395" s="139">
        <v>0.1</v>
      </c>
      <c r="J395" s="137">
        <v>87</v>
      </c>
      <c r="K395" s="137">
        <v>119</v>
      </c>
      <c r="L395" t="s">
        <v>499</v>
      </c>
      <c r="M395" s="126">
        <v>122</v>
      </c>
      <c r="N395" t="s">
        <v>505</v>
      </c>
      <c r="O395" s="137">
        <f t="shared" si="12"/>
        <v>9.7181729834785527E-2</v>
      </c>
      <c r="P395" s="137">
        <f t="shared" si="13"/>
        <v>9.7181729834785527E-2</v>
      </c>
      <c r="Q395" s="126">
        <v>8</v>
      </c>
      <c r="R395" t="s">
        <v>523</v>
      </c>
      <c r="S395" t="str">
        <f>IF($W395&lt;&gt;"NAO ACEITO","",COUNTIFS($W$2:$W395,"NAO ACEITO"))</f>
        <v/>
      </c>
      <c r="T395" t="str">
        <f>IF($B395="","",IF(COUNTIF($B$2:$B395,$B395)=1,MAX($T$1:$T394)+1,""))</f>
        <v/>
      </c>
      <c r="U395" t="str">
        <f>IF($D395="","",IF(COUNTIF($D$2:$D395,$D395)=1,MAX($U$1:$U394)+1,""))</f>
        <v/>
      </c>
      <c r="V395">
        <f>IF($D395="","",IF(COUNTIFS($B$2:$B395,$B395,$D$2:$D395,$D395)=1,1,0))</f>
        <v>0</v>
      </c>
      <c r="W395" t="str">
        <f>IF($D395="","",mEQA.PadronizarStatus($L395))</f>
        <v>ACEITO</v>
      </c>
      <c r="X395" t="str">
        <f>IF(OR($D395="",$W395&lt;&gt;"NAO ACEITO"),"",IF(COUNTIFS($D$2:$D395,$D395,$W$2:$W395,"NAO ACEITO")=1,1,0))</f>
        <v/>
      </c>
    </row>
    <row r="396" spans="1:24" x14ac:dyDescent="0.3">
      <c r="A396" t="s">
        <v>402</v>
      </c>
      <c r="B396" t="s">
        <v>514</v>
      </c>
      <c r="C396" s="126">
        <v>2025</v>
      </c>
      <c r="D396" t="s">
        <v>484</v>
      </c>
      <c r="E396" t="s">
        <v>519</v>
      </c>
      <c r="F396" s="137">
        <v>180</v>
      </c>
      <c r="G396" s="138">
        <v>178.9</v>
      </c>
      <c r="H396" s="138">
        <v>2.2000000000000002</v>
      </c>
      <c r="I396" s="139">
        <v>0.5</v>
      </c>
      <c r="J396" s="137">
        <v>152</v>
      </c>
      <c r="K396" s="137">
        <v>206</v>
      </c>
      <c r="L396" t="s">
        <v>499</v>
      </c>
      <c r="M396" s="126">
        <v>121</v>
      </c>
      <c r="N396" t="s">
        <v>505</v>
      </c>
      <c r="O396" s="137">
        <f t="shared" si="12"/>
        <v>0.61486864169927014</v>
      </c>
      <c r="P396" s="137">
        <f t="shared" si="13"/>
        <v>0.61486864169927014</v>
      </c>
      <c r="Q396" s="126">
        <v>8</v>
      </c>
      <c r="R396" t="s">
        <v>523</v>
      </c>
      <c r="S396" t="str">
        <f>IF($W396&lt;&gt;"NAO ACEITO","",COUNTIFS($W$2:$W396,"NAO ACEITO"))</f>
        <v/>
      </c>
      <c r="T396" t="str">
        <f>IF($B396="","",IF(COUNTIF($B$2:$B396,$B396)=1,MAX($T$1:$T395)+1,""))</f>
        <v/>
      </c>
      <c r="U396" t="str">
        <f>IF($D396="","",IF(COUNTIF($D$2:$D396,$D396)=1,MAX($U$1:$U395)+1,""))</f>
        <v/>
      </c>
      <c r="V396">
        <f>IF($D396="","",IF(COUNTIFS($B$2:$B396,$B396,$D$2:$D396,$D396)=1,1,0))</f>
        <v>0</v>
      </c>
      <c r="W396" t="str">
        <f>IF($D396="","",mEQA.PadronizarStatus($L396))</f>
        <v>ACEITO</v>
      </c>
      <c r="X396" t="str">
        <f>IF(OR($D396="",$W396&lt;&gt;"NAO ACEITO"),"",IF(COUNTIFS($D$2:$D396,$D396,$W$2:$W396,"NAO ACEITO")=1,1,0))</f>
        <v/>
      </c>
    </row>
    <row r="397" spans="1:24" x14ac:dyDescent="0.3">
      <c r="A397" t="s">
        <v>402</v>
      </c>
      <c r="B397" t="s">
        <v>514</v>
      </c>
      <c r="C397" s="126">
        <v>2025</v>
      </c>
      <c r="D397" t="s">
        <v>485</v>
      </c>
      <c r="E397" t="s">
        <v>515</v>
      </c>
      <c r="F397" s="137">
        <v>12.5</v>
      </c>
      <c r="G397" s="138">
        <v>12.39</v>
      </c>
      <c r="H397" s="138">
        <v>0.38</v>
      </c>
      <c r="I397" s="139">
        <v>0.3</v>
      </c>
      <c r="J397" s="137">
        <v>11.2</v>
      </c>
      <c r="K397" s="137">
        <v>13.6</v>
      </c>
      <c r="L397" t="s">
        <v>499</v>
      </c>
      <c r="M397" s="126">
        <v>262</v>
      </c>
      <c r="N397" t="s">
        <v>134</v>
      </c>
      <c r="O397" s="137">
        <f t="shared" si="12"/>
        <v>0.88781275221952727</v>
      </c>
      <c r="P397" s="137">
        <f t="shared" si="13"/>
        <v>0.88781275221952727</v>
      </c>
      <c r="Q397" s="126">
        <v>9</v>
      </c>
      <c r="R397" t="s">
        <v>523</v>
      </c>
      <c r="S397" t="str">
        <f>IF($W397&lt;&gt;"NAO ACEITO","",COUNTIFS($W$2:$W397,"NAO ACEITO"))</f>
        <v/>
      </c>
      <c r="T397" t="str">
        <f>IF($B397="","",IF(COUNTIF($B$2:$B397,$B397)=1,MAX($T$1:$T396)+1,""))</f>
        <v/>
      </c>
      <c r="U397" t="str">
        <f>IF($D397="","",IF(COUNTIF($D$2:$D397,$D397)=1,MAX($U$1:$U396)+1,""))</f>
        <v/>
      </c>
      <c r="V397">
        <f>IF($D397="","",IF(COUNTIFS($B$2:$B397,$B397,$D$2:$D397,$D397)=1,1,0))</f>
        <v>1</v>
      </c>
      <c r="W397" t="str">
        <f>IF($D397="","",mEQA.PadronizarStatus($L397))</f>
        <v>ACEITO</v>
      </c>
      <c r="X397" t="str">
        <f>IF(OR($D397="",$W397&lt;&gt;"NAO ACEITO"),"",IF(COUNTIFS($D$2:$D397,$D397,$W$2:$W397,"NAO ACEITO")=1,1,0))</f>
        <v/>
      </c>
    </row>
    <row r="398" spans="1:24" x14ac:dyDescent="0.3">
      <c r="A398" t="s">
        <v>402</v>
      </c>
      <c r="B398" t="s">
        <v>514</v>
      </c>
      <c r="C398" s="126">
        <v>2025</v>
      </c>
      <c r="D398" t="s">
        <v>485</v>
      </c>
      <c r="E398" t="s">
        <v>516</v>
      </c>
      <c r="F398" s="137">
        <v>4.3</v>
      </c>
      <c r="G398" s="138">
        <v>4.3499999999999996</v>
      </c>
      <c r="H398" s="138">
        <v>0.19</v>
      </c>
      <c r="I398" s="139">
        <v>-0.3</v>
      </c>
      <c r="J398" s="137">
        <v>3.7</v>
      </c>
      <c r="K398" s="137">
        <v>5</v>
      </c>
      <c r="L398" t="s">
        <v>499</v>
      </c>
      <c r="M398" s="126">
        <v>263</v>
      </c>
      <c r="N398" t="s">
        <v>134</v>
      </c>
      <c r="O398" s="137">
        <f t="shared" si="12"/>
        <v>-1.1494252873563178</v>
      </c>
      <c r="P398" s="137">
        <f t="shared" si="13"/>
        <v>1.1494252873563178</v>
      </c>
      <c r="Q398" s="126">
        <v>9</v>
      </c>
      <c r="R398" t="s">
        <v>523</v>
      </c>
      <c r="S398" t="str">
        <f>IF($W398&lt;&gt;"NAO ACEITO","",COUNTIFS($W$2:$W398,"NAO ACEITO"))</f>
        <v/>
      </c>
      <c r="T398" t="str">
        <f>IF($B398="","",IF(COUNTIF($B$2:$B398,$B398)=1,MAX($T$1:$T397)+1,""))</f>
        <v/>
      </c>
      <c r="U398" t="str">
        <f>IF($D398="","",IF(COUNTIF($D$2:$D398,$D398)=1,MAX($U$1:$U397)+1,""))</f>
        <v/>
      </c>
      <c r="V398">
        <f>IF($D398="","",IF(COUNTIFS($B$2:$B398,$B398,$D$2:$D398,$D398)=1,1,0))</f>
        <v>0</v>
      </c>
      <c r="W398" t="str">
        <f>IF($D398="","",mEQA.PadronizarStatus($L398))</f>
        <v>ACEITO</v>
      </c>
      <c r="X398" t="str">
        <f>IF(OR($D398="",$W398&lt;&gt;"NAO ACEITO"),"",IF(COUNTIFS($D$2:$D398,$D398,$W$2:$W398,"NAO ACEITO")=1,1,0))</f>
        <v/>
      </c>
    </row>
    <row r="399" spans="1:24" x14ac:dyDescent="0.3">
      <c r="A399" t="s">
        <v>402</v>
      </c>
      <c r="B399" t="s">
        <v>514</v>
      </c>
      <c r="C399" s="126">
        <v>2025</v>
      </c>
      <c r="D399" t="s">
        <v>485</v>
      </c>
      <c r="E399" t="s">
        <v>517</v>
      </c>
      <c r="F399" s="137">
        <v>4</v>
      </c>
      <c r="G399" s="138">
        <v>3.99</v>
      </c>
      <c r="H399" s="138">
        <v>0.17</v>
      </c>
      <c r="I399" s="139">
        <v>0.1</v>
      </c>
      <c r="J399" s="137">
        <v>3.4</v>
      </c>
      <c r="K399" s="137">
        <v>4.5</v>
      </c>
      <c r="L399" t="s">
        <v>499</v>
      </c>
      <c r="M399" s="126">
        <v>260</v>
      </c>
      <c r="N399" t="s">
        <v>134</v>
      </c>
      <c r="O399" s="137">
        <f t="shared" si="12"/>
        <v>0.25062656641603476</v>
      </c>
      <c r="P399" s="137">
        <f t="shared" si="13"/>
        <v>0.25062656641603476</v>
      </c>
      <c r="Q399" s="126">
        <v>9</v>
      </c>
      <c r="R399" t="s">
        <v>523</v>
      </c>
      <c r="S399" t="str">
        <f>IF($W399&lt;&gt;"NAO ACEITO","",COUNTIFS($W$2:$W399,"NAO ACEITO"))</f>
        <v/>
      </c>
      <c r="T399" t="str">
        <f>IF($B399="","",IF(COUNTIF($B$2:$B399,$B399)=1,MAX($T$1:$T398)+1,""))</f>
        <v/>
      </c>
      <c r="U399" t="str">
        <f>IF($D399="","",IF(COUNTIF($D$2:$D399,$D399)=1,MAX($U$1:$U398)+1,""))</f>
        <v/>
      </c>
      <c r="V399">
        <f>IF($D399="","",IF(COUNTIFS($B$2:$B399,$B399,$D$2:$D399,$D399)=1,1,0))</f>
        <v>0</v>
      </c>
      <c r="W399" t="str">
        <f>IF($D399="","",mEQA.PadronizarStatus($L399))</f>
        <v>ACEITO</v>
      </c>
      <c r="X399" t="str">
        <f>IF(OR($D399="",$W399&lt;&gt;"NAO ACEITO"),"",IF(COUNTIFS($D$2:$D399,$D399,$W$2:$W399,"NAO ACEITO")=1,1,0))</f>
        <v/>
      </c>
    </row>
    <row r="400" spans="1:24" x14ac:dyDescent="0.3">
      <c r="A400" t="s">
        <v>402</v>
      </c>
      <c r="B400" t="s">
        <v>514</v>
      </c>
      <c r="C400" s="126">
        <v>2025</v>
      </c>
      <c r="D400" t="s">
        <v>485</v>
      </c>
      <c r="E400" t="s">
        <v>518</v>
      </c>
      <c r="F400" s="137">
        <v>5</v>
      </c>
      <c r="G400" s="138">
        <v>4.92</v>
      </c>
      <c r="H400" s="138">
        <v>0.19</v>
      </c>
      <c r="I400" s="139">
        <v>0.4</v>
      </c>
      <c r="J400" s="137">
        <v>4.3</v>
      </c>
      <c r="K400" s="137">
        <v>5.5</v>
      </c>
      <c r="L400" t="s">
        <v>499</v>
      </c>
      <c r="M400" s="126">
        <v>262</v>
      </c>
      <c r="N400" t="s">
        <v>134</v>
      </c>
      <c r="O400" s="137">
        <f t="shared" si="12"/>
        <v>1.6260162601626031</v>
      </c>
      <c r="P400" s="137">
        <f t="shared" si="13"/>
        <v>1.6260162601626031</v>
      </c>
      <c r="Q400" s="126">
        <v>9</v>
      </c>
      <c r="R400" t="s">
        <v>523</v>
      </c>
      <c r="S400" t="str">
        <f>IF($W400&lt;&gt;"NAO ACEITO","",COUNTIFS($W$2:$W400,"NAO ACEITO"))</f>
        <v/>
      </c>
      <c r="T400" t="str">
        <f>IF($B400="","",IF(COUNTIF($B$2:$B400,$B400)=1,MAX($T$1:$T399)+1,""))</f>
        <v/>
      </c>
      <c r="U400" t="str">
        <f>IF($D400="","",IF(COUNTIF($D$2:$D400,$D400)=1,MAX($U$1:$U399)+1,""))</f>
        <v/>
      </c>
      <c r="V400">
        <f>IF($D400="","",IF(COUNTIFS($B$2:$B400,$B400,$D$2:$D400,$D400)=1,1,0))</f>
        <v>0</v>
      </c>
      <c r="W400" t="str">
        <f>IF($D400="","",mEQA.PadronizarStatus($L400))</f>
        <v>ACEITO</v>
      </c>
      <c r="X400" t="str">
        <f>IF(OR($D400="",$W400&lt;&gt;"NAO ACEITO"),"",IF(COUNTIFS($D$2:$D400,$D400,$W$2:$W400,"NAO ACEITO")=1,1,0))</f>
        <v/>
      </c>
    </row>
    <row r="401" spans="1:24" x14ac:dyDescent="0.3">
      <c r="A401" t="s">
        <v>402</v>
      </c>
      <c r="B401" t="s">
        <v>514</v>
      </c>
      <c r="C401" s="126">
        <v>2025</v>
      </c>
      <c r="D401" t="s">
        <v>485</v>
      </c>
      <c r="E401" t="s">
        <v>519</v>
      </c>
      <c r="F401" s="137">
        <v>9.6</v>
      </c>
      <c r="G401" s="138">
        <v>9.68</v>
      </c>
      <c r="H401" s="138">
        <v>0.32</v>
      </c>
      <c r="I401" s="139">
        <v>-0.3</v>
      </c>
      <c r="J401" s="137">
        <v>8.6999999999999993</v>
      </c>
      <c r="K401" s="137">
        <v>10.7</v>
      </c>
      <c r="L401" t="s">
        <v>499</v>
      </c>
      <c r="M401" s="126">
        <v>261</v>
      </c>
      <c r="N401" t="s">
        <v>134</v>
      </c>
      <c r="O401" s="137">
        <f t="shared" si="12"/>
        <v>-0.82644628099173623</v>
      </c>
      <c r="P401" s="137">
        <f t="shared" si="13"/>
        <v>0.82644628099173623</v>
      </c>
      <c r="Q401" s="126">
        <v>9</v>
      </c>
      <c r="R401" t="s">
        <v>523</v>
      </c>
      <c r="S401" t="str">
        <f>IF($W401&lt;&gt;"NAO ACEITO","",COUNTIFS($W$2:$W401,"NAO ACEITO"))</f>
        <v/>
      </c>
      <c r="T401" t="str">
        <f>IF($B401="","",IF(COUNTIF($B$2:$B401,$B401)=1,MAX($T$1:$T400)+1,""))</f>
        <v/>
      </c>
      <c r="U401" t="str">
        <f>IF($D401="","",IF(COUNTIF($D$2:$D401,$D401)=1,MAX($U$1:$U400)+1,""))</f>
        <v/>
      </c>
      <c r="V401">
        <f>IF($D401="","",IF(COUNTIFS($B$2:$B401,$B401,$D$2:$D401,$D401)=1,1,0))</f>
        <v>0</v>
      </c>
      <c r="W401" t="str">
        <f>IF($D401="","",mEQA.PadronizarStatus($L401))</f>
        <v>ACEITO</v>
      </c>
      <c r="X401" t="str">
        <f>IF(OR($D401="",$W401&lt;&gt;"NAO ACEITO"),"",IF(COUNTIFS($D$2:$D401,$D401,$W$2:$W401,"NAO ACEITO")=1,1,0))</f>
        <v/>
      </c>
    </row>
    <row r="402" spans="1:24" x14ac:dyDescent="0.3">
      <c r="A402" t="s">
        <v>402</v>
      </c>
      <c r="B402" t="s">
        <v>514</v>
      </c>
      <c r="C402" s="126">
        <v>2025</v>
      </c>
      <c r="D402" t="s">
        <v>486</v>
      </c>
      <c r="E402" t="s">
        <v>515</v>
      </c>
      <c r="F402" s="137">
        <v>286</v>
      </c>
      <c r="G402" s="138">
        <v>291</v>
      </c>
      <c r="H402" s="138">
        <v>9.4</v>
      </c>
      <c r="I402" s="139">
        <v>-0.5</v>
      </c>
      <c r="J402" s="137">
        <v>247</v>
      </c>
      <c r="K402" s="137">
        <v>335</v>
      </c>
      <c r="L402" t="s">
        <v>499</v>
      </c>
      <c r="M402" s="126">
        <v>216</v>
      </c>
      <c r="N402" t="s">
        <v>123</v>
      </c>
      <c r="O402" s="137">
        <f t="shared" si="12"/>
        <v>-1.7182130584192441</v>
      </c>
      <c r="P402" s="137">
        <f t="shared" si="13"/>
        <v>1.7182130584192441</v>
      </c>
      <c r="Q402" s="126">
        <v>8</v>
      </c>
      <c r="R402" t="s">
        <v>523</v>
      </c>
      <c r="S402" t="str">
        <f>IF($W402&lt;&gt;"NAO ACEITO","",COUNTIFS($W$2:$W402,"NAO ACEITO"))</f>
        <v/>
      </c>
      <c r="T402" t="str">
        <f>IF($B402="","",IF(COUNTIF($B$2:$B402,$B402)=1,MAX($T$1:$T401)+1,""))</f>
        <v/>
      </c>
      <c r="U402" t="str">
        <f>IF($D402="","",IF(COUNTIF($D$2:$D402,$D402)=1,MAX($U$1:$U401)+1,""))</f>
        <v/>
      </c>
      <c r="V402">
        <f>IF($D402="","",IF(COUNTIFS($B$2:$B402,$B402,$D$2:$D402,$D402)=1,1,0))</f>
        <v>1</v>
      </c>
      <c r="W402" t="str">
        <f>IF($D402="","",mEQA.PadronizarStatus($L402))</f>
        <v>ACEITO</v>
      </c>
      <c r="X402" t="str">
        <f>IF(OR($D402="",$W402&lt;&gt;"NAO ACEITO"),"",IF(COUNTIFS($D$2:$D402,$D402,$W$2:$W402,"NAO ACEITO")=1,1,0))</f>
        <v/>
      </c>
    </row>
    <row r="403" spans="1:24" x14ac:dyDescent="0.3">
      <c r="A403" t="s">
        <v>402</v>
      </c>
      <c r="B403" t="s">
        <v>514</v>
      </c>
      <c r="C403" s="126">
        <v>2025</v>
      </c>
      <c r="D403" t="s">
        <v>486</v>
      </c>
      <c r="E403" t="s">
        <v>516</v>
      </c>
      <c r="F403" s="137">
        <v>168</v>
      </c>
      <c r="G403" s="138">
        <v>172.8</v>
      </c>
      <c r="H403" s="138">
        <v>6.9</v>
      </c>
      <c r="I403" s="139">
        <v>-0.7</v>
      </c>
      <c r="J403" s="137">
        <v>146</v>
      </c>
      <c r="K403" s="137">
        <v>199</v>
      </c>
      <c r="L403" t="s">
        <v>499</v>
      </c>
      <c r="M403" s="126">
        <v>214</v>
      </c>
      <c r="N403" t="s">
        <v>123</v>
      </c>
      <c r="O403" s="137">
        <f t="shared" si="12"/>
        <v>-2.7777777777777843</v>
      </c>
      <c r="P403" s="137">
        <f t="shared" si="13"/>
        <v>2.7777777777777843</v>
      </c>
      <c r="Q403" s="126">
        <v>8</v>
      </c>
      <c r="R403" t="s">
        <v>523</v>
      </c>
      <c r="S403" t="str">
        <f>IF($W403&lt;&gt;"NAO ACEITO","",COUNTIFS($W$2:$W403,"NAO ACEITO"))</f>
        <v/>
      </c>
      <c r="T403" t="str">
        <f>IF($B403="","",IF(COUNTIF($B$2:$B403,$B403)=1,MAX($T$1:$T402)+1,""))</f>
        <v/>
      </c>
      <c r="U403" t="str">
        <f>IF($D403="","",IF(COUNTIF($D$2:$D403,$D403)=1,MAX($U$1:$U402)+1,""))</f>
        <v/>
      </c>
      <c r="V403">
        <f>IF($D403="","",IF(COUNTIFS($B$2:$B403,$B403,$D$2:$D403,$D403)=1,1,0))</f>
        <v>0</v>
      </c>
      <c r="W403" t="str">
        <f>IF($D403="","",mEQA.PadronizarStatus($L403))</f>
        <v>ACEITO</v>
      </c>
      <c r="X403" t="str">
        <f>IF(OR($D403="",$W403&lt;&gt;"NAO ACEITO"),"",IF(COUNTIFS($D$2:$D403,$D403,$W$2:$W403,"NAO ACEITO")=1,1,0))</f>
        <v/>
      </c>
    </row>
    <row r="404" spans="1:24" x14ac:dyDescent="0.3">
      <c r="A404" t="s">
        <v>402</v>
      </c>
      <c r="B404" t="s">
        <v>514</v>
      </c>
      <c r="C404" s="126">
        <v>2025</v>
      </c>
      <c r="D404" t="s">
        <v>486</v>
      </c>
      <c r="E404" t="s">
        <v>517</v>
      </c>
      <c r="F404" s="137">
        <v>475</v>
      </c>
      <c r="G404" s="138">
        <v>478.4</v>
      </c>
      <c r="H404" s="138">
        <v>13.7</v>
      </c>
      <c r="I404" s="139">
        <v>-0.3</v>
      </c>
      <c r="J404" s="137">
        <v>406</v>
      </c>
      <c r="K404" s="137">
        <v>551</v>
      </c>
      <c r="L404" t="s">
        <v>499</v>
      </c>
      <c r="M404" s="126">
        <v>213</v>
      </c>
      <c r="N404" t="s">
        <v>123</v>
      </c>
      <c r="O404" s="137">
        <f t="shared" si="12"/>
        <v>-0.71070234113711905</v>
      </c>
      <c r="P404" s="137">
        <f t="shared" si="13"/>
        <v>0.71070234113711905</v>
      </c>
      <c r="Q404" s="126">
        <v>8</v>
      </c>
      <c r="R404" t="s">
        <v>523</v>
      </c>
      <c r="S404" t="str">
        <f>IF($W404&lt;&gt;"NAO ACEITO","",COUNTIFS($W$2:$W404,"NAO ACEITO"))</f>
        <v/>
      </c>
      <c r="T404" t="str">
        <f>IF($B404="","",IF(COUNTIF($B$2:$B404,$B404)=1,MAX($T$1:$T403)+1,""))</f>
        <v/>
      </c>
      <c r="U404" t="str">
        <f>IF($D404="","",IF(COUNTIF($D$2:$D404,$D404)=1,MAX($U$1:$U403)+1,""))</f>
        <v/>
      </c>
      <c r="V404">
        <f>IF($D404="","",IF(COUNTIFS($B$2:$B404,$B404,$D$2:$D404,$D404)=1,1,0))</f>
        <v>0</v>
      </c>
      <c r="W404" t="str">
        <f>IF($D404="","",mEQA.PadronizarStatus($L404))</f>
        <v>ACEITO</v>
      </c>
      <c r="X404" t="str">
        <f>IF(OR($D404="",$W404&lt;&gt;"NAO ACEITO"),"",IF(COUNTIFS($D$2:$D404,$D404,$W$2:$W404,"NAO ACEITO")=1,1,0))</f>
        <v/>
      </c>
    </row>
    <row r="405" spans="1:24" x14ac:dyDescent="0.3">
      <c r="A405" t="s">
        <v>402</v>
      </c>
      <c r="B405" t="s">
        <v>514</v>
      </c>
      <c r="C405" s="126">
        <v>2025</v>
      </c>
      <c r="D405" t="s">
        <v>486</v>
      </c>
      <c r="E405" t="s">
        <v>518</v>
      </c>
      <c r="F405" s="137">
        <v>252</v>
      </c>
      <c r="G405" s="138">
        <v>258.3</v>
      </c>
      <c r="H405" s="138">
        <v>9.3000000000000007</v>
      </c>
      <c r="I405" s="139">
        <v>-0.7</v>
      </c>
      <c r="J405" s="137">
        <v>219</v>
      </c>
      <c r="K405" s="137">
        <v>297</v>
      </c>
      <c r="L405" t="s">
        <v>499</v>
      </c>
      <c r="M405" s="126">
        <v>217</v>
      </c>
      <c r="N405" t="s">
        <v>123</v>
      </c>
      <c r="O405" s="137">
        <f t="shared" si="12"/>
        <v>-2.4390243902439068</v>
      </c>
      <c r="P405" s="137">
        <f t="shared" si="13"/>
        <v>2.4390243902439068</v>
      </c>
      <c r="Q405" s="126">
        <v>8</v>
      </c>
      <c r="R405" t="s">
        <v>523</v>
      </c>
      <c r="S405" t="str">
        <f>IF($W405&lt;&gt;"NAO ACEITO","",COUNTIFS($W$2:$W405,"NAO ACEITO"))</f>
        <v/>
      </c>
      <c r="T405" t="str">
        <f>IF($B405="","",IF(COUNTIF($B$2:$B405,$B405)=1,MAX($T$1:$T404)+1,""))</f>
        <v/>
      </c>
      <c r="U405" t="str">
        <f>IF($D405="","",IF(COUNTIF($D$2:$D405,$D405)=1,MAX($U$1:$U404)+1,""))</f>
        <v/>
      </c>
      <c r="V405">
        <f>IF($D405="","",IF(COUNTIFS($B$2:$B405,$B405,$D$2:$D405,$D405)=1,1,0))</f>
        <v>0</v>
      </c>
      <c r="W405" t="str">
        <f>IF($D405="","",mEQA.PadronizarStatus($L405))</f>
        <v>ACEITO</v>
      </c>
      <c r="X405" t="str">
        <f>IF(OR($D405="",$W405&lt;&gt;"NAO ACEITO"),"",IF(COUNTIFS($D$2:$D405,$D405,$W$2:$W405,"NAO ACEITO")=1,1,0))</f>
        <v/>
      </c>
    </row>
    <row r="406" spans="1:24" x14ac:dyDescent="0.3">
      <c r="A406" t="s">
        <v>402</v>
      </c>
      <c r="B406" t="s">
        <v>514</v>
      </c>
      <c r="C406" s="126">
        <v>2025</v>
      </c>
      <c r="D406" t="s">
        <v>486</v>
      </c>
      <c r="E406" t="s">
        <v>519</v>
      </c>
      <c r="F406" s="137">
        <v>250</v>
      </c>
      <c r="G406" s="138">
        <v>253.3</v>
      </c>
      <c r="H406" s="138">
        <v>8.5</v>
      </c>
      <c r="I406" s="139">
        <v>-0.4</v>
      </c>
      <c r="J406" s="137">
        <v>215</v>
      </c>
      <c r="K406" s="137">
        <v>292</v>
      </c>
      <c r="L406" t="s">
        <v>499</v>
      </c>
      <c r="M406" s="126">
        <v>216</v>
      </c>
      <c r="N406" t="s">
        <v>123</v>
      </c>
      <c r="O406" s="137">
        <f t="shared" si="12"/>
        <v>-1.3028030003947932</v>
      </c>
      <c r="P406" s="137">
        <f t="shared" si="13"/>
        <v>1.3028030003947932</v>
      </c>
      <c r="Q406" s="126">
        <v>8</v>
      </c>
      <c r="R406" t="s">
        <v>523</v>
      </c>
      <c r="S406" t="str">
        <f>IF($W406&lt;&gt;"NAO ACEITO","",COUNTIFS($W$2:$W406,"NAO ACEITO"))</f>
        <v/>
      </c>
      <c r="T406" t="str">
        <f>IF($B406="","",IF(COUNTIF($B$2:$B406,$B406)=1,MAX($T$1:$T405)+1,""))</f>
        <v/>
      </c>
      <c r="U406" t="str">
        <f>IF($D406="","",IF(COUNTIF($D$2:$D406,$D406)=1,MAX($U$1:$U405)+1,""))</f>
        <v/>
      </c>
      <c r="V406">
        <f>IF($D406="","",IF(COUNTIFS($B$2:$B406,$B406,$D$2:$D406,$D406)=1,1,0))</f>
        <v>0</v>
      </c>
      <c r="W406" t="str">
        <f>IF($D406="","",mEQA.PadronizarStatus($L406))</f>
        <v>ACEITO</v>
      </c>
      <c r="X406" t="str">
        <f>IF(OR($D406="",$W406&lt;&gt;"NAO ACEITO"),"",IF(COUNTIFS($D$2:$D406,$D406,$W$2:$W406,"NAO ACEITO")=1,1,0))</f>
        <v/>
      </c>
    </row>
    <row r="407" spans="1:24" x14ac:dyDescent="0.3">
      <c r="A407" t="s">
        <v>402</v>
      </c>
      <c r="B407" t="s">
        <v>514</v>
      </c>
      <c r="C407" s="126">
        <v>2025</v>
      </c>
      <c r="D407" t="s">
        <v>350</v>
      </c>
      <c r="E407" t="s">
        <v>515</v>
      </c>
      <c r="F407" s="137">
        <v>229</v>
      </c>
      <c r="G407" s="138">
        <v>261.2</v>
      </c>
      <c r="H407" s="138">
        <v>14.7</v>
      </c>
      <c r="I407" s="139">
        <v>-2.2000000000000002</v>
      </c>
      <c r="J407" s="137">
        <v>182</v>
      </c>
      <c r="K407" s="137">
        <v>340</v>
      </c>
      <c r="L407" t="s">
        <v>499</v>
      </c>
      <c r="M407" s="126">
        <v>314</v>
      </c>
      <c r="N407" t="s">
        <v>123</v>
      </c>
      <c r="O407" s="137">
        <f t="shared" si="12"/>
        <v>-12.327718223583457</v>
      </c>
      <c r="P407" s="137">
        <f t="shared" si="13"/>
        <v>12.327718223583457</v>
      </c>
      <c r="Q407" s="126">
        <v>10</v>
      </c>
      <c r="R407" t="s">
        <v>523</v>
      </c>
      <c r="S407" t="str">
        <f>IF($W407&lt;&gt;"NAO ACEITO","",COUNTIFS($W$2:$W407,"NAO ACEITO"))</f>
        <v/>
      </c>
      <c r="T407" t="str">
        <f>IF($B407="","",IF(COUNTIF($B$2:$B407,$B407)=1,MAX($T$1:$T406)+1,""))</f>
        <v/>
      </c>
      <c r="U407" t="str">
        <f>IF($D407="","",IF(COUNTIF($D$2:$D407,$D407)=1,MAX($U$1:$U406)+1,""))</f>
        <v/>
      </c>
      <c r="V407">
        <f>IF($D407="","",IF(COUNTIFS($B$2:$B407,$B407,$D$2:$D407,$D407)=1,1,0))</f>
        <v>1</v>
      </c>
      <c r="W407" t="str">
        <f>IF($D407="","",mEQA.PadronizarStatus($L407))</f>
        <v>ACEITO</v>
      </c>
      <c r="X407" t="str">
        <f>IF(OR($D407="",$W407&lt;&gt;"NAO ACEITO"),"",IF(COUNTIFS($D$2:$D407,$D407,$W$2:$W407,"NAO ACEITO")=1,1,0))</f>
        <v/>
      </c>
    </row>
    <row r="408" spans="1:24" x14ac:dyDescent="0.3">
      <c r="A408" t="s">
        <v>402</v>
      </c>
      <c r="B408" t="s">
        <v>514</v>
      </c>
      <c r="C408" s="126">
        <v>2025</v>
      </c>
      <c r="D408" t="s">
        <v>350</v>
      </c>
      <c r="E408" t="s">
        <v>516</v>
      </c>
      <c r="F408" s="137">
        <v>70</v>
      </c>
      <c r="G408" s="138">
        <v>77.400000000000006</v>
      </c>
      <c r="H408" s="138">
        <v>3.1</v>
      </c>
      <c r="I408" s="139">
        <v>-2.4</v>
      </c>
      <c r="J408" s="137">
        <v>54</v>
      </c>
      <c r="K408" s="137">
        <v>101</v>
      </c>
      <c r="L408" t="s">
        <v>499</v>
      </c>
      <c r="M408" s="126">
        <v>317</v>
      </c>
      <c r="N408" t="s">
        <v>123</v>
      </c>
      <c r="O408" s="137">
        <f t="shared" si="12"/>
        <v>-9.560723514211892</v>
      </c>
      <c r="P408" s="137">
        <f t="shared" si="13"/>
        <v>9.560723514211892</v>
      </c>
      <c r="Q408" s="126">
        <v>10</v>
      </c>
      <c r="R408" t="s">
        <v>523</v>
      </c>
      <c r="S408" t="str">
        <f>IF($W408&lt;&gt;"NAO ACEITO","",COUNTIFS($W$2:$W408,"NAO ACEITO"))</f>
        <v/>
      </c>
      <c r="T408" t="str">
        <f>IF($B408="","",IF(COUNTIF($B$2:$B408,$B408)=1,MAX($T$1:$T407)+1,""))</f>
        <v/>
      </c>
      <c r="U408" t="str">
        <f>IF($D408="","",IF(COUNTIF($D$2:$D408,$D408)=1,MAX($U$1:$U407)+1,""))</f>
        <v/>
      </c>
      <c r="V408">
        <f>IF($D408="","",IF(COUNTIFS($B$2:$B408,$B408,$D$2:$D408,$D408)=1,1,0))</f>
        <v>0</v>
      </c>
      <c r="W408" t="str">
        <f>IF($D408="","",mEQA.PadronizarStatus($L408))</f>
        <v>ACEITO</v>
      </c>
      <c r="X408" t="str">
        <f>IF(OR($D408="",$W408&lt;&gt;"NAO ACEITO"),"",IF(COUNTIFS($D$2:$D408,$D408,$W$2:$W408,"NAO ACEITO")=1,1,0))</f>
        <v/>
      </c>
    </row>
    <row r="409" spans="1:24" x14ac:dyDescent="0.3">
      <c r="A409" t="s">
        <v>402</v>
      </c>
      <c r="B409" t="s">
        <v>514</v>
      </c>
      <c r="C409" s="126">
        <v>2025</v>
      </c>
      <c r="D409" t="s">
        <v>350</v>
      </c>
      <c r="E409" t="s">
        <v>517</v>
      </c>
      <c r="F409" s="137">
        <v>38</v>
      </c>
      <c r="G409" s="138">
        <v>40</v>
      </c>
      <c r="H409" s="138">
        <v>1.4</v>
      </c>
      <c r="I409" s="139">
        <v>-1.4</v>
      </c>
      <c r="J409" s="137">
        <v>27</v>
      </c>
      <c r="K409" s="137">
        <v>52</v>
      </c>
      <c r="L409" t="s">
        <v>499</v>
      </c>
      <c r="M409" s="126">
        <v>320</v>
      </c>
      <c r="N409" t="s">
        <v>123</v>
      </c>
      <c r="O409" s="137">
        <f t="shared" si="12"/>
        <v>-5</v>
      </c>
      <c r="P409" s="137">
        <f t="shared" si="13"/>
        <v>5</v>
      </c>
      <c r="Q409" s="126">
        <v>10</v>
      </c>
      <c r="R409" t="s">
        <v>523</v>
      </c>
      <c r="S409" t="str">
        <f>IF($W409&lt;&gt;"NAO ACEITO","",COUNTIFS($W$2:$W409,"NAO ACEITO"))</f>
        <v/>
      </c>
      <c r="T409" t="str">
        <f>IF($B409="","",IF(COUNTIF($B$2:$B409,$B409)=1,MAX($T$1:$T408)+1,""))</f>
        <v/>
      </c>
      <c r="U409" t="str">
        <f>IF($D409="","",IF(COUNTIF($D$2:$D409,$D409)=1,MAX($U$1:$U408)+1,""))</f>
        <v/>
      </c>
      <c r="V409">
        <f>IF($D409="","",IF(COUNTIFS($B$2:$B409,$B409,$D$2:$D409,$D409)=1,1,0))</f>
        <v>0</v>
      </c>
      <c r="W409" t="str">
        <f>IF($D409="","",mEQA.PadronizarStatus($L409))</f>
        <v>ACEITO</v>
      </c>
      <c r="X409" t="str">
        <f>IF(OR($D409="",$W409&lt;&gt;"NAO ACEITO"),"",IF(COUNTIFS($D$2:$D409,$D409,$W$2:$W409,"NAO ACEITO")=1,1,0))</f>
        <v/>
      </c>
    </row>
    <row r="410" spans="1:24" x14ac:dyDescent="0.3">
      <c r="A410" t="s">
        <v>402</v>
      </c>
      <c r="B410" t="s">
        <v>514</v>
      </c>
      <c r="C410" s="126">
        <v>2025</v>
      </c>
      <c r="D410" t="s">
        <v>350</v>
      </c>
      <c r="E410" t="s">
        <v>518</v>
      </c>
      <c r="F410" s="137">
        <v>79</v>
      </c>
      <c r="G410" s="138">
        <v>83.6</v>
      </c>
      <c r="H410" s="138">
        <v>3.2</v>
      </c>
      <c r="I410" s="139">
        <v>-1.4</v>
      </c>
      <c r="J410" s="137">
        <v>58</v>
      </c>
      <c r="K410" s="137">
        <v>109</v>
      </c>
      <c r="L410" t="s">
        <v>499</v>
      </c>
      <c r="M410" s="126">
        <v>321</v>
      </c>
      <c r="N410" t="s">
        <v>123</v>
      </c>
      <c r="O410" s="137">
        <f t="shared" si="12"/>
        <v>-5.5023923444976006</v>
      </c>
      <c r="P410" s="137">
        <f t="shared" si="13"/>
        <v>5.5023923444976006</v>
      </c>
      <c r="Q410" s="126">
        <v>10</v>
      </c>
      <c r="R410" t="s">
        <v>523</v>
      </c>
      <c r="S410" t="str">
        <f>IF($W410&lt;&gt;"NAO ACEITO","",COUNTIFS($W$2:$W410,"NAO ACEITO"))</f>
        <v/>
      </c>
      <c r="T410" t="str">
        <f>IF($B410="","",IF(COUNTIF($B$2:$B410,$B410)=1,MAX($T$1:$T409)+1,""))</f>
        <v/>
      </c>
      <c r="U410" t="str">
        <f>IF($D410="","",IF(COUNTIF($D$2:$D410,$D410)=1,MAX($U$1:$U409)+1,""))</f>
        <v/>
      </c>
      <c r="V410">
        <f>IF($D410="","",IF(COUNTIFS($B$2:$B410,$B410,$D$2:$D410,$D410)=1,1,0))</f>
        <v>0</v>
      </c>
      <c r="W410" t="str">
        <f>IF($D410="","",mEQA.PadronizarStatus($L410))</f>
        <v>ACEITO</v>
      </c>
      <c r="X410" t="str">
        <f>IF(OR($D410="",$W410&lt;&gt;"NAO ACEITO"),"",IF(COUNTIFS($D$2:$D410,$D410,$W$2:$W410,"NAO ACEITO")=1,1,0))</f>
        <v/>
      </c>
    </row>
    <row r="411" spans="1:24" x14ac:dyDescent="0.3">
      <c r="A411" t="s">
        <v>402</v>
      </c>
      <c r="B411" t="s">
        <v>514</v>
      </c>
      <c r="C411" s="126">
        <v>2025</v>
      </c>
      <c r="D411" t="s">
        <v>350</v>
      </c>
      <c r="E411" t="s">
        <v>519</v>
      </c>
      <c r="F411" s="137">
        <v>185</v>
      </c>
      <c r="G411" s="138">
        <v>198</v>
      </c>
      <c r="H411" s="138">
        <v>7.6</v>
      </c>
      <c r="I411" s="139">
        <v>-1.7</v>
      </c>
      <c r="J411" s="137">
        <v>138</v>
      </c>
      <c r="K411" s="137">
        <v>258</v>
      </c>
      <c r="L411" t="s">
        <v>499</v>
      </c>
      <c r="M411" s="126">
        <v>321</v>
      </c>
      <c r="N411" t="s">
        <v>123</v>
      </c>
      <c r="O411" s="137">
        <f t="shared" si="12"/>
        <v>-6.5656565656565666</v>
      </c>
      <c r="P411" s="137">
        <f t="shared" si="13"/>
        <v>6.5656565656565666</v>
      </c>
      <c r="Q411" s="126">
        <v>10</v>
      </c>
      <c r="R411" t="s">
        <v>523</v>
      </c>
      <c r="S411" t="str">
        <f>IF($W411&lt;&gt;"NAO ACEITO","",COUNTIFS($W$2:$W411,"NAO ACEITO"))</f>
        <v/>
      </c>
      <c r="T411" t="str">
        <f>IF($B411="","",IF(COUNTIF($B$2:$B411,$B411)=1,MAX($T$1:$T410)+1,""))</f>
        <v/>
      </c>
      <c r="U411" t="str">
        <f>IF($D411="","",IF(COUNTIF($D$2:$D411,$D411)=1,MAX($U$1:$U410)+1,""))</f>
        <v/>
      </c>
      <c r="V411">
        <f>IF($D411="","",IF(COUNTIFS($B$2:$B411,$B411,$D$2:$D411,$D411)=1,1,0))</f>
        <v>0</v>
      </c>
      <c r="W411" t="str">
        <f>IF($D411="","",mEQA.PadronizarStatus($L411))</f>
        <v>ACEITO</v>
      </c>
      <c r="X411" t="str">
        <f>IF(OR($D411="",$W411&lt;&gt;"NAO ACEITO"),"",IF(COUNTIFS($D$2:$D411,$D411,$W$2:$W411,"NAO ACEITO")=1,1,0))</f>
        <v/>
      </c>
    </row>
    <row r="412" spans="1:24" x14ac:dyDescent="0.3">
      <c r="A412" t="s">
        <v>402</v>
      </c>
      <c r="B412" t="s">
        <v>514</v>
      </c>
      <c r="C412" s="126">
        <v>2025</v>
      </c>
      <c r="D412" t="s">
        <v>487</v>
      </c>
      <c r="E412" t="s">
        <v>515</v>
      </c>
      <c r="F412" s="137">
        <v>3.08</v>
      </c>
      <c r="G412" s="138">
        <v>3.22</v>
      </c>
      <c r="H412" s="138">
        <v>9.6000000000000002E-2</v>
      </c>
      <c r="I412" s="139">
        <v>-1.4</v>
      </c>
      <c r="J412" s="137">
        <v>2.73</v>
      </c>
      <c r="K412" s="137">
        <v>3.71</v>
      </c>
      <c r="L412" t="s">
        <v>499</v>
      </c>
      <c r="M412" s="126">
        <v>368</v>
      </c>
      <c r="N412" t="s">
        <v>112</v>
      </c>
      <c r="O412" s="137">
        <f t="shared" si="12"/>
        <v>-4.3478260869565251</v>
      </c>
      <c r="P412" s="137">
        <f t="shared" si="13"/>
        <v>4.3478260869565251</v>
      </c>
      <c r="Q412" s="126">
        <v>8</v>
      </c>
      <c r="R412" t="s">
        <v>523</v>
      </c>
      <c r="S412" t="str">
        <f>IF($W412&lt;&gt;"NAO ACEITO","",COUNTIFS($W$2:$W412,"NAO ACEITO"))</f>
        <v/>
      </c>
      <c r="T412" t="str">
        <f>IF($B412="","",IF(COUNTIF($B$2:$B412,$B412)=1,MAX($T$1:$T411)+1,""))</f>
        <v/>
      </c>
      <c r="U412" t="str">
        <f>IF($D412="","",IF(COUNTIF($D$2:$D412,$D412)=1,MAX($U$1:$U411)+1,""))</f>
        <v/>
      </c>
      <c r="V412">
        <f>IF($D412="","",IF(COUNTIFS($B$2:$B412,$B412,$D$2:$D412,$D412)=1,1,0))</f>
        <v>1</v>
      </c>
      <c r="W412" t="str">
        <f>IF($D412="","",mEQA.PadronizarStatus($L412))</f>
        <v>ACEITO</v>
      </c>
      <c r="X412" t="str">
        <f>IF(OR($D412="",$W412&lt;&gt;"NAO ACEITO"),"",IF(COUNTIFS($D$2:$D412,$D412,$W$2:$W412,"NAO ACEITO")=1,1,0))</f>
        <v/>
      </c>
    </row>
    <row r="413" spans="1:24" x14ac:dyDescent="0.3">
      <c r="A413" t="s">
        <v>402</v>
      </c>
      <c r="B413" t="s">
        <v>514</v>
      </c>
      <c r="C413" s="126">
        <v>2025</v>
      </c>
      <c r="D413" t="s">
        <v>487</v>
      </c>
      <c r="E413" t="s">
        <v>516</v>
      </c>
      <c r="F413" s="137">
        <v>4.93</v>
      </c>
      <c r="G413" s="138">
        <v>4.9740000000000002</v>
      </c>
      <c r="H413" s="138">
        <v>0.125</v>
      </c>
      <c r="I413" s="139">
        <v>-0.4</v>
      </c>
      <c r="J413" s="137">
        <v>4.22</v>
      </c>
      <c r="K413" s="137">
        <v>5.73</v>
      </c>
      <c r="L413" t="s">
        <v>499</v>
      </c>
      <c r="M413" s="126">
        <v>366</v>
      </c>
      <c r="N413" t="s">
        <v>112</v>
      </c>
      <c r="O413" s="137">
        <f t="shared" si="12"/>
        <v>-0.88459991958183515</v>
      </c>
      <c r="P413" s="137">
        <f t="shared" si="13"/>
        <v>0.88459991958183515</v>
      </c>
      <c r="Q413" s="126">
        <v>8</v>
      </c>
      <c r="R413" t="s">
        <v>523</v>
      </c>
      <c r="S413" t="str">
        <f>IF($W413&lt;&gt;"NAO ACEITO","",COUNTIFS($W$2:$W413,"NAO ACEITO"))</f>
        <v/>
      </c>
      <c r="T413" t="str">
        <f>IF($B413="","",IF(COUNTIF($B$2:$B413,$B413)=1,MAX($T$1:$T412)+1,""))</f>
        <v/>
      </c>
      <c r="U413" t="str">
        <f>IF($D413="","",IF(COUNTIF($D$2:$D413,$D413)=1,MAX($U$1:$U412)+1,""))</f>
        <v/>
      </c>
      <c r="V413">
        <f>IF($D413="","",IF(COUNTIFS($B$2:$B413,$B413,$D$2:$D413,$D413)=1,1,0))</f>
        <v>0</v>
      </c>
      <c r="W413" t="str">
        <f>IF($D413="","",mEQA.PadronizarStatus($L413))</f>
        <v>ACEITO</v>
      </c>
      <c r="X413" t="str">
        <f>IF(OR($D413="",$W413&lt;&gt;"NAO ACEITO"),"",IF(COUNTIFS($D$2:$D413,$D413,$W$2:$W413,"NAO ACEITO")=1,1,0))</f>
        <v/>
      </c>
    </row>
    <row r="414" spans="1:24" x14ac:dyDescent="0.3">
      <c r="A414" t="s">
        <v>402</v>
      </c>
      <c r="B414" t="s">
        <v>514</v>
      </c>
      <c r="C414" s="126">
        <v>2025</v>
      </c>
      <c r="D414" t="s">
        <v>487</v>
      </c>
      <c r="E414" t="s">
        <v>517</v>
      </c>
      <c r="F414" s="137">
        <v>1.25</v>
      </c>
      <c r="G414" s="138">
        <v>1.331</v>
      </c>
      <c r="H414" s="138">
        <v>6.8000000000000005E-2</v>
      </c>
      <c r="I414" s="139">
        <v>-1.2</v>
      </c>
      <c r="J414" s="137">
        <v>1.1299999999999999</v>
      </c>
      <c r="K414" s="137">
        <v>1.54</v>
      </c>
      <c r="L414" t="s">
        <v>499</v>
      </c>
      <c r="M414" s="126">
        <v>365</v>
      </c>
      <c r="N414" t="s">
        <v>112</v>
      </c>
      <c r="O414" s="137">
        <f t="shared" si="12"/>
        <v>-6.0856498873027771</v>
      </c>
      <c r="P414" s="137">
        <f t="shared" si="13"/>
        <v>6.0856498873027771</v>
      </c>
      <c r="Q414" s="126">
        <v>8</v>
      </c>
      <c r="R414" t="s">
        <v>523</v>
      </c>
      <c r="S414" t="str">
        <f>IF($W414&lt;&gt;"NAO ACEITO","",COUNTIFS($W$2:$W414,"NAO ACEITO"))</f>
        <v/>
      </c>
      <c r="T414" t="str">
        <f>IF($B414="","",IF(COUNTIF($B$2:$B414,$B414)=1,MAX($T$1:$T413)+1,""))</f>
        <v/>
      </c>
      <c r="U414" t="str">
        <f>IF($D414="","",IF(COUNTIF($D$2:$D414,$D414)=1,MAX($U$1:$U413)+1,""))</f>
        <v/>
      </c>
      <c r="V414">
        <f>IF($D414="","",IF(COUNTIFS($B$2:$B414,$B414,$D$2:$D414,$D414)=1,1,0))</f>
        <v>0</v>
      </c>
      <c r="W414" t="str">
        <f>IF($D414="","",mEQA.PadronizarStatus($L414))</f>
        <v>ACEITO</v>
      </c>
      <c r="X414" t="str">
        <f>IF(OR($D414="",$W414&lt;&gt;"NAO ACEITO"),"",IF(COUNTIFS($D$2:$D414,$D414,$W$2:$W414,"NAO ACEITO")=1,1,0))</f>
        <v/>
      </c>
    </row>
    <row r="415" spans="1:24" x14ac:dyDescent="0.3">
      <c r="A415" t="s">
        <v>402</v>
      </c>
      <c r="B415" t="s">
        <v>514</v>
      </c>
      <c r="C415" s="126">
        <v>2025</v>
      </c>
      <c r="D415" t="s">
        <v>487</v>
      </c>
      <c r="E415" t="s">
        <v>518</v>
      </c>
      <c r="F415" s="137">
        <v>3.84</v>
      </c>
      <c r="G415" s="138">
        <v>3.93</v>
      </c>
      <c r="H415" s="138">
        <v>0.10199999999999999</v>
      </c>
      <c r="I415" s="139">
        <v>-0.9</v>
      </c>
      <c r="J415" s="137">
        <v>3.34</v>
      </c>
      <c r="K415" s="137">
        <v>4.5199999999999996</v>
      </c>
      <c r="L415" t="s">
        <v>499</v>
      </c>
      <c r="M415" s="126">
        <v>369</v>
      </c>
      <c r="N415" t="s">
        <v>112</v>
      </c>
      <c r="O415" s="137">
        <f t="shared" si="12"/>
        <v>-2.2900763358778704</v>
      </c>
      <c r="P415" s="137">
        <f t="shared" si="13"/>
        <v>2.2900763358778704</v>
      </c>
      <c r="Q415" s="126">
        <v>8</v>
      </c>
      <c r="R415" t="s">
        <v>523</v>
      </c>
      <c r="S415" t="str">
        <f>IF($W415&lt;&gt;"NAO ACEITO","",COUNTIFS($W$2:$W415,"NAO ACEITO"))</f>
        <v/>
      </c>
      <c r="T415" t="str">
        <f>IF($B415="","",IF(COUNTIF($B$2:$B415,$B415)=1,MAX($T$1:$T414)+1,""))</f>
        <v/>
      </c>
      <c r="U415" t="str">
        <f>IF($D415="","",IF(COUNTIF($D$2:$D415,$D415)=1,MAX($U$1:$U414)+1,""))</f>
        <v/>
      </c>
      <c r="V415">
        <f>IF($D415="","",IF(COUNTIFS($B$2:$B415,$B415,$D$2:$D415,$D415)=1,1,0))</f>
        <v>0</v>
      </c>
      <c r="W415" t="str">
        <f>IF($D415="","",mEQA.PadronizarStatus($L415))</f>
        <v>ACEITO</v>
      </c>
      <c r="X415" t="str">
        <f>IF(OR($D415="",$W415&lt;&gt;"NAO ACEITO"),"",IF(COUNTIFS($D$2:$D415,$D415,$W$2:$W415,"NAO ACEITO")=1,1,0))</f>
        <v/>
      </c>
    </row>
    <row r="416" spans="1:24" x14ac:dyDescent="0.3">
      <c r="A416" t="s">
        <v>402</v>
      </c>
      <c r="B416" t="s">
        <v>514</v>
      </c>
      <c r="C416" s="126">
        <v>2025</v>
      </c>
      <c r="D416" t="s">
        <v>487</v>
      </c>
      <c r="E416" t="s">
        <v>519</v>
      </c>
      <c r="F416" s="137">
        <v>3.88</v>
      </c>
      <c r="G416" s="138">
        <v>3.7879999999999998</v>
      </c>
      <c r="H416" s="138">
        <v>0.1</v>
      </c>
      <c r="I416" s="139">
        <v>0.9</v>
      </c>
      <c r="J416" s="137">
        <v>3.21</v>
      </c>
      <c r="K416" s="137">
        <v>4.3600000000000003</v>
      </c>
      <c r="L416" t="s">
        <v>499</v>
      </c>
      <c r="M416" s="126">
        <v>371</v>
      </c>
      <c r="N416" t="s">
        <v>112</v>
      </c>
      <c r="O416" s="137">
        <f t="shared" si="12"/>
        <v>2.4287222808870137</v>
      </c>
      <c r="P416" s="137">
        <f t="shared" si="13"/>
        <v>2.4287222808870137</v>
      </c>
      <c r="Q416" s="126">
        <v>8</v>
      </c>
      <c r="R416" t="s">
        <v>523</v>
      </c>
      <c r="S416" t="str">
        <f>IF($W416&lt;&gt;"NAO ACEITO","",COUNTIFS($W$2:$W416,"NAO ACEITO"))</f>
        <v/>
      </c>
      <c r="T416" t="str">
        <f>IF($B416="","",IF(COUNTIF($B$2:$B416,$B416)=1,MAX($T$1:$T415)+1,""))</f>
        <v/>
      </c>
      <c r="U416" t="str">
        <f>IF($D416="","",IF(COUNTIF($D$2:$D416,$D416)=1,MAX($U$1:$U415)+1,""))</f>
        <v/>
      </c>
      <c r="V416">
        <f>IF($D416="","",IF(COUNTIFS($B$2:$B416,$B416,$D$2:$D416,$D416)=1,1,0))</f>
        <v>0</v>
      </c>
      <c r="W416" t="str">
        <f>IF($D416="","",mEQA.PadronizarStatus($L416))</f>
        <v>ACEITO</v>
      </c>
      <c r="X416" t="str">
        <f>IF(OR($D416="",$W416&lt;&gt;"NAO ACEITO"),"",IF(COUNTIFS($D$2:$D416,$D416,$W$2:$W416,"NAO ACEITO")=1,1,0))</f>
        <v/>
      </c>
    </row>
    <row r="417" spans="1:24" x14ac:dyDescent="0.3">
      <c r="A417" t="s">
        <v>402</v>
      </c>
      <c r="B417" t="s">
        <v>514</v>
      </c>
      <c r="C417" s="126">
        <v>2025</v>
      </c>
      <c r="D417" t="s">
        <v>488</v>
      </c>
      <c r="E417" t="s">
        <v>515</v>
      </c>
      <c r="F417" s="137">
        <v>4.3600000000000003</v>
      </c>
      <c r="G417" s="138">
        <v>4.3730000000000002</v>
      </c>
      <c r="H417" s="138">
        <v>0.11600000000000001</v>
      </c>
      <c r="I417" s="139">
        <v>-0.1</v>
      </c>
      <c r="J417" s="137">
        <v>3.93</v>
      </c>
      <c r="K417" s="137">
        <v>4.8099999999999996</v>
      </c>
      <c r="L417" t="s">
        <v>499</v>
      </c>
      <c r="M417" s="126">
        <v>33</v>
      </c>
      <c r="N417" t="s">
        <v>112</v>
      </c>
      <c r="O417" s="137">
        <f t="shared" si="12"/>
        <v>-0.29727875600274184</v>
      </c>
      <c r="P417" s="137">
        <f t="shared" si="13"/>
        <v>0.29727875600274184</v>
      </c>
      <c r="Q417" s="126">
        <v>9</v>
      </c>
      <c r="R417" t="s">
        <v>523</v>
      </c>
      <c r="S417" t="str">
        <f>IF($W417&lt;&gt;"NAO ACEITO","",COUNTIFS($W$2:$W417,"NAO ACEITO"))</f>
        <v/>
      </c>
      <c r="T417" t="str">
        <f>IF($B417="","",IF(COUNTIF($B$2:$B417,$B417)=1,MAX($T$1:$T416)+1,""))</f>
        <v/>
      </c>
      <c r="U417" t="str">
        <f>IF($D417="","",IF(COUNTIF($D$2:$D417,$D417)=1,MAX($U$1:$U416)+1,""))</f>
        <v/>
      </c>
      <c r="V417">
        <f>IF($D417="","",IF(COUNTIFS($B$2:$B417,$B417,$D$2:$D417,$D417)=1,1,0))</f>
        <v>1</v>
      </c>
      <c r="W417" t="str">
        <f>IF($D417="","",mEQA.PadronizarStatus($L417))</f>
        <v>ACEITO</v>
      </c>
      <c r="X417" t="str">
        <f>IF(OR($D417="",$W417&lt;&gt;"NAO ACEITO"),"",IF(COUNTIFS($D$2:$D417,$D417,$W$2:$W417,"NAO ACEITO")=1,1,0))</f>
        <v/>
      </c>
    </row>
    <row r="418" spans="1:24" x14ac:dyDescent="0.3">
      <c r="A418" t="s">
        <v>402</v>
      </c>
      <c r="B418" t="s">
        <v>514</v>
      </c>
      <c r="C418" s="126">
        <v>2025</v>
      </c>
      <c r="D418" t="s">
        <v>488</v>
      </c>
      <c r="E418" t="s">
        <v>516</v>
      </c>
      <c r="F418" s="137">
        <v>6.44</v>
      </c>
      <c r="G418" s="138">
        <v>6.5090000000000003</v>
      </c>
      <c r="H418" s="138">
        <v>0.14000000000000001</v>
      </c>
      <c r="I418" s="139">
        <v>-0.5</v>
      </c>
      <c r="J418" s="137">
        <v>5.85</v>
      </c>
      <c r="K418" s="137">
        <v>7.16</v>
      </c>
      <c r="L418" t="s">
        <v>499</v>
      </c>
      <c r="M418" s="126">
        <v>31</v>
      </c>
      <c r="N418" t="s">
        <v>112</v>
      </c>
      <c r="O418" s="137">
        <f t="shared" si="12"/>
        <v>-1.060070671378091</v>
      </c>
      <c r="P418" s="137">
        <f t="shared" si="13"/>
        <v>1.060070671378091</v>
      </c>
      <c r="Q418" s="126">
        <v>9</v>
      </c>
      <c r="R418" t="s">
        <v>523</v>
      </c>
      <c r="S418" t="str">
        <f>IF($W418&lt;&gt;"NAO ACEITO","",COUNTIFS($W$2:$W418,"NAO ACEITO"))</f>
        <v/>
      </c>
      <c r="T418" t="str">
        <f>IF($B418="","",IF(COUNTIF($B$2:$B418,$B418)=1,MAX($T$1:$T417)+1,""))</f>
        <v/>
      </c>
      <c r="U418" t="str">
        <f>IF($D418="","",IF(COUNTIF($D$2:$D418,$D418)=1,MAX($U$1:$U417)+1,""))</f>
        <v/>
      </c>
      <c r="V418">
        <f>IF($D418="","",IF(COUNTIFS($B$2:$B418,$B418,$D$2:$D418,$D418)=1,1,0))</f>
        <v>0</v>
      </c>
      <c r="W418" t="str">
        <f>IF($D418="","",mEQA.PadronizarStatus($L418))</f>
        <v>ACEITO</v>
      </c>
      <c r="X418" t="str">
        <f>IF(OR($D418="",$W418&lt;&gt;"NAO ACEITO"),"",IF(COUNTIFS($D$2:$D418,$D418,$W$2:$W418,"NAO ACEITO")=1,1,0))</f>
        <v/>
      </c>
    </row>
    <row r="419" spans="1:24" x14ac:dyDescent="0.3">
      <c r="A419" t="s">
        <v>402</v>
      </c>
      <c r="B419" t="s">
        <v>514</v>
      </c>
      <c r="C419" s="126">
        <v>2025</v>
      </c>
      <c r="D419" t="s">
        <v>488</v>
      </c>
      <c r="E419" t="s">
        <v>517</v>
      </c>
      <c r="F419" s="137">
        <v>2.15</v>
      </c>
      <c r="G419" s="138">
        <v>2.1760000000000002</v>
      </c>
      <c r="H419" s="138">
        <v>9.6000000000000002E-2</v>
      </c>
      <c r="I419" s="139">
        <v>-0.3</v>
      </c>
      <c r="J419" s="137">
        <v>1.87</v>
      </c>
      <c r="K419" s="137">
        <v>2.48</v>
      </c>
      <c r="L419" t="s">
        <v>499</v>
      </c>
      <c r="M419" s="126">
        <v>33</v>
      </c>
      <c r="N419" t="s">
        <v>112</v>
      </c>
      <c r="O419" s="137">
        <f t="shared" si="12"/>
        <v>-1.1948529411764819</v>
      </c>
      <c r="P419" s="137">
        <f t="shared" si="13"/>
        <v>1.1948529411764819</v>
      </c>
      <c r="Q419" s="126">
        <v>9</v>
      </c>
      <c r="R419" t="s">
        <v>523</v>
      </c>
      <c r="S419" t="str">
        <f>IF($W419&lt;&gt;"NAO ACEITO","",COUNTIFS($W$2:$W419,"NAO ACEITO"))</f>
        <v/>
      </c>
      <c r="T419" t="str">
        <f>IF($B419="","",IF(COUNTIF($B$2:$B419,$B419)=1,MAX($T$1:$T418)+1,""))</f>
        <v/>
      </c>
      <c r="U419" t="str">
        <f>IF($D419="","",IF(COUNTIF($D$2:$D419,$D419)=1,MAX($U$1:$U418)+1,""))</f>
        <v/>
      </c>
      <c r="V419">
        <f>IF($D419="","",IF(COUNTIFS($B$2:$B419,$B419,$D$2:$D419,$D419)=1,1,0))</f>
        <v>0</v>
      </c>
      <c r="W419" t="str">
        <f>IF($D419="","",mEQA.PadronizarStatus($L419))</f>
        <v>ACEITO</v>
      </c>
      <c r="X419" t="str">
        <f>IF(OR($D419="",$W419&lt;&gt;"NAO ACEITO"),"",IF(COUNTIFS($D$2:$D419,$D419,$W$2:$W419,"NAO ACEITO")=1,1,0))</f>
        <v/>
      </c>
    </row>
    <row r="420" spans="1:24" x14ac:dyDescent="0.3">
      <c r="A420" t="s">
        <v>402</v>
      </c>
      <c r="B420" t="s">
        <v>514</v>
      </c>
      <c r="C420" s="126">
        <v>2025</v>
      </c>
      <c r="D420" t="s">
        <v>488</v>
      </c>
      <c r="E420" t="s">
        <v>518</v>
      </c>
      <c r="F420" s="137">
        <v>5.25</v>
      </c>
      <c r="G420" s="138">
        <v>5.2750000000000004</v>
      </c>
      <c r="H420" s="138">
        <v>9.4E-2</v>
      </c>
      <c r="I420" s="139">
        <v>-0.3</v>
      </c>
      <c r="J420" s="137">
        <v>4.74</v>
      </c>
      <c r="K420" s="137">
        <v>5.81</v>
      </c>
      <c r="L420" t="s">
        <v>499</v>
      </c>
      <c r="M420" s="126">
        <v>32</v>
      </c>
      <c r="N420" t="s">
        <v>112</v>
      </c>
      <c r="O420" s="137">
        <f t="shared" si="12"/>
        <v>-0.47393364928910625</v>
      </c>
      <c r="P420" s="137">
        <f t="shared" si="13"/>
        <v>0.47393364928910625</v>
      </c>
      <c r="Q420" s="126">
        <v>9</v>
      </c>
      <c r="R420" t="s">
        <v>523</v>
      </c>
      <c r="S420" t="str">
        <f>IF($W420&lt;&gt;"NAO ACEITO","",COUNTIFS($W$2:$W420,"NAO ACEITO"))</f>
        <v/>
      </c>
      <c r="T420" t="str">
        <f>IF($B420="","",IF(COUNTIF($B$2:$B420,$B420)=1,MAX($T$1:$T419)+1,""))</f>
        <v/>
      </c>
      <c r="U420" t="str">
        <f>IF($D420="","",IF(COUNTIF($D$2:$D420,$D420)=1,MAX($U$1:$U419)+1,""))</f>
        <v/>
      </c>
      <c r="V420">
        <f>IF($D420="","",IF(COUNTIFS($B$2:$B420,$B420,$D$2:$D420,$D420)=1,1,0))</f>
        <v>0</v>
      </c>
      <c r="W420" t="str">
        <f>IF($D420="","",mEQA.PadronizarStatus($L420))</f>
        <v>ACEITO</v>
      </c>
      <c r="X420" t="str">
        <f>IF(OR($D420="",$W420&lt;&gt;"NAO ACEITO"),"",IF(COUNTIFS($D$2:$D420,$D420,$W$2:$W420,"NAO ACEITO")=1,1,0))</f>
        <v/>
      </c>
    </row>
    <row r="421" spans="1:24" x14ac:dyDescent="0.3">
      <c r="A421" t="s">
        <v>402</v>
      </c>
      <c r="B421" t="s">
        <v>514</v>
      </c>
      <c r="C421" s="126">
        <v>2025</v>
      </c>
      <c r="D421" t="s">
        <v>488</v>
      </c>
      <c r="E421" t="s">
        <v>519</v>
      </c>
      <c r="F421" s="137">
        <v>5.04</v>
      </c>
      <c r="G421" s="138">
        <v>5.0540000000000003</v>
      </c>
      <c r="H421" s="138">
        <v>0.127</v>
      </c>
      <c r="I421" s="139">
        <v>-0.1</v>
      </c>
      <c r="J421" s="137">
        <v>4.54</v>
      </c>
      <c r="K421" s="137">
        <v>5.56</v>
      </c>
      <c r="L421" t="s">
        <v>499</v>
      </c>
      <c r="M421" s="126">
        <v>32</v>
      </c>
      <c r="N421" t="s">
        <v>112</v>
      </c>
      <c r="O421" s="137">
        <f t="shared" si="12"/>
        <v>-0.27700831024931211</v>
      </c>
      <c r="P421" s="137">
        <f t="shared" si="13"/>
        <v>0.27700831024931211</v>
      </c>
      <c r="Q421" s="126">
        <v>9</v>
      </c>
      <c r="R421" t="s">
        <v>523</v>
      </c>
      <c r="S421" t="str">
        <f>IF($W421&lt;&gt;"NAO ACEITO","",COUNTIFS($W$2:$W421,"NAO ACEITO"))</f>
        <v/>
      </c>
      <c r="T421" t="str">
        <f>IF($B421="","",IF(COUNTIF($B$2:$B421,$B421)=1,MAX($T$1:$T420)+1,""))</f>
        <v/>
      </c>
      <c r="U421" t="str">
        <f>IF($D421="","",IF(COUNTIF($D$2:$D421,$D421)=1,MAX($U$1:$U420)+1,""))</f>
        <v/>
      </c>
      <c r="V421">
        <f>IF($D421="","",IF(COUNTIFS($B$2:$B421,$B421,$D$2:$D421,$D421)=1,1,0))</f>
        <v>0</v>
      </c>
      <c r="W421" t="str">
        <f>IF($D421="","",mEQA.PadronizarStatus($L421))</f>
        <v>ACEITO</v>
      </c>
      <c r="X421" t="str">
        <f>IF(OR($D421="",$W421&lt;&gt;"NAO ACEITO"),"",IF(COUNTIFS($D$2:$D421,$D421,$W$2:$W421,"NAO ACEITO")=1,1,0))</f>
        <v/>
      </c>
    </row>
    <row r="422" spans="1:24" x14ac:dyDescent="0.3">
      <c r="A422" t="s">
        <v>402</v>
      </c>
      <c r="B422" t="s">
        <v>514</v>
      </c>
      <c r="C422" s="126">
        <v>2025</v>
      </c>
      <c r="D422" t="s">
        <v>489</v>
      </c>
      <c r="E422" t="s">
        <v>515</v>
      </c>
      <c r="F422" s="137">
        <v>4.9000000000000004</v>
      </c>
      <c r="G422" s="138">
        <v>5.13</v>
      </c>
      <c r="H422" s="138">
        <v>0.09</v>
      </c>
      <c r="I422" s="139">
        <v>-2.7</v>
      </c>
      <c r="J422" s="137">
        <v>4.8</v>
      </c>
      <c r="K422" s="137">
        <v>5.5</v>
      </c>
      <c r="L422" t="s">
        <v>499</v>
      </c>
      <c r="M422" s="126">
        <v>852</v>
      </c>
      <c r="N422" t="s">
        <v>134</v>
      </c>
      <c r="O422" s="137">
        <f t="shared" si="12"/>
        <v>-4.4834307992202644</v>
      </c>
      <c r="P422" s="137">
        <f t="shared" si="13"/>
        <v>4.4834307992202644</v>
      </c>
      <c r="Q422" s="126">
        <v>5</v>
      </c>
      <c r="R422" t="s">
        <v>523</v>
      </c>
      <c r="S422" t="str">
        <f>IF($W422&lt;&gt;"NAO ACEITO","",COUNTIFS($W$2:$W422,"NAO ACEITO"))</f>
        <v/>
      </c>
      <c r="T422" t="str">
        <f>IF($B422="","",IF(COUNTIF($B$2:$B422,$B422)=1,MAX($T$1:$T421)+1,""))</f>
        <v/>
      </c>
      <c r="U422" t="str">
        <f>IF($D422="","",IF(COUNTIF($D$2:$D422,$D422)=1,MAX($U$1:$U421)+1,""))</f>
        <v/>
      </c>
      <c r="V422">
        <f>IF($D422="","",IF(COUNTIFS($B$2:$B422,$B422,$D$2:$D422,$D422)=1,1,0))</f>
        <v>1</v>
      </c>
      <c r="W422" t="str">
        <f>IF($D422="","",mEQA.PadronizarStatus($L422))</f>
        <v>ACEITO</v>
      </c>
      <c r="X422" t="str">
        <f>IF(OR($D422="",$W422&lt;&gt;"NAO ACEITO"),"",IF(COUNTIFS($D$2:$D422,$D422,$W$2:$W422,"NAO ACEITO")=1,1,0))</f>
        <v/>
      </c>
    </row>
    <row r="423" spans="1:24" x14ac:dyDescent="0.3">
      <c r="A423" t="s">
        <v>402</v>
      </c>
      <c r="B423" t="s">
        <v>514</v>
      </c>
      <c r="C423" s="126">
        <v>2025</v>
      </c>
      <c r="D423" t="s">
        <v>489</v>
      </c>
      <c r="E423" t="s">
        <v>516</v>
      </c>
      <c r="F423" s="137">
        <v>6.1</v>
      </c>
      <c r="G423" s="138">
        <v>5.91</v>
      </c>
      <c r="H423" s="138">
        <v>0.08</v>
      </c>
      <c r="I423" s="139">
        <v>2.4</v>
      </c>
      <c r="J423" s="137">
        <v>5.6</v>
      </c>
      <c r="K423" s="137">
        <v>6.3</v>
      </c>
      <c r="L423" t="s">
        <v>499</v>
      </c>
      <c r="M423" s="126">
        <v>853</v>
      </c>
      <c r="N423" t="s">
        <v>134</v>
      </c>
      <c r="O423" s="137">
        <f t="shared" si="12"/>
        <v>3.2148900169204651</v>
      </c>
      <c r="P423" s="137">
        <f t="shared" si="13"/>
        <v>3.2148900169204651</v>
      </c>
      <c r="Q423" s="126">
        <v>5</v>
      </c>
      <c r="R423" t="s">
        <v>523</v>
      </c>
      <c r="S423" t="str">
        <f>IF($W423&lt;&gt;"NAO ACEITO","",COUNTIFS($W$2:$W423,"NAO ACEITO"))</f>
        <v/>
      </c>
      <c r="T423" t="str">
        <f>IF($B423="","",IF(COUNTIF($B$2:$B423,$B423)=1,MAX($T$1:$T422)+1,""))</f>
        <v/>
      </c>
      <c r="U423" t="str">
        <f>IF($D423="","",IF(COUNTIF($D$2:$D423,$D423)=1,MAX($U$1:$U422)+1,""))</f>
        <v/>
      </c>
      <c r="V423">
        <f>IF($D423="","",IF(COUNTIFS($B$2:$B423,$B423,$D$2:$D423,$D423)=1,1,0))</f>
        <v>0</v>
      </c>
      <c r="W423" t="str">
        <f>IF($D423="","",mEQA.PadronizarStatus($L423))</f>
        <v>ACEITO</v>
      </c>
      <c r="X423" t="str">
        <f>IF(OR($D423="",$W423&lt;&gt;"NAO ACEITO"),"",IF(COUNTIFS($D$2:$D423,$D423,$W$2:$W423,"NAO ACEITO")=1,1,0))</f>
        <v/>
      </c>
    </row>
    <row r="424" spans="1:24" x14ac:dyDescent="0.3">
      <c r="A424" t="s">
        <v>402</v>
      </c>
      <c r="B424" t="s">
        <v>514</v>
      </c>
      <c r="C424" s="126">
        <v>2025</v>
      </c>
      <c r="D424" t="s">
        <v>489</v>
      </c>
      <c r="E424" t="s">
        <v>517</v>
      </c>
      <c r="F424" s="137">
        <v>2.2000000000000002</v>
      </c>
      <c r="G424" s="138">
        <v>2.2999999999999998</v>
      </c>
      <c r="H424" s="138">
        <v>0.02</v>
      </c>
      <c r="I424" s="139">
        <v>-4.0999999999999996</v>
      </c>
      <c r="J424" s="137">
        <v>1.9</v>
      </c>
      <c r="K424" s="137">
        <v>2.6</v>
      </c>
      <c r="L424" t="s">
        <v>499</v>
      </c>
      <c r="M424" s="126">
        <v>759</v>
      </c>
      <c r="N424" t="s">
        <v>134</v>
      </c>
      <c r="O424" s="137">
        <f t="shared" si="12"/>
        <v>-4.3478260869565064</v>
      </c>
      <c r="P424" s="137">
        <f t="shared" si="13"/>
        <v>4.3478260869565064</v>
      </c>
      <c r="Q424" s="126">
        <v>5</v>
      </c>
      <c r="R424" t="s">
        <v>523</v>
      </c>
      <c r="S424" t="str">
        <f>IF($W424&lt;&gt;"NAO ACEITO","",COUNTIFS($W$2:$W424,"NAO ACEITO"))</f>
        <v/>
      </c>
      <c r="T424" t="str">
        <f>IF($B424="","",IF(COUNTIF($B$2:$B424,$B424)=1,MAX($T$1:$T423)+1,""))</f>
        <v/>
      </c>
      <c r="U424" t="str">
        <f>IF($D424="","",IF(COUNTIF($D$2:$D424,$D424)=1,MAX($U$1:$U423)+1,""))</f>
        <v/>
      </c>
      <c r="V424">
        <f>IF($D424="","",IF(COUNTIFS($B$2:$B424,$B424,$D$2:$D424,$D424)=1,1,0))</f>
        <v>0</v>
      </c>
      <c r="W424" t="str">
        <f>IF($D424="","",mEQA.PadronizarStatus($L424))</f>
        <v>ACEITO</v>
      </c>
      <c r="X424" t="str">
        <f>IF(OR($D424="",$W424&lt;&gt;"NAO ACEITO"),"",IF(COUNTIFS($D$2:$D424,$D424,$W$2:$W424,"NAO ACEITO")=1,1,0))</f>
        <v/>
      </c>
    </row>
    <row r="425" spans="1:24" x14ac:dyDescent="0.3">
      <c r="A425" t="s">
        <v>402</v>
      </c>
      <c r="B425" t="s">
        <v>514</v>
      </c>
      <c r="C425" s="126">
        <v>2025</v>
      </c>
      <c r="D425" t="s">
        <v>489</v>
      </c>
      <c r="E425" t="s">
        <v>518</v>
      </c>
      <c r="F425" s="137">
        <v>5</v>
      </c>
      <c r="G425" s="138">
        <v>4.95</v>
      </c>
      <c r="H425" s="138">
        <v>7.0000000000000007E-2</v>
      </c>
      <c r="I425" s="139">
        <v>0.7</v>
      </c>
      <c r="J425" s="137">
        <v>4.5999999999999996</v>
      </c>
      <c r="K425" s="137">
        <v>5.3</v>
      </c>
      <c r="L425" t="s">
        <v>499</v>
      </c>
      <c r="M425" s="126">
        <v>854</v>
      </c>
      <c r="N425" t="s">
        <v>134</v>
      </c>
      <c r="O425" s="137">
        <f t="shared" si="12"/>
        <v>1.0101010101010066</v>
      </c>
      <c r="P425" s="137">
        <f t="shared" si="13"/>
        <v>1.0101010101010066</v>
      </c>
      <c r="Q425" s="126">
        <v>5</v>
      </c>
      <c r="R425" t="s">
        <v>523</v>
      </c>
      <c r="S425" t="str">
        <f>IF($W425&lt;&gt;"NAO ACEITO","",COUNTIFS($W$2:$W425,"NAO ACEITO"))</f>
        <v/>
      </c>
      <c r="T425" t="str">
        <f>IF($B425="","",IF(COUNTIF($B$2:$B425,$B425)=1,MAX($T$1:$T424)+1,""))</f>
        <v/>
      </c>
      <c r="U425" t="str">
        <f>IF($D425="","",IF(COUNTIF($D$2:$D425,$D425)=1,MAX($U$1:$U424)+1,""))</f>
        <v/>
      </c>
      <c r="V425">
        <f>IF($D425="","",IF(COUNTIFS($B$2:$B425,$B425,$D$2:$D425,$D425)=1,1,0))</f>
        <v>0</v>
      </c>
      <c r="W425" t="str">
        <f>IF($D425="","",mEQA.PadronizarStatus($L425))</f>
        <v>ACEITO</v>
      </c>
      <c r="X425" t="str">
        <f>IF(OR($D425="",$W425&lt;&gt;"NAO ACEITO"),"",IF(COUNTIFS($D$2:$D425,$D425,$W$2:$W425,"NAO ACEITO")=1,1,0))</f>
        <v/>
      </c>
    </row>
    <row r="426" spans="1:24" x14ac:dyDescent="0.3">
      <c r="A426" t="s">
        <v>402</v>
      </c>
      <c r="B426" t="s">
        <v>514</v>
      </c>
      <c r="C426" s="126">
        <v>2025</v>
      </c>
      <c r="D426" t="s">
        <v>489</v>
      </c>
      <c r="E426" t="s">
        <v>519</v>
      </c>
      <c r="F426" s="137">
        <v>5.3</v>
      </c>
      <c r="G426" s="138">
        <v>5.38</v>
      </c>
      <c r="H426" s="138">
        <v>0.08</v>
      </c>
      <c r="I426" s="139">
        <v>-1</v>
      </c>
      <c r="J426" s="137">
        <v>5</v>
      </c>
      <c r="K426" s="137">
        <v>5.7</v>
      </c>
      <c r="L426" t="s">
        <v>499</v>
      </c>
      <c r="M426" s="126">
        <v>845</v>
      </c>
      <c r="N426" t="s">
        <v>134</v>
      </c>
      <c r="O426" s="137">
        <f t="shared" si="12"/>
        <v>-1.4869888475836444</v>
      </c>
      <c r="P426" s="137">
        <f t="shared" si="13"/>
        <v>1.4869888475836444</v>
      </c>
      <c r="Q426" s="126">
        <v>5</v>
      </c>
      <c r="R426" t="s">
        <v>523</v>
      </c>
      <c r="S426" t="str">
        <f>IF($W426&lt;&gt;"NAO ACEITO","",COUNTIFS($W$2:$W426,"NAO ACEITO"))</f>
        <v/>
      </c>
      <c r="T426" t="str">
        <f>IF($B426="","",IF(COUNTIF($B$2:$B426,$B426)=1,MAX($T$1:$T425)+1,""))</f>
        <v/>
      </c>
      <c r="U426" t="str">
        <f>IF($D426="","",IF(COUNTIF($D$2:$D426,$D426)=1,MAX($U$1:$U425)+1,""))</f>
        <v/>
      </c>
      <c r="V426">
        <f>IF($D426="","",IF(COUNTIFS($B$2:$B426,$B426,$D$2:$D426,$D426)=1,1,0))</f>
        <v>0</v>
      </c>
      <c r="W426" t="str">
        <f>IF($D426="","",mEQA.PadronizarStatus($L426))</f>
        <v>ACEITO</v>
      </c>
      <c r="X426" t="str">
        <f>IF(OR($D426="",$W426&lt;&gt;"NAO ACEITO"),"",IF(COUNTIFS($D$2:$D426,$D426,$W$2:$W426,"NAO ACEITO")=1,1,0))</f>
        <v/>
      </c>
    </row>
    <row r="427" spans="1:24" x14ac:dyDescent="0.3">
      <c r="A427" t="s">
        <v>402</v>
      </c>
      <c r="B427" t="s">
        <v>514</v>
      </c>
      <c r="C427" s="126">
        <v>2025</v>
      </c>
      <c r="D427" t="s">
        <v>490</v>
      </c>
      <c r="E427" t="s">
        <v>515</v>
      </c>
      <c r="F427" s="137">
        <v>8.8000000000000007</v>
      </c>
      <c r="G427" s="138">
        <v>8.36</v>
      </c>
      <c r="H427" s="138">
        <v>0.14000000000000001</v>
      </c>
      <c r="I427" s="139">
        <v>3.1</v>
      </c>
      <c r="J427" s="137">
        <v>7.6</v>
      </c>
      <c r="K427" s="137">
        <v>9.1</v>
      </c>
      <c r="L427" t="s">
        <v>499</v>
      </c>
      <c r="M427" s="126">
        <v>397</v>
      </c>
      <c r="N427" t="s">
        <v>129</v>
      </c>
      <c r="O427" s="137">
        <f t="shared" si="12"/>
        <v>5.2631578947368576</v>
      </c>
      <c r="P427" s="137">
        <f t="shared" si="13"/>
        <v>5.2631578947368576</v>
      </c>
      <c r="Q427" s="126">
        <v>9</v>
      </c>
      <c r="R427" t="s">
        <v>523</v>
      </c>
      <c r="S427" t="str">
        <f>IF($W427&lt;&gt;"NAO ACEITO","",COUNTIFS($W$2:$W427,"NAO ACEITO"))</f>
        <v/>
      </c>
      <c r="T427" t="str">
        <f>IF($B427="","",IF(COUNTIF($B$2:$B427,$B427)=1,MAX($T$1:$T426)+1,""))</f>
        <v/>
      </c>
      <c r="U427" t="str">
        <f>IF($D427="","",IF(COUNTIF($D$2:$D427,$D427)=1,MAX($U$1:$U426)+1,""))</f>
        <v/>
      </c>
      <c r="V427">
        <f>IF($D427="","",IF(COUNTIFS($B$2:$B427,$B427,$D$2:$D427,$D427)=1,1,0))</f>
        <v>1</v>
      </c>
      <c r="W427" t="str">
        <f>IF($D427="","",mEQA.PadronizarStatus($L427))</f>
        <v>ACEITO</v>
      </c>
      <c r="X427" t="str">
        <f>IF(OR($D427="",$W427&lt;&gt;"NAO ACEITO"),"",IF(COUNTIFS($D$2:$D427,$D427,$W$2:$W427,"NAO ACEITO")=1,1,0))</f>
        <v/>
      </c>
    </row>
    <row r="428" spans="1:24" x14ac:dyDescent="0.3">
      <c r="A428" t="s">
        <v>402</v>
      </c>
      <c r="B428" t="s">
        <v>514</v>
      </c>
      <c r="C428" s="126">
        <v>2025</v>
      </c>
      <c r="D428" t="s">
        <v>490</v>
      </c>
      <c r="E428" t="s">
        <v>516</v>
      </c>
      <c r="F428" s="137">
        <v>3.2</v>
      </c>
      <c r="G428" s="138">
        <v>3.26</v>
      </c>
      <c r="H428" s="138">
        <v>0.08</v>
      </c>
      <c r="I428" s="139">
        <v>-0.8</v>
      </c>
      <c r="J428" s="137">
        <v>3</v>
      </c>
      <c r="K428" s="137">
        <v>3.6</v>
      </c>
      <c r="L428" t="s">
        <v>499</v>
      </c>
      <c r="M428" s="126">
        <v>399</v>
      </c>
      <c r="N428" t="s">
        <v>129</v>
      </c>
      <c r="O428" s="137">
        <f t="shared" si="12"/>
        <v>-1.8404907975460003</v>
      </c>
      <c r="P428" s="137">
        <f t="shared" si="13"/>
        <v>1.8404907975460003</v>
      </c>
      <c r="Q428" s="126">
        <v>9</v>
      </c>
      <c r="R428" t="s">
        <v>523</v>
      </c>
      <c r="S428" t="str">
        <f>IF($W428&lt;&gt;"NAO ACEITO","",COUNTIFS($W$2:$W428,"NAO ACEITO"))</f>
        <v/>
      </c>
      <c r="T428" t="str">
        <f>IF($B428="","",IF(COUNTIF($B$2:$B428,$B428)=1,MAX($T$1:$T427)+1,""))</f>
        <v/>
      </c>
      <c r="U428" t="str">
        <f>IF($D428="","",IF(COUNTIF($D$2:$D428,$D428)=1,MAX($U$1:$U427)+1,""))</f>
        <v/>
      </c>
      <c r="V428">
        <f>IF($D428="","",IF(COUNTIFS($B$2:$B428,$B428,$D$2:$D428,$D428)=1,1,0))</f>
        <v>0</v>
      </c>
      <c r="W428" t="str">
        <f>IF($D428="","",mEQA.PadronizarStatus($L428))</f>
        <v>ACEITO</v>
      </c>
      <c r="X428" t="str">
        <f>IF(OR($D428="",$W428&lt;&gt;"NAO ACEITO"),"",IF(COUNTIFS($D$2:$D428,$D428,$W$2:$W428,"NAO ACEITO")=1,1,0))</f>
        <v/>
      </c>
    </row>
    <row r="429" spans="1:24" x14ac:dyDescent="0.3">
      <c r="A429" t="s">
        <v>402</v>
      </c>
      <c r="B429" t="s">
        <v>514</v>
      </c>
      <c r="C429" s="126">
        <v>2025</v>
      </c>
      <c r="D429" t="s">
        <v>490</v>
      </c>
      <c r="E429" t="s">
        <v>517</v>
      </c>
      <c r="F429" s="137">
        <v>4.4000000000000004</v>
      </c>
      <c r="G429" s="138">
        <v>4.32</v>
      </c>
      <c r="H429" s="138">
        <v>0.08</v>
      </c>
      <c r="I429" s="139">
        <v>0.9</v>
      </c>
      <c r="J429" s="137">
        <v>3.9</v>
      </c>
      <c r="K429" s="137">
        <v>4.7</v>
      </c>
      <c r="L429" t="s">
        <v>499</v>
      </c>
      <c r="M429" s="126">
        <v>402</v>
      </c>
      <c r="N429" t="s">
        <v>129</v>
      </c>
      <c r="O429" s="137">
        <f t="shared" si="12"/>
        <v>1.8518518518518534</v>
      </c>
      <c r="P429" s="137">
        <f t="shared" si="13"/>
        <v>1.8518518518518534</v>
      </c>
      <c r="Q429" s="126">
        <v>9</v>
      </c>
      <c r="R429" t="s">
        <v>523</v>
      </c>
      <c r="S429" t="str">
        <f>IF($W429&lt;&gt;"NAO ACEITO","",COUNTIFS($W$2:$W429,"NAO ACEITO"))</f>
        <v/>
      </c>
      <c r="T429" t="str">
        <f>IF($B429="","",IF(COUNTIF($B$2:$B429,$B429)=1,MAX($T$1:$T428)+1,""))</f>
        <v/>
      </c>
      <c r="U429" t="str">
        <f>IF($D429="","",IF(COUNTIF($D$2:$D429,$D429)=1,MAX($U$1:$U428)+1,""))</f>
        <v/>
      </c>
      <c r="V429">
        <f>IF($D429="","",IF(COUNTIFS($B$2:$B429,$B429,$D$2:$D429,$D429)=1,1,0))</f>
        <v>0</v>
      </c>
      <c r="W429" t="str">
        <f>IF($D429="","",mEQA.PadronizarStatus($L429))</f>
        <v>ACEITO</v>
      </c>
      <c r="X429" t="str">
        <f>IF(OR($D429="",$W429&lt;&gt;"NAO ACEITO"),"",IF(COUNTIFS($D$2:$D429,$D429,$W$2:$W429,"NAO ACEITO")=1,1,0))</f>
        <v/>
      </c>
    </row>
    <row r="430" spans="1:24" x14ac:dyDescent="0.3">
      <c r="A430" t="s">
        <v>402</v>
      </c>
      <c r="B430" t="s">
        <v>514</v>
      </c>
      <c r="C430" s="126">
        <v>2025</v>
      </c>
      <c r="D430" t="s">
        <v>490</v>
      </c>
      <c r="E430" t="s">
        <v>518</v>
      </c>
      <c r="F430" s="137">
        <v>4</v>
      </c>
      <c r="G430" s="138">
        <v>3.97</v>
      </c>
      <c r="H430" s="138">
        <v>0.08</v>
      </c>
      <c r="I430" s="139">
        <v>0.4</v>
      </c>
      <c r="J430" s="137">
        <v>3.6</v>
      </c>
      <c r="K430" s="137">
        <v>4.3</v>
      </c>
      <c r="L430" t="s">
        <v>499</v>
      </c>
      <c r="M430" s="126">
        <v>397</v>
      </c>
      <c r="N430" t="s">
        <v>129</v>
      </c>
      <c r="O430" s="137">
        <f t="shared" si="12"/>
        <v>0.75566750629722423</v>
      </c>
      <c r="P430" s="137">
        <f t="shared" si="13"/>
        <v>0.75566750629722423</v>
      </c>
      <c r="Q430" s="126">
        <v>9</v>
      </c>
      <c r="R430" t="s">
        <v>523</v>
      </c>
      <c r="S430" t="str">
        <f>IF($W430&lt;&gt;"NAO ACEITO","",COUNTIFS($W$2:$W430,"NAO ACEITO"))</f>
        <v/>
      </c>
      <c r="T430" t="str">
        <f>IF($B430="","",IF(COUNTIF($B$2:$B430,$B430)=1,MAX($T$1:$T429)+1,""))</f>
        <v/>
      </c>
      <c r="U430" t="str">
        <f>IF($D430="","",IF(COUNTIF($D$2:$D430,$D430)=1,MAX($U$1:$U429)+1,""))</f>
        <v/>
      </c>
      <c r="V430">
        <f>IF($D430="","",IF(COUNTIFS($B$2:$B430,$B430,$D$2:$D430,$D430)=1,1,0))</f>
        <v>0</v>
      </c>
      <c r="W430" t="str">
        <f>IF($D430="","",mEQA.PadronizarStatus($L430))</f>
        <v>ACEITO</v>
      </c>
      <c r="X430" t="str">
        <f>IF(OR($D430="",$W430&lt;&gt;"NAO ACEITO"),"",IF(COUNTIFS($D$2:$D430,$D430,$W$2:$W430,"NAO ACEITO")=1,1,0))</f>
        <v/>
      </c>
    </row>
    <row r="431" spans="1:24" x14ac:dyDescent="0.3">
      <c r="A431" t="s">
        <v>402</v>
      </c>
      <c r="B431" t="s">
        <v>514</v>
      </c>
      <c r="C431" s="126">
        <v>2025</v>
      </c>
      <c r="D431" t="s">
        <v>490</v>
      </c>
      <c r="E431" t="s">
        <v>519</v>
      </c>
      <c r="F431" s="137">
        <v>7.1</v>
      </c>
      <c r="G431" s="138">
        <v>6.69</v>
      </c>
      <c r="H431" s="138">
        <v>0.11</v>
      </c>
      <c r="I431" s="139">
        <v>3.7</v>
      </c>
      <c r="J431" s="137">
        <v>6.1</v>
      </c>
      <c r="K431" s="137">
        <v>7.3</v>
      </c>
      <c r="L431" t="s">
        <v>499</v>
      </c>
      <c r="M431" s="126">
        <v>398</v>
      </c>
      <c r="N431" t="s">
        <v>129</v>
      </c>
      <c r="O431" s="137">
        <f t="shared" si="12"/>
        <v>6.1285500747384045</v>
      </c>
      <c r="P431" s="137">
        <f t="shared" si="13"/>
        <v>6.1285500747384045</v>
      </c>
      <c r="Q431" s="126">
        <v>9</v>
      </c>
      <c r="R431" t="s">
        <v>523</v>
      </c>
      <c r="S431" t="str">
        <f>IF($W431&lt;&gt;"NAO ACEITO","",COUNTIFS($W$2:$W431,"NAO ACEITO"))</f>
        <v/>
      </c>
      <c r="T431" t="str">
        <f>IF($B431="","",IF(COUNTIF($B$2:$B431,$B431)=1,MAX($T$1:$T430)+1,""))</f>
        <v/>
      </c>
      <c r="U431" t="str">
        <f>IF($D431="","",IF(COUNTIF($D$2:$D431,$D431)=1,MAX($U$1:$U430)+1,""))</f>
        <v/>
      </c>
      <c r="V431">
        <f>IF($D431="","",IF(COUNTIFS($B$2:$B431,$B431,$D$2:$D431,$D431)=1,1,0))</f>
        <v>0</v>
      </c>
      <c r="W431" t="str">
        <f>IF($D431="","",mEQA.PadronizarStatus($L431))</f>
        <v>ACEITO</v>
      </c>
      <c r="X431" t="str">
        <f>IF(OR($D431="",$W431&lt;&gt;"NAO ACEITO"),"",IF(COUNTIFS($D$2:$D431,$D431,$W$2:$W431,"NAO ACEITO")=1,1,0))</f>
        <v/>
      </c>
    </row>
    <row r="432" spans="1:24" x14ac:dyDescent="0.3">
      <c r="A432" t="s">
        <v>402</v>
      </c>
      <c r="B432" t="s">
        <v>514</v>
      </c>
      <c r="C432" s="126">
        <v>2025</v>
      </c>
      <c r="D432" t="s">
        <v>491</v>
      </c>
      <c r="E432" t="s">
        <v>515</v>
      </c>
      <c r="F432" s="137">
        <v>159</v>
      </c>
      <c r="G432" s="138">
        <v>161.4</v>
      </c>
      <c r="H432" s="138">
        <v>4.3</v>
      </c>
      <c r="I432" s="139">
        <v>-0.5</v>
      </c>
      <c r="J432" s="137">
        <v>157</v>
      </c>
      <c r="K432" s="137">
        <v>166</v>
      </c>
      <c r="L432" t="s">
        <v>499</v>
      </c>
      <c r="M432" s="126">
        <v>111</v>
      </c>
      <c r="N432" t="s">
        <v>134</v>
      </c>
      <c r="O432" s="137">
        <f t="shared" si="12"/>
        <v>-1.4869888475836466</v>
      </c>
      <c r="P432" s="137">
        <f t="shared" si="13"/>
        <v>1.4869888475836466</v>
      </c>
      <c r="Q432" s="126">
        <v>5</v>
      </c>
      <c r="R432" t="s">
        <v>523</v>
      </c>
      <c r="S432" t="str">
        <f>IF($W432&lt;&gt;"NAO ACEITO","",COUNTIFS($W$2:$W432,"NAO ACEITO"))</f>
        <v/>
      </c>
      <c r="T432" t="str">
        <f>IF($B432="","",IF(COUNTIF($B$2:$B432,$B432)=1,MAX($T$1:$T431)+1,""))</f>
        <v/>
      </c>
      <c r="U432" t="str">
        <f>IF($D432="","",IF(COUNTIF($D$2:$D432,$D432)=1,MAX($U$1:$U431)+1,""))</f>
        <v/>
      </c>
      <c r="V432">
        <f>IF($D432="","",IF(COUNTIFS($B$2:$B432,$B432,$D$2:$D432,$D432)=1,1,0))</f>
        <v>1</v>
      </c>
      <c r="W432" t="str">
        <f>IF($D432="","",mEQA.PadronizarStatus($L432))</f>
        <v>ACEITO</v>
      </c>
      <c r="X432" t="str">
        <f>IF(OR($D432="",$W432&lt;&gt;"NAO ACEITO"),"",IF(COUNTIFS($D$2:$D432,$D432,$W$2:$W432,"NAO ACEITO")=1,1,0))</f>
        <v/>
      </c>
    </row>
    <row r="433" spans="1:24" x14ac:dyDescent="0.3">
      <c r="A433" t="s">
        <v>402</v>
      </c>
      <c r="B433" t="s">
        <v>514</v>
      </c>
      <c r="C433" s="126">
        <v>2025</v>
      </c>
      <c r="D433" t="s">
        <v>491</v>
      </c>
      <c r="E433" t="s">
        <v>516</v>
      </c>
      <c r="F433" s="137">
        <v>147</v>
      </c>
      <c r="G433" s="138">
        <v>144.30000000000001</v>
      </c>
      <c r="H433" s="138">
        <v>2.2999999999999998</v>
      </c>
      <c r="I433" s="139">
        <v>1.2</v>
      </c>
      <c r="J433" s="137">
        <v>140</v>
      </c>
      <c r="K433" s="137">
        <v>149</v>
      </c>
      <c r="L433" t="s">
        <v>499</v>
      </c>
      <c r="M433" s="126">
        <v>114</v>
      </c>
      <c r="N433" t="s">
        <v>134</v>
      </c>
      <c r="O433" s="137">
        <f t="shared" si="12"/>
        <v>1.8711018711018632</v>
      </c>
      <c r="P433" s="137">
        <f t="shared" si="13"/>
        <v>1.8711018711018632</v>
      </c>
      <c r="Q433" s="126">
        <v>5</v>
      </c>
      <c r="R433" t="s">
        <v>523</v>
      </c>
      <c r="S433" t="str">
        <f>IF($W433&lt;&gt;"NAO ACEITO","",COUNTIFS($W$2:$W433,"NAO ACEITO"))</f>
        <v/>
      </c>
      <c r="T433" t="str">
        <f>IF($B433="","",IF(COUNTIF($B$2:$B433,$B433)=1,MAX($T$1:$T432)+1,""))</f>
        <v/>
      </c>
      <c r="U433" t="str">
        <f>IF($D433="","",IF(COUNTIF($D$2:$D433,$D433)=1,MAX($U$1:$U432)+1,""))</f>
        <v/>
      </c>
      <c r="V433">
        <f>IF($D433="","",IF(COUNTIFS($B$2:$B433,$B433,$D$2:$D433,$D433)=1,1,0))</f>
        <v>0</v>
      </c>
      <c r="W433" t="str">
        <f>IF($D433="","",mEQA.PadronizarStatus($L433))</f>
        <v>ACEITO</v>
      </c>
      <c r="X433" t="str">
        <f>IF(OR($D433="",$W433&lt;&gt;"NAO ACEITO"),"",IF(COUNTIFS($D$2:$D433,$D433,$W$2:$W433,"NAO ACEITO")=1,1,0))</f>
        <v/>
      </c>
    </row>
    <row r="434" spans="1:24" x14ac:dyDescent="0.3">
      <c r="A434" t="s">
        <v>402</v>
      </c>
      <c r="B434" t="s">
        <v>514</v>
      </c>
      <c r="C434" s="126">
        <v>2025</v>
      </c>
      <c r="D434" t="s">
        <v>491</v>
      </c>
      <c r="E434" t="s">
        <v>517</v>
      </c>
      <c r="F434" s="137">
        <v>125</v>
      </c>
      <c r="G434" s="138">
        <v>123.6</v>
      </c>
      <c r="H434" s="138">
        <v>2.2999999999999998</v>
      </c>
      <c r="I434" s="139">
        <v>0.6</v>
      </c>
      <c r="J434" s="137">
        <v>119</v>
      </c>
      <c r="K434" s="137">
        <v>128</v>
      </c>
      <c r="L434" t="s">
        <v>499</v>
      </c>
      <c r="M434" s="126">
        <v>114</v>
      </c>
      <c r="N434" t="s">
        <v>134</v>
      </c>
      <c r="O434" s="137">
        <f t="shared" si="12"/>
        <v>1.1326860841423994</v>
      </c>
      <c r="P434" s="137">
        <f t="shared" si="13"/>
        <v>1.1326860841423994</v>
      </c>
      <c r="Q434" s="126">
        <v>5</v>
      </c>
      <c r="R434" t="s">
        <v>523</v>
      </c>
      <c r="S434" t="str">
        <f>IF($W434&lt;&gt;"NAO ACEITO","",COUNTIFS($W$2:$W434,"NAO ACEITO"))</f>
        <v/>
      </c>
      <c r="T434" t="str">
        <f>IF($B434="","",IF(COUNTIF($B$2:$B434,$B434)=1,MAX($T$1:$T433)+1,""))</f>
        <v/>
      </c>
      <c r="U434" t="str">
        <f>IF($D434="","",IF(COUNTIF($D$2:$D434,$D434)=1,MAX($U$1:$U433)+1,""))</f>
        <v/>
      </c>
      <c r="V434">
        <f>IF($D434="","",IF(COUNTIFS($B$2:$B434,$B434,$D$2:$D434,$D434)=1,1,0))</f>
        <v>0</v>
      </c>
      <c r="W434" t="str">
        <f>IF($D434="","",mEQA.PadronizarStatus($L434))</f>
        <v>ACEITO</v>
      </c>
      <c r="X434" t="str">
        <f>IF(OR($D434="",$W434&lt;&gt;"NAO ACEITO"),"",IF(COUNTIFS($D$2:$D434,$D434,$W$2:$W434,"NAO ACEITO")=1,1,0))</f>
        <v/>
      </c>
    </row>
    <row r="435" spans="1:24" x14ac:dyDescent="0.3">
      <c r="A435" t="s">
        <v>402</v>
      </c>
      <c r="B435" t="s">
        <v>514</v>
      </c>
      <c r="C435" s="126">
        <v>2025</v>
      </c>
      <c r="D435" t="s">
        <v>491</v>
      </c>
      <c r="E435" t="s">
        <v>518</v>
      </c>
      <c r="F435" s="137">
        <v>142</v>
      </c>
      <c r="G435" s="138">
        <v>140.19999999999999</v>
      </c>
      <c r="H435" s="138">
        <v>2</v>
      </c>
      <c r="I435" s="139">
        <v>0.9</v>
      </c>
      <c r="J435" s="137">
        <v>136</v>
      </c>
      <c r="K435" s="137">
        <v>145</v>
      </c>
      <c r="L435" t="s">
        <v>499</v>
      </c>
      <c r="M435" s="126">
        <v>113</v>
      </c>
      <c r="N435" t="s">
        <v>134</v>
      </c>
      <c r="O435" s="137">
        <f t="shared" si="12"/>
        <v>1.2838801711840311</v>
      </c>
      <c r="P435" s="137">
        <f t="shared" si="13"/>
        <v>1.2838801711840311</v>
      </c>
      <c r="Q435" s="126">
        <v>5</v>
      </c>
      <c r="R435" t="s">
        <v>523</v>
      </c>
      <c r="S435" t="str">
        <f>IF($W435&lt;&gt;"NAO ACEITO","",COUNTIFS($W$2:$W435,"NAO ACEITO"))</f>
        <v/>
      </c>
      <c r="T435" t="str">
        <f>IF($B435="","",IF(COUNTIF($B$2:$B435,$B435)=1,MAX($T$1:$T434)+1,""))</f>
        <v/>
      </c>
      <c r="U435" t="str">
        <f>IF($D435="","",IF(COUNTIF($D$2:$D435,$D435)=1,MAX($U$1:$U434)+1,""))</f>
        <v/>
      </c>
      <c r="V435">
        <f>IF($D435="","",IF(COUNTIFS($B$2:$B435,$B435,$D$2:$D435,$D435)=1,1,0))</f>
        <v>0</v>
      </c>
      <c r="W435" t="str">
        <f>IF($D435="","",mEQA.PadronizarStatus($L435))</f>
        <v>ACEITO</v>
      </c>
      <c r="X435" t="str">
        <f>IF(OR($D435="",$W435&lt;&gt;"NAO ACEITO"),"",IF(COUNTIFS($D$2:$D435,$D435,$W$2:$W435,"NAO ACEITO")=1,1,0))</f>
        <v/>
      </c>
    </row>
    <row r="436" spans="1:24" x14ac:dyDescent="0.3">
      <c r="A436" t="s">
        <v>402</v>
      </c>
      <c r="B436" t="s">
        <v>514</v>
      </c>
      <c r="C436" s="126">
        <v>2025</v>
      </c>
      <c r="D436" t="s">
        <v>491</v>
      </c>
      <c r="E436" t="s">
        <v>519</v>
      </c>
      <c r="F436" s="137">
        <v>155</v>
      </c>
      <c r="G436" s="138">
        <v>155.19999999999999</v>
      </c>
      <c r="H436" s="138">
        <v>3.1</v>
      </c>
      <c r="I436" s="139">
        <v>-0.1</v>
      </c>
      <c r="J436" s="137">
        <v>151</v>
      </c>
      <c r="K436" s="137">
        <v>160</v>
      </c>
      <c r="L436" t="s">
        <v>499</v>
      </c>
      <c r="M436" s="126">
        <v>113</v>
      </c>
      <c r="N436" t="s">
        <v>134</v>
      </c>
      <c r="O436" s="137">
        <f t="shared" si="12"/>
        <v>-0.12886597938143599</v>
      </c>
      <c r="P436" s="137">
        <f t="shared" si="13"/>
        <v>0.12886597938143599</v>
      </c>
      <c r="Q436" s="126">
        <v>5</v>
      </c>
      <c r="R436" t="s">
        <v>523</v>
      </c>
      <c r="S436" t="str">
        <f>IF($W436&lt;&gt;"NAO ACEITO","",COUNTIFS($W$2:$W436,"NAO ACEITO"))</f>
        <v/>
      </c>
      <c r="T436" t="str">
        <f>IF($B436="","",IF(COUNTIF($B$2:$B436,$B436)=1,MAX($T$1:$T435)+1,""))</f>
        <v/>
      </c>
      <c r="U436" t="str">
        <f>IF($D436="","",IF(COUNTIF($D$2:$D436,$D436)=1,MAX($U$1:$U435)+1,""))</f>
        <v/>
      </c>
      <c r="V436">
        <f>IF($D436="","",IF(COUNTIFS($B$2:$B436,$B436,$D$2:$D436,$D436)=1,1,0))</f>
        <v>0</v>
      </c>
      <c r="W436" t="str">
        <f>IF($D436="","",mEQA.PadronizarStatus($L436))</f>
        <v>ACEITO</v>
      </c>
      <c r="X436" t="str">
        <f>IF(OR($D436="",$W436&lt;&gt;"NAO ACEITO"),"",IF(COUNTIFS($D$2:$D436,$D436,$W$2:$W436,"NAO ACEITO")=1,1,0))</f>
        <v/>
      </c>
    </row>
    <row r="437" spans="1:24" x14ac:dyDescent="0.3">
      <c r="A437" t="s">
        <v>402</v>
      </c>
      <c r="B437" t="s">
        <v>514</v>
      </c>
      <c r="C437" s="126">
        <v>2025</v>
      </c>
      <c r="D437" t="s">
        <v>492</v>
      </c>
      <c r="E437" t="s">
        <v>515</v>
      </c>
      <c r="F437" s="137">
        <v>410</v>
      </c>
      <c r="G437" s="138">
        <v>413.3</v>
      </c>
      <c r="H437" s="138">
        <v>12.4</v>
      </c>
      <c r="I437" s="139">
        <v>-0.3</v>
      </c>
      <c r="J437" s="137">
        <v>330</v>
      </c>
      <c r="K437" s="137">
        <v>496</v>
      </c>
      <c r="L437" t="s">
        <v>499</v>
      </c>
      <c r="M437" s="126">
        <v>130</v>
      </c>
      <c r="N437" t="s">
        <v>505</v>
      </c>
      <c r="O437" s="137">
        <f t="shared" si="12"/>
        <v>-0.7984514880232304</v>
      </c>
      <c r="P437" s="137">
        <f t="shared" si="13"/>
        <v>0.7984514880232304</v>
      </c>
      <c r="Q437" s="126">
        <v>10</v>
      </c>
      <c r="R437" t="s">
        <v>523</v>
      </c>
      <c r="S437" t="str">
        <f>IF($W437&lt;&gt;"NAO ACEITO","",COUNTIFS($W$2:$W437,"NAO ACEITO"))</f>
        <v/>
      </c>
      <c r="T437" t="str">
        <f>IF($B437="","",IF(COUNTIF($B$2:$B437,$B437)=1,MAX($T$1:$T436)+1,""))</f>
        <v/>
      </c>
      <c r="U437" t="str">
        <f>IF($D437="","",IF(COUNTIF($D$2:$D437,$D437)=1,MAX($U$1:$U436)+1,""))</f>
        <v/>
      </c>
      <c r="V437">
        <f>IF($D437="","",IF(COUNTIFS($B$2:$B437,$B437,$D$2:$D437,$D437)=1,1,0))</f>
        <v>1</v>
      </c>
      <c r="W437" t="str">
        <f>IF($D437="","",mEQA.PadronizarStatus($L437))</f>
        <v>ACEITO</v>
      </c>
      <c r="X437" t="str">
        <f>IF(OR($D437="",$W437&lt;&gt;"NAO ACEITO"),"",IF(COUNTIFS($D$2:$D437,$D437,$W$2:$W437,"NAO ACEITO")=1,1,0))</f>
        <v/>
      </c>
    </row>
    <row r="438" spans="1:24" x14ac:dyDescent="0.3">
      <c r="A438" t="s">
        <v>402</v>
      </c>
      <c r="B438" t="s">
        <v>514</v>
      </c>
      <c r="C438" s="126">
        <v>2025</v>
      </c>
      <c r="D438" t="s">
        <v>492</v>
      </c>
      <c r="E438" t="s">
        <v>516</v>
      </c>
      <c r="F438" s="137">
        <v>150</v>
      </c>
      <c r="G438" s="138">
        <v>148.1</v>
      </c>
      <c r="H438" s="138">
        <v>8.9</v>
      </c>
      <c r="I438" s="139">
        <v>0.2</v>
      </c>
      <c r="J438" s="137">
        <v>118</v>
      </c>
      <c r="K438" s="137">
        <v>178</v>
      </c>
      <c r="L438" t="s">
        <v>499</v>
      </c>
      <c r="M438" s="126">
        <v>130</v>
      </c>
      <c r="N438" t="s">
        <v>505</v>
      </c>
      <c r="O438" s="137">
        <f t="shared" si="12"/>
        <v>1.2829169480081064</v>
      </c>
      <c r="P438" s="137">
        <f t="shared" si="13"/>
        <v>1.2829169480081064</v>
      </c>
      <c r="Q438" s="126">
        <v>10</v>
      </c>
      <c r="R438" t="s">
        <v>523</v>
      </c>
      <c r="S438" t="str">
        <f>IF($W438&lt;&gt;"NAO ACEITO","",COUNTIFS($W$2:$W438,"NAO ACEITO"))</f>
        <v/>
      </c>
      <c r="T438" t="str">
        <f>IF($B438="","",IF(COUNTIF($B$2:$B438,$B438)=1,MAX($T$1:$T437)+1,""))</f>
        <v/>
      </c>
      <c r="U438" t="str">
        <f>IF($D438="","",IF(COUNTIF($D$2:$D438,$D438)=1,MAX($U$1:$U437)+1,""))</f>
        <v/>
      </c>
      <c r="V438">
        <f>IF($D438="","",IF(COUNTIFS($B$2:$B438,$B438,$D$2:$D438,$D438)=1,1,0))</f>
        <v>0</v>
      </c>
      <c r="W438" t="str">
        <f>IF($D438="","",mEQA.PadronizarStatus($L438))</f>
        <v>ACEITO</v>
      </c>
      <c r="X438" t="str">
        <f>IF(OR($D438="",$W438&lt;&gt;"NAO ACEITO"),"",IF(COUNTIFS($D$2:$D438,$D438,$W$2:$W438,"NAO ACEITO")=1,1,0))</f>
        <v/>
      </c>
    </row>
    <row r="439" spans="1:24" x14ac:dyDescent="0.3">
      <c r="A439" t="s">
        <v>402</v>
      </c>
      <c r="B439" t="s">
        <v>514</v>
      </c>
      <c r="C439" s="126">
        <v>2025</v>
      </c>
      <c r="D439" t="s">
        <v>492</v>
      </c>
      <c r="E439" t="s">
        <v>517</v>
      </c>
      <c r="F439" s="137">
        <v>189</v>
      </c>
      <c r="G439" s="138">
        <v>189.7</v>
      </c>
      <c r="H439" s="138">
        <v>9.1</v>
      </c>
      <c r="I439" s="139">
        <v>-0.1</v>
      </c>
      <c r="J439" s="137">
        <v>151</v>
      </c>
      <c r="K439" s="137">
        <v>228</v>
      </c>
      <c r="L439" t="s">
        <v>499</v>
      </c>
      <c r="M439" s="126">
        <v>128</v>
      </c>
      <c r="N439" t="s">
        <v>505</v>
      </c>
      <c r="O439" s="137">
        <f t="shared" si="12"/>
        <v>-0.36900369003689443</v>
      </c>
      <c r="P439" s="137">
        <f t="shared" si="13"/>
        <v>0.36900369003689443</v>
      </c>
      <c r="Q439" s="126">
        <v>10</v>
      </c>
      <c r="R439" t="s">
        <v>523</v>
      </c>
      <c r="S439" t="str">
        <f>IF($W439&lt;&gt;"NAO ACEITO","",COUNTIFS($W$2:$W439,"NAO ACEITO"))</f>
        <v/>
      </c>
      <c r="T439" t="str">
        <f>IF($B439="","",IF(COUNTIF($B$2:$B439,$B439)=1,MAX($T$1:$T438)+1,""))</f>
        <v/>
      </c>
      <c r="U439" t="str">
        <f>IF($D439="","",IF(COUNTIF($D$2:$D439,$D439)=1,MAX($U$1:$U438)+1,""))</f>
        <v/>
      </c>
      <c r="V439">
        <f>IF($D439="","",IF(COUNTIFS($B$2:$B439,$B439,$D$2:$D439,$D439)=1,1,0))</f>
        <v>0</v>
      </c>
      <c r="W439" t="str">
        <f>IF($D439="","",mEQA.PadronizarStatus($L439))</f>
        <v>ACEITO</v>
      </c>
      <c r="X439" t="str">
        <f>IF(OR($D439="",$W439&lt;&gt;"NAO ACEITO"),"",IF(COUNTIFS($D$2:$D439,$D439,$W$2:$W439,"NAO ACEITO")=1,1,0))</f>
        <v/>
      </c>
    </row>
    <row r="440" spans="1:24" x14ac:dyDescent="0.3">
      <c r="A440" t="s">
        <v>402</v>
      </c>
      <c r="B440" t="s">
        <v>514</v>
      </c>
      <c r="C440" s="126">
        <v>2025</v>
      </c>
      <c r="D440" t="s">
        <v>492</v>
      </c>
      <c r="E440" t="s">
        <v>518</v>
      </c>
      <c r="F440" s="137">
        <v>180</v>
      </c>
      <c r="G440" s="138">
        <v>179.1</v>
      </c>
      <c r="H440" s="138">
        <v>9.1</v>
      </c>
      <c r="I440" s="139">
        <v>0.1</v>
      </c>
      <c r="J440" s="137">
        <v>143</v>
      </c>
      <c r="K440" s="137">
        <v>215</v>
      </c>
      <c r="L440" t="s">
        <v>499</v>
      </c>
      <c r="M440" s="126">
        <v>128</v>
      </c>
      <c r="N440" t="s">
        <v>505</v>
      </c>
      <c r="O440" s="137">
        <f t="shared" si="12"/>
        <v>0.50251256281407353</v>
      </c>
      <c r="P440" s="137">
        <f t="shared" si="13"/>
        <v>0.50251256281407353</v>
      </c>
      <c r="Q440" s="126">
        <v>10</v>
      </c>
      <c r="R440" t="s">
        <v>523</v>
      </c>
      <c r="S440" t="str">
        <f>IF($W440&lt;&gt;"NAO ACEITO","",COUNTIFS($W$2:$W440,"NAO ACEITO"))</f>
        <v/>
      </c>
      <c r="T440" t="str">
        <f>IF($B440="","",IF(COUNTIF($B$2:$B440,$B440)=1,MAX($T$1:$T439)+1,""))</f>
        <v/>
      </c>
      <c r="U440" t="str">
        <f>IF($D440="","",IF(COUNTIF($D$2:$D440,$D440)=1,MAX($U$1:$U439)+1,""))</f>
        <v/>
      </c>
      <c r="V440">
        <f>IF($D440="","",IF(COUNTIFS($B$2:$B440,$B440,$D$2:$D440,$D440)=1,1,0))</f>
        <v>0</v>
      </c>
      <c r="W440" t="str">
        <f>IF($D440="","",mEQA.PadronizarStatus($L440))</f>
        <v>ACEITO</v>
      </c>
      <c r="X440" t="str">
        <f>IF(OR($D440="",$W440&lt;&gt;"NAO ACEITO"),"",IF(COUNTIFS($D$2:$D440,$D440,$W$2:$W440,"NAO ACEITO")=1,1,0))</f>
        <v/>
      </c>
    </row>
    <row r="441" spans="1:24" x14ac:dyDescent="0.3">
      <c r="A441" t="s">
        <v>402</v>
      </c>
      <c r="B441" t="s">
        <v>514</v>
      </c>
      <c r="C441" s="126">
        <v>2025</v>
      </c>
      <c r="D441" t="s">
        <v>492</v>
      </c>
      <c r="E441" t="s">
        <v>519</v>
      </c>
      <c r="F441" s="137">
        <v>319</v>
      </c>
      <c r="G441" s="138">
        <v>323</v>
      </c>
      <c r="H441" s="138">
        <v>10.9</v>
      </c>
      <c r="I441" s="139">
        <v>-0.4</v>
      </c>
      <c r="J441" s="137">
        <v>258</v>
      </c>
      <c r="K441" s="137">
        <v>388</v>
      </c>
      <c r="L441" t="s">
        <v>499</v>
      </c>
      <c r="M441" s="126">
        <v>132</v>
      </c>
      <c r="N441" t="s">
        <v>505</v>
      </c>
      <c r="O441" s="137">
        <f t="shared" si="12"/>
        <v>-1.2383900928792571</v>
      </c>
      <c r="P441" s="137">
        <f t="shared" si="13"/>
        <v>1.2383900928792571</v>
      </c>
      <c r="Q441" s="126">
        <v>10</v>
      </c>
      <c r="R441" t="s">
        <v>523</v>
      </c>
      <c r="S441" t="str">
        <f>IF($W441&lt;&gt;"NAO ACEITO","",COUNTIFS($W$2:$W441,"NAO ACEITO"))</f>
        <v/>
      </c>
      <c r="T441" t="str">
        <f>IF($B441="","",IF(COUNTIF($B$2:$B441,$B441)=1,MAX($T$1:$T440)+1,""))</f>
        <v/>
      </c>
      <c r="U441" t="str">
        <f>IF($D441="","",IF(COUNTIF($D$2:$D441,$D441)=1,MAX($U$1:$U440)+1,""))</f>
        <v/>
      </c>
      <c r="V441">
        <f>IF($D441="","",IF(COUNTIFS($B$2:$B441,$B441,$D$2:$D441,$D441)=1,1,0))</f>
        <v>0</v>
      </c>
      <c r="W441" t="str">
        <f>IF($D441="","",mEQA.PadronizarStatus($L441))</f>
        <v>ACEITO</v>
      </c>
      <c r="X441" t="str">
        <f>IF(OR($D441="",$W441&lt;&gt;"NAO ACEITO"),"",IF(COUNTIFS($D$2:$D441,$D441,$W$2:$W441,"NAO ACEITO")=1,1,0))</f>
        <v/>
      </c>
    </row>
    <row r="442" spans="1:24" x14ac:dyDescent="0.3">
      <c r="A442" t="s">
        <v>402</v>
      </c>
      <c r="B442" t="s">
        <v>514</v>
      </c>
      <c r="C442" s="126">
        <v>2025</v>
      </c>
      <c r="D442" t="s">
        <v>494</v>
      </c>
      <c r="E442" t="s">
        <v>515</v>
      </c>
      <c r="F442" s="137">
        <v>326</v>
      </c>
      <c r="G442" s="138">
        <v>324.72899999999998</v>
      </c>
      <c r="H442" s="138">
        <v>4.7110000000000003</v>
      </c>
      <c r="I442" s="139">
        <v>0.3</v>
      </c>
      <c r="J442" s="137">
        <v>276.01</v>
      </c>
      <c r="K442" s="137">
        <v>373.44</v>
      </c>
      <c r="L442" t="s">
        <v>499</v>
      </c>
      <c r="M442" s="126">
        <v>194</v>
      </c>
      <c r="N442" t="s">
        <v>112</v>
      </c>
      <c r="O442" s="137">
        <f t="shared" si="12"/>
        <v>0.39140329320757156</v>
      </c>
      <c r="P442" s="137">
        <f t="shared" si="13"/>
        <v>0.39140329320757156</v>
      </c>
      <c r="Q442" s="126">
        <v>5</v>
      </c>
      <c r="R442" t="s">
        <v>523</v>
      </c>
      <c r="S442" t="str">
        <f>IF($W442&lt;&gt;"NAO ACEITO","",COUNTIFS($W$2:$W442,"NAO ACEITO"))</f>
        <v/>
      </c>
      <c r="T442" t="str">
        <f>IF($B442="","",IF(COUNTIF($B$2:$B442,$B442)=1,MAX($T$1:$T441)+1,""))</f>
        <v/>
      </c>
      <c r="U442" t="str">
        <f>IF($D442="","",IF(COUNTIF($D$2:$D442,$D442)=1,MAX($U$1:$U441)+1,""))</f>
        <v/>
      </c>
      <c r="V442">
        <f>IF($D442="","",IF(COUNTIFS($B$2:$B442,$B442,$D$2:$D442,$D442)=1,1,0))</f>
        <v>1</v>
      </c>
      <c r="W442" t="str">
        <f>IF($D442="","",mEQA.PadronizarStatus($L442))</f>
        <v>ACEITO</v>
      </c>
      <c r="X442" t="str">
        <f>IF(OR($D442="",$W442&lt;&gt;"NAO ACEITO"),"",IF(COUNTIFS($D$2:$D442,$D442,$W$2:$W442,"NAO ACEITO")=1,1,0))</f>
        <v/>
      </c>
    </row>
    <row r="443" spans="1:24" x14ac:dyDescent="0.3">
      <c r="A443" t="s">
        <v>402</v>
      </c>
      <c r="B443" t="s">
        <v>514</v>
      </c>
      <c r="C443" s="126">
        <v>2025</v>
      </c>
      <c r="D443" t="s">
        <v>494</v>
      </c>
      <c r="E443" t="s">
        <v>516</v>
      </c>
      <c r="F443" s="137">
        <v>137</v>
      </c>
      <c r="G443" s="138">
        <v>140.53200000000001</v>
      </c>
      <c r="H443" s="138">
        <v>2.4910000000000001</v>
      </c>
      <c r="I443" s="139">
        <v>-1.4</v>
      </c>
      <c r="J443" s="137">
        <v>119.45</v>
      </c>
      <c r="K443" s="137">
        <v>161.62</v>
      </c>
      <c r="L443" t="s">
        <v>499</v>
      </c>
      <c r="M443" s="126">
        <v>191</v>
      </c>
      <c r="N443" t="s">
        <v>112</v>
      </c>
      <c r="O443" s="137">
        <f t="shared" si="12"/>
        <v>-2.5133065778612775</v>
      </c>
      <c r="P443" s="137">
        <f t="shared" si="13"/>
        <v>2.5133065778612775</v>
      </c>
      <c r="Q443" s="126">
        <v>5</v>
      </c>
      <c r="R443" t="s">
        <v>523</v>
      </c>
      <c r="S443" t="str">
        <f>IF($W443&lt;&gt;"NAO ACEITO","",COUNTIFS($W$2:$W443,"NAO ACEITO"))</f>
        <v/>
      </c>
      <c r="T443" t="str">
        <f>IF($B443="","",IF(COUNTIF($B$2:$B443,$B443)=1,MAX($T$1:$T442)+1,""))</f>
        <v/>
      </c>
      <c r="U443" t="str">
        <f>IF($D443="","",IF(COUNTIF($D$2:$D443,$D443)=1,MAX($U$1:$U442)+1,""))</f>
        <v/>
      </c>
      <c r="V443">
        <f>IF($D443="","",IF(COUNTIFS($B$2:$B443,$B443,$D$2:$D443,$D443)=1,1,0))</f>
        <v>0</v>
      </c>
      <c r="W443" t="str">
        <f>IF($D443="","",mEQA.PadronizarStatus($L443))</f>
        <v>ACEITO</v>
      </c>
      <c r="X443" t="str">
        <f>IF(OR($D443="",$W443&lt;&gt;"NAO ACEITO"),"",IF(COUNTIFS($D$2:$D443,$D443,$W$2:$W443,"NAO ACEITO")=1,1,0))</f>
        <v/>
      </c>
    </row>
    <row r="444" spans="1:24" x14ac:dyDescent="0.3">
      <c r="A444" t="s">
        <v>402</v>
      </c>
      <c r="B444" t="s">
        <v>514</v>
      </c>
      <c r="C444" s="126">
        <v>2025</v>
      </c>
      <c r="D444" t="s">
        <v>494</v>
      </c>
      <c r="E444" t="s">
        <v>517</v>
      </c>
      <c r="F444" s="137">
        <v>113</v>
      </c>
      <c r="G444" s="138">
        <v>116.051</v>
      </c>
      <c r="H444" s="138">
        <v>2.8580000000000001</v>
      </c>
      <c r="I444" s="139">
        <v>-1.1000000000000001</v>
      </c>
      <c r="J444" s="137">
        <v>98.64</v>
      </c>
      <c r="K444" s="137">
        <v>133.46</v>
      </c>
      <c r="L444" t="s">
        <v>499</v>
      </c>
      <c r="M444" s="126">
        <v>190</v>
      </c>
      <c r="N444" t="s">
        <v>112</v>
      </c>
      <c r="O444" s="137">
        <f t="shared" si="12"/>
        <v>-2.6290165530671876</v>
      </c>
      <c r="P444" s="137">
        <f t="shared" si="13"/>
        <v>2.6290165530671876</v>
      </c>
      <c r="Q444" s="126">
        <v>5</v>
      </c>
      <c r="R444" t="s">
        <v>523</v>
      </c>
      <c r="S444" t="str">
        <f>IF($W444&lt;&gt;"NAO ACEITO","",COUNTIFS($W$2:$W444,"NAO ACEITO"))</f>
        <v/>
      </c>
      <c r="T444" t="str">
        <f>IF($B444="","",IF(COUNTIF($B$2:$B444,$B444)=1,MAX($T$1:$T443)+1,""))</f>
        <v/>
      </c>
      <c r="U444" t="str">
        <f>IF($D444="","",IF(COUNTIF($D$2:$D444,$D444)=1,MAX($U$1:$U443)+1,""))</f>
        <v/>
      </c>
      <c r="V444">
        <f>IF($D444="","",IF(COUNTIFS($B$2:$B444,$B444,$D$2:$D444,$D444)=1,1,0))</f>
        <v>0</v>
      </c>
      <c r="W444" t="str">
        <f>IF($D444="","",mEQA.PadronizarStatus($L444))</f>
        <v>ACEITO</v>
      </c>
      <c r="X444" t="str">
        <f>IF(OR($D444="",$W444&lt;&gt;"NAO ACEITO"),"",IF(COUNTIFS($D$2:$D444,$D444,$W$2:$W444,"NAO ACEITO")=1,1,0))</f>
        <v/>
      </c>
    </row>
    <row r="445" spans="1:24" x14ac:dyDescent="0.3">
      <c r="A445" t="s">
        <v>402</v>
      </c>
      <c r="B445" t="s">
        <v>514</v>
      </c>
      <c r="C445" s="126">
        <v>2025</v>
      </c>
      <c r="D445" t="s">
        <v>494</v>
      </c>
      <c r="E445" t="s">
        <v>518</v>
      </c>
      <c r="F445" s="137">
        <v>151</v>
      </c>
      <c r="G445" s="138">
        <v>149.613</v>
      </c>
      <c r="H445" s="138">
        <v>3.177</v>
      </c>
      <c r="I445" s="139">
        <v>0.4</v>
      </c>
      <c r="J445" s="137">
        <v>127.17</v>
      </c>
      <c r="K445" s="137">
        <v>172.06</v>
      </c>
      <c r="L445" t="s">
        <v>499</v>
      </c>
      <c r="M445" s="126">
        <v>192</v>
      </c>
      <c r="N445" t="s">
        <v>112</v>
      </c>
      <c r="O445" s="137">
        <f t="shared" si="12"/>
        <v>0.92705847753871673</v>
      </c>
      <c r="P445" s="137">
        <f t="shared" si="13"/>
        <v>0.92705847753871673</v>
      </c>
      <c r="Q445" s="126">
        <v>5</v>
      </c>
      <c r="R445" t="s">
        <v>523</v>
      </c>
      <c r="S445" t="str">
        <f>IF($W445&lt;&gt;"NAO ACEITO","",COUNTIFS($W$2:$W445,"NAO ACEITO"))</f>
        <v/>
      </c>
      <c r="T445" t="str">
        <f>IF($B445="","",IF(COUNTIF($B$2:$B445,$B445)=1,MAX($T$1:$T444)+1,""))</f>
        <v/>
      </c>
      <c r="U445" t="str">
        <f>IF($D445="","",IF(COUNTIF($D$2:$D445,$D445)=1,MAX($U$1:$U444)+1,""))</f>
        <v/>
      </c>
      <c r="V445">
        <f>IF($D445="","",IF(COUNTIFS($B$2:$B445,$B445,$D$2:$D445,$D445)=1,1,0))</f>
        <v>0</v>
      </c>
      <c r="W445" t="str">
        <f>IF($D445="","",mEQA.PadronizarStatus($L445))</f>
        <v>ACEITO</v>
      </c>
      <c r="X445" t="str">
        <f>IF(OR($D445="",$W445&lt;&gt;"NAO ACEITO"),"",IF(COUNTIFS($D$2:$D445,$D445,$W$2:$W445,"NAO ACEITO")=1,1,0))</f>
        <v/>
      </c>
    </row>
    <row r="446" spans="1:24" x14ac:dyDescent="0.3">
      <c r="A446" t="s">
        <v>402</v>
      </c>
      <c r="B446" t="s">
        <v>514</v>
      </c>
      <c r="C446" s="126">
        <v>2025</v>
      </c>
      <c r="D446" t="s">
        <v>494</v>
      </c>
      <c r="E446" t="s">
        <v>519</v>
      </c>
      <c r="F446" s="137">
        <v>265</v>
      </c>
      <c r="G446" s="138">
        <v>263.68900000000002</v>
      </c>
      <c r="H446" s="138">
        <v>4.4260000000000002</v>
      </c>
      <c r="I446" s="139">
        <v>0.3</v>
      </c>
      <c r="J446" s="137">
        <v>224.13</v>
      </c>
      <c r="K446" s="137">
        <v>303.25</v>
      </c>
      <c r="L446" t="s">
        <v>499</v>
      </c>
      <c r="M446" s="126">
        <v>191</v>
      </c>
      <c r="N446" t="s">
        <v>112</v>
      </c>
      <c r="O446" s="137">
        <f t="shared" si="12"/>
        <v>0.49717659818952575</v>
      </c>
      <c r="P446" s="137">
        <f t="shared" si="13"/>
        <v>0.49717659818952575</v>
      </c>
      <c r="Q446" s="126">
        <v>5</v>
      </c>
      <c r="R446" t="s">
        <v>523</v>
      </c>
      <c r="S446" t="str">
        <f>IF($W446&lt;&gt;"NAO ACEITO","",COUNTIFS($W$2:$W446,"NAO ACEITO"))</f>
        <v/>
      </c>
      <c r="T446" t="str">
        <f>IF($B446="","",IF(COUNTIF($B$2:$B446,$B446)=1,MAX($T$1:$T445)+1,""))</f>
        <v/>
      </c>
      <c r="U446" t="str">
        <f>IF($D446="","",IF(COUNTIF($D$2:$D446,$D446)=1,MAX($U$1:$U445)+1,""))</f>
        <v/>
      </c>
      <c r="V446">
        <f>IF($D446="","",IF(COUNTIFS($B$2:$B446,$B446,$D$2:$D446,$D446)=1,1,0))</f>
        <v>0</v>
      </c>
      <c r="W446" t="str">
        <f>IF($D446="","",mEQA.PadronizarStatus($L446))</f>
        <v>ACEITO</v>
      </c>
      <c r="X446" t="str">
        <f>IF(OR($D446="",$W446&lt;&gt;"NAO ACEITO"),"",IF(COUNTIFS($D$2:$D446,$D446,$W$2:$W446,"NAO ACEITO")=1,1,0))</f>
        <v/>
      </c>
    </row>
    <row r="447" spans="1:24" x14ac:dyDescent="0.3">
      <c r="A447" t="s">
        <v>402</v>
      </c>
      <c r="B447" t="s">
        <v>514</v>
      </c>
      <c r="C447" s="126">
        <v>2025</v>
      </c>
      <c r="D447" t="s">
        <v>495</v>
      </c>
      <c r="E447" t="s">
        <v>515</v>
      </c>
      <c r="F447" s="137">
        <v>20.6</v>
      </c>
      <c r="G447" s="138">
        <v>20.47</v>
      </c>
      <c r="H447" s="138">
        <v>0.93</v>
      </c>
      <c r="I447" s="139">
        <v>0.1</v>
      </c>
      <c r="J447" s="137">
        <v>18.399999999999999</v>
      </c>
      <c r="K447" s="137">
        <v>22.5</v>
      </c>
      <c r="L447" t="s">
        <v>499</v>
      </c>
      <c r="M447" s="126">
        <v>401</v>
      </c>
      <c r="N447" t="s">
        <v>112</v>
      </c>
      <c r="O447" s="137">
        <f t="shared" si="12"/>
        <v>0.63507572056669548</v>
      </c>
      <c r="P447" s="137">
        <f t="shared" si="13"/>
        <v>0.63507572056669548</v>
      </c>
      <c r="Q447" s="126">
        <v>6</v>
      </c>
      <c r="R447" t="s">
        <v>523</v>
      </c>
      <c r="S447" t="str">
        <f>IF($W447&lt;&gt;"NAO ACEITO","",COUNTIFS($W$2:$W447,"NAO ACEITO"))</f>
        <v/>
      </c>
      <c r="T447" t="str">
        <f>IF($B447="","",IF(COUNTIF($B$2:$B447,$B447)=1,MAX($T$1:$T446)+1,""))</f>
        <v/>
      </c>
      <c r="U447" t="str">
        <f>IF($D447="","",IF(COUNTIF($D$2:$D447,$D447)=1,MAX($U$1:$U446)+1,""))</f>
        <v/>
      </c>
      <c r="V447">
        <f>IF($D447="","",IF(COUNTIFS($B$2:$B447,$B447,$D$2:$D447,$D447)=1,1,0))</f>
        <v>1</v>
      </c>
      <c r="W447" t="str">
        <f>IF($D447="","",mEQA.PadronizarStatus($L447))</f>
        <v>ACEITO</v>
      </c>
      <c r="X447" t="str">
        <f>IF(OR($D447="",$W447&lt;&gt;"NAO ACEITO"),"",IF(COUNTIFS($D$2:$D447,$D447,$W$2:$W447,"NAO ACEITO")=1,1,0))</f>
        <v/>
      </c>
    </row>
    <row r="448" spans="1:24" x14ac:dyDescent="0.3">
      <c r="A448" t="s">
        <v>402</v>
      </c>
      <c r="B448" t="s">
        <v>514</v>
      </c>
      <c r="C448" s="126">
        <v>2025</v>
      </c>
      <c r="D448" t="s">
        <v>495</v>
      </c>
      <c r="E448" t="s">
        <v>516</v>
      </c>
      <c r="F448" s="137">
        <v>9.3000000000000007</v>
      </c>
      <c r="G448" s="138">
        <v>10.039999999999999</v>
      </c>
      <c r="H448" s="138">
        <v>0.79</v>
      </c>
      <c r="I448" s="139">
        <v>-0.9</v>
      </c>
      <c r="J448" s="137">
        <v>8</v>
      </c>
      <c r="K448" s="137">
        <v>12.1</v>
      </c>
      <c r="L448" t="s">
        <v>499</v>
      </c>
      <c r="M448" s="126">
        <v>402</v>
      </c>
      <c r="N448" t="s">
        <v>112</v>
      </c>
      <c r="O448" s="137">
        <f t="shared" si="12"/>
        <v>-7.370517928286838</v>
      </c>
      <c r="P448" s="137">
        <f t="shared" si="13"/>
        <v>7.370517928286838</v>
      </c>
      <c r="Q448" s="126">
        <v>6</v>
      </c>
      <c r="R448" t="s">
        <v>523</v>
      </c>
      <c r="S448" t="str">
        <f>IF($W448&lt;&gt;"NAO ACEITO","",COUNTIFS($W$2:$W448,"NAO ACEITO"))</f>
        <v/>
      </c>
      <c r="T448" t="str">
        <f>IF($B448="","",IF(COUNTIF($B$2:$B448,$B448)=1,MAX($T$1:$T447)+1,""))</f>
        <v/>
      </c>
      <c r="U448" t="str">
        <f>IF($D448="","",IF(COUNTIF($D$2:$D448,$D448)=1,MAX($U$1:$U447)+1,""))</f>
        <v/>
      </c>
      <c r="V448">
        <f>IF($D448="","",IF(COUNTIFS($B$2:$B448,$B448,$D$2:$D448,$D448)=1,1,0))</f>
        <v>0</v>
      </c>
      <c r="W448" t="str">
        <f>IF($D448="","",mEQA.PadronizarStatus($L448))</f>
        <v>ACEITO</v>
      </c>
      <c r="X448" t="str">
        <f>IF(OR($D448="",$W448&lt;&gt;"NAO ACEITO"),"",IF(COUNTIFS($D$2:$D448,$D448,$W$2:$W448,"NAO ACEITO")=1,1,0))</f>
        <v/>
      </c>
    </row>
    <row r="449" spans="1:24" x14ac:dyDescent="0.3">
      <c r="A449" t="s">
        <v>402</v>
      </c>
      <c r="B449" t="s">
        <v>514</v>
      </c>
      <c r="C449" s="126">
        <v>2025</v>
      </c>
      <c r="D449" t="s">
        <v>495</v>
      </c>
      <c r="E449" t="s">
        <v>517</v>
      </c>
      <c r="F449" s="137">
        <v>46.3</v>
      </c>
      <c r="G449" s="138">
        <v>44.76</v>
      </c>
      <c r="H449" s="138">
        <v>1.38</v>
      </c>
      <c r="I449" s="139">
        <v>1.1000000000000001</v>
      </c>
      <c r="J449" s="137">
        <v>40.700000000000003</v>
      </c>
      <c r="K449" s="137">
        <v>48.8</v>
      </c>
      <c r="L449" t="s">
        <v>499</v>
      </c>
      <c r="M449" s="126">
        <v>404</v>
      </c>
      <c r="N449" t="s">
        <v>112</v>
      </c>
      <c r="O449" s="137">
        <f t="shared" si="12"/>
        <v>3.4405719392314551</v>
      </c>
      <c r="P449" s="137">
        <f t="shared" si="13"/>
        <v>3.4405719392314551</v>
      </c>
      <c r="Q449" s="126">
        <v>6</v>
      </c>
      <c r="R449" t="s">
        <v>523</v>
      </c>
      <c r="S449" t="str">
        <f>IF($W449&lt;&gt;"NAO ACEITO","",COUNTIFS($W$2:$W449,"NAO ACEITO"))</f>
        <v/>
      </c>
      <c r="T449" t="str">
        <f>IF($B449="","",IF(COUNTIF($B$2:$B449,$B449)=1,MAX($T$1:$T448)+1,""))</f>
        <v/>
      </c>
      <c r="U449" t="str">
        <f>IF($D449="","",IF(COUNTIF($D$2:$D449,$D449)=1,MAX($U$1:$U448)+1,""))</f>
        <v/>
      </c>
      <c r="V449">
        <f>IF($D449="","",IF(COUNTIFS($B$2:$B449,$B449,$D$2:$D449,$D449)=1,1,0))</f>
        <v>0</v>
      </c>
      <c r="W449" t="str">
        <f>IF($D449="","",mEQA.PadronizarStatus($L449))</f>
        <v>ACEITO</v>
      </c>
      <c r="X449" t="str">
        <f>IF(OR($D449="",$W449&lt;&gt;"NAO ACEITO"),"",IF(COUNTIFS($D$2:$D449,$D449,$W$2:$W449,"NAO ACEITO")=1,1,0))</f>
        <v/>
      </c>
    </row>
    <row r="450" spans="1:24" x14ac:dyDescent="0.3">
      <c r="A450" t="s">
        <v>402</v>
      </c>
      <c r="B450" t="s">
        <v>514</v>
      </c>
      <c r="C450" s="126">
        <v>2025</v>
      </c>
      <c r="D450" t="s">
        <v>495</v>
      </c>
      <c r="E450" t="s">
        <v>518</v>
      </c>
      <c r="F450" s="137">
        <v>19.600000000000001</v>
      </c>
      <c r="G450" s="138">
        <v>19.57</v>
      </c>
      <c r="H450" s="138">
        <v>0.93</v>
      </c>
      <c r="I450" s="139">
        <v>0</v>
      </c>
      <c r="J450" s="137">
        <v>17.5</v>
      </c>
      <c r="K450" s="137">
        <v>21.6</v>
      </c>
      <c r="L450" t="s">
        <v>499</v>
      </c>
      <c r="M450" s="126">
        <v>402</v>
      </c>
      <c r="N450" t="s">
        <v>112</v>
      </c>
      <c r="O450" s="137">
        <f t="shared" ref="O450:O513" si="14">IFERROR((F450-G450)/G450*100,"")</f>
        <v>0.15329586101175849</v>
      </c>
      <c r="P450" s="137">
        <f t="shared" ref="P450:P513" si="15">IF(O450="","",ABS(O450))</f>
        <v>0.15329586101175849</v>
      </c>
      <c r="Q450" s="126">
        <v>6</v>
      </c>
      <c r="R450" t="s">
        <v>523</v>
      </c>
      <c r="S450" t="str">
        <f>IF($W450&lt;&gt;"NAO ACEITO","",COUNTIFS($W$2:$W450,"NAO ACEITO"))</f>
        <v/>
      </c>
      <c r="T450" t="str">
        <f>IF($B450="","",IF(COUNTIF($B$2:$B450,$B450)=1,MAX($T$1:$T449)+1,""))</f>
        <v/>
      </c>
      <c r="U450" t="str">
        <f>IF($D450="","",IF(COUNTIF($D$2:$D450,$D450)=1,MAX($U$1:$U449)+1,""))</f>
        <v/>
      </c>
      <c r="V450">
        <f>IF($D450="","",IF(COUNTIFS($B$2:$B450,$B450,$D$2:$D450,$D450)=1,1,0))</f>
        <v>0</v>
      </c>
      <c r="W450" t="str">
        <f>IF($D450="","",mEQA.PadronizarStatus($L450))</f>
        <v>ACEITO</v>
      </c>
      <c r="X450" t="str">
        <f>IF(OR($D450="",$W450&lt;&gt;"NAO ACEITO"),"",IF(COUNTIFS($D$2:$D450,$D450,$W$2:$W450,"NAO ACEITO")=1,1,0))</f>
        <v/>
      </c>
    </row>
    <row r="451" spans="1:24" x14ac:dyDescent="0.3">
      <c r="A451" t="s">
        <v>402</v>
      </c>
      <c r="B451" t="s">
        <v>514</v>
      </c>
      <c r="C451" s="126">
        <v>2025</v>
      </c>
      <c r="D451" t="s">
        <v>495</v>
      </c>
      <c r="E451" t="s">
        <v>519</v>
      </c>
      <c r="F451" s="137">
        <v>16.8</v>
      </c>
      <c r="G451" s="138">
        <v>17.18</v>
      </c>
      <c r="H451" s="138">
        <v>0.92</v>
      </c>
      <c r="I451" s="139">
        <v>-0.4</v>
      </c>
      <c r="J451" s="137">
        <v>15.1</v>
      </c>
      <c r="K451" s="137">
        <v>19.2</v>
      </c>
      <c r="L451" t="s">
        <v>499</v>
      </c>
      <c r="M451" s="126">
        <v>403</v>
      </c>
      <c r="N451" t="s">
        <v>112</v>
      </c>
      <c r="O451" s="137">
        <f t="shared" si="14"/>
        <v>-2.2118742724097729</v>
      </c>
      <c r="P451" s="137">
        <f t="shared" si="15"/>
        <v>2.2118742724097729</v>
      </c>
      <c r="Q451" s="126">
        <v>6</v>
      </c>
      <c r="R451" t="s">
        <v>523</v>
      </c>
      <c r="S451" t="str">
        <f>IF($W451&lt;&gt;"NAO ACEITO","",COUNTIFS($W$2:$W451,"NAO ACEITO"))</f>
        <v/>
      </c>
      <c r="T451" t="str">
        <f>IF($B451="","",IF(COUNTIF($B$2:$B451,$B451)=1,MAX($T$1:$T450)+1,""))</f>
        <v/>
      </c>
      <c r="U451" t="str">
        <f>IF($D451="","",IF(COUNTIF($D$2:$D451,$D451)=1,MAX($U$1:$U450)+1,""))</f>
        <v/>
      </c>
      <c r="V451">
        <f>IF($D451="","",IF(COUNTIFS($B$2:$B451,$B451,$D$2:$D451,$D451)=1,1,0))</f>
        <v>0</v>
      </c>
      <c r="W451" t="str">
        <f>IF($D451="","",mEQA.PadronizarStatus($L451))</f>
        <v>ACEITO</v>
      </c>
      <c r="X451" t="str">
        <f>IF(OR($D451="",$W451&lt;&gt;"NAO ACEITO"),"",IF(COUNTIFS($D$2:$D451,$D451,$W$2:$W451,"NAO ACEITO")=1,1,0))</f>
        <v/>
      </c>
    </row>
    <row r="452" spans="1:24" x14ac:dyDescent="0.3">
      <c r="A452" t="s">
        <v>402</v>
      </c>
      <c r="B452" t="s">
        <v>514</v>
      </c>
      <c r="C452" s="126">
        <v>2025</v>
      </c>
      <c r="D452" t="s">
        <v>496</v>
      </c>
      <c r="E452" t="s">
        <v>515</v>
      </c>
      <c r="F452" s="137">
        <v>1.8</v>
      </c>
      <c r="G452" s="138">
        <v>1.91</v>
      </c>
      <c r="H452" s="138">
        <v>0.12</v>
      </c>
      <c r="I452" s="139">
        <v>-0.9</v>
      </c>
      <c r="J452" s="137">
        <v>1.7</v>
      </c>
      <c r="K452" s="137">
        <v>2.1</v>
      </c>
      <c r="L452" t="s">
        <v>499</v>
      </c>
      <c r="M452" s="126">
        <v>311</v>
      </c>
      <c r="N452" t="s">
        <v>112</v>
      </c>
      <c r="O452" s="137">
        <f t="shared" si="14"/>
        <v>-5.7591623036649153</v>
      </c>
      <c r="P452" s="137">
        <f t="shared" si="15"/>
        <v>5.7591623036649153</v>
      </c>
      <c r="Q452" s="126">
        <v>6</v>
      </c>
      <c r="R452" t="s">
        <v>523</v>
      </c>
      <c r="S452" t="str">
        <f>IF($W452&lt;&gt;"NAO ACEITO","",COUNTIFS($W$2:$W452,"NAO ACEITO"))</f>
        <v/>
      </c>
      <c r="T452" t="str">
        <f>IF($B452="","",IF(COUNTIF($B$2:$B452,$B452)=1,MAX($T$1:$T451)+1,""))</f>
        <v/>
      </c>
      <c r="U452" t="str">
        <f>IF($D452="","",IF(COUNTIF($D$2:$D452,$D452)=1,MAX($U$1:$U451)+1,""))</f>
        <v/>
      </c>
      <c r="V452">
        <f>IF($D452="","",IF(COUNTIFS($B$2:$B452,$B452,$D$2:$D452,$D452)=1,1,0))</f>
        <v>1</v>
      </c>
      <c r="W452" t="str">
        <f>IF($D452="","",mEQA.PadronizarStatus($L452))</f>
        <v>ACEITO</v>
      </c>
      <c r="X452" t="str">
        <f>IF(OR($D452="",$W452&lt;&gt;"NAO ACEITO"),"",IF(COUNTIFS($D$2:$D452,$D452,$W$2:$W452,"NAO ACEITO")=1,1,0))</f>
        <v/>
      </c>
    </row>
    <row r="453" spans="1:24" x14ac:dyDescent="0.3">
      <c r="A453" t="s">
        <v>402</v>
      </c>
      <c r="B453" t="s">
        <v>514</v>
      </c>
      <c r="C453" s="126">
        <v>2025</v>
      </c>
      <c r="D453" t="s">
        <v>496</v>
      </c>
      <c r="E453" t="s">
        <v>516</v>
      </c>
      <c r="F453" s="137">
        <v>4.7</v>
      </c>
      <c r="G453" s="138">
        <v>4.74</v>
      </c>
      <c r="H453" s="138">
        <v>0.12</v>
      </c>
      <c r="I453" s="139">
        <v>-0.3</v>
      </c>
      <c r="J453" s="137">
        <v>4.2</v>
      </c>
      <c r="K453" s="137">
        <v>5.3</v>
      </c>
      <c r="L453" t="s">
        <v>499</v>
      </c>
      <c r="M453" s="126">
        <v>314</v>
      </c>
      <c r="N453" t="s">
        <v>112</v>
      </c>
      <c r="O453" s="137">
        <f t="shared" si="14"/>
        <v>-0.84388185654008518</v>
      </c>
      <c r="P453" s="137">
        <f t="shared" si="15"/>
        <v>0.84388185654008518</v>
      </c>
      <c r="Q453" s="126">
        <v>6</v>
      </c>
      <c r="R453" t="s">
        <v>523</v>
      </c>
      <c r="S453" t="str">
        <f>IF($W453&lt;&gt;"NAO ACEITO","",COUNTIFS($W$2:$W453,"NAO ACEITO"))</f>
        <v/>
      </c>
      <c r="T453" t="str">
        <f>IF($B453="","",IF(COUNTIF($B$2:$B453,$B453)=1,MAX($T$1:$T452)+1,""))</f>
        <v/>
      </c>
      <c r="U453" t="str">
        <f>IF($D453="","",IF(COUNTIF($D$2:$D453,$D453)=1,MAX($U$1:$U452)+1,""))</f>
        <v/>
      </c>
      <c r="V453">
        <f>IF($D453="","",IF(COUNTIFS($B$2:$B453,$B453,$D$2:$D453,$D453)=1,1,0))</f>
        <v>0</v>
      </c>
      <c r="W453" t="str">
        <f>IF($D453="","",mEQA.PadronizarStatus($L453))</f>
        <v>ACEITO</v>
      </c>
      <c r="X453" t="str">
        <f>IF(OR($D453="",$W453&lt;&gt;"NAO ACEITO"),"",IF(COUNTIFS($D$2:$D453,$D453,$W$2:$W453,"NAO ACEITO")=1,1,0))</f>
        <v/>
      </c>
    </row>
    <row r="454" spans="1:24" x14ac:dyDescent="0.3">
      <c r="A454" t="s">
        <v>402</v>
      </c>
      <c r="B454" t="s">
        <v>514</v>
      </c>
      <c r="C454" s="126">
        <v>2025</v>
      </c>
      <c r="D454" t="s">
        <v>496</v>
      </c>
      <c r="E454" t="s">
        <v>517</v>
      </c>
      <c r="F454" s="137">
        <v>10.5</v>
      </c>
      <c r="G454" s="138">
        <v>10.85</v>
      </c>
      <c r="H454" s="138">
        <v>0.28999999999999998</v>
      </c>
      <c r="I454" s="139">
        <v>-1.2</v>
      </c>
      <c r="J454" s="137">
        <v>9.6999999999999993</v>
      </c>
      <c r="K454" s="137">
        <v>12</v>
      </c>
      <c r="L454" t="s">
        <v>499</v>
      </c>
      <c r="M454" s="126">
        <v>304</v>
      </c>
      <c r="N454" t="s">
        <v>112</v>
      </c>
      <c r="O454" s="137">
        <f t="shared" si="14"/>
        <v>-3.2258064516129004</v>
      </c>
      <c r="P454" s="137">
        <f t="shared" si="15"/>
        <v>3.2258064516129004</v>
      </c>
      <c r="Q454" s="126">
        <v>6</v>
      </c>
      <c r="R454" t="s">
        <v>523</v>
      </c>
      <c r="S454" t="str">
        <f>IF($W454&lt;&gt;"NAO ACEITO","",COUNTIFS($W$2:$W454,"NAO ACEITO"))</f>
        <v/>
      </c>
      <c r="T454" t="str">
        <f>IF($B454="","",IF(COUNTIF($B$2:$B454,$B454)=1,MAX($T$1:$T453)+1,""))</f>
        <v/>
      </c>
      <c r="U454" t="str">
        <f>IF($D454="","",IF(COUNTIF($D$2:$D454,$D454)=1,MAX($U$1:$U453)+1,""))</f>
        <v/>
      </c>
      <c r="V454">
        <f>IF($D454="","",IF(COUNTIFS($B$2:$B454,$B454,$D$2:$D454,$D454)=1,1,0))</f>
        <v>0</v>
      </c>
      <c r="W454" t="str">
        <f>IF($D454="","",mEQA.PadronizarStatus($L454))</f>
        <v>ACEITO</v>
      </c>
      <c r="X454" t="str">
        <f>IF(OR($D454="",$W454&lt;&gt;"NAO ACEITO"),"",IF(COUNTIFS($D$2:$D454,$D454,$W$2:$W454,"NAO ACEITO")=1,1,0))</f>
        <v/>
      </c>
    </row>
    <row r="455" spans="1:24" x14ac:dyDescent="0.3">
      <c r="A455" t="s">
        <v>402</v>
      </c>
      <c r="B455" t="s">
        <v>514</v>
      </c>
      <c r="C455" s="126">
        <v>2025</v>
      </c>
      <c r="D455" t="s">
        <v>496</v>
      </c>
      <c r="E455" t="s">
        <v>518</v>
      </c>
      <c r="F455" s="137">
        <v>6.1</v>
      </c>
      <c r="G455" s="138">
        <v>6.05</v>
      </c>
      <c r="H455" s="138">
        <v>0.14000000000000001</v>
      </c>
      <c r="I455" s="139">
        <v>0.3</v>
      </c>
      <c r="J455" s="137">
        <v>5.4</v>
      </c>
      <c r="K455" s="137">
        <v>6.7</v>
      </c>
      <c r="L455" t="s">
        <v>499</v>
      </c>
      <c r="M455" s="126">
        <v>309</v>
      </c>
      <c r="N455" t="s">
        <v>112</v>
      </c>
      <c r="O455" s="137">
        <f t="shared" si="14"/>
        <v>0.82644628099173256</v>
      </c>
      <c r="P455" s="137">
        <f t="shared" si="15"/>
        <v>0.82644628099173256</v>
      </c>
      <c r="Q455" s="126">
        <v>6</v>
      </c>
      <c r="R455" t="s">
        <v>523</v>
      </c>
      <c r="S455" t="str">
        <f>IF($W455&lt;&gt;"NAO ACEITO","",COUNTIFS($W$2:$W455,"NAO ACEITO"))</f>
        <v/>
      </c>
      <c r="T455" t="str">
        <f>IF($B455="","",IF(COUNTIF($B$2:$B455,$B455)=1,MAX($T$1:$T454)+1,""))</f>
        <v/>
      </c>
      <c r="U455" t="str">
        <f>IF($D455="","",IF(COUNTIF($D$2:$D455,$D455)=1,MAX($U$1:$U454)+1,""))</f>
        <v/>
      </c>
      <c r="V455">
        <f>IF($D455="","",IF(COUNTIFS($B$2:$B455,$B455,$D$2:$D455,$D455)=1,1,0))</f>
        <v>0</v>
      </c>
      <c r="W455" t="str">
        <f>IF($D455="","",mEQA.PadronizarStatus($L455))</f>
        <v>ACEITO</v>
      </c>
      <c r="X455" t="str">
        <f>IF(OR($D455="",$W455&lt;&gt;"NAO ACEITO"),"",IF(COUNTIFS($D$2:$D455,$D455,$W$2:$W455,"NAO ACEITO")=1,1,0))</f>
        <v/>
      </c>
    </row>
    <row r="456" spans="1:24" x14ac:dyDescent="0.3">
      <c r="A456" t="s">
        <v>402</v>
      </c>
      <c r="B456" t="s">
        <v>514</v>
      </c>
      <c r="C456" s="126">
        <v>2025</v>
      </c>
      <c r="D456" t="s">
        <v>496</v>
      </c>
      <c r="E456" t="s">
        <v>519</v>
      </c>
      <c r="F456" s="137">
        <v>2.9</v>
      </c>
      <c r="G456" s="138">
        <v>2.87</v>
      </c>
      <c r="H456" s="138">
        <v>0.11</v>
      </c>
      <c r="I456" s="139">
        <v>0.3</v>
      </c>
      <c r="J456" s="137">
        <v>2.5</v>
      </c>
      <c r="K456" s="137">
        <v>3.2</v>
      </c>
      <c r="L456" t="s">
        <v>499</v>
      </c>
      <c r="M456" s="126">
        <v>312</v>
      </c>
      <c r="N456" t="s">
        <v>112</v>
      </c>
      <c r="O456" s="137">
        <f t="shared" si="14"/>
        <v>1.0452961672473799</v>
      </c>
      <c r="P456" s="137">
        <f t="shared" si="15"/>
        <v>1.0452961672473799</v>
      </c>
      <c r="Q456" s="126">
        <v>6</v>
      </c>
      <c r="R456" t="s">
        <v>523</v>
      </c>
      <c r="S456" t="str">
        <f>IF($W456&lt;&gt;"NAO ACEITO","",COUNTIFS($W$2:$W456,"NAO ACEITO"))</f>
        <v/>
      </c>
      <c r="T456" t="str">
        <f>IF($B456="","",IF(COUNTIF($B$2:$B456,$B456)=1,MAX($T$1:$T455)+1,""))</f>
        <v/>
      </c>
      <c r="U456" t="str">
        <f>IF($D456="","",IF(COUNTIF($D$2:$D456,$D456)=1,MAX($U$1:$U455)+1,""))</f>
        <v/>
      </c>
      <c r="V456">
        <f>IF($D456="","",IF(COUNTIFS($B$2:$B456,$B456,$D$2:$D456,$D456)=1,1,0))</f>
        <v>0</v>
      </c>
      <c r="W456" t="str">
        <f>IF($D456="","",mEQA.PadronizarStatus($L456))</f>
        <v>ACEITO</v>
      </c>
      <c r="X456" t="str">
        <f>IF(OR($D456="",$W456&lt;&gt;"NAO ACEITO"),"",IF(COUNTIFS($D$2:$D456,$D456,$W$2:$W456,"NAO ACEITO")=1,1,0))</f>
        <v/>
      </c>
    </row>
    <row r="457" spans="1:24" x14ac:dyDescent="0.3">
      <c r="A457" t="s">
        <v>402</v>
      </c>
      <c r="B457" t="s">
        <v>393</v>
      </c>
      <c r="C457" s="126">
        <v>2025</v>
      </c>
      <c r="D457" t="s">
        <v>119</v>
      </c>
      <c r="E457">
        <v>1</v>
      </c>
      <c r="F457" s="137">
        <v>258.5761</v>
      </c>
      <c r="G457" s="138">
        <v>256.52030000000002</v>
      </c>
      <c r="H457" s="138">
        <v>7.6955999999999998</v>
      </c>
      <c r="I457" s="139">
        <v>0.26713966422370922</v>
      </c>
      <c r="J457" s="137">
        <v>233.43350000000001</v>
      </c>
      <c r="K457" s="137">
        <v>279.6071</v>
      </c>
      <c r="L457" t="s">
        <v>520</v>
      </c>
      <c r="M457" s="126"/>
      <c r="O457" s="137">
        <f t="shared" si="14"/>
        <v>0.80141805541314914</v>
      </c>
      <c r="P457" s="137">
        <f t="shared" si="15"/>
        <v>0.80141805541314914</v>
      </c>
      <c r="Q457" s="126"/>
      <c r="R457" t="s">
        <v>524</v>
      </c>
      <c r="S457" t="str">
        <f>IF($W457&lt;&gt;"NAO ACEITO","",COUNTIFS($W$2:$W457,"NAO ACEITO"))</f>
        <v/>
      </c>
      <c r="T457">
        <f>IF($B457="","",IF(COUNTIF($B$2:$B457,$B457)=1,MAX($T$1:$T456)+1,""))</f>
        <v>4</v>
      </c>
      <c r="U457">
        <f>IF($D457="","",IF(COUNTIF($D$2:$D457,$D457)=1,MAX($U$1:$U456)+1,""))</f>
        <v>32</v>
      </c>
      <c r="V457">
        <f>IF($D457="","",IF(COUNTIFS($B$2:$B457,$B457,$D$2:$D457,$D457)=1,1,0))</f>
        <v>1</v>
      </c>
      <c r="W457" t="str">
        <f>IF($D457="","",mEQA.PadronizarStatus($L457))</f>
        <v>ACEITO</v>
      </c>
      <c r="X457" t="str">
        <f>IF(OR($D457="",$W457&lt;&gt;"NAO ACEITO"),"",IF(COUNTIFS($D$2:$D457,$D457,$W$2:$W457,"NAO ACEITO")=1,1,0))</f>
        <v/>
      </c>
    </row>
    <row r="458" spans="1:24" x14ac:dyDescent="0.3">
      <c r="A458" t="s">
        <v>402</v>
      </c>
      <c r="B458" t="s">
        <v>393</v>
      </c>
      <c r="C458" s="126">
        <v>2025</v>
      </c>
      <c r="D458" t="s">
        <v>119</v>
      </c>
      <c r="E458">
        <v>2</v>
      </c>
      <c r="F458" s="137">
        <v>256.9348</v>
      </c>
      <c r="G458" s="138">
        <v>254.31010000000001</v>
      </c>
      <c r="H458" s="138">
        <v>7.6292999999999997</v>
      </c>
      <c r="I458" s="139">
        <v>0.34402894105618997</v>
      </c>
      <c r="J458" s="137">
        <v>231.4222</v>
      </c>
      <c r="K458" s="137">
        <v>277.19799999999998</v>
      </c>
      <c r="L458" t="s">
        <v>520</v>
      </c>
      <c r="M458" s="126"/>
      <c r="O458" s="137">
        <f t="shared" si="14"/>
        <v>1.0320864173306485</v>
      </c>
      <c r="P458" s="137">
        <f t="shared" si="15"/>
        <v>1.0320864173306485</v>
      </c>
      <c r="Q458" s="126"/>
      <c r="R458" t="s">
        <v>524</v>
      </c>
      <c r="S458" t="str">
        <f>IF($W458&lt;&gt;"NAO ACEITO","",COUNTIFS($W$2:$W458,"NAO ACEITO"))</f>
        <v/>
      </c>
      <c r="T458" t="str">
        <f>IF($B458="","",IF(COUNTIF($B$2:$B458,$B458)=1,MAX($T$1:$T457)+1,""))</f>
        <v/>
      </c>
      <c r="U458" t="str">
        <f>IF($D458="","",IF(COUNTIF($D$2:$D458,$D458)=1,MAX($U$1:$U457)+1,""))</f>
        <v/>
      </c>
      <c r="V458">
        <f>IF($D458="","",IF(COUNTIFS($B$2:$B458,$B458,$D$2:$D458,$D458)=1,1,0))</f>
        <v>0</v>
      </c>
      <c r="W458" t="str">
        <f>IF($D458="","",mEQA.PadronizarStatus($L458))</f>
        <v>ACEITO</v>
      </c>
      <c r="X458" t="str">
        <f>IF(OR($D458="",$W458&lt;&gt;"NAO ACEITO"),"",IF(COUNTIFS($D$2:$D458,$D458,$W$2:$W458,"NAO ACEITO")=1,1,0))</f>
        <v/>
      </c>
    </row>
    <row r="459" spans="1:24" x14ac:dyDescent="0.3">
      <c r="A459" t="s">
        <v>402</v>
      </c>
      <c r="B459" t="s">
        <v>393</v>
      </c>
      <c r="C459" s="126">
        <v>2025</v>
      </c>
      <c r="D459" t="s">
        <v>119</v>
      </c>
      <c r="E459">
        <v>3</v>
      </c>
      <c r="F459" s="137">
        <v>259.89800000000002</v>
      </c>
      <c r="G459" s="138">
        <v>255.48949999999999</v>
      </c>
      <c r="H459" s="138">
        <v>7.6646999999999998</v>
      </c>
      <c r="I459" s="139">
        <v>0.57516928255509436</v>
      </c>
      <c r="J459" s="137">
        <v>232.49539999999999</v>
      </c>
      <c r="K459" s="137">
        <v>278.48360000000002</v>
      </c>
      <c r="L459" t="s">
        <v>520</v>
      </c>
      <c r="M459" s="126"/>
      <c r="O459" s="137">
        <f t="shared" si="14"/>
        <v>1.725511224531745</v>
      </c>
      <c r="P459" s="137">
        <f t="shared" si="15"/>
        <v>1.725511224531745</v>
      </c>
      <c r="Q459" s="126"/>
      <c r="R459" t="s">
        <v>524</v>
      </c>
      <c r="S459" t="str">
        <f>IF($W459&lt;&gt;"NAO ACEITO","",COUNTIFS($W$2:$W459,"NAO ACEITO"))</f>
        <v/>
      </c>
      <c r="T459" t="str">
        <f>IF($B459="","",IF(COUNTIF($B$2:$B459,$B459)=1,MAX($T$1:$T458)+1,""))</f>
        <v/>
      </c>
      <c r="U459" t="str">
        <f>IF($D459="","",IF(COUNTIF($D$2:$D459,$D459)=1,MAX($U$1:$U458)+1,""))</f>
        <v/>
      </c>
      <c r="V459">
        <f>IF($D459="","",IF(COUNTIFS($B$2:$B459,$B459,$D$2:$D459,$D459)=1,1,0))</f>
        <v>0</v>
      </c>
      <c r="W459" t="str">
        <f>IF($D459="","",mEQA.PadronizarStatus($L459))</f>
        <v>ACEITO</v>
      </c>
      <c r="X459" t="str">
        <f>IF(OR($D459="",$W459&lt;&gt;"NAO ACEITO"),"",IF(COUNTIFS($D$2:$D459,$D459,$W$2:$W459,"NAO ACEITO")=1,1,0))</f>
        <v/>
      </c>
    </row>
    <row r="460" spans="1:24" x14ac:dyDescent="0.3">
      <c r="A460" t="s">
        <v>402</v>
      </c>
      <c r="B460" t="s">
        <v>393</v>
      </c>
      <c r="C460" s="126">
        <v>2025</v>
      </c>
      <c r="D460" t="s">
        <v>119</v>
      </c>
      <c r="E460">
        <v>4</v>
      </c>
      <c r="F460" s="137">
        <v>259.24200000000002</v>
      </c>
      <c r="G460" s="138">
        <v>255.05629999999999</v>
      </c>
      <c r="H460" s="138">
        <v>7.6516999999999999</v>
      </c>
      <c r="I460" s="139">
        <v>0.54702876484964458</v>
      </c>
      <c r="J460" s="137">
        <v>232.10120000000001</v>
      </c>
      <c r="K460" s="137">
        <v>278.01139999999998</v>
      </c>
      <c r="L460" t="s">
        <v>520</v>
      </c>
      <c r="M460" s="126"/>
      <c r="O460" s="137">
        <f t="shared" si="14"/>
        <v>1.6410886537599838</v>
      </c>
      <c r="P460" s="137">
        <f t="shared" si="15"/>
        <v>1.6410886537599838</v>
      </c>
      <c r="Q460" s="126"/>
      <c r="R460" t="s">
        <v>524</v>
      </c>
      <c r="S460" t="str">
        <f>IF($W460&lt;&gt;"NAO ACEITO","",COUNTIFS($W$2:$W460,"NAO ACEITO"))</f>
        <v/>
      </c>
      <c r="T460" t="str">
        <f>IF($B460="","",IF(COUNTIF($B$2:$B460,$B460)=1,MAX($T$1:$T459)+1,""))</f>
        <v/>
      </c>
      <c r="U460" t="str">
        <f>IF($D460="","",IF(COUNTIF($D$2:$D460,$D460)=1,MAX($U$1:$U459)+1,""))</f>
        <v/>
      </c>
      <c r="V460">
        <f>IF($D460="","",IF(COUNTIFS($B$2:$B460,$B460,$D$2:$D460,$D460)=1,1,0))</f>
        <v>0</v>
      </c>
      <c r="W460" t="str">
        <f>IF($D460="","",mEQA.PadronizarStatus($L460))</f>
        <v>ACEITO</v>
      </c>
      <c r="X460" t="str">
        <f>IF(OR($D460="",$W460&lt;&gt;"NAO ACEITO"),"",IF(COUNTIFS($D$2:$D460,$D460,$W$2:$W460,"NAO ACEITO")=1,1,0))</f>
        <v/>
      </c>
    </row>
    <row r="461" spans="1:24" x14ac:dyDescent="0.3">
      <c r="A461" t="s">
        <v>402</v>
      </c>
      <c r="B461" t="s">
        <v>393</v>
      </c>
      <c r="C461" s="126">
        <v>2025</v>
      </c>
      <c r="D461" t="s">
        <v>119</v>
      </c>
      <c r="E461">
        <v>5</v>
      </c>
      <c r="F461" s="137">
        <v>257.37599999999998</v>
      </c>
      <c r="G461" s="138">
        <v>253.92930000000001</v>
      </c>
      <c r="H461" s="138">
        <v>7.6178999999999997</v>
      </c>
      <c r="I461" s="139">
        <v>0.45244752490843465</v>
      </c>
      <c r="J461" s="137">
        <v>231.07560000000001</v>
      </c>
      <c r="K461" s="137">
        <v>276.78300000000002</v>
      </c>
      <c r="L461" t="s">
        <v>520</v>
      </c>
      <c r="M461" s="126"/>
      <c r="O461" s="137">
        <f t="shared" si="14"/>
        <v>1.3573463164746897</v>
      </c>
      <c r="P461" s="137">
        <f t="shared" si="15"/>
        <v>1.3573463164746897</v>
      </c>
      <c r="Q461" s="126"/>
      <c r="R461" t="s">
        <v>524</v>
      </c>
      <c r="S461" t="str">
        <f>IF($W461&lt;&gt;"NAO ACEITO","",COUNTIFS($W$2:$W461,"NAO ACEITO"))</f>
        <v/>
      </c>
      <c r="T461" t="str">
        <f>IF($B461="","",IF(COUNTIF($B$2:$B461,$B461)=1,MAX($T$1:$T460)+1,""))</f>
        <v/>
      </c>
      <c r="U461" t="str">
        <f>IF($D461="","",IF(COUNTIF($D$2:$D461,$D461)=1,MAX($U$1:$U460)+1,""))</f>
        <v/>
      </c>
      <c r="V461">
        <f>IF($D461="","",IF(COUNTIFS($B$2:$B461,$B461,$D$2:$D461,$D461)=1,1,0))</f>
        <v>0</v>
      </c>
      <c r="W461" t="str">
        <f>IF($D461="","",mEQA.PadronizarStatus($L461))</f>
        <v>ACEITO</v>
      </c>
      <c r="X461" t="str">
        <f>IF(OR($D461="",$W461&lt;&gt;"NAO ACEITO"),"",IF(COUNTIFS($D$2:$D461,$D461,$W$2:$W461,"NAO ACEITO")=1,1,0))</f>
        <v/>
      </c>
    </row>
    <row r="462" spans="1:24" x14ac:dyDescent="0.3">
      <c r="A462" t="s">
        <v>402</v>
      </c>
      <c r="B462" t="s">
        <v>393</v>
      </c>
      <c r="C462" s="126">
        <v>2025</v>
      </c>
      <c r="D462" t="s">
        <v>117</v>
      </c>
      <c r="E462">
        <v>1</v>
      </c>
      <c r="F462" s="137">
        <v>5.1372999999999998</v>
      </c>
      <c r="G462" s="138">
        <v>5.0872000000000002</v>
      </c>
      <c r="H462" s="138">
        <v>0.15260000000000001</v>
      </c>
      <c r="I462" s="139">
        <v>0.32830930537352282</v>
      </c>
      <c r="J462" s="137">
        <v>4.6294000000000004</v>
      </c>
      <c r="K462" s="137">
        <v>5.5449999999999999</v>
      </c>
      <c r="L462" t="s">
        <v>520</v>
      </c>
      <c r="M462" s="126"/>
      <c r="O462" s="137">
        <f t="shared" si="14"/>
        <v>0.98482465796508079</v>
      </c>
      <c r="P462" s="137">
        <f t="shared" si="15"/>
        <v>0.98482465796508079</v>
      </c>
      <c r="Q462" s="126"/>
      <c r="R462" t="s">
        <v>524</v>
      </c>
      <c r="S462" t="str">
        <f>IF($W462&lt;&gt;"NAO ACEITO","",COUNTIFS($W$2:$W462,"NAO ACEITO"))</f>
        <v/>
      </c>
      <c r="T462" t="str">
        <f>IF($B462="","",IF(COUNTIF($B$2:$B462,$B462)=1,MAX($T$1:$T461)+1,""))</f>
        <v/>
      </c>
      <c r="U462">
        <f>IF($D462="","",IF(COUNTIF($D$2:$D462,$D462)=1,MAX($U$1:$U461)+1,""))</f>
        <v>33</v>
      </c>
      <c r="V462">
        <f>IF($D462="","",IF(COUNTIFS($B$2:$B462,$B462,$D$2:$D462,$D462)=1,1,0))</f>
        <v>1</v>
      </c>
      <c r="W462" t="str">
        <f>IF($D462="","",mEQA.PadronizarStatus($L462))</f>
        <v>ACEITO</v>
      </c>
      <c r="X462" t="str">
        <f>IF(OR($D462="",$W462&lt;&gt;"NAO ACEITO"),"",IF(COUNTIFS($D$2:$D462,$D462,$W$2:$W462,"NAO ACEITO")=1,1,0))</f>
        <v/>
      </c>
    </row>
    <row r="463" spans="1:24" x14ac:dyDescent="0.3">
      <c r="A463" t="s">
        <v>402</v>
      </c>
      <c r="B463" t="s">
        <v>393</v>
      </c>
      <c r="C463" s="126">
        <v>2025</v>
      </c>
      <c r="D463" t="s">
        <v>117</v>
      </c>
      <c r="E463">
        <v>2</v>
      </c>
      <c r="F463" s="137">
        <v>5.1154000000000002</v>
      </c>
      <c r="G463" s="138">
        <v>5.0776000000000003</v>
      </c>
      <c r="H463" s="138">
        <v>0.15229999999999999</v>
      </c>
      <c r="I463" s="139">
        <v>0.24819435325016306</v>
      </c>
      <c r="J463" s="137">
        <v>4.6207000000000003</v>
      </c>
      <c r="K463" s="137">
        <v>5.5345000000000004</v>
      </c>
      <c r="L463" t="s">
        <v>520</v>
      </c>
      <c r="M463" s="126"/>
      <c r="O463" s="137">
        <f t="shared" si="14"/>
        <v>0.74444619505277754</v>
      </c>
      <c r="P463" s="137">
        <f t="shared" si="15"/>
        <v>0.74444619505277754</v>
      </c>
      <c r="Q463" s="126"/>
      <c r="R463" t="s">
        <v>524</v>
      </c>
      <c r="S463" t="str">
        <f>IF($W463&lt;&gt;"NAO ACEITO","",COUNTIFS($W$2:$W463,"NAO ACEITO"))</f>
        <v/>
      </c>
      <c r="T463" t="str">
        <f>IF($B463="","",IF(COUNTIF($B$2:$B463,$B463)=1,MAX($T$1:$T462)+1,""))</f>
        <v/>
      </c>
      <c r="U463" t="str">
        <f>IF($D463="","",IF(COUNTIF($D$2:$D463,$D463)=1,MAX($U$1:$U462)+1,""))</f>
        <v/>
      </c>
      <c r="V463">
        <f>IF($D463="","",IF(COUNTIFS($B$2:$B463,$B463,$D$2:$D463,$D463)=1,1,0))</f>
        <v>0</v>
      </c>
      <c r="W463" t="str">
        <f>IF($D463="","",mEQA.PadronizarStatus($L463))</f>
        <v>ACEITO</v>
      </c>
      <c r="X463" t="str">
        <f>IF(OR($D463="",$W463&lt;&gt;"NAO ACEITO"),"",IF(COUNTIFS($D$2:$D463,$D463,$W$2:$W463,"NAO ACEITO")=1,1,0))</f>
        <v/>
      </c>
    </row>
    <row r="464" spans="1:24" x14ac:dyDescent="0.3">
      <c r="A464" t="s">
        <v>402</v>
      </c>
      <c r="B464" t="s">
        <v>393</v>
      </c>
      <c r="C464" s="126">
        <v>2025</v>
      </c>
      <c r="D464" t="s">
        <v>117</v>
      </c>
      <c r="E464">
        <v>3</v>
      </c>
      <c r="F464" s="137">
        <v>5.1424000000000003</v>
      </c>
      <c r="G464" s="138">
        <v>5.1174999999999997</v>
      </c>
      <c r="H464" s="138">
        <v>0.1535</v>
      </c>
      <c r="I464" s="139">
        <v>0.16221498371335888</v>
      </c>
      <c r="J464" s="137">
        <v>4.657</v>
      </c>
      <c r="K464" s="137">
        <v>5.5780000000000003</v>
      </c>
      <c r="L464" t="s">
        <v>520</v>
      </c>
      <c r="M464" s="126"/>
      <c r="O464" s="137">
        <f t="shared" si="14"/>
        <v>0.48656570591110093</v>
      </c>
      <c r="P464" s="137">
        <f t="shared" si="15"/>
        <v>0.48656570591110093</v>
      </c>
      <c r="Q464" s="126"/>
      <c r="R464" t="s">
        <v>524</v>
      </c>
      <c r="S464" t="str">
        <f>IF($W464&lt;&gt;"NAO ACEITO","",COUNTIFS($W$2:$W464,"NAO ACEITO"))</f>
        <v/>
      </c>
      <c r="T464" t="str">
        <f>IF($B464="","",IF(COUNTIF($B$2:$B464,$B464)=1,MAX($T$1:$T463)+1,""))</f>
        <v/>
      </c>
      <c r="U464" t="str">
        <f>IF($D464="","",IF(COUNTIF($D$2:$D464,$D464)=1,MAX($U$1:$U463)+1,""))</f>
        <v/>
      </c>
      <c r="V464">
        <f>IF($D464="","",IF(COUNTIFS($B$2:$B464,$B464,$D$2:$D464,$D464)=1,1,0))</f>
        <v>0</v>
      </c>
      <c r="W464" t="str">
        <f>IF($D464="","",mEQA.PadronizarStatus($L464))</f>
        <v>ACEITO</v>
      </c>
      <c r="X464" t="str">
        <f>IF(OR($D464="",$W464&lt;&gt;"NAO ACEITO"),"",IF(COUNTIFS($D$2:$D464,$D464,$W$2:$W464,"NAO ACEITO")=1,1,0))</f>
        <v/>
      </c>
    </row>
    <row r="465" spans="1:24" x14ac:dyDescent="0.3">
      <c r="A465" t="s">
        <v>402</v>
      </c>
      <c r="B465" t="s">
        <v>393</v>
      </c>
      <c r="C465" s="126">
        <v>2025</v>
      </c>
      <c r="D465" t="s">
        <v>117</v>
      </c>
      <c r="E465">
        <v>4</v>
      </c>
      <c r="F465" s="137">
        <v>5.1673999999999998</v>
      </c>
      <c r="G465" s="138">
        <v>5.1304999999999996</v>
      </c>
      <c r="H465" s="138">
        <v>0.15390000000000001</v>
      </c>
      <c r="I465" s="139">
        <v>0.23976608187134602</v>
      </c>
      <c r="J465" s="137">
        <v>4.6688000000000001</v>
      </c>
      <c r="K465" s="137">
        <v>5.5922000000000001</v>
      </c>
      <c r="L465" t="s">
        <v>520</v>
      </c>
      <c r="M465" s="126"/>
      <c r="O465" s="137">
        <f t="shared" si="14"/>
        <v>0.71922814540493429</v>
      </c>
      <c r="P465" s="137">
        <f t="shared" si="15"/>
        <v>0.71922814540493429</v>
      </c>
      <c r="Q465" s="126"/>
      <c r="R465" t="s">
        <v>524</v>
      </c>
      <c r="S465" t="str">
        <f>IF($W465&lt;&gt;"NAO ACEITO","",COUNTIFS($W$2:$W465,"NAO ACEITO"))</f>
        <v/>
      </c>
      <c r="T465" t="str">
        <f>IF($B465="","",IF(COUNTIF($B$2:$B465,$B465)=1,MAX($T$1:$T464)+1,""))</f>
        <v/>
      </c>
      <c r="U465" t="str">
        <f>IF($D465="","",IF(COUNTIF($D$2:$D465,$D465)=1,MAX($U$1:$U464)+1,""))</f>
        <v/>
      </c>
      <c r="V465">
        <f>IF($D465="","",IF(COUNTIFS($B$2:$B465,$B465,$D$2:$D465,$D465)=1,1,0))</f>
        <v>0</v>
      </c>
      <c r="W465" t="str">
        <f>IF($D465="","",mEQA.PadronizarStatus($L465))</f>
        <v>ACEITO</v>
      </c>
      <c r="X465" t="str">
        <f>IF(OR($D465="",$W465&lt;&gt;"NAO ACEITO"),"",IF(COUNTIFS($D$2:$D465,$D465,$W$2:$W465,"NAO ACEITO")=1,1,0))</f>
        <v/>
      </c>
    </row>
    <row r="466" spans="1:24" x14ac:dyDescent="0.3">
      <c r="A466" t="s">
        <v>402</v>
      </c>
      <c r="B466" t="s">
        <v>393</v>
      </c>
      <c r="C466" s="126">
        <v>2025</v>
      </c>
      <c r="D466" t="s">
        <v>117</v>
      </c>
      <c r="E466">
        <v>5</v>
      </c>
      <c r="F466" s="137">
        <v>5.1555</v>
      </c>
      <c r="G466" s="138">
        <v>5.1250999999999998</v>
      </c>
      <c r="H466" s="138">
        <v>0.15379999999999999</v>
      </c>
      <c r="I466" s="139">
        <v>0.19765929778933813</v>
      </c>
      <c r="J466" s="137">
        <v>4.6637000000000004</v>
      </c>
      <c r="K466" s="137">
        <v>5.5865</v>
      </c>
      <c r="L466" t="s">
        <v>520</v>
      </c>
      <c r="M466" s="126"/>
      <c r="O466" s="137">
        <f t="shared" si="14"/>
        <v>0.59315915787009443</v>
      </c>
      <c r="P466" s="137">
        <f t="shared" si="15"/>
        <v>0.59315915787009443</v>
      </c>
      <c r="Q466" s="126"/>
      <c r="R466" t="s">
        <v>524</v>
      </c>
      <c r="S466" t="str">
        <f>IF($W466&lt;&gt;"NAO ACEITO","",COUNTIFS($W$2:$W466,"NAO ACEITO"))</f>
        <v/>
      </c>
      <c r="T466" t="str">
        <f>IF($B466="","",IF(COUNTIF($B$2:$B466,$B466)=1,MAX($T$1:$T465)+1,""))</f>
        <v/>
      </c>
      <c r="U466" t="str">
        <f>IF($D466="","",IF(COUNTIF($D$2:$D466,$D466)=1,MAX($U$1:$U465)+1,""))</f>
        <v/>
      </c>
      <c r="V466">
        <f>IF($D466="","",IF(COUNTIFS($B$2:$B466,$B466,$D$2:$D466,$D466)=1,1,0))</f>
        <v>0</v>
      </c>
      <c r="W466" t="str">
        <f>IF($D466="","",mEQA.PadronizarStatus($L466))</f>
        <v>ACEITO</v>
      </c>
      <c r="X466" t="str">
        <f>IF(OR($D466="",$W466&lt;&gt;"NAO ACEITO"),"",IF(COUNTIFS($D$2:$D466,$D466,$W$2:$W466,"NAO ACEITO")=1,1,0))</f>
        <v/>
      </c>
    </row>
    <row r="467" spans="1:24" x14ac:dyDescent="0.3">
      <c r="A467" t="s">
        <v>402</v>
      </c>
      <c r="B467" t="s">
        <v>393</v>
      </c>
      <c r="C467" s="126">
        <v>2025</v>
      </c>
      <c r="D467" t="s">
        <v>111</v>
      </c>
      <c r="E467">
        <v>1</v>
      </c>
      <c r="F467" s="137">
        <v>259.41930000000002</v>
      </c>
      <c r="G467" s="138">
        <v>255.0872</v>
      </c>
      <c r="H467" s="138">
        <v>7.6525999999999996</v>
      </c>
      <c r="I467" s="139">
        <v>0.56609518333638575</v>
      </c>
      <c r="J467" s="137">
        <v>232.1294</v>
      </c>
      <c r="K467" s="137">
        <v>278.04500000000002</v>
      </c>
      <c r="L467" t="s">
        <v>520</v>
      </c>
      <c r="M467" s="126"/>
      <c r="O467" s="137">
        <f t="shared" si="14"/>
        <v>1.6982819992535987</v>
      </c>
      <c r="P467" s="137">
        <f t="shared" si="15"/>
        <v>1.6982819992535987</v>
      </c>
      <c r="Q467" s="126"/>
      <c r="R467" t="s">
        <v>524</v>
      </c>
      <c r="S467" t="str">
        <f>IF($W467&lt;&gt;"NAO ACEITO","",COUNTIFS($W$2:$W467,"NAO ACEITO"))</f>
        <v/>
      </c>
      <c r="T467" t="str">
        <f>IF($B467="","",IF(COUNTIF($B$2:$B467,$B467)=1,MAX($T$1:$T466)+1,""))</f>
        <v/>
      </c>
      <c r="U467">
        <f>IF($D467="","",IF(COUNTIF($D$2:$D467,$D467)=1,MAX($U$1:$U466)+1,""))</f>
        <v>34</v>
      </c>
      <c r="V467">
        <f>IF($D467="","",IF(COUNTIFS($B$2:$B467,$B467,$D$2:$D467,$D467)=1,1,0))</f>
        <v>1</v>
      </c>
      <c r="W467" t="str">
        <f>IF($D467="","",mEQA.PadronizarStatus($L467))</f>
        <v>ACEITO</v>
      </c>
      <c r="X467" t="str">
        <f>IF(OR($D467="",$W467&lt;&gt;"NAO ACEITO"),"",IF(COUNTIFS($D$2:$D467,$D467,$W$2:$W467,"NAO ACEITO")=1,1,0))</f>
        <v/>
      </c>
    </row>
    <row r="468" spans="1:24" x14ac:dyDescent="0.3">
      <c r="A468" t="s">
        <v>402</v>
      </c>
      <c r="B468" t="s">
        <v>393</v>
      </c>
      <c r="C468" s="126">
        <v>2025</v>
      </c>
      <c r="D468" t="s">
        <v>111</v>
      </c>
      <c r="E468">
        <v>2</v>
      </c>
      <c r="F468" s="137">
        <v>260.38279999999997</v>
      </c>
      <c r="G468" s="138">
        <v>258.12299999999999</v>
      </c>
      <c r="H468" s="138">
        <v>7.7436999999999996</v>
      </c>
      <c r="I468" s="139">
        <v>0.29182432170667566</v>
      </c>
      <c r="J468" s="137">
        <v>234.89189999999999</v>
      </c>
      <c r="K468" s="137">
        <v>281.35410000000002</v>
      </c>
      <c r="L468" t="s">
        <v>520</v>
      </c>
      <c r="M468" s="126"/>
      <c r="O468" s="137">
        <f t="shared" si="14"/>
        <v>0.87547409568305978</v>
      </c>
      <c r="P468" s="137">
        <f t="shared" si="15"/>
        <v>0.87547409568305978</v>
      </c>
      <c r="Q468" s="126"/>
      <c r="R468" t="s">
        <v>524</v>
      </c>
      <c r="S468" t="str">
        <f>IF($W468&lt;&gt;"NAO ACEITO","",COUNTIFS($W$2:$W468,"NAO ACEITO"))</f>
        <v/>
      </c>
      <c r="T468" t="str">
        <f>IF($B468="","",IF(COUNTIF($B$2:$B468,$B468)=1,MAX($T$1:$T467)+1,""))</f>
        <v/>
      </c>
      <c r="U468" t="str">
        <f>IF($D468="","",IF(COUNTIF($D$2:$D468,$D468)=1,MAX($U$1:$U467)+1,""))</f>
        <v/>
      </c>
      <c r="V468">
        <f>IF($D468="","",IF(COUNTIFS($B$2:$B468,$B468,$D$2:$D468,$D468)=1,1,0))</f>
        <v>0</v>
      </c>
      <c r="W468" t="str">
        <f>IF($D468="","",mEQA.PadronizarStatus($L468))</f>
        <v>ACEITO</v>
      </c>
      <c r="X468" t="str">
        <f>IF(OR($D468="",$W468&lt;&gt;"NAO ACEITO"),"",IF(COUNTIFS($D$2:$D468,$D468,$W$2:$W468,"NAO ACEITO")=1,1,0))</f>
        <v/>
      </c>
    </row>
    <row r="469" spans="1:24" x14ac:dyDescent="0.3">
      <c r="A469" t="s">
        <v>402</v>
      </c>
      <c r="B469" t="s">
        <v>393</v>
      </c>
      <c r="C469" s="126">
        <v>2025</v>
      </c>
      <c r="D469" t="s">
        <v>111</v>
      </c>
      <c r="E469">
        <v>3</v>
      </c>
      <c r="F469" s="137">
        <v>256.44690000000003</v>
      </c>
      <c r="G469" s="138">
        <v>254.24019999999999</v>
      </c>
      <c r="H469" s="138">
        <v>7.6272000000000002</v>
      </c>
      <c r="I469" s="139">
        <v>0.28931980281099756</v>
      </c>
      <c r="J469" s="137">
        <v>231.3586</v>
      </c>
      <c r="K469" s="137">
        <v>277.12180000000001</v>
      </c>
      <c r="L469" t="s">
        <v>520</v>
      </c>
      <c r="M469" s="126"/>
      <c r="O469" s="137">
        <f t="shared" si="14"/>
        <v>0.86795872564607823</v>
      </c>
      <c r="P469" s="137">
        <f t="shared" si="15"/>
        <v>0.86795872564607823</v>
      </c>
      <c r="Q469" s="126"/>
      <c r="R469" t="s">
        <v>524</v>
      </c>
      <c r="S469" t="str">
        <f>IF($W469&lt;&gt;"NAO ACEITO","",COUNTIFS($W$2:$W469,"NAO ACEITO"))</f>
        <v/>
      </c>
      <c r="T469" t="str">
        <f>IF($B469="","",IF(COUNTIF($B$2:$B469,$B469)=1,MAX($T$1:$T468)+1,""))</f>
        <v/>
      </c>
      <c r="U469" t="str">
        <f>IF($D469="","",IF(COUNTIF($D$2:$D469,$D469)=1,MAX($U$1:$U468)+1,""))</f>
        <v/>
      </c>
      <c r="V469">
        <f>IF($D469="","",IF(COUNTIFS($B$2:$B469,$B469,$D$2:$D469,$D469)=1,1,0))</f>
        <v>0</v>
      </c>
      <c r="W469" t="str">
        <f>IF($D469="","",mEQA.PadronizarStatus($L469))</f>
        <v>ACEITO</v>
      </c>
      <c r="X469" t="str">
        <f>IF(OR($D469="",$W469&lt;&gt;"NAO ACEITO"),"",IF(COUNTIFS($D$2:$D469,$D469,$W$2:$W469,"NAO ACEITO")=1,1,0))</f>
        <v/>
      </c>
    </row>
    <row r="470" spans="1:24" x14ac:dyDescent="0.3">
      <c r="A470" t="s">
        <v>402</v>
      </c>
      <c r="B470" t="s">
        <v>393</v>
      </c>
      <c r="C470" s="126">
        <v>2025</v>
      </c>
      <c r="D470" t="s">
        <v>111</v>
      </c>
      <c r="E470">
        <v>4</v>
      </c>
      <c r="F470" s="137">
        <v>259.21050000000002</v>
      </c>
      <c r="G470" s="138">
        <v>256.45280000000002</v>
      </c>
      <c r="H470" s="138">
        <v>7.6936</v>
      </c>
      <c r="I470" s="139">
        <v>0.3584407819486326</v>
      </c>
      <c r="J470" s="137">
        <v>233.37200000000001</v>
      </c>
      <c r="K470" s="137">
        <v>279.53359999999998</v>
      </c>
      <c r="L470" t="s">
        <v>520</v>
      </c>
      <c r="M470" s="126"/>
      <c r="O470" s="137">
        <f t="shared" si="14"/>
        <v>1.0753245821453303</v>
      </c>
      <c r="P470" s="137">
        <f t="shared" si="15"/>
        <v>1.0753245821453303</v>
      </c>
      <c r="Q470" s="126"/>
      <c r="R470" t="s">
        <v>524</v>
      </c>
      <c r="S470" t="str">
        <f>IF($W470&lt;&gt;"NAO ACEITO","",COUNTIFS($W$2:$W470,"NAO ACEITO"))</f>
        <v/>
      </c>
      <c r="T470" t="str">
        <f>IF($B470="","",IF(COUNTIF($B$2:$B470,$B470)=1,MAX($T$1:$T469)+1,""))</f>
        <v/>
      </c>
      <c r="U470" t="str">
        <f>IF($D470="","",IF(COUNTIF($D$2:$D470,$D470)=1,MAX($U$1:$U469)+1,""))</f>
        <v/>
      </c>
      <c r="V470">
        <f>IF($D470="","",IF(COUNTIFS($B$2:$B470,$B470,$D$2:$D470,$D470)=1,1,0))</f>
        <v>0</v>
      </c>
      <c r="W470" t="str">
        <f>IF($D470="","",mEQA.PadronizarStatus($L470))</f>
        <v>ACEITO</v>
      </c>
      <c r="X470" t="str">
        <f>IF(OR($D470="",$W470&lt;&gt;"NAO ACEITO"),"",IF(COUNTIFS($D$2:$D470,$D470,$W$2:$W470,"NAO ACEITO")=1,1,0))</f>
        <v/>
      </c>
    </row>
    <row r="471" spans="1:24" x14ac:dyDescent="0.3">
      <c r="A471" t="s">
        <v>402</v>
      </c>
      <c r="B471" t="s">
        <v>393</v>
      </c>
      <c r="C471" s="126">
        <v>2025</v>
      </c>
      <c r="D471" t="s">
        <v>111</v>
      </c>
      <c r="E471">
        <v>5</v>
      </c>
      <c r="F471" s="137">
        <v>257.64240000000001</v>
      </c>
      <c r="G471" s="138">
        <v>256.90460000000002</v>
      </c>
      <c r="H471" s="138">
        <v>7.7070999999999996</v>
      </c>
      <c r="I471" s="139">
        <v>9.5729911380414548E-2</v>
      </c>
      <c r="J471" s="137">
        <v>233.7833</v>
      </c>
      <c r="K471" s="137">
        <v>280.02589999999998</v>
      </c>
      <c r="L471" t="s">
        <v>520</v>
      </c>
      <c r="M471" s="126"/>
      <c r="O471" s="137">
        <f t="shared" si="14"/>
        <v>0.28718831815389556</v>
      </c>
      <c r="P471" s="137">
        <f t="shared" si="15"/>
        <v>0.28718831815389556</v>
      </c>
      <c r="Q471" s="126"/>
      <c r="R471" t="s">
        <v>524</v>
      </c>
      <c r="S471" t="str">
        <f>IF($W471&lt;&gt;"NAO ACEITO","",COUNTIFS($W$2:$W471,"NAO ACEITO"))</f>
        <v/>
      </c>
      <c r="T471" t="str">
        <f>IF($B471="","",IF(COUNTIF($B$2:$B471,$B471)=1,MAX($T$1:$T470)+1,""))</f>
        <v/>
      </c>
      <c r="U471" t="str">
        <f>IF($D471="","",IF(COUNTIF($D$2:$D471,$D471)=1,MAX($U$1:$U470)+1,""))</f>
        <v/>
      </c>
      <c r="V471">
        <f>IF($D471="","",IF(COUNTIFS($B$2:$B471,$B471,$D$2:$D471,$D471)=1,1,0))</f>
        <v>0</v>
      </c>
      <c r="W471" t="str">
        <f>IF($D471="","",mEQA.PadronizarStatus($L471))</f>
        <v>ACEITO</v>
      </c>
      <c r="X471" t="str">
        <f>IF(OR($D471="",$W471&lt;&gt;"NAO ACEITO"),"",IF(COUNTIFS($D$2:$D471,$D471,$W$2:$W471,"NAO ACEITO")=1,1,0))</f>
        <v/>
      </c>
    </row>
    <row r="472" spans="1:24" x14ac:dyDescent="0.3">
      <c r="A472" t="s">
        <v>402</v>
      </c>
      <c r="B472" t="s">
        <v>393</v>
      </c>
      <c r="C472" s="126">
        <v>2025</v>
      </c>
      <c r="D472" t="s">
        <v>120</v>
      </c>
      <c r="E472">
        <v>1</v>
      </c>
      <c r="F472" s="137">
        <v>72.783000000000001</v>
      </c>
      <c r="G472" s="138">
        <v>72.162199999999999</v>
      </c>
      <c r="H472" s="138">
        <v>2.1648999999999998</v>
      </c>
      <c r="I472" s="139">
        <v>0.28675689408286881</v>
      </c>
      <c r="J472" s="137">
        <v>65.667500000000004</v>
      </c>
      <c r="K472" s="137">
        <v>78.656899999999993</v>
      </c>
      <c r="L472" t="s">
        <v>520</v>
      </c>
      <c r="M472" s="126"/>
      <c r="O472" s="137">
        <f t="shared" si="14"/>
        <v>0.86028419310941562</v>
      </c>
      <c r="P472" s="137">
        <f t="shared" si="15"/>
        <v>0.86028419310941562</v>
      </c>
      <c r="Q472" s="126"/>
      <c r="R472" t="s">
        <v>524</v>
      </c>
      <c r="S472" t="str">
        <f>IF($W472&lt;&gt;"NAO ACEITO","",COUNTIFS($W$2:$W472,"NAO ACEITO"))</f>
        <v/>
      </c>
      <c r="T472" t="str">
        <f>IF($B472="","",IF(COUNTIF($B$2:$B472,$B472)=1,MAX($T$1:$T471)+1,""))</f>
        <v/>
      </c>
      <c r="U472">
        <f>IF($D472="","",IF(COUNTIF($D$2:$D472,$D472)=1,MAX($U$1:$U471)+1,""))</f>
        <v>35</v>
      </c>
      <c r="V472">
        <f>IF($D472="","",IF(COUNTIFS($B$2:$B472,$B472,$D$2:$D472,$D472)=1,1,0))</f>
        <v>1</v>
      </c>
      <c r="W472" t="str">
        <f>IF($D472="","",mEQA.PadronizarStatus($L472))</f>
        <v>ACEITO</v>
      </c>
      <c r="X472" t="str">
        <f>IF(OR($D472="",$W472&lt;&gt;"NAO ACEITO"),"",IF(COUNTIFS($D$2:$D472,$D472,$W$2:$W472,"NAO ACEITO")=1,1,0))</f>
        <v/>
      </c>
    </row>
    <row r="473" spans="1:24" x14ac:dyDescent="0.3">
      <c r="A473" t="s">
        <v>402</v>
      </c>
      <c r="B473" t="s">
        <v>393</v>
      </c>
      <c r="C473" s="126">
        <v>2025</v>
      </c>
      <c r="D473" t="s">
        <v>120</v>
      </c>
      <c r="E473">
        <v>2</v>
      </c>
      <c r="F473" s="137">
        <v>72.738699999999994</v>
      </c>
      <c r="G473" s="138">
        <v>72.4161</v>
      </c>
      <c r="H473" s="138">
        <v>2.1724999999999999</v>
      </c>
      <c r="I473" s="139">
        <v>0.14849252013808711</v>
      </c>
      <c r="J473" s="137">
        <v>65.898600000000002</v>
      </c>
      <c r="K473" s="137">
        <v>78.933599999999998</v>
      </c>
      <c r="L473" t="s">
        <v>520</v>
      </c>
      <c r="M473" s="126"/>
      <c r="O473" s="137">
        <f t="shared" si="14"/>
        <v>0.44548104634189667</v>
      </c>
      <c r="P473" s="137">
        <f t="shared" si="15"/>
        <v>0.44548104634189667</v>
      </c>
      <c r="Q473" s="126"/>
      <c r="R473" t="s">
        <v>524</v>
      </c>
      <c r="S473" t="str">
        <f>IF($W473&lt;&gt;"NAO ACEITO","",COUNTIFS($W$2:$W473,"NAO ACEITO"))</f>
        <v/>
      </c>
      <c r="T473" t="str">
        <f>IF($B473="","",IF(COUNTIF($B$2:$B473,$B473)=1,MAX($T$1:$T472)+1,""))</f>
        <v/>
      </c>
      <c r="U473" t="str">
        <f>IF($D473="","",IF(COUNTIF($D$2:$D473,$D473)=1,MAX($U$1:$U472)+1,""))</f>
        <v/>
      </c>
      <c r="V473">
        <f>IF($D473="","",IF(COUNTIFS($B$2:$B473,$B473,$D$2:$D473,$D473)=1,1,0))</f>
        <v>0</v>
      </c>
      <c r="W473" t="str">
        <f>IF($D473="","",mEQA.PadronizarStatus($L473))</f>
        <v>ACEITO</v>
      </c>
      <c r="X473" t="str">
        <f>IF(OR($D473="",$W473&lt;&gt;"NAO ACEITO"),"",IF(COUNTIFS($D$2:$D473,$D473,$W$2:$W473,"NAO ACEITO")=1,1,0))</f>
        <v/>
      </c>
    </row>
    <row r="474" spans="1:24" x14ac:dyDescent="0.3">
      <c r="A474" t="s">
        <v>402</v>
      </c>
      <c r="B474" t="s">
        <v>393</v>
      </c>
      <c r="C474" s="126">
        <v>2025</v>
      </c>
      <c r="D474" t="s">
        <v>120</v>
      </c>
      <c r="E474">
        <v>3</v>
      </c>
      <c r="F474" s="137">
        <v>72.252700000000004</v>
      </c>
      <c r="G474" s="138">
        <v>71.478899999999996</v>
      </c>
      <c r="H474" s="138">
        <v>2.1444000000000001</v>
      </c>
      <c r="I474" s="139">
        <v>0.36084685692968121</v>
      </c>
      <c r="J474" s="137">
        <v>65.045699999999997</v>
      </c>
      <c r="K474" s="137">
        <v>77.912099999999995</v>
      </c>
      <c r="L474" t="s">
        <v>520</v>
      </c>
      <c r="M474" s="126"/>
      <c r="O474" s="137">
        <f t="shared" si="14"/>
        <v>1.0825572301756303</v>
      </c>
      <c r="P474" s="137">
        <f t="shared" si="15"/>
        <v>1.0825572301756303</v>
      </c>
      <c r="Q474" s="126"/>
      <c r="R474" t="s">
        <v>524</v>
      </c>
      <c r="S474" t="str">
        <f>IF($W474&lt;&gt;"NAO ACEITO","",COUNTIFS($W$2:$W474,"NAO ACEITO"))</f>
        <v/>
      </c>
      <c r="T474" t="str">
        <f>IF($B474="","",IF(COUNTIF($B$2:$B474,$B474)=1,MAX($T$1:$T473)+1,""))</f>
        <v/>
      </c>
      <c r="U474" t="str">
        <f>IF($D474="","",IF(COUNTIF($D$2:$D474,$D474)=1,MAX($U$1:$U473)+1,""))</f>
        <v/>
      </c>
      <c r="V474">
        <f>IF($D474="","",IF(COUNTIFS($B$2:$B474,$B474,$D$2:$D474,$D474)=1,1,0))</f>
        <v>0</v>
      </c>
      <c r="W474" t="str">
        <f>IF($D474="","",mEQA.PadronizarStatus($L474))</f>
        <v>ACEITO</v>
      </c>
      <c r="X474" t="str">
        <f>IF(OR($D474="",$W474&lt;&gt;"NAO ACEITO"),"",IF(COUNTIFS($D$2:$D474,$D474,$W$2:$W474,"NAO ACEITO")=1,1,0))</f>
        <v/>
      </c>
    </row>
    <row r="475" spans="1:24" x14ac:dyDescent="0.3">
      <c r="A475" t="s">
        <v>402</v>
      </c>
      <c r="B475" t="s">
        <v>393</v>
      </c>
      <c r="C475" s="126">
        <v>2025</v>
      </c>
      <c r="D475" t="s">
        <v>120</v>
      </c>
      <c r="E475">
        <v>4</v>
      </c>
      <c r="F475" s="137">
        <v>73.298900000000003</v>
      </c>
      <c r="G475" s="138">
        <v>72.544799999999995</v>
      </c>
      <c r="H475" s="138">
        <v>2.1762999999999999</v>
      </c>
      <c r="I475" s="139">
        <v>0.3465055369204651</v>
      </c>
      <c r="J475" s="137">
        <v>66.015900000000002</v>
      </c>
      <c r="K475" s="137">
        <v>79.073700000000002</v>
      </c>
      <c r="L475" t="s">
        <v>520</v>
      </c>
      <c r="M475" s="126"/>
      <c r="O475" s="137">
        <f t="shared" si="14"/>
        <v>1.0394955944464777</v>
      </c>
      <c r="P475" s="137">
        <f t="shared" si="15"/>
        <v>1.0394955944464777</v>
      </c>
      <c r="Q475" s="126"/>
      <c r="R475" t="s">
        <v>524</v>
      </c>
      <c r="S475" t="str">
        <f>IF($W475&lt;&gt;"NAO ACEITO","",COUNTIFS($W$2:$W475,"NAO ACEITO"))</f>
        <v/>
      </c>
      <c r="T475" t="str">
        <f>IF($B475="","",IF(COUNTIF($B$2:$B475,$B475)=1,MAX($T$1:$T474)+1,""))</f>
        <v/>
      </c>
      <c r="U475" t="str">
        <f>IF($D475="","",IF(COUNTIF($D$2:$D475,$D475)=1,MAX($U$1:$U474)+1,""))</f>
        <v/>
      </c>
      <c r="V475">
        <f>IF($D475="","",IF(COUNTIFS($B$2:$B475,$B475,$D$2:$D475,$D475)=1,1,0))</f>
        <v>0</v>
      </c>
      <c r="W475" t="str">
        <f>IF($D475="","",mEQA.PadronizarStatus($L475))</f>
        <v>ACEITO</v>
      </c>
      <c r="X475" t="str">
        <f>IF(OR($D475="",$W475&lt;&gt;"NAO ACEITO"),"",IF(COUNTIFS($D$2:$D475,$D475,$W$2:$W475,"NAO ACEITO")=1,1,0))</f>
        <v/>
      </c>
    </row>
    <row r="476" spans="1:24" x14ac:dyDescent="0.3">
      <c r="A476" t="s">
        <v>402</v>
      </c>
      <c r="B476" t="s">
        <v>393</v>
      </c>
      <c r="C476" s="126">
        <v>2025</v>
      </c>
      <c r="D476" t="s">
        <v>120</v>
      </c>
      <c r="E476">
        <v>5</v>
      </c>
      <c r="F476" s="137">
        <v>73.83</v>
      </c>
      <c r="G476" s="138">
        <v>73.533199999999994</v>
      </c>
      <c r="H476" s="138">
        <v>2.206</v>
      </c>
      <c r="I476" s="139">
        <v>0.13454215775158868</v>
      </c>
      <c r="J476" s="137">
        <v>66.915199999999999</v>
      </c>
      <c r="K476" s="137">
        <v>80.151200000000003</v>
      </c>
      <c r="L476" t="s">
        <v>520</v>
      </c>
      <c r="M476" s="126"/>
      <c r="O476" s="137">
        <f t="shared" si="14"/>
        <v>0.40362720512639821</v>
      </c>
      <c r="P476" s="137">
        <f t="shared" si="15"/>
        <v>0.40362720512639821</v>
      </c>
      <c r="Q476" s="126"/>
      <c r="R476" t="s">
        <v>524</v>
      </c>
      <c r="S476" t="str">
        <f>IF($W476&lt;&gt;"NAO ACEITO","",COUNTIFS($W$2:$W476,"NAO ACEITO"))</f>
        <v/>
      </c>
      <c r="T476" t="str">
        <f>IF($B476="","",IF(COUNTIF($B$2:$B476,$B476)=1,MAX($T$1:$T475)+1,""))</f>
        <v/>
      </c>
      <c r="U476" t="str">
        <f>IF($D476="","",IF(COUNTIF($D$2:$D476,$D476)=1,MAX($U$1:$U475)+1,""))</f>
        <v/>
      </c>
      <c r="V476">
        <f>IF($D476="","",IF(COUNTIFS($B$2:$B476,$B476,$D$2:$D476,$D476)=1,1,0))</f>
        <v>0</v>
      </c>
      <c r="W476" t="str">
        <f>IF($D476="","",mEQA.PadronizarStatus($L476))</f>
        <v>ACEITO</v>
      </c>
      <c r="X476" t="str">
        <f>IF(OR($D476="",$W476&lt;&gt;"NAO ACEITO"),"",IF(COUNTIFS($D$2:$D476,$D476,$W$2:$W476,"NAO ACEITO")=1,1,0))</f>
        <v/>
      </c>
    </row>
    <row r="477" spans="1:24" x14ac:dyDescent="0.3">
      <c r="A477" t="s">
        <v>402</v>
      </c>
      <c r="B477" t="s">
        <v>393</v>
      </c>
      <c r="C477" s="126">
        <v>2025</v>
      </c>
      <c r="D477" t="s">
        <v>115</v>
      </c>
      <c r="E477">
        <v>1</v>
      </c>
      <c r="F477" s="137">
        <v>79.342100000000002</v>
      </c>
      <c r="G477" s="138">
        <v>78.6999</v>
      </c>
      <c r="H477" s="138">
        <v>2.3610000000000002</v>
      </c>
      <c r="I477" s="139">
        <v>0.27200338839474902</v>
      </c>
      <c r="J477" s="137">
        <v>71.616900000000001</v>
      </c>
      <c r="K477" s="137">
        <v>85.782899999999998</v>
      </c>
      <c r="L477" t="s">
        <v>520</v>
      </c>
      <c r="M477" s="126"/>
      <c r="O477" s="137">
        <f t="shared" si="14"/>
        <v>0.81601120204727384</v>
      </c>
      <c r="P477" s="137">
        <f t="shared" si="15"/>
        <v>0.81601120204727384</v>
      </c>
      <c r="Q477" s="126"/>
      <c r="R477" t="s">
        <v>524</v>
      </c>
      <c r="S477" t="str">
        <f>IF($W477&lt;&gt;"NAO ACEITO","",COUNTIFS($W$2:$W477,"NAO ACEITO"))</f>
        <v/>
      </c>
      <c r="T477" t="str">
        <f>IF($B477="","",IF(COUNTIF($B$2:$B477,$B477)=1,MAX($T$1:$T476)+1,""))</f>
        <v/>
      </c>
      <c r="U477">
        <f>IF($D477="","",IF(COUNTIF($D$2:$D477,$D477)=1,MAX($U$1:$U476)+1,""))</f>
        <v>36</v>
      </c>
      <c r="V477">
        <f>IF($D477="","",IF(COUNTIFS($B$2:$B477,$B477,$D$2:$D477,$D477)=1,1,0))</f>
        <v>1</v>
      </c>
      <c r="W477" t="str">
        <f>IF($D477="","",mEQA.PadronizarStatus($L477))</f>
        <v>ACEITO</v>
      </c>
      <c r="X477" t="str">
        <f>IF(OR($D477="",$W477&lt;&gt;"NAO ACEITO"),"",IF(COUNTIFS($D$2:$D477,$D477,$W$2:$W477,"NAO ACEITO")=1,1,0))</f>
        <v/>
      </c>
    </row>
    <row r="478" spans="1:24" x14ac:dyDescent="0.3">
      <c r="A478" t="s">
        <v>402</v>
      </c>
      <c r="B478" t="s">
        <v>393</v>
      </c>
      <c r="C478" s="126">
        <v>2025</v>
      </c>
      <c r="D478" t="s">
        <v>115</v>
      </c>
      <c r="E478">
        <v>2</v>
      </c>
      <c r="F478" s="137">
        <v>78.224100000000007</v>
      </c>
      <c r="G478" s="138">
        <v>77.42</v>
      </c>
      <c r="H478" s="138">
        <v>2.3226</v>
      </c>
      <c r="I478" s="139">
        <v>0.34620683716524814</v>
      </c>
      <c r="J478" s="137">
        <v>70.452200000000005</v>
      </c>
      <c r="K478" s="137">
        <v>84.387799999999999</v>
      </c>
      <c r="L478" t="s">
        <v>520</v>
      </c>
      <c r="M478" s="126"/>
      <c r="O478" s="137">
        <f t="shared" si="14"/>
        <v>1.0386205114957443</v>
      </c>
      <c r="P478" s="137">
        <f t="shared" si="15"/>
        <v>1.0386205114957443</v>
      </c>
      <c r="Q478" s="126"/>
      <c r="R478" t="s">
        <v>524</v>
      </c>
      <c r="S478" t="str">
        <f>IF($W478&lt;&gt;"NAO ACEITO","",COUNTIFS($W$2:$W478,"NAO ACEITO"))</f>
        <v/>
      </c>
      <c r="T478" t="str">
        <f>IF($B478="","",IF(COUNTIF($B$2:$B478,$B478)=1,MAX($T$1:$T477)+1,""))</f>
        <v/>
      </c>
      <c r="U478" t="str">
        <f>IF($D478="","",IF(COUNTIF($D$2:$D478,$D478)=1,MAX($U$1:$U477)+1,""))</f>
        <v/>
      </c>
      <c r="V478">
        <f>IF($D478="","",IF(COUNTIFS($B$2:$B478,$B478,$D$2:$D478,$D478)=1,1,0))</f>
        <v>0</v>
      </c>
      <c r="W478" t="str">
        <f>IF($D478="","",mEQA.PadronizarStatus($L478))</f>
        <v>ACEITO</v>
      </c>
      <c r="X478" t="str">
        <f>IF(OR($D478="",$W478&lt;&gt;"NAO ACEITO"),"",IF(COUNTIFS($D$2:$D478,$D478,$W$2:$W478,"NAO ACEITO")=1,1,0))</f>
        <v/>
      </c>
    </row>
    <row r="479" spans="1:24" x14ac:dyDescent="0.3">
      <c r="A479" t="s">
        <v>402</v>
      </c>
      <c r="B479" t="s">
        <v>393</v>
      </c>
      <c r="C479" s="126">
        <v>2025</v>
      </c>
      <c r="D479" t="s">
        <v>115</v>
      </c>
      <c r="E479">
        <v>3</v>
      </c>
      <c r="F479" s="137">
        <v>79.181600000000003</v>
      </c>
      <c r="G479" s="138">
        <v>78.559399999999997</v>
      </c>
      <c r="H479" s="138">
        <v>2.3567999999999998</v>
      </c>
      <c r="I479" s="139">
        <v>0.26400203665988059</v>
      </c>
      <c r="J479" s="137">
        <v>71.489000000000004</v>
      </c>
      <c r="K479" s="137">
        <v>85.629800000000003</v>
      </c>
      <c r="L479" t="s">
        <v>520</v>
      </c>
      <c r="M479" s="126"/>
      <c r="O479" s="137">
        <f t="shared" si="14"/>
        <v>0.79201215895234256</v>
      </c>
      <c r="P479" s="137">
        <f t="shared" si="15"/>
        <v>0.79201215895234256</v>
      </c>
      <c r="Q479" s="126"/>
      <c r="R479" t="s">
        <v>524</v>
      </c>
      <c r="S479" t="str">
        <f>IF($W479&lt;&gt;"NAO ACEITO","",COUNTIFS($W$2:$W479,"NAO ACEITO"))</f>
        <v/>
      </c>
      <c r="T479" t="str">
        <f>IF($B479="","",IF(COUNTIF($B$2:$B479,$B479)=1,MAX($T$1:$T478)+1,""))</f>
        <v/>
      </c>
      <c r="U479" t="str">
        <f>IF($D479="","",IF(COUNTIF($D$2:$D479,$D479)=1,MAX($U$1:$U478)+1,""))</f>
        <v/>
      </c>
      <c r="V479">
        <f>IF($D479="","",IF(COUNTIFS($B$2:$B479,$B479,$D$2:$D479,$D479)=1,1,0))</f>
        <v>0</v>
      </c>
      <c r="W479" t="str">
        <f>IF($D479="","",mEQA.PadronizarStatus($L479))</f>
        <v>ACEITO</v>
      </c>
      <c r="X479" t="str">
        <f>IF(OR($D479="",$W479&lt;&gt;"NAO ACEITO"),"",IF(COUNTIFS($D$2:$D479,$D479,$W$2:$W479,"NAO ACEITO")=1,1,0))</f>
        <v/>
      </c>
    </row>
    <row r="480" spans="1:24" x14ac:dyDescent="0.3">
      <c r="A480" t="s">
        <v>402</v>
      </c>
      <c r="B480" t="s">
        <v>393</v>
      </c>
      <c r="C480" s="126">
        <v>2025</v>
      </c>
      <c r="D480" t="s">
        <v>115</v>
      </c>
      <c r="E480">
        <v>4</v>
      </c>
      <c r="F480" s="137">
        <v>79.4251</v>
      </c>
      <c r="G480" s="138">
        <v>78.424800000000005</v>
      </c>
      <c r="H480" s="138">
        <v>2.3527</v>
      </c>
      <c r="I480" s="139">
        <v>0.42517108003570186</v>
      </c>
      <c r="J480" s="137">
        <v>71.366699999999994</v>
      </c>
      <c r="K480" s="137">
        <v>85.482900000000001</v>
      </c>
      <c r="L480" t="s">
        <v>520</v>
      </c>
      <c r="M480" s="126"/>
      <c r="O480" s="137">
        <f t="shared" si="14"/>
        <v>1.2754893860105423</v>
      </c>
      <c r="P480" s="137">
        <f t="shared" si="15"/>
        <v>1.2754893860105423</v>
      </c>
      <c r="Q480" s="126"/>
      <c r="R480" t="s">
        <v>524</v>
      </c>
      <c r="S480" t="str">
        <f>IF($W480&lt;&gt;"NAO ACEITO","",COUNTIFS($W$2:$W480,"NAO ACEITO"))</f>
        <v/>
      </c>
      <c r="T480" t="str">
        <f>IF($B480="","",IF(COUNTIF($B$2:$B480,$B480)=1,MAX($T$1:$T479)+1,""))</f>
        <v/>
      </c>
      <c r="U480" t="str">
        <f>IF($D480="","",IF(COUNTIF($D$2:$D480,$D480)=1,MAX($U$1:$U479)+1,""))</f>
        <v/>
      </c>
      <c r="V480">
        <f>IF($D480="","",IF(COUNTIFS($B$2:$B480,$B480,$D$2:$D480,$D480)=1,1,0))</f>
        <v>0</v>
      </c>
      <c r="W480" t="str">
        <f>IF($D480="","",mEQA.PadronizarStatus($L480))</f>
        <v>ACEITO</v>
      </c>
      <c r="X480" t="str">
        <f>IF(OR($D480="",$W480&lt;&gt;"NAO ACEITO"),"",IF(COUNTIFS($D$2:$D480,$D480,$W$2:$W480,"NAO ACEITO")=1,1,0))</f>
        <v/>
      </c>
    </row>
    <row r="481" spans="1:24" x14ac:dyDescent="0.3">
      <c r="A481" t="s">
        <v>402</v>
      </c>
      <c r="B481" t="s">
        <v>393</v>
      </c>
      <c r="C481" s="126">
        <v>2025</v>
      </c>
      <c r="D481" t="s">
        <v>115</v>
      </c>
      <c r="E481">
        <v>5</v>
      </c>
      <c r="F481" s="137">
        <v>78.311199999999999</v>
      </c>
      <c r="G481" s="138">
        <v>77.8386</v>
      </c>
      <c r="H481" s="138">
        <v>2.3351999999999999</v>
      </c>
      <c r="I481" s="139">
        <v>0.20238095238095236</v>
      </c>
      <c r="J481" s="137">
        <v>70.832999999999998</v>
      </c>
      <c r="K481" s="137">
        <v>84.844200000000001</v>
      </c>
      <c r="L481" t="s">
        <v>520</v>
      </c>
      <c r="M481" s="126"/>
      <c r="O481" s="137">
        <f t="shared" si="14"/>
        <v>0.60715377717482066</v>
      </c>
      <c r="P481" s="137">
        <f t="shared" si="15"/>
        <v>0.60715377717482066</v>
      </c>
      <c r="Q481" s="126"/>
      <c r="R481" t="s">
        <v>524</v>
      </c>
      <c r="S481" t="str">
        <f>IF($W481&lt;&gt;"NAO ACEITO","",COUNTIFS($W$2:$W481,"NAO ACEITO"))</f>
        <v/>
      </c>
      <c r="T481" t="str">
        <f>IF($B481="","",IF(COUNTIF($B$2:$B481,$B481)=1,MAX($T$1:$T480)+1,""))</f>
        <v/>
      </c>
      <c r="U481" t="str">
        <f>IF($D481="","",IF(COUNTIF($D$2:$D481,$D481)=1,MAX($U$1:$U480)+1,""))</f>
        <v/>
      </c>
      <c r="V481">
        <f>IF($D481="","",IF(COUNTIFS($B$2:$B481,$B481,$D$2:$D481,$D481)=1,1,0))</f>
        <v>0</v>
      </c>
      <c r="W481" t="str">
        <f>IF($D481="","",mEQA.PadronizarStatus($L481))</f>
        <v>ACEITO</v>
      </c>
      <c r="X481" t="str">
        <f>IF(OR($D481="",$W481&lt;&gt;"NAO ACEITO"),"",IF(COUNTIFS($D$2:$D481,$D481,$W$2:$W481,"NAO ACEITO")=1,1,0))</f>
        <v/>
      </c>
    </row>
    <row r="482" spans="1:24" x14ac:dyDescent="0.3">
      <c r="A482" t="s">
        <v>402</v>
      </c>
      <c r="B482" t="s">
        <v>393</v>
      </c>
      <c r="C482" s="126">
        <v>2025</v>
      </c>
      <c r="D482" t="s">
        <v>118</v>
      </c>
      <c r="E482">
        <v>1</v>
      </c>
      <c r="F482" s="137">
        <v>9.7314000000000007</v>
      </c>
      <c r="G482" s="138">
        <v>9.6921999999999997</v>
      </c>
      <c r="H482" s="138">
        <v>0.2908</v>
      </c>
      <c r="I482" s="139">
        <v>0.13480055020633086</v>
      </c>
      <c r="J482" s="137">
        <v>8.8198000000000008</v>
      </c>
      <c r="K482" s="137">
        <v>10.5646</v>
      </c>
      <c r="L482" t="s">
        <v>520</v>
      </c>
      <c r="M482" s="126"/>
      <c r="O482" s="137">
        <f t="shared" si="14"/>
        <v>0.40444893832154732</v>
      </c>
      <c r="P482" s="137">
        <f t="shared" si="15"/>
        <v>0.40444893832154732</v>
      </c>
      <c r="Q482" s="126"/>
      <c r="R482" t="s">
        <v>524</v>
      </c>
      <c r="S482" t="str">
        <f>IF($W482&lt;&gt;"NAO ACEITO","",COUNTIFS($W$2:$W482,"NAO ACEITO"))</f>
        <v/>
      </c>
      <c r="T482" t="str">
        <f>IF($B482="","",IF(COUNTIF($B$2:$B482,$B482)=1,MAX($T$1:$T481)+1,""))</f>
        <v/>
      </c>
      <c r="U482">
        <f>IF($D482="","",IF(COUNTIF($D$2:$D482,$D482)=1,MAX($U$1:$U481)+1,""))</f>
        <v>37</v>
      </c>
      <c r="V482">
        <f>IF($D482="","",IF(COUNTIFS($B$2:$B482,$B482,$D$2:$D482,$D482)=1,1,0))</f>
        <v>1</v>
      </c>
      <c r="W482" t="str">
        <f>IF($D482="","",mEQA.PadronizarStatus($L482))</f>
        <v>ACEITO</v>
      </c>
      <c r="X482" t="str">
        <f>IF(OR($D482="",$W482&lt;&gt;"NAO ACEITO"),"",IF(COUNTIFS($D$2:$D482,$D482,$W$2:$W482,"NAO ACEITO")=1,1,0))</f>
        <v/>
      </c>
    </row>
    <row r="483" spans="1:24" x14ac:dyDescent="0.3">
      <c r="A483" t="s">
        <v>402</v>
      </c>
      <c r="B483" t="s">
        <v>393</v>
      </c>
      <c r="C483" s="126">
        <v>2025</v>
      </c>
      <c r="D483" t="s">
        <v>118</v>
      </c>
      <c r="E483">
        <v>2</v>
      </c>
      <c r="F483" s="137">
        <v>9.6148000000000007</v>
      </c>
      <c r="G483" s="138">
        <v>9.4453999999999994</v>
      </c>
      <c r="H483" s="138">
        <v>0.28339999999999999</v>
      </c>
      <c r="I483" s="139">
        <v>0.5977417078334557</v>
      </c>
      <c r="J483" s="137">
        <v>8.5952000000000002</v>
      </c>
      <c r="K483" s="137">
        <v>10.2956</v>
      </c>
      <c r="L483" t="s">
        <v>520</v>
      </c>
      <c r="M483" s="126"/>
      <c r="O483" s="137">
        <f t="shared" si="14"/>
        <v>1.7934656023037812</v>
      </c>
      <c r="P483" s="137">
        <f t="shared" si="15"/>
        <v>1.7934656023037812</v>
      </c>
      <c r="Q483" s="126"/>
      <c r="R483" t="s">
        <v>524</v>
      </c>
      <c r="S483" t="str">
        <f>IF($W483&lt;&gt;"NAO ACEITO","",COUNTIFS($W$2:$W483,"NAO ACEITO"))</f>
        <v/>
      </c>
      <c r="T483" t="str">
        <f>IF($B483="","",IF(COUNTIF($B$2:$B483,$B483)=1,MAX($T$1:$T482)+1,""))</f>
        <v/>
      </c>
      <c r="U483" t="str">
        <f>IF($D483="","",IF(COUNTIF($D$2:$D483,$D483)=1,MAX($U$1:$U482)+1,""))</f>
        <v/>
      </c>
      <c r="V483">
        <f>IF($D483="","",IF(COUNTIFS($B$2:$B483,$B483,$D$2:$D483,$D483)=1,1,0))</f>
        <v>0</v>
      </c>
      <c r="W483" t="str">
        <f>IF($D483="","",mEQA.PadronizarStatus($L483))</f>
        <v>ACEITO</v>
      </c>
      <c r="X483" t="str">
        <f>IF(OR($D483="",$W483&lt;&gt;"NAO ACEITO"),"",IF(COUNTIFS($D$2:$D483,$D483,$W$2:$W483,"NAO ACEITO")=1,1,0))</f>
        <v/>
      </c>
    </row>
    <row r="484" spans="1:24" x14ac:dyDescent="0.3">
      <c r="A484" t="s">
        <v>402</v>
      </c>
      <c r="B484" t="s">
        <v>393</v>
      </c>
      <c r="C484" s="126">
        <v>2025</v>
      </c>
      <c r="D484" t="s">
        <v>118</v>
      </c>
      <c r="E484">
        <v>3</v>
      </c>
      <c r="F484" s="137">
        <v>9.8079000000000001</v>
      </c>
      <c r="G484" s="138">
        <v>9.65</v>
      </c>
      <c r="H484" s="138">
        <v>0.28949999999999998</v>
      </c>
      <c r="I484" s="139">
        <v>0.54542314335060349</v>
      </c>
      <c r="J484" s="137">
        <v>8.7814999999999994</v>
      </c>
      <c r="K484" s="137">
        <v>10.5185</v>
      </c>
      <c r="L484" t="s">
        <v>520</v>
      </c>
      <c r="M484" s="126"/>
      <c r="O484" s="137">
        <f t="shared" si="14"/>
        <v>1.6362694300518104</v>
      </c>
      <c r="P484" s="137">
        <f t="shared" si="15"/>
        <v>1.6362694300518104</v>
      </c>
      <c r="Q484" s="126"/>
      <c r="R484" t="s">
        <v>524</v>
      </c>
      <c r="S484" t="str">
        <f>IF($W484&lt;&gt;"NAO ACEITO","",COUNTIFS($W$2:$W484,"NAO ACEITO"))</f>
        <v/>
      </c>
      <c r="T484" t="str">
        <f>IF($B484="","",IF(COUNTIF($B$2:$B484,$B484)=1,MAX($T$1:$T483)+1,""))</f>
        <v/>
      </c>
      <c r="U484" t="str">
        <f>IF($D484="","",IF(COUNTIF($D$2:$D484,$D484)=1,MAX($U$1:$U483)+1,""))</f>
        <v/>
      </c>
      <c r="V484">
        <f>IF($D484="","",IF(COUNTIFS($B$2:$B484,$B484,$D$2:$D484,$D484)=1,1,0))</f>
        <v>0</v>
      </c>
      <c r="W484" t="str">
        <f>IF($D484="","",mEQA.PadronizarStatus($L484))</f>
        <v>ACEITO</v>
      </c>
      <c r="X484" t="str">
        <f>IF(OR($D484="",$W484&lt;&gt;"NAO ACEITO"),"",IF(COUNTIFS($D$2:$D484,$D484,$W$2:$W484,"NAO ACEITO")=1,1,0))</f>
        <v/>
      </c>
    </row>
    <row r="485" spans="1:24" x14ac:dyDescent="0.3">
      <c r="A485" t="s">
        <v>402</v>
      </c>
      <c r="B485" t="s">
        <v>393</v>
      </c>
      <c r="C485" s="126">
        <v>2025</v>
      </c>
      <c r="D485" t="s">
        <v>118</v>
      </c>
      <c r="E485">
        <v>4</v>
      </c>
      <c r="F485" s="137">
        <v>9.5768000000000004</v>
      </c>
      <c r="G485" s="138">
        <v>9.4291</v>
      </c>
      <c r="H485" s="138">
        <v>0.28289999999999998</v>
      </c>
      <c r="I485" s="139">
        <v>0.52209261223047154</v>
      </c>
      <c r="J485" s="137">
        <v>8.5803999999999991</v>
      </c>
      <c r="K485" s="137">
        <v>10.277799999999999</v>
      </c>
      <c r="L485" t="s">
        <v>520</v>
      </c>
      <c r="M485" s="126"/>
      <c r="O485" s="137">
        <f t="shared" si="14"/>
        <v>1.5664273366493131</v>
      </c>
      <c r="P485" s="137">
        <f t="shared" si="15"/>
        <v>1.5664273366493131</v>
      </c>
      <c r="Q485" s="126"/>
      <c r="R485" t="s">
        <v>524</v>
      </c>
      <c r="S485" t="str">
        <f>IF($W485&lt;&gt;"NAO ACEITO","",COUNTIFS($W$2:$W485,"NAO ACEITO"))</f>
        <v/>
      </c>
      <c r="T485" t="str">
        <f>IF($B485="","",IF(COUNTIF($B$2:$B485,$B485)=1,MAX($T$1:$T484)+1,""))</f>
        <v/>
      </c>
      <c r="U485" t="str">
        <f>IF($D485="","",IF(COUNTIF($D$2:$D485,$D485)=1,MAX($U$1:$U484)+1,""))</f>
        <v/>
      </c>
      <c r="V485">
        <f>IF($D485="","",IF(COUNTIFS($B$2:$B485,$B485,$D$2:$D485,$D485)=1,1,0))</f>
        <v>0</v>
      </c>
      <c r="W485" t="str">
        <f>IF($D485="","",mEQA.PadronizarStatus($L485))</f>
        <v>ACEITO</v>
      </c>
      <c r="X485" t="str">
        <f>IF(OR($D485="",$W485&lt;&gt;"NAO ACEITO"),"",IF(COUNTIFS($D$2:$D485,$D485,$W$2:$W485,"NAO ACEITO")=1,1,0))</f>
        <v/>
      </c>
    </row>
    <row r="486" spans="1:24" x14ac:dyDescent="0.3">
      <c r="A486" t="s">
        <v>402</v>
      </c>
      <c r="B486" t="s">
        <v>393</v>
      </c>
      <c r="C486" s="126">
        <v>2025</v>
      </c>
      <c r="D486" t="s">
        <v>118</v>
      </c>
      <c r="E486">
        <v>5</v>
      </c>
      <c r="F486" s="137">
        <v>9.6204999999999998</v>
      </c>
      <c r="G486" s="138">
        <v>9.4984000000000002</v>
      </c>
      <c r="H486" s="138">
        <v>0.28499999999999998</v>
      </c>
      <c r="I486" s="139">
        <v>0.42842105263157776</v>
      </c>
      <c r="J486" s="137">
        <v>8.6433999999999997</v>
      </c>
      <c r="K486" s="137">
        <v>10.353400000000001</v>
      </c>
      <c r="L486" t="s">
        <v>520</v>
      </c>
      <c r="M486" s="126"/>
      <c r="O486" s="137">
        <f t="shared" si="14"/>
        <v>1.2854796597321618</v>
      </c>
      <c r="P486" s="137">
        <f t="shared" si="15"/>
        <v>1.2854796597321618</v>
      </c>
      <c r="Q486" s="126"/>
      <c r="R486" t="s">
        <v>524</v>
      </c>
      <c r="S486" t="str">
        <f>IF($W486&lt;&gt;"NAO ACEITO","",COUNTIFS($W$2:$W486,"NAO ACEITO"))</f>
        <v/>
      </c>
      <c r="T486" t="str">
        <f>IF($B486="","",IF(COUNTIF($B$2:$B486,$B486)=1,MAX($T$1:$T485)+1,""))</f>
        <v/>
      </c>
      <c r="U486" t="str">
        <f>IF($D486="","",IF(COUNTIF($D$2:$D486,$D486)=1,MAX($U$1:$U485)+1,""))</f>
        <v/>
      </c>
      <c r="V486">
        <f>IF($D486="","",IF(COUNTIFS($B$2:$B486,$B486,$D$2:$D486,$D486)=1,1,0))</f>
        <v>0</v>
      </c>
      <c r="W486" t="str">
        <f>IF($D486="","",mEQA.PadronizarStatus($L486))</f>
        <v>ACEITO</v>
      </c>
      <c r="X486" t="str">
        <f>IF(OR($D486="",$W486&lt;&gt;"NAO ACEITO"),"",IF(COUNTIFS($D$2:$D486,$D486,$W$2:$W486,"NAO ACEITO")=1,1,0))</f>
        <v/>
      </c>
    </row>
    <row r="487" spans="1:24" x14ac:dyDescent="0.3">
      <c r="A487" t="s">
        <v>402</v>
      </c>
      <c r="B487" t="s">
        <v>394</v>
      </c>
      <c r="C487" s="126">
        <v>2025</v>
      </c>
      <c r="D487" t="s">
        <v>119</v>
      </c>
      <c r="E487">
        <v>1</v>
      </c>
      <c r="F487" s="137">
        <v>250.80529999999999</v>
      </c>
      <c r="G487" s="138">
        <v>249.54750000000001</v>
      </c>
      <c r="H487" s="138">
        <v>7.4863999999999997</v>
      </c>
      <c r="I487" s="139">
        <v>0.16801132720666473</v>
      </c>
      <c r="J487" s="137">
        <v>227.0883</v>
      </c>
      <c r="K487" s="137">
        <v>272.00670000000002</v>
      </c>
      <c r="L487" t="s">
        <v>520</v>
      </c>
      <c r="M487" s="126"/>
      <c r="O487" s="137">
        <f t="shared" si="14"/>
        <v>0.50403229846020281</v>
      </c>
      <c r="P487" s="137">
        <f t="shared" si="15"/>
        <v>0.50403229846020281</v>
      </c>
      <c r="Q487" s="126"/>
      <c r="R487" t="s">
        <v>524</v>
      </c>
      <c r="S487" t="str">
        <f>IF($W487&lt;&gt;"NAO ACEITO","",COUNTIFS($W$2:$W487,"NAO ACEITO"))</f>
        <v/>
      </c>
      <c r="T487">
        <f>IF($B487="","",IF(COUNTIF($B$2:$B487,$B487)=1,MAX($T$1:$T486)+1,""))</f>
        <v>5</v>
      </c>
      <c r="U487" t="str">
        <f>IF($D487="","",IF(COUNTIF($D$2:$D487,$D487)=1,MAX($U$1:$U486)+1,""))</f>
        <v/>
      </c>
      <c r="V487">
        <f>IF($D487="","",IF(COUNTIFS($B$2:$B487,$B487,$D$2:$D487,$D487)=1,1,0))</f>
        <v>1</v>
      </c>
      <c r="W487" t="str">
        <f>IF($D487="","",mEQA.PadronizarStatus($L487))</f>
        <v>ACEITO</v>
      </c>
      <c r="X487" t="str">
        <f>IF(OR($D487="",$W487&lt;&gt;"NAO ACEITO"),"",IF(COUNTIFS($D$2:$D487,$D487,$W$2:$W487,"NAO ACEITO")=1,1,0))</f>
        <v/>
      </c>
    </row>
    <row r="488" spans="1:24" x14ac:dyDescent="0.3">
      <c r="A488" t="s">
        <v>402</v>
      </c>
      <c r="B488" t="s">
        <v>394</v>
      </c>
      <c r="C488" s="126">
        <v>2025</v>
      </c>
      <c r="D488" t="s">
        <v>119</v>
      </c>
      <c r="E488">
        <v>2</v>
      </c>
      <c r="F488" s="137">
        <v>259.38589999999999</v>
      </c>
      <c r="G488" s="138">
        <v>257.02960000000002</v>
      </c>
      <c r="H488" s="138">
        <v>7.7108999999999996</v>
      </c>
      <c r="I488" s="139">
        <v>0.30558041214384524</v>
      </c>
      <c r="J488" s="137">
        <v>233.89689999999999</v>
      </c>
      <c r="K488" s="137">
        <v>280.16230000000002</v>
      </c>
      <c r="L488" t="s">
        <v>520</v>
      </c>
      <c r="M488" s="126"/>
      <c r="O488" s="137">
        <f t="shared" si="14"/>
        <v>0.91674266310182784</v>
      </c>
      <c r="P488" s="137">
        <f t="shared" si="15"/>
        <v>0.91674266310182784</v>
      </c>
      <c r="Q488" s="126"/>
      <c r="R488" t="s">
        <v>524</v>
      </c>
      <c r="S488" t="str">
        <f>IF($W488&lt;&gt;"NAO ACEITO","",COUNTIFS($W$2:$W488,"NAO ACEITO"))</f>
        <v/>
      </c>
      <c r="T488" t="str">
        <f>IF($B488="","",IF(COUNTIF($B$2:$B488,$B488)=1,MAX($T$1:$T487)+1,""))</f>
        <v/>
      </c>
      <c r="U488" t="str">
        <f>IF($D488="","",IF(COUNTIF($D$2:$D488,$D488)=1,MAX($U$1:$U487)+1,""))</f>
        <v/>
      </c>
      <c r="V488">
        <f>IF($D488="","",IF(COUNTIFS($B$2:$B488,$B488,$D$2:$D488,$D488)=1,1,0))</f>
        <v>0</v>
      </c>
      <c r="W488" t="str">
        <f>IF($D488="","",mEQA.PadronizarStatus($L488))</f>
        <v>ACEITO</v>
      </c>
      <c r="X488" t="str">
        <f>IF(OR($D488="",$W488&lt;&gt;"NAO ACEITO"),"",IF(COUNTIFS($D$2:$D488,$D488,$W$2:$W488,"NAO ACEITO")=1,1,0))</f>
        <v/>
      </c>
    </row>
    <row r="489" spans="1:24" x14ac:dyDescent="0.3">
      <c r="A489" t="s">
        <v>402</v>
      </c>
      <c r="B489" t="s">
        <v>394</v>
      </c>
      <c r="C489" s="126">
        <v>2025</v>
      </c>
      <c r="D489" t="s">
        <v>119</v>
      </c>
      <c r="E489">
        <v>3</v>
      </c>
      <c r="F489" s="137">
        <v>260.2242</v>
      </c>
      <c r="G489" s="138">
        <v>256.47879999999998</v>
      </c>
      <c r="H489" s="138">
        <v>7.6943999999999999</v>
      </c>
      <c r="I489" s="139">
        <v>0.48676959866916431</v>
      </c>
      <c r="J489" s="137">
        <v>233.3956</v>
      </c>
      <c r="K489" s="137">
        <v>279.56200000000001</v>
      </c>
      <c r="L489" t="s">
        <v>520</v>
      </c>
      <c r="M489" s="126"/>
      <c r="O489" s="137">
        <f t="shared" si="14"/>
        <v>1.4603156284262162</v>
      </c>
      <c r="P489" s="137">
        <f t="shared" si="15"/>
        <v>1.4603156284262162</v>
      </c>
      <c r="Q489" s="126"/>
      <c r="R489" t="s">
        <v>524</v>
      </c>
      <c r="S489" t="str">
        <f>IF($W489&lt;&gt;"NAO ACEITO","",COUNTIFS($W$2:$W489,"NAO ACEITO"))</f>
        <v/>
      </c>
      <c r="T489" t="str">
        <f>IF($B489="","",IF(COUNTIF($B$2:$B489,$B489)=1,MAX($T$1:$T488)+1,""))</f>
        <v/>
      </c>
      <c r="U489" t="str">
        <f>IF($D489="","",IF(COUNTIF($D$2:$D489,$D489)=1,MAX($U$1:$U488)+1,""))</f>
        <v/>
      </c>
      <c r="V489">
        <f>IF($D489="","",IF(COUNTIFS($B$2:$B489,$B489,$D$2:$D489,$D489)=1,1,0))</f>
        <v>0</v>
      </c>
      <c r="W489" t="str">
        <f>IF($D489="","",mEQA.PadronizarStatus($L489))</f>
        <v>ACEITO</v>
      </c>
      <c r="X489" t="str">
        <f>IF(OR($D489="",$W489&lt;&gt;"NAO ACEITO"),"",IF(COUNTIFS($D$2:$D489,$D489,$W$2:$W489,"NAO ACEITO")=1,1,0))</f>
        <v/>
      </c>
    </row>
    <row r="490" spans="1:24" x14ac:dyDescent="0.3">
      <c r="A490" t="s">
        <v>402</v>
      </c>
      <c r="B490" t="s">
        <v>394</v>
      </c>
      <c r="C490" s="126">
        <v>2025</v>
      </c>
      <c r="D490" t="s">
        <v>119</v>
      </c>
      <c r="E490">
        <v>4</v>
      </c>
      <c r="F490" s="137">
        <v>262.47910000000002</v>
      </c>
      <c r="G490" s="138">
        <v>258.37180000000001</v>
      </c>
      <c r="H490" s="138">
        <v>7.7511999999999999</v>
      </c>
      <c r="I490" s="139">
        <v>0.52989214573227494</v>
      </c>
      <c r="J490" s="137">
        <v>235.1182</v>
      </c>
      <c r="K490" s="137">
        <v>281.62540000000001</v>
      </c>
      <c r="L490" t="s">
        <v>520</v>
      </c>
      <c r="M490" s="126"/>
      <c r="O490" s="137">
        <f t="shared" si="14"/>
        <v>1.5896858712909108</v>
      </c>
      <c r="P490" s="137">
        <f t="shared" si="15"/>
        <v>1.5896858712909108</v>
      </c>
      <c r="Q490" s="126"/>
      <c r="R490" t="s">
        <v>524</v>
      </c>
      <c r="S490" t="str">
        <f>IF($W490&lt;&gt;"NAO ACEITO","",COUNTIFS($W$2:$W490,"NAO ACEITO"))</f>
        <v/>
      </c>
      <c r="T490" t="str">
        <f>IF($B490="","",IF(COUNTIF($B$2:$B490,$B490)=1,MAX($T$1:$T489)+1,""))</f>
        <v/>
      </c>
      <c r="U490" t="str">
        <f>IF($D490="","",IF(COUNTIF($D$2:$D490,$D490)=1,MAX($U$1:$U489)+1,""))</f>
        <v/>
      </c>
      <c r="V490">
        <f>IF($D490="","",IF(COUNTIFS($B$2:$B490,$B490,$D$2:$D490,$D490)=1,1,0))</f>
        <v>0</v>
      </c>
      <c r="W490" t="str">
        <f>IF($D490="","",mEQA.PadronizarStatus($L490))</f>
        <v>ACEITO</v>
      </c>
      <c r="X490" t="str">
        <f>IF(OR($D490="",$W490&lt;&gt;"NAO ACEITO"),"",IF(COUNTIFS($D$2:$D490,$D490,$W$2:$W490,"NAO ACEITO")=1,1,0))</f>
        <v/>
      </c>
    </row>
    <row r="491" spans="1:24" x14ac:dyDescent="0.3">
      <c r="A491" t="s">
        <v>402</v>
      </c>
      <c r="B491" t="s">
        <v>394</v>
      </c>
      <c r="C491" s="126">
        <v>2025</v>
      </c>
      <c r="D491" t="s">
        <v>119</v>
      </c>
      <c r="E491">
        <v>5</v>
      </c>
      <c r="F491" s="137">
        <v>260.54629999999997</v>
      </c>
      <c r="G491" s="138">
        <v>257.5933</v>
      </c>
      <c r="H491" s="138">
        <v>7.7278000000000002</v>
      </c>
      <c r="I491" s="139">
        <v>0.38212686663733203</v>
      </c>
      <c r="J491" s="137">
        <v>234.40989999999999</v>
      </c>
      <c r="K491" s="137">
        <v>280.77670000000001</v>
      </c>
      <c r="L491" t="s">
        <v>520</v>
      </c>
      <c r="M491" s="126"/>
      <c r="O491" s="137">
        <f t="shared" si="14"/>
        <v>1.1463807482570294</v>
      </c>
      <c r="P491" s="137">
        <f t="shared" si="15"/>
        <v>1.1463807482570294</v>
      </c>
      <c r="Q491" s="126"/>
      <c r="R491" t="s">
        <v>524</v>
      </c>
      <c r="S491" t="str">
        <f>IF($W491&lt;&gt;"NAO ACEITO","",COUNTIFS($W$2:$W491,"NAO ACEITO"))</f>
        <v/>
      </c>
      <c r="T491" t="str">
        <f>IF($B491="","",IF(COUNTIF($B$2:$B491,$B491)=1,MAX($T$1:$T490)+1,""))</f>
        <v/>
      </c>
      <c r="U491" t="str">
        <f>IF($D491="","",IF(COUNTIF($D$2:$D491,$D491)=1,MAX($U$1:$U490)+1,""))</f>
        <v/>
      </c>
      <c r="V491">
        <f>IF($D491="","",IF(COUNTIFS($B$2:$B491,$B491,$D$2:$D491,$D491)=1,1,0))</f>
        <v>0</v>
      </c>
      <c r="W491" t="str">
        <f>IF($D491="","",mEQA.PadronizarStatus($L491))</f>
        <v>ACEITO</v>
      </c>
      <c r="X491" t="str">
        <f>IF(OR($D491="",$W491&lt;&gt;"NAO ACEITO"),"",IF(COUNTIFS($D$2:$D491,$D491,$W$2:$W491,"NAO ACEITO")=1,1,0))</f>
        <v/>
      </c>
    </row>
    <row r="492" spans="1:24" x14ac:dyDescent="0.3">
      <c r="A492" t="s">
        <v>402</v>
      </c>
      <c r="B492" t="s">
        <v>394</v>
      </c>
      <c r="C492" s="126">
        <v>2025</v>
      </c>
      <c r="D492" t="s">
        <v>117</v>
      </c>
      <c r="E492">
        <v>1</v>
      </c>
      <c r="F492" s="137">
        <v>5.2034000000000002</v>
      </c>
      <c r="G492" s="138">
        <v>5.1554000000000002</v>
      </c>
      <c r="H492" s="138">
        <v>0.1547</v>
      </c>
      <c r="I492" s="139">
        <v>0.31027795733678115</v>
      </c>
      <c r="J492" s="137">
        <v>4.6913</v>
      </c>
      <c r="K492" s="137">
        <v>5.6195000000000004</v>
      </c>
      <c r="L492" t="s">
        <v>520</v>
      </c>
      <c r="M492" s="126"/>
      <c r="O492" s="137">
        <f t="shared" si="14"/>
        <v>0.93106257516390667</v>
      </c>
      <c r="P492" s="137">
        <f t="shared" si="15"/>
        <v>0.93106257516390667</v>
      </c>
      <c r="Q492" s="126"/>
      <c r="R492" t="s">
        <v>524</v>
      </c>
      <c r="S492" t="str">
        <f>IF($W492&lt;&gt;"NAO ACEITO","",COUNTIFS($W$2:$W492,"NAO ACEITO"))</f>
        <v/>
      </c>
      <c r="T492" t="str">
        <f>IF($B492="","",IF(COUNTIF($B$2:$B492,$B492)=1,MAX($T$1:$T491)+1,""))</f>
        <v/>
      </c>
      <c r="U492" t="str">
        <f>IF($D492="","",IF(COUNTIF($D$2:$D492,$D492)=1,MAX($U$1:$U491)+1,""))</f>
        <v/>
      </c>
      <c r="V492">
        <f>IF($D492="","",IF(COUNTIFS($B$2:$B492,$B492,$D$2:$D492,$D492)=1,1,0))</f>
        <v>1</v>
      </c>
      <c r="W492" t="str">
        <f>IF($D492="","",mEQA.PadronizarStatus($L492))</f>
        <v>ACEITO</v>
      </c>
      <c r="X492" t="str">
        <f>IF(OR($D492="",$W492&lt;&gt;"NAO ACEITO"),"",IF(COUNTIFS($D$2:$D492,$D492,$W$2:$W492,"NAO ACEITO")=1,1,0))</f>
        <v/>
      </c>
    </row>
    <row r="493" spans="1:24" x14ac:dyDescent="0.3">
      <c r="A493" t="s">
        <v>402</v>
      </c>
      <c r="B493" t="s">
        <v>394</v>
      </c>
      <c r="C493" s="126">
        <v>2025</v>
      </c>
      <c r="D493" t="s">
        <v>117</v>
      </c>
      <c r="E493">
        <v>2</v>
      </c>
      <c r="F493" s="137">
        <v>5.1387</v>
      </c>
      <c r="G493" s="138">
        <v>5.0909000000000004</v>
      </c>
      <c r="H493" s="138">
        <v>0.1527</v>
      </c>
      <c r="I493" s="139">
        <v>0.31303208906352076</v>
      </c>
      <c r="J493" s="137">
        <v>4.6327999999999996</v>
      </c>
      <c r="K493" s="137">
        <v>5.5490000000000004</v>
      </c>
      <c r="L493" t="s">
        <v>520</v>
      </c>
      <c r="M493" s="126"/>
      <c r="O493" s="137">
        <f t="shared" si="14"/>
        <v>0.93893024808972114</v>
      </c>
      <c r="P493" s="137">
        <f t="shared" si="15"/>
        <v>0.93893024808972114</v>
      </c>
      <c r="Q493" s="126"/>
      <c r="R493" t="s">
        <v>524</v>
      </c>
      <c r="S493" t="str">
        <f>IF($W493&lt;&gt;"NAO ACEITO","",COUNTIFS($W$2:$W493,"NAO ACEITO"))</f>
        <v/>
      </c>
      <c r="T493" t="str">
        <f>IF($B493="","",IF(COUNTIF($B$2:$B493,$B493)=1,MAX($T$1:$T492)+1,""))</f>
        <v/>
      </c>
      <c r="U493" t="str">
        <f>IF($D493="","",IF(COUNTIF($D$2:$D493,$D493)=1,MAX($U$1:$U492)+1,""))</f>
        <v/>
      </c>
      <c r="V493">
        <f>IF($D493="","",IF(COUNTIFS($B$2:$B493,$B493,$D$2:$D493,$D493)=1,1,0))</f>
        <v>0</v>
      </c>
      <c r="W493" t="str">
        <f>IF($D493="","",mEQA.PadronizarStatus($L493))</f>
        <v>ACEITO</v>
      </c>
      <c r="X493" t="str">
        <f>IF(OR($D493="",$W493&lt;&gt;"NAO ACEITO"),"",IF(COUNTIFS($D$2:$D493,$D493,$W$2:$W493,"NAO ACEITO")=1,1,0))</f>
        <v/>
      </c>
    </row>
    <row r="494" spans="1:24" x14ac:dyDescent="0.3">
      <c r="A494" t="s">
        <v>402</v>
      </c>
      <c r="B494" t="s">
        <v>394</v>
      </c>
      <c r="C494" s="126">
        <v>2025</v>
      </c>
      <c r="D494" t="s">
        <v>117</v>
      </c>
      <c r="E494">
        <v>3</v>
      </c>
      <c r="F494" s="137">
        <v>5.2306999999999997</v>
      </c>
      <c r="G494" s="138">
        <v>5.1642000000000001</v>
      </c>
      <c r="H494" s="138">
        <v>0.15490000000000001</v>
      </c>
      <c r="I494" s="139">
        <v>0.42930923176242453</v>
      </c>
      <c r="J494" s="137">
        <v>4.6994999999999996</v>
      </c>
      <c r="K494" s="137">
        <v>5.6288999999999998</v>
      </c>
      <c r="L494" t="s">
        <v>520</v>
      </c>
      <c r="M494" s="126"/>
      <c r="O494" s="137">
        <f t="shared" si="14"/>
        <v>1.2877115526122063</v>
      </c>
      <c r="P494" s="137">
        <f t="shared" si="15"/>
        <v>1.2877115526122063</v>
      </c>
      <c r="Q494" s="126"/>
      <c r="R494" t="s">
        <v>524</v>
      </c>
      <c r="S494" t="str">
        <f>IF($W494&lt;&gt;"NAO ACEITO","",COUNTIFS($W$2:$W494,"NAO ACEITO"))</f>
        <v/>
      </c>
      <c r="T494" t="str">
        <f>IF($B494="","",IF(COUNTIF($B$2:$B494,$B494)=1,MAX($T$1:$T493)+1,""))</f>
        <v/>
      </c>
      <c r="U494" t="str">
        <f>IF($D494="","",IF(COUNTIF($D$2:$D494,$D494)=1,MAX($U$1:$U493)+1,""))</f>
        <v/>
      </c>
      <c r="V494">
        <f>IF($D494="","",IF(COUNTIFS($B$2:$B494,$B494,$D$2:$D494,$D494)=1,1,0))</f>
        <v>0</v>
      </c>
      <c r="W494" t="str">
        <f>IF($D494="","",mEQA.PadronizarStatus($L494))</f>
        <v>ACEITO</v>
      </c>
      <c r="X494" t="str">
        <f>IF(OR($D494="",$W494&lt;&gt;"NAO ACEITO"),"",IF(COUNTIFS($D$2:$D494,$D494,$W$2:$W494,"NAO ACEITO")=1,1,0))</f>
        <v/>
      </c>
    </row>
    <row r="495" spans="1:24" x14ac:dyDescent="0.3">
      <c r="A495" t="s">
        <v>402</v>
      </c>
      <c r="B495" t="s">
        <v>394</v>
      </c>
      <c r="C495" s="126">
        <v>2025</v>
      </c>
      <c r="D495" t="s">
        <v>117</v>
      </c>
      <c r="E495">
        <v>4</v>
      </c>
      <c r="F495" s="137">
        <v>5.0705999999999998</v>
      </c>
      <c r="G495" s="138">
        <v>5.0197000000000003</v>
      </c>
      <c r="H495" s="138">
        <v>0.15060000000000001</v>
      </c>
      <c r="I495" s="139">
        <v>0.33798140770251989</v>
      </c>
      <c r="J495" s="137">
        <v>4.5678999999999998</v>
      </c>
      <c r="K495" s="137">
        <v>5.4714999999999998</v>
      </c>
      <c r="L495" t="s">
        <v>520</v>
      </c>
      <c r="M495" s="126"/>
      <c r="O495" s="137">
        <f t="shared" si="14"/>
        <v>1.0140048210052295</v>
      </c>
      <c r="P495" s="137">
        <f t="shared" si="15"/>
        <v>1.0140048210052295</v>
      </c>
      <c r="Q495" s="126"/>
      <c r="R495" t="s">
        <v>524</v>
      </c>
      <c r="S495" t="str">
        <f>IF($W495&lt;&gt;"NAO ACEITO","",COUNTIFS($W$2:$W495,"NAO ACEITO"))</f>
        <v/>
      </c>
      <c r="T495" t="str">
        <f>IF($B495="","",IF(COUNTIF($B$2:$B495,$B495)=1,MAX($T$1:$T494)+1,""))</f>
        <v/>
      </c>
      <c r="U495" t="str">
        <f>IF($D495="","",IF(COUNTIF($D$2:$D495,$D495)=1,MAX($U$1:$U494)+1,""))</f>
        <v/>
      </c>
      <c r="V495">
        <f>IF($D495="","",IF(COUNTIFS($B$2:$B495,$B495,$D$2:$D495,$D495)=1,1,0))</f>
        <v>0</v>
      </c>
      <c r="W495" t="str">
        <f>IF($D495="","",mEQA.PadronizarStatus($L495))</f>
        <v>ACEITO</v>
      </c>
      <c r="X495" t="str">
        <f>IF(OR($D495="",$W495&lt;&gt;"NAO ACEITO"),"",IF(COUNTIFS($D$2:$D495,$D495,$W$2:$W495,"NAO ACEITO")=1,1,0))</f>
        <v/>
      </c>
    </row>
    <row r="496" spans="1:24" x14ac:dyDescent="0.3">
      <c r="A496" t="s">
        <v>402</v>
      </c>
      <c r="B496" t="s">
        <v>394</v>
      </c>
      <c r="C496" s="126">
        <v>2025</v>
      </c>
      <c r="D496" t="s">
        <v>117</v>
      </c>
      <c r="E496">
        <v>5</v>
      </c>
      <c r="F496" s="137">
        <v>5.1607000000000003</v>
      </c>
      <c r="G496" s="138">
        <v>5.1237000000000004</v>
      </c>
      <c r="H496" s="138">
        <v>0.1537</v>
      </c>
      <c r="I496" s="139">
        <v>0.24072869225764426</v>
      </c>
      <c r="J496" s="137">
        <v>4.6626000000000003</v>
      </c>
      <c r="K496" s="137">
        <v>5.5848000000000004</v>
      </c>
      <c r="L496" t="s">
        <v>520</v>
      </c>
      <c r="M496" s="126"/>
      <c r="O496" s="137">
        <f t="shared" si="14"/>
        <v>0.72213439506606392</v>
      </c>
      <c r="P496" s="137">
        <f t="shared" si="15"/>
        <v>0.72213439506606392</v>
      </c>
      <c r="Q496" s="126"/>
      <c r="R496" t="s">
        <v>524</v>
      </c>
      <c r="S496" t="str">
        <f>IF($W496&lt;&gt;"NAO ACEITO","",COUNTIFS($W$2:$W496,"NAO ACEITO"))</f>
        <v/>
      </c>
      <c r="T496" t="str">
        <f>IF($B496="","",IF(COUNTIF($B$2:$B496,$B496)=1,MAX($T$1:$T495)+1,""))</f>
        <v/>
      </c>
      <c r="U496" t="str">
        <f>IF($D496="","",IF(COUNTIF($D$2:$D496,$D496)=1,MAX($U$1:$U495)+1,""))</f>
        <v/>
      </c>
      <c r="V496">
        <f>IF($D496="","",IF(COUNTIFS($B$2:$B496,$B496,$D$2:$D496,$D496)=1,1,0))</f>
        <v>0</v>
      </c>
      <c r="W496" t="str">
        <f>IF($D496="","",mEQA.PadronizarStatus($L496))</f>
        <v>ACEITO</v>
      </c>
      <c r="X496" t="str">
        <f>IF(OR($D496="",$W496&lt;&gt;"NAO ACEITO"),"",IF(COUNTIFS($D$2:$D496,$D496,$W$2:$W496,"NAO ACEITO")=1,1,0))</f>
        <v/>
      </c>
    </row>
    <row r="497" spans="1:24" x14ac:dyDescent="0.3">
      <c r="A497" t="s">
        <v>402</v>
      </c>
      <c r="B497" t="s">
        <v>394</v>
      </c>
      <c r="C497" s="126">
        <v>2025</v>
      </c>
      <c r="D497" t="s">
        <v>111</v>
      </c>
      <c r="E497">
        <v>1</v>
      </c>
      <c r="F497" s="137">
        <v>261.7337</v>
      </c>
      <c r="G497" s="138">
        <v>258.99470000000002</v>
      </c>
      <c r="H497" s="138">
        <v>7.7698</v>
      </c>
      <c r="I497" s="139">
        <v>0.3525187263507395</v>
      </c>
      <c r="J497" s="137">
        <v>235.68530000000001</v>
      </c>
      <c r="K497" s="137">
        <v>282.30410000000001</v>
      </c>
      <c r="L497" t="s">
        <v>520</v>
      </c>
      <c r="M497" s="126"/>
      <c r="O497" s="137">
        <f t="shared" si="14"/>
        <v>1.0575505985257518</v>
      </c>
      <c r="P497" s="137">
        <f t="shared" si="15"/>
        <v>1.0575505985257518</v>
      </c>
      <c r="Q497" s="126"/>
      <c r="R497" t="s">
        <v>524</v>
      </c>
      <c r="S497" t="str">
        <f>IF($W497&lt;&gt;"NAO ACEITO","",COUNTIFS($W$2:$W497,"NAO ACEITO"))</f>
        <v/>
      </c>
      <c r="T497" t="str">
        <f>IF($B497="","",IF(COUNTIF($B$2:$B497,$B497)=1,MAX($T$1:$T496)+1,""))</f>
        <v/>
      </c>
      <c r="U497" t="str">
        <f>IF($D497="","",IF(COUNTIF($D$2:$D497,$D497)=1,MAX($U$1:$U496)+1,""))</f>
        <v/>
      </c>
      <c r="V497">
        <f>IF($D497="","",IF(COUNTIFS($B$2:$B497,$B497,$D$2:$D497,$D497)=1,1,0))</f>
        <v>1</v>
      </c>
      <c r="W497" t="str">
        <f>IF($D497="","",mEQA.PadronizarStatus($L497))</f>
        <v>ACEITO</v>
      </c>
      <c r="X497" t="str">
        <f>IF(OR($D497="",$W497&lt;&gt;"NAO ACEITO"),"",IF(COUNTIFS($D$2:$D497,$D497,$W$2:$W497,"NAO ACEITO")=1,1,0))</f>
        <v/>
      </c>
    </row>
    <row r="498" spans="1:24" x14ac:dyDescent="0.3">
      <c r="A498" t="s">
        <v>402</v>
      </c>
      <c r="B498" t="s">
        <v>394</v>
      </c>
      <c r="C498" s="126">
        <v>2025</v>
      </c>
      <c r="D498" t="s">
        <v>111</v>
      </c>
      <c r="E498">
        <v>2</v>
      </c>
      <c r="F498" s="137">
        <v>259.40480000000002</v>
      </c>
      <c r="G498" s="138">
        <v>256.73500000000001</v>
      </c>
      <c r="H498" s="138">
        <v>7.702</v>
      </c>
      <c r="I498" s="139">
        <v>0.3466372370812788</v>
      </c>
      <c r="J498" s="137">
        <v>233.62899999999999</v>
      </c>
      <c r="K498" s="137">
        <v>279.84100000000001</v>
      </c>
      <c r="L498" t="s">
        <v>520</v>
      </c>
      <c r="M498" s="126"/>
      <c r="O498" s="137">
        <f t="shared" si="14"/>
        <v>1.039904960367698</v>
      </c>
      <c r="P498" s="137">
        <f t="shared" si="15"/>
        <v>1.039904960367698</v>
      </c>
      <c r="Q498" s="126"/>
      <c r="R498" t="s">
        <v>524</v>
      </c>
      <c r="S498" t="str">
        <f>IF($W498&lt;&gt;"NAO ACEITO","",COUNTIFS($W$2:$W498,"NAO ACEITO"))</f>
        <v/>
      </c>
      <c r="T498" t="str">
        <f>IF($B498="","",IF(COUNTIF($B$2:$B498,$B498)=1,MAX($T$1:$T497)+1,""))</f>
        <v/>
      </c>
      <c r="U498" t="str">
        <f>IF($D498="","",IF(COUNTIF($D$2:$D498,$D498)=1,MAX($U$1:$U497)+1,""))</f>
        <v/>
      </c>
      <c r="V498">
        <f>IF($D498="","",IF(COUNTIFS($B$2:$B498,$B498,$D$2:$D498,$D498)=1,1,0))</f>
        <v>0</v>
      </c>
      <c r="W498" t="str">
        <f>IF($D498="","",mEQA.PadronizarStatus($L498))</f>
        <v>ACEITO</v>
      </c>
      <c r="X498" t="str">
        <f>IF(OR($D498="",$W498&lt;&gt;"NAO ACEITO"),"",IF(COUNTIFS($D$2:$D498,$D498,$W$2:$W498,"NAO ACEITO")=1,1,0))</f>
        <v/>
      </c>
    </row>
    <row r="499" spans="1:24" x14ac:dyDescent="0.3">
      <c r="A499" t="s">
        <v>402</v>
      </c>
      <c r="B499" t="s">
        <v>394</v>
      </c>
      <c r="C499" s="126">
        <v>2025</v>
      </c>
      <c r="D499" t="s">
        <v>111</v>
      </c>
      <c r="E499">
        <v>3</v>
      </c>
      <c r="F499" s="137">
        <v>257.34530000000001</v>
      </c>
      <c r="G499" s="138">
        <v>254.0333</v>
      </c>
      <c r="H499" s="138">
        <v>7.6210000000000004</v>
      </c>
      <c r="I499" s="139">
        <v>0.43458863666185693</v>
      </c>
      <c r="J499" s="137">
        <v>231.1703</v>
      </c>
      <c r="K499" s="137">
        <v>276.8963</v>
      </c>
      <c r="L499" t="s">
        <v>520</v>
      </c>
      <c r="M499" s="126"/>
      <c r="O499" s="137">
        <f t="shared" si="14"/>
        <v>1.303766081061031</v>
      </c>
      <c r="P499" s="137">
        <f t="shared" si="15"/>
        <v>1.303766081061031</v>
      </c>
      <c r="Q499" s="126"/>
      <c r="R499" t="s">
        <v>524</v>
      </c>
      <c r="S499" t="str">
        <f>IF($W499&lt;&gt;"NAO ACEITO","",COUNTIFS($W$2:$W499,"NAO ACEITO"))</f>
        <v/>
      </c>
      <c r="T499" t="str">
        <f>IF($B499="","",IF(COUNTIF($B$2:$B499,$B499)=1,MAX($T$1:$T498)+1,""))</f>
        <v/>
      </c>
      <c r="U499" t="str">
        <f>IF($D499="","",IF(COUNTIF($D$2:$D499,$D499)=1,MAX($U$1:$U498)+1,""))</f>
        <v/>
      </c>
      <c r="V499">
        <f>IF($D499="","",IF(COUNTIFS($B$2:$B499,$B499,$D$2:$D499,$D499)=1,1,0))</f>
        <v>0</v>
      </c>
      <c r="W499" t="str">
        <f>IF($D499="","",mEQA.PadronizarStatus($L499))</f>
        <v>ACEITO</v>
      </c>
      <c r="X499" t="str">
        <f>IF(OR($D499="",$W499&lt;&gt;"NAO ACEITO"),"",IF(COUNTIFS($D$2:$D499,$D499,$W$2:$W499,"NAO ACEITO")=1,1,0))</f>
        <v/>
      </c>
    </row>
    <row r="500" spans="1:24" x14ac:dyDescent="0.3">
      <c r="A500" t="s">
        <v>402</v>
      </c>
      <c r="B500" t="s">
        <v>394</v>
      </c>
      <c r="C500" s="126">
        <v>2025</v>
      </c>
      <c r="D500" t="s">
        <v>111</v>
      </c>
      <c r="E500">
        <v>4</v>
      </c>
      <c r="F500" s="137">
        <v>259.70150000000001</v>
      </c>
      <c r="G500" s="138">
        <v>257.10250000000002</v>
      </c>
      <c r="H500" s="138">
        <v>7.7130999999999998</v>
      </c>
      <c r="I500" s="139">
        <v>0.3369591992843331</v>
      </c>
      <c r="J500" s="137">
        <v>233.9632</v>
      </c>
      <c r="K500" s="137">
        <v>280.24180000000001</v>
      </c>
      <c r="L500" t="s">
        <v>520</v>
      </c>
      <c r="M500" s="126"/>
      <c r="O500" s="137">
        <f t="shared" si="14"/>
        <v>1.010880874359444</v>
      </c>
      <c r="P500" s="137">
        <f t="shared" si="15"/>
        <v>1.010880874359444</v>
      </c>
      <c r="Q500" s="126"/>
      <c r="R500" t="s">
        <v>524</v>
      </c>
      <c r="S500" t="str">
        <f>IF($W500&lt;&gt;"NAO ACEITO","",COUNTIFS($W$2:$W500,"NAO ACEITO"))</f>
        <v/>
      </c>
      <c r="T500" t="str">
        <f>IF($B500="","",IF(COUNTIF($B$2:$B500,$B500)=1,MAX($T$1:$T499)+1,""))</f>
        <v/>
      </c>
      <c r="U500" t="str">
        <f>IF($D500="","",IF(COUNTIF($D$2:$D500,$D500)=1,MAX($U$1:$U499)+1,""))</f>
        <v/>
      </c>
      <c r="V500">
        <f>IF($D500="","",IF(COUNTIFS($B$2:$B500,$B500,$D$2:$D500,$D500)=1,1,0))</f>
        <v>0</v>
      </c>
      <c r="W500" t="str">
        <f>IF($D500="","",mEQA.PadronizarStatus($L500))</f>
        <v>ACEITO</v>
      </c>
      <c r="X500" t="str">
        <f>IF(OR($D500="",$W500&lt;&gt;"NAO ACEITO"),"",IF(COUNTIFS($D$2:$D500,$D500,$W$2:$W500,"NAO ACEITO")=1,1,0))</f>
        <v/>
      </c>
    </row>
    <row r="501" spans="1:24" x14ac:dyDescent="0.3">
      <c r="A501" t="s">
        <v>402</v>
      </c>
      <c r="B501" t="s">
        <v>394</v>
      </c>
      <c r="C501" s="126">
        <v>2025</v>
      </c>
      <c r="D501" t="s">
        <v>111</v>
      </c>
      <c r="E501">
        <v>5</v>
      </c>
      <c r="F501" s="137">
        <v>258.17930000000001</v>
      </c>
      <c r="G501" s="138">
        <v>254.6104</v>
      </c>
      <c r="H501" s="138">
        <v>7.6383000000000001</v>
      </c>
      <c r="I501" s="139">
        <v>0.46723747430711199</v>
      </c>
      <c r="J501" s="137">
        <v>231.69550000000001</v>
      </c>
      <c r="K501" s="137">
        <v>277.52530000000002</v>
      </c>
      <c r="L501" t="s">
        <v>520</v>
      </c>
      <c r="M501" s="126"/>
      <c r="O501" s="137">
        <f t="shared" si="14"/>
        <v>1.4017102207922432</v>
      </c>
      <c r="P501" s="137">
        <f t="shared" si="15"/>
        <v>1.4017102207922432</v>
      </c>
      <c r="Q501" s="126"/>
      <c r="R501" t="s">
        <v>524</v>
      </c>
      <c r="S501" t="str">
        <f>IF($W501&lt;&gt;"NAO ACEITO","",COUNTIFS($W$2:$W501,"NAO ACEITO"))</f>
        <v/>
      </c>
      <c r="T501" t="str">
        <f>IF($B501="","",IF(COUNTIF($B$2:$B501,$B501)=1,MAX($T$1:$T500)+1,""))</f>
        <v/>
      </c>
      <c r="U501" t="str">
        <f>IF($D501="","",IF(COUNTIF($D$2:$D501,$D501)=1,MAX($U$1:$U500)+1,""))</f>
        <v/>
      </c>
      <c r="V501">
        <f>IF($D501="","",IF(COUNTIFS($B$2:$B501,$B501,$D$2:$D501,$D501)=1,1,0))</f>
        <v>0</v>
      </c>
      <c r="W501" t="str">
        <f>IF($D501="","",mEQA.PadronizarStatus($L501))</f>
        <v>ACEITO</v>
      </c>
      <c r="X501" t="str">
        <f>IF(OR($D501="",$W501&lt;&gt;"NAO ACEITO"),"",IF(COUNTIFS($D$2:$D501,$D501,$W$2:$W501,"NAO ACEITO")=1,1,0))</f>
        <v/>
      </c>
    </row>
    <row r="502" spans="1:24" x14ac:dyDescent="0.3">
      <c r="A502" t="s">
        <v>402</v>
      </c>
      <c r="B502" t="s">
        <v>394</v>
      </c>
      <c r="C502" s="126">
        <v>2025</v>
      </c>
      <c r="D502" t="s">
        <v>120</v>
      </c>
      <c r="E502">
        <v>1</v>
      </c>
      <c r="F502" s="137">
        <v>72.790499999999994</v>
      </c>
      <c r="G502" s="138">
        <v>72.2774</v>
      </c>
      <c r="H502" s="138">
        <v>2.1682999999999999</v>
      </c>
      <c r="I502" s="139">
        <v>0.23663699672554275</v>
      </c>
      <c r="J502" s="137">
        <v>65.772499999999994</v>
      </c>
      <c r="K502" s="137">
        <v>78.782300000000006</v>
      </c>
      <c r="L502" t="s">
        <v>520</v>
      </c>
      <c r="M502" s="126"/>
      <c r="O502" s="137">
        <f t="shared" si="14"/>
        <v>0.70990378735260862</v>
      </c>
      <c r="P502" s="137">
        <f t="shared" si="15"/>
        <v>0.70990378735260862</v>
      </c>
      <c r="Q502" s="126"/>
      <c r="R502" t="s">
        <v>524</v>
      </c>
      <c r="S502" t="str">
        <f>IF($W502&lt;&gt;"NAO ACEITO","",COUNTIFS($W$2:$W502,"NAO ACEITO"))</f>
        <v/>
      </c>
      <c r="T502" t="str">
        <f>IF($B502="","",IF(COUNTIF($B$2:$B502,$B502)=1,MAX($T$1:$T501)+1,""))</f>
        <v/>
      </c>
      <c r="U502" t="str">
        <f>IF($D502="","",IF(COUNTIF($D$2:$D502,$D502)=1,MAX($U$1:$U501)+1,""))</f>
        <v/>
      </c>
      <c r="V502">
        <f>IF($D502="","",IF(COUNTIFS($B$2:$B502,$B502,$D$2:$D502,$D502)=1,1,0))</f>
        <v>1</v>
      </c>
      <c r="W502" t="str">
        <f>IF($D502="","",mEQA.PadronizarStatus($L502))</f>
        <v>ACEITO</v>
      </c>
      <c r="X502" t="str">
        <f>IF(OR($D502="",$W502&lt;&gt;"NAO ACEITO"),"",IF(COUNTIFS($D$2:$D502,$D502,$W$2:$W502,"NAO ACEITO")=1,1,0))</f>
        <v/>
      </c>
    </row>
    <row r="503" spans="1:24" x14ac:dyDescent="0.3">
      <c r="A503" t="s">
        <v>402</v>
      </c>
      <c r="B503" t="s">
        <v>394</v>
      </c>
      <c r="C503" s="126">
        <v>2025</v>
      </c>
      <c r="D503" t="s">
        <v>120</v>
      </c>
      <c r="E503">
        <v>2</v>
      </c>
      <c r="F503" s="137">
        <v>72.9315</v>
      </c>
      <c r="G503" s="138">
        <v>72.402900000000002</v>
      </c>
      <c r="H503" s="138">
        <v>2.1720999999999999</v>
      </c>
      <c r="I503" s="139">
        <v>0.24335896137378449</v>
      </c>
      <c r="J503" s="137">
        <v>65.886600000000001</v>
      </c>
      <c r="K503" s="137">
        <v>78.919200000000004</v>
      </c>
      <c r="L503" t="s">
        <v>520</v>
      </c>
      <c r="M503" s="126"/>
      <c r="O503" s="137">
        <f t="shared" si="14"/>
        <v>0.73008125365143839</v>
      </c>
      <c r="P503" s="137">
        <f t="shared" si="15"/>
        <v>0.73008125365143839</v>
      </c>
      <c r="Q503" s="126"/>
      <c r="R503" t="s">
        <v>524</v>
      </c>
      <c r="S503" t="str">
        <f>IF($W503&lt;&gt;"NAO ACEITO","",COUNTIFS($W$2:$W503,"NAO ACEITO"))</f>
        <v/>
      </c>
      <c r="T503" t="str">
        <f>IF($B503="","",IF(COUNTIF($B$2:$B503,$B503)=1,MAX($T$1:$T502)+1,""))</f>
        <v/>
      </c>
      <c r="U503" t="str">
        <f>IF($D503="","",IF(COUNTIF($D$2:$D503,$D503)=1,MAX($U$1:$U502)+1,""))</f>
        <v/>
      </c>
      <c r="V503">
        <f>IF($D503="","",IF(COUNTIFS($B$2:$B503,$B503,$D$2:$D503,$D503)=1,1,0))</f>
        <v>0</v>
      </c>
      <c r="W503" t="str">
        <f>IF($D503="","",mEQA.PadronizarStatus($L503))</f>
        <v>ACEITO</v>
      </c>
      <c r="X503" t="str">
        <f>IF(OR($D503="",$W503&lt;&gt;"NAO ACEITO"),"",IF(COUNTIFS($D$2:$D503,$D503,$W$2:$W503,"NAO ACEITO")=1,1,0))</f>
        <v/>
      </c>
    </row>
    <row r="504" spans="1:24" x14ac:dyDescent="0.3">
      <c r="A504" t="s">
        <v>402</v>
      </c>
      <c r="B504" t="s">
        <v>394</v>
      </c>
      <c r="C504" s="126">
        <v>2025</v>
      </c>
      <c r="D504" t="s">
        <v>120</v>
      </c>
      <c r="E504">
        <v>3</v>
      </c>
      <c r="F504" s="137">
        <v>72.608500000000006</v>
      </c>
      <c r="G504" s="138">
        <v>72.145499999999998</v>
      </c>
      <c r="H504" s="138">
        <v>2.1644000000000001</v>
      </c>
      <c r="I504" s="139">
        <v>0.21391609683977456</v>
      </c>
      <c r="J504" s="137">
        <v>65.652299999999997</v>
      </c>
      <c r="K504" s="137">
        <v>78.6387</v>
      </c>
      <c r="L504" t="s">
        <v>520</v>
      </c>
      <c r="M504" s="126"/>
      <c r="O504" s="137">
        <f t="shared" si="14"/>
        <v>0.64175866824681804</v>
      </c>
      <c r="P504" s="137">
        <f t="shared" si="15"/>
        <v>0.64175866824681804</v>
      </c>
      <c r="Q504" s="126"/>
      <c r="R504" t="s">
        <v>524</v>
      </c>
      <c r="S504" t="str">
        <f>IF($W504&lt;&gt;"NAO ACEITO","",COUNTIFS($W$2:$W504,"NAO ACEITO"))</f>
        <v/>
      </c>
      <c r="T504" t="str">
        <f>IF($B504="","",IF(COUNTIF($B$2:$B504,$B504)=1,MAX($T$1:$T503)+1,""))</f>
        <v/>
      </c>
      <c r="U504" t="str">
        <f>IF($D504="","",IF(COUNTIF($D$2:$D504,$D504)=1,MAX($U$1:$U503)+1,""))</f>
        <v/>
      </c>
      <c r="V504">
        <f>IF($D504="","",IF(COUNTIFS($B$2:$B504,$B504,$D$2:$D504,$D504)=1,1,0))</f>
        <v>0</v>
      </c>
      <c r="W504" t="str">
        <f>IF($D504="","",mEQA.PadronizarStatus($L504))</f>
        <v>ACEITO</v>
      </c>
      <c r="X504" t="str">
        <f>IF(OR($D504="",$W504&lt;&gt;"NAO ACEITO"),"",IF(COUNTIFS($D$2:$D504,$D504,$W$2:$W504,"NAO ACEITO")=1,1,0))</f>
        <v/>
      </c>
    </row>
    <row r="505" spans="1:24" x14ac:dyDescent="0.3">
      <c r="A505" t="s">
        <v>402</v>
      </c>
      <c r="B505" t="s">
        <v>394</v>
      </c>
      <c r="C505" s="126">
        <v>2025</v>
      </c>
      <c r="D505" t="s">
        <v>120</v>
      </c>
      <c r="E505">
        <v>4</v>
      </c>
      <c r="F505" s="137">
        <v>71.315600000000003</v>
      </c>
      <c r="G505" s="138">
        <v>70.918199999999999</v>
      </c>
      <c r="H505" s="138">
        <v>2.1274999999999999</v>
      </c>
      <c r="I505" s="139">
        <v>0.18679200940070723</v>
      </c>
      <c r="J505" s="137">
        <v>64.535700000000006</v>
      </c>
      <c r="K505" s="137">
        <v>77.300700000000006</v>
      </c>
      <c r="L505" t="s">
        <v>520</v>
      </c>
      <c r="M505" s="126"/>
      <c r="O505" s="137">
        <f t="shared" si="14"/>
        <v>0.56036391222564108</v>
      </c>
      <c r="P505" s="137">
        <f t="shared" si="15"/>
        <v>0.56036391222564108</v>
      </c>
      <c r="Q505" s="126"/>
      <c r="R505" t="s">
        <v>524</v>
      </c>
      <c r="S505" t="str">
        <f>IF($W505&lt;&gt;"NAO ACEITO","",COUNTIFS($W$2:$W505,"NAO ACEITO"))</f>
        <v/>
      </c>
      <c r="T505" t="str">
        <f>IF($B505="","",IF(COUNTIF($B$2:$B505,$B505)=1,MAX($T$1:$T504)+1,""))</f>
        <v/>
      </c>
      <c r="U505" t="str">
        <f>IF($D505="","",IF(COUNTIF($D$2:$D505,$D505)=1,MAX($U$1:$U504)+1,""))</f>
        <v/>
      </c>
      <c r="V505">
        <f>IF($D505="","",IF(COUNTIFS($B$2:$B505,$B505,$D$2:$D505,$D505)=1,1,0))</f>
        <v>0</v>
      </c>
      <c r="W505" t="str">
        <f>IF($D505="","",mEQA.PadronizarStatus($L505))</f>
        <v>ACEITO</v>
      </c>
      <c r="X505" t="str">
        <f>IF(OR($D505="",$W505&lt;&gt;"NAO ACEITO"),"",IF(COUNTIFS($D$2:$D505,$D505,$W$2:$W505,"NAO ACEITO")=1,1,0))</f>
        <v/>
      </c>
    </row>
    <row r="506" spans="1:24" x14ac:dyDescent="0.3">
      <c r="A506" t="s">
        <v>402</v>
      </c>
      <c r="B506" t="s">
        <v>394</v>
      </c>
      <c r="C506" s="126">
        <v>2025</v>
      </c>
      <c r="D506" t="s">
        <v>120</v>
      </c>
      <c r="E506">
        <v>5</v>
      </c>
      <c r="F506" s="137">
        <v>71.912099999999995</v>
      </c>
      <c r="G506" s="138">
        <v>71.461699999999993</v>
      </c>
      <c r="H506" s="138">
        <v>2.1438999999999999</v>
      </c>
      <c r="I506" s="139">
        <v>0.21008442557955218</v>
      </c>
      <c r="J506" s="137">
        <v>65.03</v>
      </c>
      <c r="K506" s="137">
        <v>77.8934</v>
      </c>
      <c r="L506" t="s">
        <v>520</v>
      </c>
      <c r="M506" s="126"/>
      <c r="O506" s="137">
        <f t="shared" si="14"/>
        <v>0.63026768184916104</v>
      </c>
      <c r="P506" s="137">
        <f t="shared" si="15"/>
        <v>0.63026768184916104</v>
      </c>
      <c r="Q506" s="126"/>
      <c r="R506" t="s">
        <v>524</v>
      </c>
      <c r="S506" t="str">
        <f>IF($W506&lt;&gt;"NAO ACEITO","",COUNTIFS($W$2:$W506,"NAO ACEITO"))</f>
        <v/>
      </c>
      <c r="T506" t="str">
        <f>IF($B506="","",IF(COUNTIF($B$2:$B506,$B506)=1,MAX($T$1:$T505)+1,""))</f>
        <v/>
      </c>
      <c r="U506" t="str">
        <f>IF($D506="","",IF(COUNTIF($D$2:$D506,$D506)=1,MAX($U$1:$U505)+1,""))</f>
        <v/>
      </c>
      <c r="V506">
        <f>IF($D506="","",IF(COUNTIFS($B$2:$B506,$B506,$D$2:$D506,$D506)=1,1,0))</f>
        <v>0</v>
      </c>
      <c r="W506" t="str">
        <f>IF($D506="","",mEQA.PadronizarStatus($L506))</f>
        <v>ACEITO</v>
      </c>
      <c r="X506" t="str">
        <f>IF(OR($D506="",$W506&lt;&gt;"NAO ACEITO"),"",IF(COUNTIFS($D$2:$D506,$D506,$W$2:$W506,"NAO ACEITO")=1,1,0))</f>
        <v/>
      </c>
    </row>
    <row r="507" spans="1:24" x14ac:dyDescent="0.3">
      <c r="A507" t="s">
        <v>402</v>
      </c>
      <c r="B507" t="s">
        <v>394</v>
      </c>
      <c r="C507" s="126">
        <v>2025</v>
      </c>
      <c r="D507" t="s">
        <v>115</v>
      </c>
      <c r="E507">
        <v>1</v>
      </c>
      <c r="F507" s="137">
        <v>79.045400000000001</v>
      </c>
      <c r="G507" s="138">
        <v>78.271199999999993</v>
      </c>
      <c r="H507" s="138">
        <v>2.3481000000000001</v>
      </c>
      <c r="I507" s="139">
        <v>0.32971338529023786</v>
      </c>
      <c r="J507" s="137">
        <v>71.226900000000001</v>
      </c>
      <c r="K507" s="137">
        <v>85.3155</v>
      </c>
      <c r="L507" t="s">
        <v>520</v>
      </c>
      <c r="M507" s="126"/>
      <c r="O507" s="137">
        <f t="shared" si="14"/>
        <v>0.98912499105674578</v>
      </c>
      <c r="P507" s="137">
        <f t="shared" si="15"/>
        <v>0.98912499105674578</v>
      </c>
      <c r="Q507" s="126"/>
      <c r="R507" t="s">
        <v>524</v>
      </c>
      <c r="S507" t="str">
        <f>IF($W507&lt;&gt;"NAO ACEITO","",COUNTIFS($W$2:$W507,"NAO ACEITO"))</f>
        <v/>
      </c>
      <c r="T507" t="str">
        <f>IF($B507="","",IF(COUNTIF($B$2:$B507,$B507)=1,MAX($T$1:$T506)+1,""))</f>
        <v/>
      </c>
      <c r="U507" t="str">
        <f>IF($D507="","",IF(COUNTIF($D$2:$D507,$D507)=1,MAX($U$1:$U506)+1,""))</f>
        <v/>
      </c>
      <c r="V507">
        <f>IF($D507="","",IF(COUNTIFS($B$2:$B507,$B507,$D$2:$D507,$D507)=1,1,0))</f>
        <v>1</v>
      </c>
      <c r="W507" t="str">
        <f>IF($D507="","",mEQA.PadronizarStatus($L507))</f>
        <v>ACEITO</v>
      </c>
      <c r="X507" t="str">
        <f>IF(OR($D507="",$W507&lt;&gt;"NAO ACEITO"),"",IF(COUNTIFS($D$2:$D507,$D507,$W$2:$W507,"NAO ACEITO")=1,1,0))</f>
        <v/>
      </c>
    </row>
    <row r="508" spans="1:24" x14ac:dyDescent="0.3">
      <c r="A508" t="s">
        <v>402</v>
      </c>
      <c r="B508" t="s">
        <v>394</v>
      </c>
      <c r="C508" s="126">
        <v>2025</v>
      </c>
      <c r="D508" t="s">
        <v>115</v>
      </c>
      <c r="E508">
        <v>2</v>
      </c>
      <c r="F508" s="137">
        <v>79.202100000000002</v>
      </c>
      <c r="G508" s="138">
        <v>78.857100000000003</v>
      </c>
      <c r="H508" s="138">
        <v>2.3656999999999999</v>
      </c>
      <c r="I508" s="139">
        <v>0.1458342139747216</v>
      </c>
      <c r="J508" s="137">
        <v>71.760000000000005</v>
      </c>
      <c r="K508" s="137">
        <v>85.9542</v>
      </c>
      <c r="L508" t="s">
        <v>520</v>
      </c>
      <c r="M508" s="126"/>
      <c r="O508" s="137">
        <f t="shared" si="14"/>
        <v>0.43750023777186692</v>
      </c>
      <c r="P508" s="137">
        <f t="shared" si="15"/>
        <v>0.43750023777186692</v>
      </c>
      <c r="Q508" s="126"/>
      <c r="R508" t="s">
        <v>524</v>
      </c>
      <c r="S508" t="str">
        <f>IF($W508&lt;&gt;"NAO ACEITO","",COUNTIFS($W$2:$W508,"NAO ACEITO"))</f>
        <v/>
      </c>
      <c r="T508" t="str">
        <f>IF($B508="","",IF(COUNTIF($B$2:$B508,$B508)=1,MAX($T$1:$T507)+1,""))</f>
        <v/>
      </c>
      <c r="U508" t="str">
        <f>IF($D508="","",IF(COUNTIF($D$2:$D508,$D508)=1,MAX($U$1:$U507)+1,""))</f>
        <v/>
      </c>
      <c r="V508">
        <f>IF($D508="","",IF(COUNTIFS($B$2:$B508,$B508,$D$2:$D508,$D508)=1,1,0))</f>
        <v>0</v>
      </c>
      <c r="W508" t="str">
        <f>IF($D508="","",mEQA.PadronizarStatus($L508))</f>
        <v>ACEITO</v>
      </c>
      <c r="X508" t="str">
        <f>IF(OR($D508="",$W508&lt;&gt;"NAO ACEITO"),"",IF(COUNTIFS($D$2:$D508,$D508,$W$2:$W508,"NAO ACEITO")=1,1,0))</f>
        <v/>
      </c>
    </row>
    <row r="509" spans="1:24" x14ac:dyDescent="0.3">
      <c r="A509" t="s">
        <v>402</v>
      </c>
      <c r="B509" t="s">
        <v>394</v>
      </c>
      <c r="C509" s="126">
        <v>2025</v>
      </c>
      <c r="D509" t="s">
        <v>115</v>
      </c>
      <c r="E509">
        <v>3</v>
      </c>
      <c r="F509" s="137">
        <v>77.947500000000005</v>
      </c>
      <c r="G509" s="138">
        <v>77.483900000000006</v>
      </c>
      <c r="H509" s="138">
        <v>2.3245</v>
      </c>
      <c r="I509" s="139">
        <v>0.1994407399440738</v>
      </c>
      <c r="J509" s="137">
        <v>70.510400000000004</v>
      </c>
      <c r="K509" s="137">
        <v>84.457400000000007</v>
      </c>
      <c r="L509" t="s">
        <v>520</v>
      </c>
      <c r="M509" s="126"/>
      <c r="O509" s="137">
        <f t="shared" si="14"/>
        <v>0.59831784409406286</v>
      </c>
      <c r="P509" s="137">
        <f t="shared" si="15"/>
        <v>0.59831784409406286</v>
      </c>
      <c r="Q509" s="126"/>
      <c r="R509" t="s">
        <v>524</v>
      </c>
      <c r="S509" t="str">
        <f>IF($W509&lt;&gt;"NAO ACEITO","",COUNTIFS($W$2:$W509,"NAO ACEITO"))</f>
        <v/>
      </c>
      <c r="T509" t="str">
        <f>IF($B509="","",IF(COUNTIF($B$2:$B509,$B509)=1,MAX($T$1:$T508)+1,""))</f>
        <v/>
      </c>
      <c r="U509" t="str">
        <f>IF($D509="","",IF(COUNTIF($D$2:$D509,$D509)=1,MAX($U$1:$U508)+1,""))</f>
        <v/>
      </c>
      <c r="V509">
        <f>IF($D509="","",IF(COUNTIFS($B$2:$B509,$B509,$D$2:$D509,$D509)=1,1,0))</f>
        <v>0</v>
      </c>
      <c r="W509" t="str">
        <f>IF($D509="","",mEQA.PadronizarStatus($L509))</f>
        <v>ACEITO</v>
      </c>
      <c r="X509" t="str">
        <f>IF(OR($D509="",$W509&lt;&gt;"NAO ACEITO"),"",IF(COUNTIFS($D$2:$D509,$D509,$W$2:$W509,"NAO ACEITO")=1,1,0))</f>
        <v/>
      </c>
    </row>
    <row r="510" spans="1:24" x14ac:dyDescent="0.3">
      <c r="A510" t="s">
        <v>402</v>
      </c>
      <c r="B510" t="s">
        <v>394</v>
      </c>
      <c r="C510" s="126">
        <v>2025</v>
      </c>
      <c r="D510" t="s">
        <v>115</v>
      </c>
      <c r="E510">
        <v>4</v>
      </c>
      <c r="F510" s="137">
        <v>77.372200000000007</v>
      </c>
      <c r="G510" s="138">
        <v>76.647499999999994</v>
      </c>
      <c r="H510" s="138">
        <v>2.2993999999999999</v>
      </c>
      <c r="I510" s="139">
        <v>0.31516917456728399</v>
      </c>
      <c r="J510" s="137">
        <v>69.749300000000005</v>
      </c>
      <c r="K510" s="137">
        <v>83.545699999999997</v>
      </c>
      <c r="L510" t="s">
        <v>520</v>
      </c>
      <c r="M510" s="126"/>
      <c r="O510" s="137">
        <f t="shared" si="14"/>
        <v>0.94549724387620326</v>
      </c>
      <c r="P510" s="137">
        <f t="shared" si="15"/>
        <v>0.94549724387620326</v>
      </c>
      <c r="Q510" s="126"/>
      <c r="R510" t="s">
        <v>524</v>
      </c>
      <c r="S510" t="str">
        <f>IF($W510&lt;&gt;"NAO ACEITO","",COUNTIFS($W$2:$W510,"NAO ACEITO"))</f>
        <v/>
      </c>
      <c r="T510" t="str">
        <f>IF($B510="","",IF(COUNTIF($B$2:$B510,$B510)=1,MAX($T$1:$T509)+1,""))</f>
        <v/>
      </c>
      <c r="U510" t="str">
        <f>IF($D510="","",IF(COUNTIF($D$2:$D510,$D510)=1,MAX($U$1:$U509)+1,""))</f>
        <v/>
      </c>
      <c r="V510">
        <f>IF($D510="","",IF(COUNTIFS($B$2:$B510,$B510,$D$2:$D510,$D510)=1,1,0))</f>
        <v>0</v>
      </c>
      <c r="W510" t="str">
        <f>IF($D510="","",mEQA.PadronizarStatus($L510))</f>
        <v>ACEITO</v>
      </c>
      <c r="X510" t="str">
        <f>IF(OR($D510="",$W510&lt;&gt;"NAO ACEITO"),"",IF(COUNTIFS($D$2:$D510,$D510,$W$2:$W510,"NAO ACEITO")=1,1,0))</f>
        <v/>
      </c>
    </row>
    <row r="511" spans="1:24" x14ac:dyDescent="0.3">
      <c r="A511" t="s">
        <v>402</v>
      </c>
      <c r="B511" t="s">
        <v>394</v>
      </c>
      <c r="C511" s="126">
        <v>2025</v>
      </c>
      <c r="D511" t="s">
        <v>115</v>
      </c>
      <c r="E511">
        <v>5</v>
      </c>
      <c r="F511" s="137">
        <v>78.908900000000003</v>
      </c>
      <c r="G511" s="138">
        <v>78.411699999999996</v>
      </c>
      <c r="H511" s="138">
        <v>2.3523999999999998</v>
      </c>
      <c r="I511" s="139">
        <v>0.2113586124808734</v>
      </c>
      <c r="J511" s="137">
        <v>71.354500000000002</v>
      </c>
      <c r="K511" s="137">
        <v>85.468900000000005</v>
      </c>
      <c r="L511" t="s">
        <v>520</v>
      </c>
      <c r="M511" s="126"/>
      <c r="O511" s="137">
        <f t="shared" si="14"/>
        <v>0.63408904538481703</v>
      </c>
      <c r="P511" s="137">
        <f t="shared" si="15"/>
        <v>0.63408904538481703</v>
      </c>
      <c r="Q511" s="126"/>
      <c r="R511" t="s">
        <v>524</v>
      </c>
      <c r="S511" t="str">
        <f>IF($W511&lt;&gt;"NAO ACEITO","",COUNTIFS($W$2:$W511,"NAO ACEITO"))</f>
        <v/>
      </c>
      <c r="T511" t="str">
        <f>IF($B511="","",IF(COUNTIF($B$2:$B511,$B511)=1,MAX($T$1:$T510)+1,""))</f>
        <v/>
      </c>
      <c r="U511" t="str">
        <f>IF($D511="","",IF(COUNTIF($D$2:$D511,$D511)=1,MAX($U$1:$U510)+1,""))</f>
        <v/>
      </c>
      <c r="V511">
        <f>IF($D511="","",IF(COUNTIFS($B$2:$B511,$B511,$D$2:$D511,$D511)=1,1,0))</f>
        <v>0</v>
      </c>
      <c r="W511" t="str">
        <f>IF($D511="","",mEQA.PadronizarStatus($L511))</f>
        <v>ACEITO</v>
      </c>
      <c r="X511" t="str">
        <f>IF(OR($D511="",$W511&lt;&gt;"NAO ACEITO"),"",IF(COUNTIFS($D$2:$D511,$D511,$W$2:$W511,"NAO ACEITO")=1,1,0))</f>
        <v/>
      </c>
    </row>
    <row r="512" spans="1:24" x14ac:dyDescent="0.3">
      <c r="A512" t="s">
        <v>402</v>
      </c>
      <c r="B512" t="s">
        <v>394</v>
      </c>
      <c r="C512" s="126">
        <v>2025</v>
      </c>
      <c r="D512" t="s">
        <v>118</v>
      </c>
      <c r="E512">
        <v>1</v>
      </c>
      <c r="F512" s="137">
        <v>9.5827000000000009</v>
      </c>
      <c r="G512" s="138">
        <v>9.4301999999999992</v>
      </c>
      <c r="H512" s="138">
        <v>0.28289999999999998</v>
      </c>
      <c r="I512" s="139">
        <v>0.53905973842347699</v>
      </c>
      <c r="J512" s="137">
        <v>8.5815000000000001</v>
      </c>
      <c r="K512" s="137">
        <v>10.2789</v>
      </c>
      <c r="L512" t="s">
        <v>520</v>
      </c>
      <c r="M512" s="126"/>
      <c r="O512" s="137">
        <f t="shared" si="14"/>
        <v>1.6171449173930739</v>
      </c>
      <c r="P512" s="137">
        <f t="shared" si="15"/>
        <v>1.6171449173930739</v>
      </c>
      <c r="Q512" s="126"/>
      <c r="R512" t="s">
        <v>524</v>
      </c>
      <c r="S512" t="str">
        <f>IF($W512&lt;&gt;"NAO ACEITO","",COUNTIFS($W$2:$W512,"NAO ACEITO"))</f>
        <v/>
      </c>
      <c r="T512" t="str">
        <f>IF($B512="","",IF(COUNTIF($B$2:$B512,$B512)=1,MAX($T$1:$T511)+1,""))</f>
        <v/>
      </c>
      <c r="U512" t="str">
        <f>IF($D512="","",IF(COUNTIF($D$2:$D512,$D512)=1,MAX($U$1:$U511)+1,""))</f>
        <v/>
      </c>
      <c r="V512">
        <f>IF($D512="","",IF(COUNTIFS($B$2:$B512,$B512,$D$2:$D512,$D512)=1,1,0))</f>
        <v>1</v>
      </c>
      <c r="W512" t="str">
        <f>IF($D512="","",mEQA.PadronizarStatus($L512))</f>
        <v>ACEITO</v>
      </c>
      <c r="X512" t="str">
        <f>IF(OR($D512="",$W512&lt;&gt;"NAO ACEITO"),"",IF(COUNTIFS($D$2:$D512,$D512,$W$2:$W512,"NAO ACEITO")=1,1,0))</f>
        <v/>
      </c>
    </row>
    <row r="513" spans="1:24" x14ac:dyDescent="0.3">
      <c r="A513" t="s">
        <v>402</v>
      </c>
      <c r="B513" t="s">
        <v>394</v>
      </c>
      <c r="C513" s="126">
        <v>2025</v>
      </c>
      <c r="D513" t="s">
        <v>118</v>
      </c>
      <c r="E513">
        <v>2</v>
      </c>
      <c r="F513" s="137">
        <v>9.6576000000000004</v>
      </c>
      <c r="G513" s="138">
        <v>9.5291999999999994</v>
      </c>
      <c r="H513" s="138">
        <v>0.28589999999999999</v>
      </c>
      <c r="I513" s="139">
        <v>0.44910807974816708</v>
      </c>
      <c r="J513" s="137">
        <v>8.6715</v>
      </c>
      <c r="K513" s="137">
        <v>10.386900000000001</v>
      </c>
      <c r="L513" t="s">
        <v>520</v>
      </c>
      <c r="M513" s="126"/>
      <c r="O513" s="137">
        <f t="shared" si="14"/>
        <v>1.34743735045965</v>
      </c>
      <c r="P513" s="137">
        <f t="shared" si="15"/>
        <v>1.34743735045965</v>
      </c>
      <c r="Q513" s="126"/>
      <c r="R513" t="s">
        <v>524</v>
      </c>
      <c r="S513" t="str">
        <f>IF($W513&lt;&gt;"NAO ACEITO","",COUNTIFS($W$2:$W513,"NAO ACEITO"))</f>
        <v/>
      </c>
      <c r="T513" t="str">
        <f>IF($B513="","",IF(COUNTIF($B$2:$B513,$B513)=1,MAX($T$1:$T512)+1,""))</f>
        <v/>
      </c>
      <c r="U513" t="str">
        <f>IF($D513="","",IF(COUNTIF($D$2:$D513,$D513)=1,MAX($U$1:$U512)+1,""))</f>
        <v/>
      </c>
      <c r="V513">
        <f>IF($D513="","",IF(COUNTIFS($B$2:$B513,$B513,$D$2:$D513,$D513)=1,1,0))</f>
        <v>0</v>
      </c>
      <c r="W513" t="str">
        <f>IF($D513="","",mEQA.PadronizarStatus($L513))</f>
        <v>ACEITO</v>
      </c>
      <c r="X513" t="str">
        <f>IF(OR($D513="",$W513&lt;&gt;"NAO ACEITO"),"",IF(COUNTIFS($D$2:$D513,$D513,$W$2:$W513,"NAO ACEITO")=1,1,0))</f>
        <v/>
      </c>
    </row>
    <row r="514" spans="1:24" x14ac:dyDescent="0.3">
      <c r="A514" t="s">
        <v>402</v>
      </c>
      <c r="B514" t="s">
        <v>394</v>
      </c>
      <c r="C514" s="126">
        <v>2025</v>
      </c>
      <c r="D514" t="s">
        <v>118</v>
      </c>
      <c r="E514">
        <v>3</v>
      </c>
      <c r="F514" s="137">
        <v>9.5434000000000001</v>
      </c>
      <c r="G514" s="138">
        <v>9.4788999999999994</v>
      </c>
      <c r="H514" s="138">
        <v>0.28439999999999999</v>
      </c>
      <c r="I514" s="139">
        <v>0.22679324894515004</v>
      </c>
      <c r="J514" s="137">
        <v>8.6257000000000001</v>
      </c>
      <c r="K514" s="137">
        <v>10.332100000000001</v>
      </c>
      <c r="L514" t="s">
        <v>520</v>
      </c>
      <c r="M514" s="126"/>
      <c r="O514" s="137">
        <f t="shared" ref="O514:O546" si="16">IFERROR((F514-G514)/G514*100,"")</f>
        <v>0.68045870301406985</v>
      </c>
      <c r="P514" s="137">
        <f t="shared" ref="P514:P546" si="17">IF(O514="","",ABS(O514))</f>
        <v>0.68045870301406985</v>
      </c>
      <c r="Q514" s="126"/>
      <c r="R514" t="s">
        <v>524</v>
      </c>
      <c r="S514" t="str">
        <f>IF($W514&lt;&gt;"NAO ACEITO","",COUNTIFS($W$2:$W514,"NAO ACEITO"))</f>
        <v/>
      </c>
      <c r="T514" t="str">
        <f>IF($B514="","",IF(COUNTIF($B$2:$B514,$B514)=1,MAX($T$1:$T513)+1,""))</f>
        <v/>
      </c>
      <c r="U514" t="str">
        <f>IF($D514="","",IF(COUNTIF($D$2:$D514,$D514)=1,MAX($U$1:$U513)+1,""))</f>
        <v/>
      </c>
      <c r="V514">
        <f>IF($D514="","",IF(COUNTIFS($B$2:$B514,$B514,$D$2:$D514,$D514)=1,1,0))</f>
        <v>0</v>
      </c>
      <c r="W514" t="str">
        <f>IF($D514="","",mEQA.PadronizarStatus($L514))</f>
        <v>ACEITO</v>
      </c>
      <c r="X514" t="str">
        <f>IF(OR($D514="",$W514&lt;&gt;"NAO ACEITO"),"",IF(COUNTIFS($D$2:$D514,$D514,$W$2:$W514,"NAO ACEITO")=1,1,0))</f>
        <v/>
      </c>
    </row>
    <row r="515" spans="1:24" x14ac:dyDescent="0.3">
      <c r="A515" t="s">
        <v>402</v>
      </c>
      <c r="B515" t="s">
        <v>394</v>
      </c>
      <c r="C515" s="126">
        <v>2025</v>
      </c>
      <c r="D515" t="s">
        <v>118</v>
      </c>
      <c r="E515">
        <v>4</v>
      </c>
      <c r="F515" s="137">
        <v>9.65</v>
      </c>
      <c r="G515" s="138">
        <v>9.4537999999999993</v>
      </c>
      <c r="H515" s="138">
        <v>0.28360000000000002</v>
      </c>
      <c r="I515" s="139">
        <v>0.69181946403385408</v>
      </c>
      <c r="J515" s="137">
        <v>8.6029999999999998</v>
      </c>
      <c r="K515" s="137">
        <v>10.304600000000001</v>
      </c>
      <c r="L515" t="s">
        <v>520</v>
      </c>
      <c r="M515" s="126"/>
      <c r="O515" s="137">
        <f t="shared" si="16"/>
        <v>2.07535594152617</v>
      </c>
      <c r="P515" s="137">
        <f t="shared" si="17"/>
        <v>2.07535594152617</v>
      </c>
      <c r="Q515" s="126"/>
      <c r="R515" t="s">
        <v>524</v>
      </c>
      <c r="S515" t="str">
        <f>IF($W515&lt;&gt;"NAO ACEITO","",COUNTIFS($W$2:$W515,"NAO ACEITO"))</f>
        <v/>
      </c>
      <c r="T515" t="str">
        <f>IF($B515="","",IF(COUNTIF($B$2:$B515,$B515)=1,MAX($T$1:$T514)+1,""))</f>
        <v/>
      </c>
      <c r="U515" t="str">
        <f>IF($D515="","",IF(COUNTIF($D$2:$D515,$D515)=1,MAX($U$1:$U514)+1,""))</f>
        <v/>
      </c>
      <c r="V515">
        <f>IF($D515="","",IF(COUNTIFS($B$2:$B515,$B515,$D$2:$D515,$D515)=1,1,0))</f>
        <v>0</v>
      </c>
      <c r="W515" t="str">
        <f>IF($D515="","",mEQA.PadronizarStatus($L515))</f>
        <v>ACEITO</v>
      </c>
      <c r="X515" t="str">
        <f>IF(OR($D515="",$W515&lt;&gt;"NAO ACEITO"),"",IF(COUNTIFS($D$2:$D515,$D515,$W$2:$W515,"NAO ACEITO")=1,1,0))</f>
        <v/>
      </c>
    </row>
    <row r="516" spans="1:24" x14ac:dyDescent="0.3">
      <c r="A516" t="s">
        <v>402</v>
      </c>
      <c r="B516" t="s">
        <v>394</v>
      </c>
      <c r="C516" s="126">
        <v>2025</v>
      </c>
      <c r="D516" t="s">
        <v>118</v>
      </c>
      <c r="E516">
        <v>5</v>
      </c>
      <c r="F516" s="137">
        <v>9.5381999999999998</v>
      </c>
      <c r="G516" s="138">
        <v>9.4818999999999996</v>
      </c>
      <c r="H516" s="138">
        <v>0.28449999999999998</v>
      </c>
      <c r="I516" s="139">
        <v>0.197891036906855</v>
      </c>
      <c r="J516" s="137">
        <v>8.6283999999999992</v>
      </c>
      <c r="K516" s="137">
        <v>10.3354</v>
      </c>
      <c r="L516" t="s">
        <v>520</v>
      </c>
      <c r="M516" s="126"/>
      <c r="O516" s="137">
        <f t="shared" si="16"/>
        <v>0.59376285343655011</v>
      </c>
      <c r="P516" s="137">
        <f t="shared" si="17"/>
        <v>0.59376285343655011</v>
      </c>
      <c r="Q516" s="126"/>
      <c r="R516" t="s">
        <v>524</v>
      </c>
      <c r="S516" t="str">
        <f>IF($W516&lt;&gt;"NAO ACEITO","",COUNTIFS($W$2:$W516,"NAO ACEITO"))</f>
        <v/>
      </c>
      <c r="T516" t="str">
        <f>IF($B516="","",IF(COUNTIF($B$2:$B516,$B516)=1,MAX($T$1:$T515)+1,""))</f>
        <v/>
      </c>
      <c r="U516" t="str">
        <f>IF($D516="","",IF(COUNTIF($D$2:$D516,$D516)=1,MAX($U$1:$U515)+1,""))</f>
        <v/>
      </c>
      <c r="V516">
        <f>IF($D516="","",IF(COUNTIFS($B$2:$B516,$B516,$D$2:$D516,$D516)=1,1,0))</f>
        <v>0</v>
      </c>
      <c r="W516" t="str">
        <f>IF($D516="","",mEQA.PadronizarStatus($L516))</f>
        <v>ACEITO</v>
      </c>
      <c r="X516" t="str">
        <f>IF(OR($D516="",$W516&lt;&gt;"NAO ACEITO"),"",IF(COUNTIFS($D$2:$D516,$D516,$W$2:$W516,"NAO ACEITO")=1,1,0))</f>
        <v/>
      </c>
    </row>
    <row r="517" spans="1:24" x14ac:dyDescent="0.3">
      <c r="A517" t="s">
        <v>402</v>
      </c>
      <c r="B517" t="s">
        <v>395</v>
      </c>
      <c r="C517" s="126">
        <v>2025</v>
      </c>
      <c r="D517" t="s">
        <v>119</v>
      </c>
      <c r="E517">
        <v>1</v>
      </c>
      <c r="F517" s="137">
        <v>255.3689</v>
      </c>
      <c r="G517" s="138">
        <v>253.21940000000001</v>
      </c>
      <c r="H517" s="138">
        <v>7.5965999999999996</v>
      </c>
      <c r="I517" s="139">
        <v>0.28295553273832891</v>
      </c>
      <c r="J517" s="137">
        <v>230.42959999999999</v>
      </c>
      <c r="K517" s="137">
        <v>276.00920000000002</v>
      </c>
      <c r="L517" t="s">
        <v>520</v>
      </c>
      <c r="M517" s="126"/>
      <c r="O517" s="137">
        <f t="shared" si="16"/>
        <v>0.84886860959309951</v>
      </c>
      <c r="P517" s="137">
        <f t="shared" si="17"/>
        <v>0.84886860959309951</v>
      </c>
      <c r="Q517" s="126"/>
      <c r="R517" t="s">
        <v>524</v>
      </c>
      <c r="S517" t="str">
        <f>IF($W517&lt;&gt;"NAO ACEITO","",COUNTIFS($W$2:$W517,"NAO ACEITO"))</f>
        <v/>
      </c>
      <c r="T517">
        <f>IF($B517="","",IF(COUNTIF($B$2:$B517,$B517)=1,MAX($T$1:$T516)+1,""))</f>
        <v>6</v>
      </c>
      <c r="U517" t="str">
        <f>IF($D517="","",IF(COUNTIF($D$2:$D517,$D517)=1,MAX($U$1:$U516)+1,""))</f>
        <v/>
      </c>
      <c r="V517">
        <f>IF($D517="","",IF(COUNTIFS($B$2:$B517,$B517,$D$2:$D517,$D517)=1,1,0))</f>
        <v>1</v>
      </c>
      <c r="W517" t="str">
        <f>IF($D517="","",mEQA.PadronizarStatus($L517))</f>
        <v>ACEITO</v>
      </c>
      <c r="X517" t="str">
        <f>IF(OR($D517="",$W517&lt;&gt;"NAO ACEITO"),"",IF(COUNTIFS($D$2:$D517,$D517,$W$2:$W517,"NAO ACEITO")=1,1,0))</f>
        <v/>
      </c>
    </row>
    <row r="518" spans="1:24" x14ac:dyDescent="0.3">
      <c r="A518" t="s">
        <v>402</v>
      </c>
      <c r="B518" t="s">
        <v>395</v>
      </c>
      <c r="C518" s="126">
        <v>2025</v>
      </c>
      <c r="D518" t="s">
        <v>119</v>
      </c>
      <c r="E518">
        <v>2</v>
      </c>
      <c r="F518" s="137">
        <v>255.42439999999999</v>
      </c>
      <c r="G518" s="138">
        <v>253.75550000000001</v>
      </c>
      <c r="H518" s="138">
        <v>7.6127000000000002</v>
      </c>
      <c r="I518" s="139">
        <v>0.21922576746751868</v>
      </c>
      <c r="J518" s="137">
        <v>230.91739999999999</v>
      </c>
      <c r="K518" s="137">
        <v>276.59359999999998</v>
      </c>
      <c r="L518" t="s">
        <v>520</v>
      </c>
      <c r="M518" s="126"/>
      <c r="O518" s="137">
        <f t="shared" si="16"/>
        <v>0.65768032614070604</v>
      </c>
      <c r="P518" s="137">
        <f t="shared" si="17"/>
        <v>0.65768032614070604</v>
      </c>
      <c r="Q518" s="126"/>
      <c r="R518" t="s">
        <v>524</v>
      </c>
      <c r="S518" t="str">
        <f>IF($W518&lt;&gt;"NAO ACEITO","",COUNTIFS($W$2:$W518,"NAO ACEITO"))</f>
        <v/>
      </c>
      <c r="T518" t="str">
        <f>IF($B518="","",IF(COUNTIF($B$2:$B518,$B518)=1,MAX($T$1:$T517)+1,""))</f>
        <v/>
      </c>
      <c r="U518" t="str">
        <f>IF($D518="","",IF(COUNTIF($D$2:$D518,$D518)=1,MAX($U$1:$U517)+1,""))</f>
        <v/>
      </c>
      <c r="V518">
        <f>IF($D518="","",IF(COUNTIFS($B$2:$B518,$B518,$D$2:$D518,$D518)=1,1,0))</f>
        <v>0</v>
      </c>
      <c r="W518" t="str">
        <f>IF($D518="","",mEQA.PadronizarStatus($L518))</f>
        <v>ACEITO</v>
      </c>
      <c r="X518" t="str">
        <f>IF(OR($D518="",$W518&lt;&gt;"NAO ACEITO"),"",IF(COUNTIFS($D$2:$D518,$D518,$W$2:$W518,"NAO ACEITO")=1,1,0))</f>
        <v/>
      </c>
    </row>
    <row r="519" spans="1:24" x14ac:dyDescent="0.3">
      <c r="A519" t="s">
        <v>402</v>
      </c>
      <c r="B519" t="s">
        <v>395</v>
      </c>
      <c r="C519" s="126">
        <v>2025</v>
      </c>
      <c r="D519" t="s">
        <v>119</v>
      </c>
      <c r="E519">
        <v>3</v>
      </c>
      <c r="F519" s="137">
        <v>256.53460000000001</v>
      </c>
      <c r="G519" s="138">
        <v>253.60400000000001</v>
      </c>
      <c r="H519" s="138">
        <v>7.6081000000000003</v>
      </c>
      <c r="I519" s="139">
        <v>0.38519472667288784</v>
      </c>
      <c r="J519" s="137">
        <v>230.77969999999999</v>
      </c>
      <c r="K519" s="137">
        <v>276.42829999999998</v>
      </c>
      <c r="L519" t="s">
        <v>520</v>
      </c>
      <c r="M519" s="126"/>
      <c r="O519" s="137">
        <f t="shared" si="16"/>
        <v>1.155581142253276</v>
      </c>
      <c r="P519" s="137">
        <f t="shared" si="17"/>
        <v>1.155581142253276</v>
      </c>
      <c r="Q519" s="126"/>
      <c r="R519" t="s">
        <v>524</v>
      </c>
      <c r="S519" t="str">
        <f>IF($W519&lt;&gt;"NAO ACEITO","",COUNTIFS($W$2:$W519,"NAO ACEITO"))</f>
        <v/>
      </c>
      <c r="T519" t="str">
        <f>IF($B519="","",IF(COUNTIF($B$2:$B519,$B519)=1,MAX($T$1:$T518)+1,""))</f>
        <v/>
      </c>
      <c r="U519" t="str">
        <f>IF($D519="","",IF(COUNTIF($D$2:$D519,$D519)=1,MAX($U$1:$U518)+1,""))</f>
        <v/>
      </c>
      <c r="V519">
        <f>IF($D519="","",IF(COUNTIFS($B$2:$B519,$B519,$D$2:$D519,$D519)=1,1,0))</f>
        <v>0</v>
      </c>
      <c r="W519" t="str">
        <f>IF($D519="","",mEQA.PadronizarStatus($L519))</f>
        <v>ACEITO</v>
      </c>
      <c r="X519" t="str">
        <f>IF(OR($D519="",$W519&lt;&gt;"NAO ACEITO"),"",IF(COUNTIFS($D$2:$D519,$D519,$W$2:$W519,"NAO ACEITO")=1,1,0))</f>
        <v/>
      </c>
    </row>
    <row r="520" spans="1:24" x14ac:dyDescent="0.3">
      <c r="A520" t="s">
        <v>402</v>
      </c>
      <c r="B520" t="s">
        <v>395</v>
      </c>
      <c r="C520" s="126">
        <v>2025</v>
      </c>
      <c r="D520" t="s">
        <v>119</v>
      </c>
      <c r="E520">
        <v>4</v>
      </c>
      <c r="F520" s="137">
        <v>258.29349999999999</v>
      </c>
      <c r="G520" s="138">
        <v>255.64160000000001</v>
      </c>
      <c r="H520" s="138">
        <v>7.6692</v>
      </c>
      <c r="I520" s="139">
        <v>0.34578574036405146</v>
      </c>
      <c r="J520" s="137">
        <v>232.63399999999999</v>
      </c>
      <c r="K520" s="137">
        <v>278.64920000000001</v>
      </c>
      <c r="L520" t="s">
        <v>520</v>
      </c>
      <c r="M520" s="126"/>
      <c r="O520" s="137">
        <f t="shared" si="16"/>
        <v>1.0373507285199213</v>
      </c>
      <c r="P520" s="137">
        <f t="shared" si="17"/>
        <v>1.0373507285199213</v>
      </c>
      <c r="Q520" s="126"/>
      <c r="R520" t="s">
        <v>524</v>
      </c>
      <c r="S520" t="str">
        <f>IF($W520&lt;&gt;"NAO ACEITO","",COUNTIFS($W$2:$W520,"NAO ACEITO"))</f>
        <v/>
      </c>
      <c r="T520" t="str">
        <f>IF($B520="","",IF(COUNTIF($B$2:$B520,$B520)=1,MAX($T$1:$T519)+1,""))</f>
        <v/>
      </c>
      <c r="U520" t="str">
        <f>IF($D520="","",IF(COUNTIF($D$2:$D520,$D520)=1,MAX($U$1:$U519)+1,""))</f>
        <v/>
      </c>
      <c r="V520">
        <f>IF($D520="","",IF(COUNTIFS($B$2:$B520,$B520,$D$2:$D520,$D520)=1,1,0))</f>
        <v>0</v>
      </c>
      <c r="W520" t="str">
        <f>IF($D520="","",mEQA.PadronizarStatus($L520))</f>
        <v>ACEITO</v>
      </c>
      <c r="X520" t="str">
        <f>IF(OR($D520="",$W520&lt;&gt;"NAO ACEITO"),"",IF(COUNTIFS($D$2:$D520,$D520,$W$2:$W520,"NAO ACEITO")=1,1,0))</f>
        <v/>
      </c>
    </row>
    <row r="521" spans="1:24" x14ac:dyDescent="0.3">
      <c r="A521" t="s">
        <v>402</v>
      </c>
      <c r="B521" t="s">
        <v>395</v>
      </c>
      <c r="C521" s="126">
        <v>2025</v>
      </c>
      <c r="D521" t="s">
        <v>119</v>
      </c>
      <c r="E521">
        <v>5</v>
      </c>
      <c r="F521" s="137">
        <v>253.00899999999999</v>
      </c>
      <c r="G521" s="138">
        <v>250.09460000000001</v>
      </c>
      <c r="H521" s="138">
        <v>7.5027999999999997</v>
      </c>
      <c r="I521" s="139">
        <v>0.38844164845124118</v>
      </c>
      <c r="J521" s="137">
        <v>227.58619999999999</v>
      </c>
      <c r="K521" s="137">
        <v>272.60300000000001</v>
      </c>
      <c r="L521" t="s">
        <v>520</v>
      </c>
      <c r="M521" s="126"/>
      <c r="O521" s="137">
        <f t="shared" si="16"/>
        <v>1.1653190432740139</v>
      </c>
      <c r="P521" s="137">
        <f t="shared" si="17"/>
        <v>1.1653190432740139</v>
      </c>
      <c r="Q521" s="126"/>
      <c r="R521" t="s">
        <v>524</v>
      </c>
      <c r="S521" t="str">
        <f>IF($W521&lt;&gt;"NAO ACEITO","",COUNTIFS($W$2:$W521,"NAO ACEITO"))</f>
        <v/>
      </c>
      <c r="T521" t="str">
        <f>IF($B521="","",IF(COUNTIF($B$2:$B521,$B521)=1,MAX($T$1:$T520)+1,""))</f>
        <v/>
      </c>
      <c r="U521" t="str">
        <f>IF($D521="","",IF(COUNTIF($D$2:$D521,$D521)=1,MAX($U$1:$U520)+1,""))</f>
        <v/>
      </c>
      <c r="V521">
        <f>IF($D521="","",IF(COUNTIFS($B$2:$B521,$B521,$D$2:$D521,$D521)=1,1,0))</f>
        <v>0</v>
      </c>
      <c r="W521" t="str">
        <f>IF($D521="","",mEQA.PadronizarStatus($L521))</f>
        <v>ACEITO</v>
      </c>
      <c r="X521" t="str">
        <f>IF(OR($D521="",$W521&lt;&gt;"NAO ACEITO"),"",IF(COUNTIFS($D$2:$D521,$D521,$W$2:$W521,"NAO ACEITO")=1,1,0))</f>
        <v/>
      </c>
    </row>
    <row r="522" spans="1:24" x14ac:dyDescent="0.3">
      <c r="A522" t="s">
        <v>402</v>
      </c>
      <c r="B522" t="s">
        <v>395</v>
      </c>
      <c r="C522" s="126">
        <v>2025</v>
      </c>
      <c r="D522" t="s">
        <v>117</v>
      </c>
      <c r="E522">
        <v>1</v>
      </c>
      <c r="F522" s="137">
        <v>5.1055999999999999</v>
      </c>
      <c r="G522" s="138">
        <v>5.0487000000000002</v>
      </c>
      <c r="H522" s="138">
        <v>0.1515</v>
      </c>
      <c r="I522" s="139">
        <v>0.37557755775577378</v>
      </c>
      <c r="J522" s="137">
        <v>4.5941999999999998</v>
      </c>
      <c r="K522" s="137">
        <v>5.5031999999999996</v>
      </c>
      <c r="L522" t="s">
        <v>520</v>
      </c>
      <c r="M522" s="126"/>
      <c r="O522" s="137">
        <f t="shared" si="16"/>
        <v>1.1270227979479812</v>
      </c>
      <c r="P522" s="137">
        <f t="shared" si="17"/>
        <v>1.1270227979479812</v>
      </c>
      <c r="Q522" s="126"/>
      <c r="R522" t="s">
        <v>524</v>
      </c>
      <c r="S522" t="str">
        <f>IF($W522&lt;&gt;"NAO ACEITO","",COUNTIFS($W$2:$W522,"NAO ACEITO"))</f>
        <v/>
      </c>
      <c r="T522" t="str">
        <f>IF($B522="","",IF(COUNTIF($B$2:$B522,$B522)=1,MAX($T$1:$T521)+1,""))</f>
        <v/>
      </c>
      <c r="U522" t="str">
        <f>IF($D522="","",IF(COUNTIF($D$2:$D522,$D522)=1,MAX($U$1:$U521)+1,""))</f>
        <v/>
      </c>
      <c r="V522">
        <f>IF($D522="","",IF(COUNTIFS($B$2:$B522,$B522,$D$2:$D522,$D522)=1,1,0))</f>
        <v>1</v>
      </c>
      <c r="W522" t="str">
        <f>IF($D522="","",mEQA.PadronizarStatus($L522))</f>
        <v>ACEITO</v>
      </c>
      <c r="X522" t="str">
        <f>IF(OR($D522="",$W522&lt;&gt;"NAO ACEITO"),"",IF(COUNTIFS($D$2:$D522,$D522,$W$2:$W522,"NAO ACEITO")=1,1,0))</f>
        <v/>
      </c>
    </row>
    <row r="523" spans="1:24" x14ac:dyDescent="0.3">
      <c r="A523" t="s">
        <v>402</v>
      </c>
      <c r="B523" t="s">
        <v>395</v>
      </c>
      <c r="C523" s="126">
        <v>2025</v>
      </c>
      <c r="D523" t="s">
        <v>117</v>
      </c>
      <c r="E523">
        <v>2</v>
      </c>
      <c r="F523" s="137">
        <v>5.0819999999999999</v>
      </c>
      <c r="G523" s="138">
        <v>5.0357000000000003</v>
      </c>
      <c r="H523" s="138">
        <v>0.15110000000000001</v>
      </c>
      <c r="I523" s="139">
        <v>0.30641958967570854</v>
      </c>
      <c r="J523" s="137">
        <v>4.5823999999999998</v>
      </c>
      <c r="K523" s="137">
        <v>5.4889999999999999</v>
      </c>
      <c r="L523" t="s">
        <v>520</v>
      </c>
      <c r="M523" s="126"/>
      <c r="O523" s="137">
        <f t="shared" si="16"/>
        <v>0.91943523244036696</v>
      </c>
      <c r="P523" s="137">
        <f t="shared" si="17"/>
        <v>0.91943523244036696</v>
      </c>
      <c r="Q523" s="126"/>
      <c r="R523" t="s">
        <v>524</v>
      </c>
      <c r="S523" t="str">
        <f>IF($W523&lt;&gt;"NAO ACEITO","",COUNTIFS($W$2:$W523,"NAO ACEITO"))</f>
        <v/>
      </c>
      <c r="T523" t="str">
        <f>IF($B523="","",IF(COUNTIF($B$2:$B523,$B523)=1,MAX($T$1:$T522)+1,""))</f>
        <v/>
      </c>
      <c r="U523" t="str">
        <f>IF($D523="","",IF(COUNTIF($D$2:$D523,$D523)=1,MAX($U$1:$U522)+1,""))</f>
        <v/>
      </c>
      <c r="V523">
        <f>IF($D523="","",IF(COUNTIFS($B$2:$B523,$B523,$D$2:$D523,$D523)=1,1,0))</f>
        <v>0</v>
      </c>
      <c r="W523" t="str">
        <f>IF($D523="","",mEQA.PadronizarStatus($L523))</f>
        <v>ACEITO</v>
      </c>
      <c r="X523" t="str">
        <f>IF(OR($D523="",$W523&lt;&gt;"NAO ACEITO"),"",IF(COUNTIFS($D$2:$D523,$D523,$W$2:$W523,"NAO ACEITO")=1,1,0))</f>
        <v/>
      </c>
    </row>
    <row r="524" spans="1:24" x14ac:dyDescent="0.3">
      <c r="A524" t="s">
        <v>402</v>
      </c>
      <c r="B524" t="s">
        <v>395</v>
      </c>
      <c r="C524" s="126">
        <v>2025</v>
      </c>
      <c r="D524" t="s">
        <v>117</v>
      </c>
      <c r="E524">
        <v>3</v>
      </c>
      <c r="F524" s="137">
        <v>5.1803999999999997</v>
      </c>
      <c r="G524" s="138">
        <v>5.1664000000000003</v>
      </c>
      <c r="H524" s="138">
        <v>0.155</v>
      </c>
      <c r="I524" s="139">
        <v>9.032258064515708E-2</v>
      </c>
      <c r="J524" s="137">
        <v>4.7013999999999996</v>
      </c>
      <c r="K524" s="137">
        <v>5.6314000000000002</v>
      </c>
      <c r="L524" t="s">
        <v>520</v>
      </c>
      <c r="M524" s="126"/>
      <c r="O524" s="137">
        <f t="shared" si="16"/>
        <v>0.27098172808917903</v>
      </c>
      <c r="P524" s="137">
        <f t="shared" si="17"/>
        <v>0.27098172808917903</v>
      </c>
      <c r="Q524" s="126"/>
      <c r="R524" t="s">
        <v>524</v>
      </c>
      <c r="S524" t="str">
        <f>IF($W524&lt;&gt;"NAO ACEITO","",COUNTIFS($W$2:$W524,"NAO ACEITO"))</f>
        <v/>
      </c>
      <c r="T524" t="str">
        <f>IF($B524="","",IF(COUNTIF($B$2:$B524,$B524)=1,MAX($T$1:$T523)+1,""))</f>
        <v/>
      </c>
      <c r="U524" t="str">
        <f>IF($D524="","",IF(COUNTIF($D$2:$D524,$D524)=1,MAX($U$1:$U523)+1,""))</f>
        <v/>
      </c>
      <c r="V524">
        <f>IF($D524="","",IF(COUNTIFS($B$2:$B524,$B524,$D$2:$D524,$D524)=1,1,0))</f>
        <v>0</v>
      </c>
      <c r="W524" t="str">
        <f>IF($D524="","",mEQA.PadronizarStatus($L524))</f>
        <v>ACEITO</v>
      </c>
      <c r="X524" t="str">
        <f>IF(OR($D524="",$W524&lt;&gt;"NAO ACEITO"),"",IF(COUNTIFS($D$2:$D524,$D524,$W$2:$W524,"NAO ACEITO")=1,1,0))</f>
        <v/>
      </c>
    </row>
    <row r="525" spans="1:24" x14ac:dyDescent="0.3">
      <c r="A525" t="s">
        <v>402</v>
      </c>
      <c r="B525" t="s">
        <v>395</v>
      </c>
      <c r="C525" s="126">
        <v>2025</v>
      </c>
      <c r="D525" t="s">
        <v>117</v>
      </c>
      <c r="E525">
        <v>4</v>
      </c>
      <c r="F525" s="137">
        <v>5.1028000000000002</v>
      </c>
      <c r="G525" s="138">
        <v>5.0846</v>
      </c>
      <c r="H525" s="138">
        <v>0.1525</v>
      </c>
      <c r="I525" s="139">
        <v>0.11934426229508338</v>
      </c>
      <c r="J525" s="137">
        <v>4.6271000000000004</v>
      </c>
      <c r="K525" s="137">
        <v>5.5420999999999996</v>
      </c>
      <c r="L525" t="s">
        <v>520</v>
      </c>
      <c r="M525" s="126"/>
      <c r="O525" s="137">
        <f t="shared" si="16"/>
        <v>0.35794359438304324</v>
      </c>
      <c r="P525" s="137">
        <f t="shared" si="17"/>
        <v>0.35794359438304324</v>
      </c>
      <c r="Q525" s="126"/>
      <c r="R525" t="s">
        <v>524</v>
      </c>
      <c r="S525" t="str">
        <f>IF($W525&lt;&gt;"NAO ACEITO","",COUNTIFS($W$2:$W525,"NAO ACEITO"))</f>
        <v/>
      </c>
      <c r="T525" t="str">
        <f>IF($B525="","",IF(COUNTIF($B$2:$B525,$B525)=1,MAX($T$1:$T524)+1,""))</f>
        <v/>
      </c>
      <c r="U525" t="str">
        <f>IF($D525="","",IF(COUNTIF($D$2:$D525,$D525)=1,MAX($U$1:$U524)+1,""))</f>
        <v/>
      </c>
      <c r="V525">
        <f>IF($D525="","",IF(COUNTIFS($B$2:$B525,$B525,$D$2:$D525,$D525)=1,1,0))</f>
        <v>0</v>
      </c>
      <c r="W525" t="str">
        <f>IF($D525="","",mEQA.PadronizarStatus($L525))</f>
        <v>ACEITO</v>
      </c>
      <c r="X525" t="str">
        <f>IF(OR($D525="",$W525&lt;&gt;"NAO ACEITO"),"",IF(COUNTIFS($D$2:$D525,$D525,$W$2:$W525,"NAO ACEITO")=1,1,0))</f>
        <v/>
      </c>
    </row>
    <row r="526" spans="1:24" x14ac:dyDescent="0.3">
      <c r="A526" t="s">
        <v>402</v>
      </c>
      <c r="B526" t="s">
        <v>395</v>
      </c>
      <c r="C526" s="126">
        <v>2025</v>
      </c>
      <c r="D526" t="s">
        <v>117</v>
      </c>
      <c r="E526">
        <v>5</v>
      </c>
      <c r="F526" s="137">
        <v>5.1740000000000004</v>
      </c>
      <c r="G526" s="138">
        <v>5.1124000000000001</v>
      </c>
      <c r="H526" s="138">
        <v>0.15340000000000001</v>
      </c>
      <c r="I526" s="139">
        <v>0.40156453715775958</v>
      </c>
      <c r="J526" s="137">
        <v>4.6521999999999997</v>
      </c>
      <c r="K526" s="137">
        <v>5.5726000000000004</v>
      </c>
      <c r="L526" t="s">
        <v>520</v>
      </c>
      <c r="M526" s="126"/>
      <c r="O526" s="137">
        <f t="shared" si="16"/>
        <v>1.2049135435412002</v>
      </c>
      <c r="P526" s="137">
        <f t="shared" si="17"/>
        <v>1.2049135435412002</v>
      </c>
      <c r="Q526" s="126"/>
      <c r="R526" t="s">
        <v>524</v>
      </c>
      <c r="S526" t="str">
        <f>IF($W526&lt;&gt;"NAO ACEITO","",COUNTIFS($W$2:$W526,"NAO ACEITO"))</f>
        <v/>
      </c>
      <c r="T526" t="str">
        <f>IF($B526="","",IF(COUNTIF($B$2:$B526,$B526)=1,MAX($T$1:$T525)+1,""))</f>
        <v/>
      </c>
      <c r="U526" t="str">
        <f>IF($D526="","",IF(COUNTIF($D$2:$D526,$D526)=1,MAX($U$1:$U525)+1,""))</f>
        <v/>
      </c>
      <c r="V526">
        <f>IF($D526="","",IF(COUNTIFS($B$2:$B526,$B526,$D$2:$D526,$D526)=1,1,0))</f>
        <v>0</v>
      </c>
      <c r="W526" t="str">
        <f>IF($D526="","",mEQA.PadronizarStatus($L526))</f>
        <v>ACEITO</v>
      </c>
      <c r="X526" t="str">
        <f>IF(OR($D526="",$W526&lt;&gt;"NAO ACEITO"),"",IF(COUNTIFS($D$2:$D526,$D526,$W$2:$W526,"NAO ACEITO")=1,1,0))</f>
        <v/>
      </c>
    </row>
    <row r="527" spans="1:24" x14ac:dyDescent="0.3">
      <c r="A527" t="s">
        <v>402</v>
      </c>
      <c r="B527" t="s">
        <v>395</v>
      </c>
      <c r="C527" s="126">
        <v>2025</v>
      </c>
      <c r="D527" t="s">
        <v>111</v>
      </c>
      <c r="E527">
        <v>1</v>
      </c>
      <c r="F527" s="137">
        <v>253.8768</v>
      </c>
      <c r="G527" s="138">
        <v>252.78059999999999</v>
      </c>
      <c r="H527" s="138">
        <v>7.5834000000000001</v>
      </c>
      <c r="I527" s="139">
        <v>0.14455257536197619</v>
      </c>
      <c r="J527" s="137">
        <v>230.03039999999999</v>
      </c>
      <c r="K527" s="137">
        <v>275.5308</v>
      </c>
      <c r="L527" t="s">
        <v>520</v>
      </c>
      <c r="M527" s="126"/>
      <c r="O527" s="137">
        <f t="shared" si="16"/>
        <v>0.4336566967560051</v>
      </c>
      <c r="P527" s="137">
        <f t="shared" si="17"/>
        <v>0.4336566967560051</v>
      </c>
      <c r="Q527" s="126"/>
      <c r="R527" t="s">
        <v>524</v>
      </c>
      <c r="S527" t="str">
        <f>IF($W527&lt;&gt;"NAO ACEITO","",COUNTIFS($W$2:$W527,"NAO ACEITO"))</f>
        <v/>
      </c>
      <c r="T527" t="str">
        <f>IF($B527="","",IF(COUNTIF($B$2:$B527,$B527)=1,MAX($T$1:$T526)+1,""))</f>
        <v/>
      </c>
      <c r="U527" t="str">
        <f>IF($D527="","",IF(COUNTIF($D$2:$D527,$D527)=1,MAX($U$1:$U526)+1,""))</f>
        <v/>
      </c>
      <c r="V527">
        <f>IF($D527="","",IF(COUNTIFS($B$2:$B527,$B527,$D$2:$D527,$D527)=1,1,0))</f>
        <v>1</v>
      </c>
      <c r="W527" t="str">
        <f>IF($D527="","",mEQA.PadronizarStatus($L527))</f>
        <v>ACEITO</v>
      </c>
      <c r="X527" t="str">
        <f>IF(OR($D527="",$W527&lt;&gt;"NAO ACEITO"),"",IF(COUNTIFS($D$2:$D527,$D527,$W$2:$W527,"NAO ACEITO")=1,1,0))</f>
        <v/>
      </c>
    </row>
    <row r="528" spans="1:24" x14ac:dyDescent="0.3">
      <c r="A528" t="s">
        <v>402</v>
      </c>
      <c r="B528" t="s">
        <v>395</v>
      </c>
      <c r="C528" s="126">
        <v>2025</v>
      </c>
      <c r="D528" t="s">
        <v>111</v>
      </c>
      <c r="E528">
        <v>2</v>
      </c>
      <c r="F528" s="137">
        <v>258.06790000000001</v>
      </c>
      <c r="G528" s="138">
        <v>256.00720000000001</v>
      </c>
      <c r="H528" s="138">
        <v>7.6802000000000001</v>
      </c>
      <c r="I528" s="139">
        <v>0.26831332517382323</v>
      </c>
      <c r="J528" s="137">
        <v>232.9666</v>
      </c>
      <c r="K528" s="137">
        <v>279.0478</v>
      </c>
      <c r="L528" t="s">
        <v>520</v>
      </c>
      <c r="M528" s="126"/>
      <c r="O528" s="137">
        <f t="shared" si="16"/>
        <v>0.80493829861035038</v>
      </c>
      <c r="P528" s="137">
        <f t="shared" si="17"/>
        <v>0.80493829861035038</v>
      </c>
      <c r="Q528" s="126"/>
      <c r="R528" t="s">
        <v>524</v>
      </c>
      <c r="S528" t="str">
        <f>IF($W528&lt;&gt;"NAO ACEITO","",COUNTIFS($W$2:$W528,"NAO ACEITO"))</f>
        <v/>
      </c>
      <c r="T528" t="str">
        <f>IF($B528="","",IF(COUNTIF($B$2:$B528,$B528)=1,MAX($T$1:$T527)+1,""))</f>
        <v/>
      </c>
      <c r="U528" t="str">
        <f>IF($D528="","",IF(COUNTIF($D$2:$D528,$D528)=1,MAX($U$1:$U527)+1,""))</f>
        <v/>
      </c>
      <c r="V528">
        <f>IF($D528="","",IF(COUNTIFS($B$2:$B528,$B528,$D$2:$D528,$D528)=1,1,0))</f>
        <v>0</v>
      </c>
      <c r="W528" t="str">
        <f>IF($D528="","",mEQA.PadronizarStatus($L528))</f>
        <v>ACEITO</v>
      </c>
      <c r="X528" t="str">
        <f>IF(OR($D528="",$W528&lt;&gt;"NAO ACEITO"),"",IF(COUNTIFS($D$2:$D528,$D528,$W$2:$W528,"NAO ACEITO")=1,1,0))</f>
        <v/>
      </c>
    </row>
    <row r="529" spans="1:24" x14ac:dyDescent="0.3">
      <c r="A529" t="s">
        <v>402</v>
      </c>
      <c r="B529" t="s">
        <v>395</v>
      </c>
      <c r="C529" s="126">
        <v>2025</v>
      </c>
      <c r="D529" t="s">
        <v>111</v>
      </c>
      <c r="E529">
        <v>3</v>
      </c>
      <c r="F529" s="137">
        <v>251.95840000000001</v>
      </c>
      <c r="G529" s="138">
        <v>250.10310000000001</v>
      </c>
      <c r="H529" s="138">
        <v>7.5030999999999999</v>
      </c>
      <c r="I529" s="139">
        <v>0.24727112793378733</v>
      </c>
      <c r="J529" s="137">
        <v>227.59379999999999</v>
      </c>
      <c r="K529" s="137">
        <v>272.61239999999998</v>
      </c>
      <c r="L529" t="s">
        <v>520</v>
      </c>
      <c r="M529" s="126"/>
      <c r="O529" s="137">
        <f t="shared" si="16"/>
        <v>0.74181407587510895</v>
      </c>
      <c r="P529" s="137">
        <f t="shared" si="17"/>
        <v>0.74181407587510895</v>
      </c>
      <c r="Q529" s="126"/>
      <c r="R529" t="s">
        <v>524</v>
      </c>
      <c r="S529" t="str">
        <f>IF($W529&lt;&gt;"NAO ACEITO","",COUNTIFS($W$2:$W529,"NAO ACEITO"))</f>
        <v/>
      </c>
      <c r="T529" t="str">
        <f>IF($B529="","",IF(COUNTIF($B$2:$B529,$B529)=1,MAX($T$1:$T528)+1,""))</f>
        <v/>
      </c>
      <c r="U529" t="str">
        <f>IF($D529="","",IF(COUNTIF($D$2:$D529,$D529)=1,MAX($U$1:$U528)+1,""))</f>
        <v/>
      </c>
      <c r="V529">
        <f>IF($D529="","",IF(COUNTIFS($B$2:$B529,$B529,$D$2:$D529,$D529)=1,1,0))</f>
        <v>0</v>
      </c>
      <c r="W529" t="str">
        <f>IF($D529="","",mEQA.PadronizarStatus($L529))</f>
        <v>ACEITO</v>
      </c>
      <c r="X529" t="str">
        <f>IF(OR($D529="",$W529&lt;&gt;"NAO ACEITO"),"",IF(COUNTIFS($D$2:$D529,$D529,$W$2:$W529,"NAO ACEITO")=1,1,0))</f>
        <v/>
      </c>
    </row>
    <row r="530" spans="1:24" x14ac:dyDescent="0.3">
      <c r="A530" t="s">
        <v>402</v>
      </c>
      <c r="B530" t="s">
        <v>395</v>
      </c>
      <c r="C530" s="126">
        <v>2025</v>
      </c>
      <c r="D530" t="s">
        <v>111</v>
      </c>
      <c r="E530">
        <v>4</v>
      </c>
      <c r="F530" s="137">
        <v>255.267</v>
      </c>
      <c r="G530" s="138">
        <v>253.80760000000001</v>
      </c>
      <c r="H530" s="138">
        <v>7.6142000000000003</v>
      </c>
      <c r="I530" s="139">
        <v>0.19166819889154316</v>
      </c>
      <c r="J530" s="137">
        <v>230.965</v>
      </c>
      <c r="K530" s="137">
        <v>276.65019999999998</v>
      </c>
      <c r="L530" t="s">
        <v>520</v>
      </c>
      <c r="M530" s="126"/>
      <c r="O530" s="137">
        <f t="shared" si="16"/>
        <v>0.57500248219516992</v>
      </c>
      <c r="P530" s="137">
        <f t="shared" si="17"/>
        <v>0.57500248219516992</v>
      </c>
      <c r="Q530" s="126"/>
      <c r="R530" t="s">
        <v>524</v>
      </c>
      <c r="S530" t="str">
        <f>IF($W530&lt;&gt;"NAO ACEITO","",COUNTIFS($W$2:$W530,"NAO ACEITO"))</f>
        <v/>
      </c>
      <c r="T530" t="str">
        <f>IF($B530="","",IF(COUNTIF($B$2:$B530,$B530)=1,MAX($T$1:$T529)+1,""))</f>
        <v/>
      </c>
      <c r="U530" t="str">
        <f>IF($D530="","",IF(COUNTIF($D$2:$D530,$D530)=1,MAX($U$1:$U529)+1,""))</f>
        <v/>
      </c>
      <c r="V530">
        <f>IF($D530="","",IF(COUNTIFS($B$2:$B530,$B530,$D$2:$D530,$D530)=1,1,0))</f>
        <v>0</v>
      </c>
      <c r="W530" t="str">
        <f>IF($D530="","",mEQA.PadronizarStatus($L530))</f>
        <v>ACEITO</v>
      </c>
      <c r="X530" t="str">
        <f>IF(OR($D530="",$W530&lt;&gt;"NAO ACEITO"),"",IF(COUNTIFS($D$2:$D530,$D530,$W$2:$W530,"NAO ACEITO")=1,1,0))</f>
        <v/>
      </c>
    </row>
    <row r="531" spans="1:24" x14ac:dyDescent="0.3">
      <c r="A531" t="s">
        <v>402</v>
      </c>
      <c r="B531" t="s">
        <v>395</v>
      </c>
      <c r="C531" s="126">
        <v>2025</v>
      </c>
      <c r="D531" t="s">
        <v>111</v>
      </c>
      <c r="E531">
        <v>5</v>
      </c>
      <c r="F531" s="137">
        <v>253.99780000000001</v>
      </c>
      <c r="G531" s="138">
        <v>251.1942</v>
      </c>
      <c r="H531" s="138">
        <v>7.5358000000000001</v>
      </c>
      <c r="I531" s="139">
        <v>0.37203747445526913</v>
      </c>
      <c r="J531" s="137">
        <v>228.58680000000001</v>
      </c>
      <c r="K531" s="137">
        <v>273.80160000000001</v>
      </c>
      <c r="L531" t="s">
        <v>520</v>
      </c>
      <c r="M531" s="126"/>
      <c r="O531" s="137">
        <f t="shared" si="16"/>
        <v>1.116108572570552</v>
      </c>
      <c r="P531" s="137">
        <f t="shared" si="17"/>
        <v>1.116108572570552</v>
      </c>
      <c r="Q531" s="126"/>
      <c r="R531" t="s">
        <v>524</v>
      </c>
      <c r="S531" t="str">
        <f>IF($W531&lt;&gt;"NAO ACEITO","",COUNTIFS($W$2:$W531,"NAO ACEITO"))</f>
        <v/>
      </c>
      <c r="T531" t="str">
        <f>IF($B531="","",IF(COUNTIF($B$2:$B531,$B531)=1,MAX($T$1:$T530)+1,""))</f>
        <v/>
      </c>
      <c r="U531" t="str">
        <f>IF($D531="","",IF(COUNTIF($D$2:$D531,$D531)=1,MAX($U$1:$U530)+1,""))</f>
        <v/>
      </c>
      <c r="V531">
        <f>IF($D531="","",IF(COUNTIFS($B$2:$B531,$B531,$D$2:$D531,$D531)=1,1,0))</f>
        <v>0</v>
      </c>
      <c r="W531" t="str">
        <f>IF($D531="","",mEQA.PadronizarStatus($L531))</f>
        <v>ACEITO</v>
      </c>
      <c r="X531" t="str">
        <f>IF(OR($D531="",$W531&lt;&gt;"NAO ACEITO"),"",IF(COUNTIFS($D$2:$D531,$D531,$W$2:$W531,"NAO ACEITO")=1,1,0))</f>
        <v/>
      </c>
    </row>
    <row r="532" spans="1:24" x14ac:dyDescent="0.3">
      <c r="A532" t="s">
        <v>402</v>
      </c>
      <c r="B532" t="s">
        <v>395</v>
      </c>
      <c r="C532" s="126">
        <v>2025</v>
      </c>
      <c r="D532" t="s">
        <v>120</v>
      </c>
      <c r="E532">
        <v>1</v>
      </c>
      <c r="F532" s="137">
        <v>72.199799999999996</v>
      </c>
      <c r="G532" s="138">
        <v>71.663399999999996</v>
      </c>
      <c r="H532" s="138">
        <v>2.1499000000000001</v>
      </c>
      <c r="I532" s="139">
        <v>0.24949997674310451</v>
      </c>
      <c r="J532" s="137">
        <v>65.213700000000003</v>
      </c>
      <c r="K532" s="137">
        <v>78.113100000000003</v>
      </c>
      <c r="L532" t="s">
        <v>520</v>
      </c>
      <c r="M532" s="126"/>
      <c r="O532" s="137">
        <f t="shared" si="16"/>
        <v>0.74849923391856998</v>
      </c>
      <c r="P532" s="137">
        <f t="shared" si="17"/>
        <v>0.74849923391856998</v>
      </c>
      <c r="Q532" s="126"/>
      <c r="R532" t="s">
        <v>524</v>
      </c>
      <c r="S532" t="str">
        <f>IF($W532&lt;&gt;"NAO ACEITO","",COUNTIFS($W$2:$W532,"NAO ACEITO"))</f>
        <v/>
      </c>
      <c r="T532" t="str">
        <f>IF($B532="","",IF(COUNTIF($B$2:$B532,$B532)=1,MAX($T$1:$T531)+1,""))</f>
        <v/>
      </c>
      <c r="U532" t="str">
        <f>IF($D532="","",IF(COUNTIF($D$2:$D532,$D532)=1,MAX($U$1:$U531)+1,""))</f>
        <v/>
      </c>
      <c r="V532">
        <f>IF($D532="","",IF(COUNTIFS($B$2:$B532,$B532,$D$2:$D532,$D532)=1,1,0))</f>
        <v>1</v>
      </c>
      <c r="W532" t="str">
        <f>IF($D532="","",mEQA.PadronizarStatus($L532))</f>
        <v>ACEITO</v>
      </c>
      <c r="X532" t="str">
        <f>IF(OR($D532="",$W532&lt;&gt;"NAO ACEITO"),"",IF(COUNTIFS($D$2:$D532,$D532,$W$2:$W532,"NAO ACEITO")=1,1,0))</f>
        <v/>
      </c>
    </row>
    <row r="533" spans="1:24" x14ac:dyDescent="0.3">
      <c r="A533" t="s">
        <v>402</v>
      </c>
      <c r="B533" t="s">
        <v>395</v>
      </c>
      <c r="C533" s="126">
        <v>2025</v>
      </c>
      <c r="D533" t="s">
        <v>120</v>
      </c>
      <c r="E533">
        <v>2</v>
      </c>
      <c r="F533" s="137">
        <v>73.078999999999994</v>
      </c>
      <c r="G533" s="138">
        <v>72.589699999999993</v>
      </c>
      <c r="H533" s="138">
        <v>2.1777000000000002</v>
      </c>
      <c r="I533" s="139">
        <v>0.22468659594985535</v>
      </c>
      <c r="J533" s="137">
        <v>66.056600000000003</v>
      </c>
      <c r="K533" s="137">
        <v>79.122799999999998</v>
      </c>
      <c r="L533" t="s">
        <v>520</v>
      </c>
      <c r="M533" s="126"/>
      <c r="O533" s="137">
        <f t="shared" si="16"/>
        <v>0.67406257361581612</v>
      </c>
      <c r="P533" s="137">
        <f t="shared" si="17"/>
        <v>0.67406257361581612</v>
      </c>
      <c r="Q533" s="126"/>
      <c r="R533" t="s">
        <v>524</v>
      </c>
      <c r="S533" t="str">
        <f>IF($W533&lt;&gt;"NAO ACEITO","",COUNTIFS($W$2:$W533,"NAO ACEITO"))</f>
        <v/>
      </c>
      <c r="T533" t="str">
        <f>IF($B533="","",IF(COUNTIF($B$2:$B533,$B533)=1,MAX($T$1:$T532)+1,""))</f>
        <v/>
      </c>
      <c r="U533" t="str">
        <f>IF($D533="","",IF(COUNTIF($D$2:$D533,$D533)=1,MAX($U$1:$U532)+1,""))</f>
        <v/>
      </c>
      <c r="V533">
        <f>IF($D533="","",IF(COUNTIFS($B$2:$B533,$B533,$D$2:$D533,$D533)=1,1,0))</f>
        <v>0</v>
      </c>
      <c r="W533" t="str">
        <f>IF($D533="","",mEQA.PadronizarStatus($L533))</f>
        <v>ACEITO</v>
      </c>
      <c r="X533" t="str">
        <f>IF(OR($D533="",$W533&lt;&gt;"NAO ACEITO"),"",IF(COUNTIFS($D$2:$D533,$D533,$W$2:$W533,"NAO ACEITO")=1,1,0))</f>
        <v/>
      </c>
    </row>
    <row r="534" spans="1:24" x14ac:dyDescent="0.3">
      <c r="A534" t="s">
        <v>402</v>
      </c>
      <c r="B534" t="s">
        <v>395</v>
      </c>
      <c r="C534" s="126">
        <v>2025</v>
      </c>
      <c r="D534" t="s">
        <v>120</v>
      </c>
      <c r="E534">
        <v>3</v>
      </c>
      <c r="F534" s="137">
        <v>72.677099999999996</v>
      </c>
      <c r="G534" s="138">
        <v>72.227599999999995</v>
      </c>
      <c r="H534" s="138">
        <v>2.1667999999999998</v>
      </c>
      <c r="I534" s="139">
        <v>0.20744877238323817</v>
      </c>
      <c r="J534" s="137">
        <v>65.727199999999996</v>
      </c>
      <c r="K534" s="137">
        <v>78.727999999999994</v>
      </c>
      <c r="L534" t="s">
        <v>520</v>
      </c>
      <c r="M534" s="126"/>
      <c r="O534" s="137">
        <f t="shared" si="16"/>
        <v>0.62233827511920714</v>
      </c>
      <c r="P534" s="137">
        <f t="shared" si="17"/>
        <v>0.62233827511920714</v>
      </c>
      <c r="Q534" s="126"/>
      <c r="R534" t="s">
        <v>524</v>
      </c>
      <c r="S534" t="str">
        <f>IF($W534&lt;&gt;"NAO ACEITO","",COUNTIFS($W$2:$W534,"NAO ACEITO"))</f>
        <v/>
      </c>
      <c r="T534" t="str">
        <f>IF($B534="","",IF(COUNTIF($B$2:$B534,$B534)=1,MAX($T$1:$T533)+1,""))</f>
        <v/>
      </c>
      <c r="U534" t="str">
        <f>IF($D534="","",IF(COUNTIF($D$2:$D534,$D534)=1,MAX($U$1:$U533)+1,""))</f>
        <v/>
      </c>
      <c r="V534">
        <f>IF($D534="","",IF(COUNTIFS($B$2:$B534,$B534,$D$2:$D534,$D534)=1,1,0))</f>
        <v>0</v>
      </c>
      <c r="W534" t="str">
        <f>IF($D534="","",mEQA.PadronizarStatus($L534))</f>
        <v>ACEITO</v>
      </c>
      <c r="X534" t="str">
        <f>IF(OR($D534="",$W534&lt;&gt;"NAO ACEITO"),"",IF(COUNTIFS($D$2:$D534,$D534,$W$2:$W534,"NAO ACEITO")=1,1,0))</f>
        <v/>
      </c>
    </row>
    <row r="535" spans="1:24" x14ac:dyDescent="0.3">
      <c r="A535" t="s">
        <v>402</v>
      </c>
      <c r="B535" t="s">
        <v>395</v>
      </c>
      <c r="C535" s="126">
        <v>2025</v>
      </c>
      <c r="D535" t="s">
        <v>120</v>
      </c>
      <c r="E535">
        <v>4</v>
      </c>
      <c r="F535" s="137">
        <v>72.079400000000007</v>
      </c>
      <c r="G535" s="138">
        <v>71.677599999999998</v>
      </c>
      <c r="H535" s="138">
        <v>2.1503000000000001</v>
      </c>
      <c r="I535" s="139">
        <v>0.18685764777008257</v>
      </c>
      <c r="J535" s="137">
        <v>65.226699999999994</v>
      </c>
      <c r="K535" s="137">
        <v>78.128500000000003</v>
      </c>
      <c r="L535" t="s">
        <v>520</v>
      </c>
      <c r="M535" s="126"/>
      <c r="O535" s="137">
        <f t="shared" si="16"/>
        <v>0.56056564393898312</v>
      </c>
      <c r="P535" s="137">
        <f t="shared" si="17"/>
        <v>0.56056564393898312</v>
      </c>
      <c r="Q535" s="126"/>
      <c r="R535" t="s">
        <v>524</v>
      </c>
      <c r="S535" t="str">
        <f>IF($W535&lt;&gt;"NAO ACEITO","",COUNTIFS($W$2:$W535,"NAO ACEITO"))</f>
        <v/>
      </c>
      <c r="T535" t="str">
        <f>IF($B535="","",IF(COUNTIF($B$2:$B535,$B535)=1,MAX($T$1:$T534)+1,""))</f>
        <v/>
      </c>
      <c r="U535" t="str">
        <f>IF($D535="","",IF(COUNTIF($D$2:$D535,$D535)=1,MAX($U$1:$U534)+1,""))</f>
        <v/>
      </c>
      <c r="V535">
        <f>IF($D535="","",IF(COUNTIFS($B$2:$B535,$B535,$D$2:$D535,$D535)=1,1,0))</f>
        <v>0</v>
      </c>
      <c r="W535" t="str">
        <f>IF($D535="","",mEQA.PadronizarStatus($L535))</f>
        <v>ACEITO</v>
      </c>
      <c r="X535" t="str">
        <f>IF(OR($D535="",$W535&lt;&gt;"NAO ACEITO"),"",IF(COUNTIFS($D$2:$D535,$D535,$W$2:$W535,"NAO ACEITO")=1,1,0))</f>
        <v/>
      </c>
    </row>
    <row r="536" spans="1:24" x14ac:dyDescent="0.3">
      <c r="A536" t="s">
        <v>402</v>
      </c>
      <c r="B536" t="s">
        <v>395</v>
      </c>
      <c r="C536" s="126">
        <v>2025</v>
      </c>
      <c r="D536" t="s">
        <v>120</v>
      </c>
      <c r="E536">
        <v>5</v>
      </c>
      <c r="F536" s="137">
        <v>72.139700000000005</v>
      </c>
      <c r="G536" s="138">
        <v>71.643100000000004</v>
      </c>
      <c r="H536" s="138">
        <v>2.1493000000000002</v>
      </c>
      <c r="I536" s="139">
        <v>0.23105197040897071</v>
      </c>
      <c r="J536" s="137">
        <v>65.1952</v>
      </c>
      <c r="K536" s="137">
        <v>78.090999999999994</v>
      </c>
      <c r="L536" t="s">
        <v>520</v>
      </c>
      <c r="M536" s="126"/>
      <c r="O536" s="137">
        <f t="shared" si="16"/>
        <v>0.69315816875595948</v>
      </c>
      <c r="P536" s="137">
        <f t="shared" si="17"/>
        <v>0.69315816875595948</v>
      </c>
      <c r="Q536" s="126"/>
      <c r="R536" t="s">
        <v>524</v>
      </c>
      <c r="S536" t="str">
        <f>IF($W536&lt;&gt;"NAO ACEITO","",COUNTIFS($W$2:$W536,"NAO ACEITO"))</f>
        <v/>
      </c>
      <c r="T536" t="str">
        <f>IF($B536="","",IF(COUNTIF($B$2:$B536,$B536)=1,MAX($T$1:$T535)+1,""))</f>
        <v/>
      </c>
      <c r="U536" t="str">
        <f>IF($D536="","",IF(COUNTIF($D$2:$D536,$D536)=1,MAX($U$1:$U535)+1,""))</f>
        <v/>
      </c>
      <c r="V536">
        <f>IF($D536="","",IF(COUNTIFS($B$2:$B536,$B536,$D$2:$D536,$D536)=1,1,0))</f>
        <v>0</v>
      </c>
      <c r="W536" t="str">
        <f>IF($D536="","",mEQA.PadronizarStatus($L536))</f>
        <v>ACEITO</v>
      </c>
      <c r="X536" t="str">
        <f>IF(OR($D536="",$W536&lt;&gt;"NAO ACEITO"),"",IF(COUNTIFS($D$2:$D536,$D536,$W$2:$W536,"NAO ACEITO")=1,1,0))</f>
        <v/>
      </c>
    </row>
    <row r="537" spans="1:24" x14ac:dyDescent="0.3">
      <c r="A537" t="s">
        <v>402</v>
      </c>
      <c r="B537" t="s">
        <v>395</v>
      </c>
      <c r="C537" s="126">
        <v>2025</v>
      </c>
      <c r="D537" t="s">
        <v>115</v>
      </c>
      <c r="E537">
        <v>1</v>
      </c>
      <c r="F537" s="137">
        <v>80.026499999999999</v>
      </c>
      <c r="G537" s="138">
        <v>79.080799999999996</v>
      </c>
      <c r="H537" s="138">
        <v>2.3723999999999998</v>
      </c>
      <c r="I537" s="139">
        <v>0.39862586410386203</v>
      </c>
      <c r="J537" s="137">
        <v>71.9636</v>
      </c>
      <c r="K537" s="137">
        <v>86.197999999999993</v>
      </c>
      <c r="L537" t="s">
        <v>520</v>
      </c>
      <c r="M537" s="126"/>
      <c r="O537" s="137">
        <f t="shared" si="16"/>
        <v>1.1958654945321774</v>
      </c>
      <c r="P537" s="137">
        <f t="shared" si="17"/>
        <v>1.1958654945321774</v>
      </c>
      <c r="Q537" s="126"/>
      <c r="R537" t="s">
        <v>524</v>
      </c>
      <c r="S537" t="str">
        <f>IF($W537&lt;&gt;"NAO ACEITO","",COUNTIFS($W$2:$W537,"NAO ACEITO"))</f>
        <v/>
      </c>
      <c r="T537" t="str">
        <f>IF($B537="","",IF(COUNTIF($B$2:$B537,$B537)=1,MAX($T$1:$T536)+1,""))</f>
        <v/>
      </c>
      <c r="U537" t="str">
        <f>IF($D537="","",IF(COUNTIF($D$2:$D537,$D537)=1,MAX($U$1:$U536)+1,""))</f>
        <v/>
      </c>
      <c r="V537">
        <f>IF($D537="","",IF(COUNTIFS($B$2:$B537,$B537,$D$2:$D537,$D537)=1,1,0))</f>
        <v>1</v>
      </c>
      <c r="W537" t="str">
        <f>IF($D537="","",mEQA.PadronizarStatus($L537))</f>
        <v>ACEITO</v>
      </c>
      <c r="X537" t="str">
        <f>IF(OR($D537="",$W537&lt;&gt;"NAO ACEITO"),"",IF(COUNTIFS($D$2:$D537,$D537,$W$2:$W537,"NAO ACEITO")=1,1,0))</f>
        <v/>
      </c>
    </row>
    <row r="538" spans="1:24" x14ac:dyDescent="0.3">
      <c r="A538" t="s">
        <v>402</v>
      </c>
      <c r="B538" t="s">
        <v>395</v>
      </c>
      <c r="C538" s="126">
        <v>2025</v>
      </c>
      <c r="D538" t="s">
        <v>115</v>
      </c>
      <c r="E538">
        <v>2</v>
      </c>
      <c r="F538" s="137">
        <v>79.309299999999993</v>
      </c>
      <c r="G538" s="138">
        <v>78.489400000000003</v>
      </c>
      <c r="H538" s="138">
        <v>2.3546999999999998</v>
      </c>
      <c r="I538" s="139">
        <v>0.34819722257612007</v>
      </c>
      <c r="J538" s="137">
        <v>71.425299999999993</v>
      </c>
      <c r="K538" s="137">
        <v>85.5535</v>
      </c>
      <c r="L538" t="s">
        <v>520</v>
      </c>
      <c r="M538" s="126"/>
      <c r="O538" s="137">
        <f t="shared" si="16"/>
        <v>1.0445996529467543</v>
      </c>
      <c r="P538" s="137">
        <f t="shared" si="17"/>
        <v>1.0445996529467543</v>
      </c>
      <c r="Q538" s="126"/>
      <c r="R538" t="s">
        <v>524</v>
      </c>
      <c r="S538" t="str">
        <f>IF($W538&lt;&gt;"NAO ACEITO","",COUNTIFS($W$2:$W538,"NAO ACEITO"))</f>
        <v/>
      </c>
      <c r="T538" t="str">
        <f>IF($B538="","",IF(COUNTIF($B$2:$B538,$B538)=1,MAX($T$1:$T537)+1,""))</f>
        <v/>
      </c>
      <c r="U538" t="str">
        <f>IF($D538="","",IF(COUNTIF($D$2:$D538,$D538)=1,MAX($U$1:$U537)+1,""))</f>
        <v/>
      </c>
      <c r="V538">
        <f>IF($D538="","",IF(COUNTIFS($B$2:$B538,$B538,$D$2:$D538,$D538)=1,1,0))</f>
        <v>0</v>
      </c>
      <c r="W538" t="str">
        <f>IF($D538="","",mEQA.PadronizarStatus($L538))</f>
        <v>ACEITO</v>
      </c>
      <c r="X538" t="str">
        <f>IF(OR($D538="",$W538&lt;&gt;"NAO ACEITO"),"",IF(COUNTIFS($D$2:$D538,$D538,$W$2:$W538,"NAO ACEITO")=1,1,0))</f>
        <v/>
      </c>
    </row>
    <row r="539" spans="1:24" x14ac:dyDescent="0.3">
      <c r="A539" t="s">
        <v>402</v>
      </c>
      <c r="B539" t="s">
        <v>395</v>
      </c>
      <c r="C539" s="126">
        <v>2025</v>
      </c>
      <c r="D539" t="s">
        <v>115</v>
      </c>
      <c r="E539">
        <v>3</v>
      </c>
      <c r="F539" s="137">
        <v>79.076499999999996</v>
      </c>
      <c r="G539" s="138">
        <v>78.745400000000004</v>
      </c>
      <c r="H539" s="138">
        <v>2.3624000000000001</v>
      </c>
      <c r="I539" s="139">
        <v>0.14015408059600076</v>
      </c>
      <c r="J539" s="137">
        <v>71.658199999999994</v>
      </c>
      <c r="K539" s="137">
        <v>85.832599999999999</v>
      </c>
      <c r="L539" t="s">
        <v>520</v>
      </c>
      <c r="M539" s="126"/>
      <c r="O539" s="137">
        <f t="shared" si="16"/>
        <v>0.42046900517362557</v>
      </c>
      <c r="P539" s="137">
        <f t="shared" si="17"/>
        <v>0.42046900517362557</v>
      </c>
      <c r="Q539" s="126"/>
      <c r="R539" t="s">
        <v>524</v>
      </c>
      <c r="S539" t="str">
        <f>IF($W539&lt;&gt;"NAO ACEITO","",COUNTIFS($W$2:$W539,"NAO ACEITO"))</f>
        <v/>
      </c>
      <c r="T539" t="str">
        <f>IF($B539="","",IF(COUNTIF($B$2:$B539,$B539)=1,MAX($T$1:$T538)+1,""))</f>
        <v/>
      </c>
      <c r="U539" t="str">
        <f>IF($D539="","",IF(COUNTIF($D$2:$D539,$D539)=1,MAX($U$1:$U538)+1,""))</f>
        <v/>
      </c>
      <c r="V539">
        <f>IF($D539="","",IF(COUNTIFS($B$2:$B539,$B539,$D$2:$D539,$D539)=1,1,0))</f>
        <v>0</v>
      </c>
      <c r="W539" t="str">
        <f>IF($D539="","",mEQA.PadronizarStatus($L539))</f>
        <v>ACEITO</v>
      </c>
      <c r="X539" t="str">
        <f>IF(OR($D539="",$W539&lt;&gt;"NAO ACEITO"),"",IF(COUNTIFS($D$2:$D539,$D539,$W$2:$W539,"NAO ACEITO")=1,1,0))</f>
        <v/>
      </c>
    </row>
    <row r="540" spans="1:24" x14ac:dyDescent="0.3">
      <c r="A540" t="s">
        <v>402</v>
      </c>
      <c r="B540" t="s">
        <v>395</v>
      </c>
      <c r="C540" s="126">
        <v>2025</v>
      </c>
      <c r="D540" t="s">
        <v>115</v>
      </c>
      <c r="E540">
        <v>4</v>
      </c>
      <c r="F540" s="137">
        <v>79.355500000000006</v>
      </c>
      <c r="G540" s="138">
        <v>78.478899999999996</v>
      </c>
      <c r="H540" s="138">
        <v>2.3544</v>
      </c>
      <c r="I540" s="139">
        <v>0.37232415902141119</v>
      </c>
      <c r="J540" s="137">
        <v>71.415700000000001</v>
      </c>
      <c r="K540" s="137">
        <v>85.542100000000005</v>
      </c>
      <c r="L540" t="s">
        <v>520</v>
      </c>
      <c r="M540" s="126"/>
      <c r="O540" s="137">
        <f t="shared" si="16"/>
        <v>1.1169881331160485</v>
      </c>
      <c r="P540" s="137">
        <f t="shared" si="17"/>
        <v>1.1169881331160485</v>
      </c>
      <c r="Q540" s="126"/>
      <c r="R540" t="s">
        <v>524</v>
      </c>
      <c r="S540" t="str">
        <f>IF($W540&lt;&gt;"NAO ACEITO","",COUNTIFS($W$2:$W540,"NAO ACEITO"))</f>
        <v/>
      </c>
      <c r="T540" t="str">
        <f>IF($B540="","",IF(COUNTIF($B$2:$B540,$B540)=1,MAX($T$1:$T539)+1,""))</f>
        <v/>
      </c>
      <c r="U540" t="str">
        <f>IF($D540="","",IF(COUNTIF($D$2:$D540,$D540)=1,MAX($U$1:$U539)+1,""))</f>
        <v/>
      </c>
      <c r="V540">
        <f>IF($D540="","",IF(COUNTIFS($B$2:$B540,$B540,$D$2:$D540,$D540)=1,1,0))</f>
        <v>0</v>
      </c>
      <c r="W540" t="str">
        <f>IF($D540="","",mEQA.PadronizarStatus($L540))</f>
        <v>ACEITO</v>
      </c>
      <c r="X540" t="str">
        <f>IF(OR($D540="",$W540&lt;&gt;"NAO ACEITO"),"",IF(COUNTIFS($D$2:$D540,$D540,$W$2:$W540,"NAO ACEITO")=1,1,0))</f>
        <v/>
      </c>
    </row>
    <row r="541" spans="1:24" x14ac:dyDescent="0.3">
      <c r="A541" t="s">
        <v>402</v>
      </c>
      <c r="B541" t="s">
        <v>395</v>
      </c>
      <c r="C541" s="126">
        <v>2025</v>
      </c>
      <c r="D541" t="s">
        <v>115</v>
      </c>
      <c r="E541">
        <v>5</v>
      </c>
      <c r="F541" s="137">
        <v>77.406499999999994</v>
      </c>
      <c r="G541" s="138">
        <v>76.621200000000002</v>
      </c>
      <c r="H541" s="138">
        <v>2.2986</v>
      </c>
      <c r="I541" s="139">
        <v>0.34164273905855408</v>
      </c>
      <c r="J541" s="137">
        <v>69.725399999999993</v>
      </c>
      <c r="K541" s="137">
        <v>83.516999999999996</v>
      </c>
      <c r="L541" t="s">
        <v>520</v>
      </c>
      <c r="M541" s="126"/>
      <c r="O541" s="137">
        <f t="shared" si="16"/>
        <v>1.0249121653014992</v>
      </c>
      <c r="P541" s="137">
        <f t="shared" si="17"/>
        <v>1.0249121653014992</v>
      </c>
      <c r="Q541" s="126"/>
      <c r="R541" t="s">
        <v>524</v>
      </c>
      <c r="S541" t="str">
        <f>IF($W541&lt;&gt;"NAO ACEITO","",COUNTIFS($W$2:$W541,"NAO ACEITO"))</f>
        <v/>
      </c>
      <c r="T541" t="str">
        <f>IF($B541="","",IF(COUNTIF($B$2:$B541,$B541)=1,MAX($T$1:$T540)+1,""))</f>
        <v/>
      </c>
      <c r="U541" t="str">
        <f>IF($D541="","",IF(COUNTIF($D$2:$D541,$D541)=1,MAX($U$1:$U540)+1,""))</f>
        <v/>
      </c>
      <c r="V541">
        <f>IF($D541="","",IF(COUNTIFS($B$2:$B541,$B541,$D$2:$D541,$D541)=1,1,0))</f>
        <v>0</v>
      </c>
      <c r="W541" t="str">
        <f>IF($D541="","",mEQA.PadronizarStatus($L541))</f>
        <v>ACEITO</v>
      </c>
      <c r="X541" t="str">
        <f>IF(OR($D541="",$W541&lt;&gt;"NAO ACEITO"),"",IF(COUNTIFS($D$2:$D541,$D541,$W$2:$W541,"NAO ACEITO")=1,1,0))</f>
        <v/>
      </c>
    </row>
    <row r="542" spans="1:24" x14ac:dyDescent="0.3">
      <c r="A542" t="s">
        <v>402</v>
      </c>
      <c r="B542" t="s">
        <v>395</v>
      </c>
      <c r="C542" s="126">
        <v>2025</v>
      </c>
      <c r="D542" t="s">
        <v>118</v>
      </c>
      <c r="E542">
        <v>1</v>
      </c>
      <c r="F542" s="137">
        <v>9.7902000000000005</v>
      </c>
      <c r="G542" s="138">
        <v>9.6267999999999994</v>
      </c>
      <c r="H542" s="138">
        <v>0.2888</v>
      </c>
      <c r="I542" s="139">
        <v>0.56578947368421428</v>
      </c>
      <c r="J542" s="137">
        <v>8.7604000000000006</v>
      </c>
      <c r="K542" s="137">
        <v>10.4932</v>
      </c>
      <c r="L542" t="s">
        <v>520</v>
      </c>
      <c r="M542" s="126"/>
      <c r="O542" s="137">
        <f t="shared" si="16"/>
        <v>1.6973449121203423</v>
      </c>
      <c r="P542" s="137">
        <f t="shared" si="17"/>
        <v>1.6973449121203423</v>
      </c>
      <c r="Q542" s="126"/>
      <c r="R542" t="s">
        <v>524</v>
      </c>
      <c r="S542" t="str">
        <f>IF($W542&lt;&gt;"NAO ACEITO","",COUNTIFS($W$2:$W542,"NAO ACEITO"))</f>
        <v/>
      </c>
      <c r="T542" t="str">
        <f>IF($B542="","",IF(COUNTIF($B$2:$B542,$B542)=1,MAX($T$1:$T541)+1,""))</f>
        <v/>
      </c>
      <c r="U542" t="str">
        <f>IF($D542="","",IF(COUNTIF($D$2:$D542,$D542)=1,MAX($U$1:$U541)+1,""))</f>
        <v/>
      </c>
      <c r="V542">
        <f>IF($D542="","",IF(COUNTIFS($B$2:$B542,$B542,$D$2:$D542,$D542)=1,1,0))</f>
        <v>1</v>
      </c>
      <c r="W542" t="str">
        <f>IF($D542="","",mEQA.PadronizarStatus($L542))</f>
        <v>ACEITO</v>
      </c>
      <c r="X542" t="str">
        <f>IF(OR($D542="",$W542&lt;&gt;"NAO ACEITO"),"",IF(COUNTIFS($D$2:$D542,$D542,$W$2:$W542,"NAO ACEITO")=1,1,0))</f>
        <v/>
      </c>
    </row>
    <row r="543" spans="1:24" x14ac:dyDescent="0.3">
      <c r="A543" t="s">
        <v>402</v>
      </c>
      <c r="B543" t="s">
        <v>395</v>
      </c>
      <c r="C543" s="126">
        <v>2025</v>
      </c>
      <c r="D543" t="s">
        <v>118</v>
      </c>
      <c r="E543">
        <v>2</v>
      </c>
      <c r="F543" s="137">
        <v>9.8394999999999992</v>
      </c>
      <c r="G543" s="138">
        <v>9.7003000000000004</v>
      </c>
      <c r="H543" s="138">
        <v>0.29099999999999998</v>
      </c>
      <c r="I543" s="139">
        <v>0.47835051546391372</v>
      </c>
      <c r="J543" s="137">
        <v>8.8272999999999993</v>
      </c>
      <c r="K543" s="137">
        <v>10.5733</v>
      </c>
      <c r="L543" t="s">
        <v>520</v>
      </c>
      <c r="M543" s="126"/>
      <c r="O543" s="137">
        <f t="shared" si="16"/>
        <v>1.4350071647268525</v>
      </c>
      <c r="P543" s="137">
        <f t="shared" si="17"/>
        <v>1.4350071647268525</v>
      </c>
      <c r="Q543" s="126"/>
      <c r="R543" t="s">
        <v>524</v>
      </c>
      <c r="S543" t="str">
        <f>IF($W543&lt;&gt;"NAO ACEITO","",COUNTIFS($W$2:$W543,"NAO ACEITO"))</f>
        <v/>
      </c>
      <c r="T543" t="str">
        <f>IF($B543="","",IF(COUNTIF($B$2:$B543,$B543)=1,MAX($T$1:$T542)+1,""))</f>
        <v/>
      </c>
      <c r="U543" t="str">
        <f>IF($D543="","",IF(COUNTIF($D$2:$D543,$D543)=1,MAX($U$1:$U542)+1,""))</f>
        <v/>
      </c>
      <c r="V543">
        <f>IF($D543="","",IF(COUNTIFS($B$2:$B543,$B543,$D$2:$D543,$D543)=1,1,0))</f>
        <v>0</v>
      </c>
      <c r="W543" t="str">
        <f>IF($D543="","",mEQA.PadronizarStatus($L543))</f>
        <v>ACEITO</v>
      </c>
      <c r="X543" t="str">
        <f>IF(OR($D543="",$W543&lt;&gt;"NAO ACEITO"),"",IF(COUNTIFS($D$2:$D543,$D543,$W$2:$W543,"NAO ACEITO")=1,1,0))</f>
        <v/>
      </c>
    </row>
    <row r="544" spans="1:24" x14ac:dyDescent="0.3">
      <c r="A544" t="s">
        <v>402</v>
      </c>
      <c r="B544" t="s">
        <v>395</v>
      </c>
      <c r="C544" s="126">
        <v>2025</v>
      </c>
      <c r="D544" t="s">
        <v>118</v>
      </c>
      <c r="E544">
        <v>3</v>
      </c>
      <c r="F544" s="137">
        <v>9.5119000000000007</v>
      </c>
      <c r="G544" s="138">
        <v>9.4562000000000008</v>
      </c>
      <c r="H544" s="138">
        <v>0.28370000000000001</v>
      </c>
      <c r="I544" s="139">
        <v>0.19633415579837807</v>
      </c>
      <c r="J544" s="137">
        <v>8.6051000000000002</v>
      </c>
      <c r="K544" s="137">
        <v>10.3073</v>
      </c>
      <c r="L544" t="s">
        <v>520</v>
      </c>
      <c r="M544" s="126"/>
      <c r="O544" s="137">
        <f t="shared" si="16"/>
        <v>0.58903153486601234</v>
      </c>
      <c r="P544" s="137">
        <f t="shared" si="17"/>
        <v>0.58903153486601234</v>
      </c>
      <c r="Q544" s="126"/>
      <c r="R544" t="s">
        <v>524</v>
      </c>
      <c r="S544" t="str">
        <f>IF($W544&lt;&gt;"NAO ACEITO","",COUNTIFS($W$2:$W544,"NAO ACEITO"))</f>
        <v/>
      </c>
      <c r="T544" t="str">
        <f>IF($B544="","",IF(COUNTIF($B$2:$B544,$B544)=1,MAX($T$1:$T543)+1,""))</f>
        <v/>
      </c>
      <c r="U544" t="str">
        <f>IF($D544="","",IF(COUNTIF($D$2:$D544,$D544)=1,MAX($U$1:$U543)+1,""))</f>
        <v/>
      </c>
      <c r="V544">
        <f>IF($D544="","",IF(COUNTIFS($B$2:$B544,$B544,$D$2:$D544,$D544)=1,1,0))</f>
        <v>0</v>
      </c>
      <c r="W544" t="str">
        <f>IF($D544="","",mEQA.PadronizarStatus($L544))</f>
        <v>ACEITO</v>
      </c>
      <c r="X544" t="str">
        <f>IF(OR($D544="",$W544&lt;&gt;"NAO ACEITO"),"",IF(COUNTIFS($D$2:$D544,$D544,$W$2:$W544,"NAO ACEITO")=1,1,0))</f>
        <v/>
      </c>
    </row>
    <row r="545" spans="1:24" x14ac:dyDescent="0.3">
      <c r="A545" t="s">
        <v>402</v>
      </c>
      <c r="B545" t="s">
        <v>395</v>
      </c>
      <c r="C545" s="126">
        <v>2025</v>
      </c>
      <c r="D545" t="s">
        <v>118</v>
      </c>
      <c r="E545">
        <v>4</v>
      </c>
      <c r="F545" s="137">
        <v>9.8991000000000007</v>
      </c>
      <c r="G545" s="138">
        <v>9.6257999999999999</v>
      </c>
      <c r="H545" s="138">
        <v>0.2888</v>
      </c>
      <c r="I545" s="139">
        <v>0.94632963988919927</v>
      </c>
      <c r="J545" s="137">
        <v>8.7593999999999994</v>
      </c>
      <c r="K545" s="137">
        <v>10.4922</v>
      </c>
      <c r="L545" t="s">
        <v>520</v>
      </c>
      <c r="M545" s="126"/>
      <c r="O545" s="137">
        <f t="shared" si="16"/>
        <v>2.8392445303247604</v>
      </c>
      <c r="P545" s="137">
        <f t="shared" si="17"/>
        <v>2.8392445303247604</v>
      </c>
      <c r="Q545" s="126"/>
      <c r="R545" t="s">
        <v>524</v>
      </c>
      <c r="S545" t="str">
        <f>IF($W545&lt;&gt;"NAO ACEITO","",COUNTIFS($W$2:$W545,"NAO ACEITO"))</f>
        <v/>
      </c>
      <c r="T545" t="str">
        <f>IF($B545="","",IF(COUNTIF($B$2:$B545,$B545)=1,MAX($T$1:$T544)+1,""))</f>
        <v/>
      </c>
      <c r="U545" t="str">
        <f>IF($D545="","",IF(COUNTIF($D$2:$D545,$D545)=1,MAX($U$1:$U544)+1,""))</f>
        <v/>
      </c>
      <c r="V545">
        <f>IF($D545="","",IF(COUNTIFS($B$2:$B545,$B545,$D$2:$D545,$D545)=1,1,0))</f>
        <v>0</v>
      </c>
      <c r="W545" t="str">
        <f>IF($D545="","",mEQA.PadronizarStatus($L545))</f>
        <v>ACEITO</v>
      </c>
      <c r="X545" t="str">
        <f>IF(OR($D545="",$W545&lt;&gt;"NAO ACEITO"),"",IF(COUNTIFS($D$2:$D545,$D545,$W$2:$W545,"NAO ACEITO")=1,1,0))</f>
        <v/>
      </c>
    </row>
    <row r="546" spans="1:24" x14ac:dyDescent="0.3">
      <c r="A546" t="s">
        <v>402</v>
      </c>
      <c r="B546" t="s">
        <v>395</v>
      </c>
      <c r="C546" s="126">
        <v>2025</v>
      </c>
      <c r="D546" t="s">
        <v>118</v>
      </c>
      <c r="E546">
        <v>5</v>
      </c>
      <c r="F546" s="137">
        <v>9.5198</v>
      </c>
      <c r="G546" s="138">
        <v>9.4220000000000006</v>
      </c>
      <c r="H546" s="138">
        <v>0.28270000000000001</v>
      </c>
      <c r="I546" s="139">
        <v>0.34594977007428174</v>
      </c>
      <c r="J546" s="137">
        <v>8.5739000000000001</v>
      </c>
      <c r="K546" s="137">
        <v>10.270099999999999</v>
      </c>
      <c r="L546" t="s">
        <v>520</v>
      </c>
      <c r="M546" s="126"/>
      <c r="O546" s="137">
        <f t="shared" si="16"/>
        <v>1.0379961791551628</v>
      </c>
      <c r="P546" s="137">
        <f t="shared" si="17"/>
        <v>1.0379961791551628</v>
      </c>
      <c r="Q546" s="126"/>
      <c r="R546" t="s">
        <v>524</v>
      </c>
      <c r="S546" t="str">
        <f>IF($W546&lt;&gt;"NAO ACEITO","",COUNTIFS($W$2:$W546,"NAO ACEITO"))</f>
        <v/>
      </c>
      <c r="T546" t="str">
        <f>IF($B546="","",IF(COUNTIF($B$2:$B546,$B546)=1,MAX($T$1:$T545)+1,""))</f>
        <v/>
      </c>
      <c r="U546" t="str">
        <f>IF($D546="","",IF(COUNTIF($D$2:$D546,$D546)=1,MAX($U$1:$U545)+1,""))</f>
        <v/>
      </c>
      <c r="V546">
        <f>IF($D546="","",IF(COUNTIFS($B$2:$B546,$B546,$D$2:$D546,$D546)=1,1,0))</f>
        <v>0</v>
      </c>
      <c r="W546" t="str">
        <f>IF($D546="","",mEQA.PadronizarStatus($L546))</f>
        <v>ACEITO</v>
      </c>
      <c r="X546" t="str">
        <f>IF(OR($D546="",$W546&lt;&gt;"NAO ACEITO"),"",IF(COUNTIFS($D$2:$D546,$D546,$W$2:$W546,"NAO ACEITO")=1,1,0))</f>
        <v/>
      </c>
    </row>
    <row r="547" spans="1:24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1:24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1:24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1:24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1:24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1:24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1:24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1:24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1:24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1:24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1:24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1:24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1:24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1:24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sheetProtection algorithmName="SHA-512" hashValue="PEJGhepoqH/Z5i6pbyqvcV41d3/4iVYeM8mkwZT1I5FHgGKh0dfp10dUrg+qQzNRctRZGxAX+M21mGp/yKn2Cg==" saltValue="oGtfm1EXmPaacDjHHlS0wg==" spinCount="100000" sheet="1" scenarios="1"/>
  <phoneticPr fontId="59" type="noConversion"/>
  <conditionalFormatting sqref="L2:L2000">
    <cfRule type="expression" dxfId="38" priority="1" stopIfTrue="1">
      <formula>mEQA.PadronizarStatus($L2)="NAO ACEITO"</formula>
    </cfRule>
    <cfRule type="expression" dxfId="37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{3B29CB7D-6C38-4BB6-BEFA-7EDB0FBB8060}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B29CB7D-6C38-4BB6-BEFA-7EDB0FBB8060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751D8-6B6C-4447-8C07-31E92FAD5556}">
  <sheetPr codeName="Planilha19">
    <tabColor rgb="FF263B4D"/>
  </sheetPr>
  <dimension ref="A1:J87"/>
  <sheetViews>
    <sheetView workbookViewId="0">
      <pane ySplit="4" topLeftCell="A21" activePane="bottomLeft" state="frozen"/>
      <selection pane="bottomLeft" activeCell="L1" sqref="L1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1078</v>
      </c>
    </row>
    <row r="2" spans="1:10" x14ac:dyDescent="0.3">
      <c r="A2" s="130" t="s">
        <v>1079</v>
      </c>
    </row>
    <row r="4" spans="1:10" ht="30" customHeight="1" x14ac:dyDescent="0.3">
      <c r="A4" s="132" t="s">
        <v>1080</v>
      </c>
      <c r="B4" s="132" t="s">
        <v>241</v>
      </c>
      <c r="C4" s="132" t="s">
        <v>1081</v>
      </c>
      <c r="D4" s="132" t="s">
        <v>1082</v>
      </c>
      <c r="E4" s="132" t="s">
        <v>499</v>
      </c>
      <c r="F4" s="132" t="s">
        <v>506</v>
      </c>
      <c r="G4" s="132" t="s">
        <v>1083</v>
      </c>
    </row>
    <row r="5" spans="1:10" x14ac:dyDescent="0.3">
      <c r="A5" t="str">
        <f>IFERROR(INDEX(EQA.CAP_Dados!$B$2:$B$5000,MATCH(1,EQA.CAP_Dados!$T$2:$T$5000,0)),"")</f>
        <v>C-A 2025</v>
      </c>
      <c r="B5">
        <f>IF($A5="","",IFERROR(INDEX(EQA.CAP_Dados!$C$2:$C$5000,MATCH($A5,EQA.CAP_Dados!$B$2:$B$5000,0)),""))</f>
        <v>2025</v>
      </c>
      <c r="C5">
        <f>IF($A5="","",SUMIFS(EQA.CAP_Dados!$V$2:$V$5000,EQA.CAP_Dados!$B$2:$B$5000,$A5))</f>
        <v>30</v>
      </c>
      <c r="D5">
        <f>IF($A5="","",COUNTIF(EQA.CAP_Dados!$B$2:$B$5000,$A5))</f>
        <v>150</v>
      </c>
      <c r="E5">
        <f>IF($A5="","",COUNTIFS(EQA.CAP_Dados!$B$2:$B$5000,$A5,EQA.CAP_Dados!$W$2:$W$5000,"ACEITO"))</f>
        <v>148</v>
      </c>
      <c r="F5">
        <f>IF($A5="","",COUNTIFS(EQA.CAP_Dados!$B$2:$B$5000,$A5,EQA.CAP_Dados!$W$2:$W$5000,"NAO ACEITO"))</f>
        <v>2</v>
      </c>
      <c r="G5" s="135">
        <f t="shared" ref="G5:G12" si="0">IF(OR($A5="",$D5=0),"",$E5/$D5*100)</f>
        <v>98.666666666666671</v>
      </c>
    </row>
    <row r="6" spans="1:10" x14ac:dyDescent="0.3">
      <c r="A6" t="str">
        <f>IFERROR(INDEX(EQA.CAP_Dados!$B$2:$B$5000,MATCH(2,EQA.CAP_Dados!$T$2:$T$5000,0)),"")</f>
        <v>C-B 2025</v>
      </c>
      <c r="B6">
        <f>IF($A6="","",IFERROR(INDEX(EQA.CAP_Dados!$C$2:$C$5000,MATCH($A6,EQA.CAP_Dados!$B$2:$B$5000,0)),""))</f>
        <v>2025</v>
      </c>
      <c r="C6">
        <f>IF($A6="","",SUMIFS(EQA.CAP_Dados!$V$2:$V$5000,EQA.CAP_Dados!$B$2:$B$5000,$A6))</f>
        <v>31</v>
      </c>
      <c r="D6">
        <f>IF($A6="","",COUNTIF(EQA.CAP_Dados!$B$2:$B$5000,$A6))</f>
        <v>155</v>
      </c>
      <c r="E6">
        <f>IF($A6="","",COUNTIFS(EQA.CAP_Dados!$B$2:$B$5000,$A6,EQA.CAP_Dados!$W$2:$W$5000,"ACEITO"))</f>
        <v>143</v>
      </c>
      <c r="F6">
        <f>IF($A6="","",COUNTIFS(EQA.CAP_Dados!$B$2:$B$5000,$A6,EQA.CAP_Dados!$W$2:$W$5000,"NAO ACEITO"))</f>
        <v>12</v>
      </c>
      <c r="G6" s="135">
        <f t="shared" si="0"/>
        <v>92.258064516129039</v>
      </c>
    </row>
    <row r="7" spans="1:10" x14ac:dyDescent="0.3">
      <c r="A7" t="str">
        <f>IFERROR(INDEX(EQA.CAP_Dados!$B$2:$B$5000,MATCH(3,EQA.CAP_Dados!$T$2:$T$5000,0)),"")</f>
        <v>C-C 2025</v>
      </c>
      <c r="B7">
        <f>IF($A7="","",IFERROR(INDEX(EQA.CAP_Dados!$C$2:$C$5000,MATCH($A7,EQA.CAP_Dados!$B$2:$B$5000,0)),""))</f>
        <v>2025</v>
      </c>
      <c r="C7">
        <f>IF($A7="","",SUMIFS(EQA.CAP_Dados!$V$2:$V$5000,EQA.CAP_Dados!$B$2:$B$5000,$A7))</f>
        <v>30</v>
      </c>
      <c r="D7">
        <f>IF($A7="","",COUNTIF(EQA.CAP_Dados!$B$2:$B$5000,$A7))</f>
        <v>150</v>
      </c>
      <c r="E7">
        <f>IF($A7="","",COUNTIFS(EQA.CAP_Dados!$B$2:$B$5000,$A7,EQA.CAP_Dados!$W$2:$W$5000,"ACEITO"))</f>
        <v>149</v>
      </c>
      <c r="F7">
        <f>IF($A7="","",COUNTIFS(EQA.CAP_Dados!$B$2:$B$5000,$A7,EQA.CAP_Dados!$W$2:$W$5000,"NAO ACEITO"))</f>
        <v>1</v>
      </c>
      <c r="G7" s="135">
        <f t="shared" si="0"/>
        <v>99.333333333333329</v>
      </c>
    </row>
    <row r="8" spans="1:10" x14ac:dyDescent="0.3">
      <c r="A8" t="str">
        <f>IFERROR(INDEX(EQA.CAP_Dados!$B$2:$B$5000,MATCH(4,EQA.CAP_Dados!$T$2:$T$5000,0)),"")</f>
        <v>A</v>
      </c>
      <c r="B8">
        <f>IF($A8="","",IFERROR(INDEX(EQA.CAP_Dados!$C$2:$C$5000,MATCH($A8,EQA.CAP_Dados!$B$2:$B$5000,0)),""))</f>
        <v>2025</v>
      </c>
      <c r="C8">
        <f>IF($A8="","",SUMIFS(EQA.CAP_Dados!$V$2:$V$5000,EQA.CAP_Dados!$B$2:$B$5000,$A8))</f>
        <v>6</v>
      </c>
      <c r="D8">
        <f>IF($A8="","",COUNTIF(EQA.CAP_Dados!$B$2:$B$5000,$A8))</f>
        <v>30</v>
      </c>
      <c r="E8">
        <f>IF($A8="","",COUNTIFS(EQA.CAP_Dados!$B$2:$B$5000,$A8,EQA.CAP_Dados!$W$2:$W$5000,"ACEITO"))</f>
        <v>30</v>
      </c>
      <c r="F8">
        <f>IF($A8="","",COUNTIFS(EQA.CAP_Dados!$B$2:$B$5000,$A8,EQA.CAP_Dados!$W$2:$W$5000,"NAO ACEITO"))</f>
        <v>0</v>
      </c>
      <c r="G8" s="135">
        <f t="shared" si="0"/>
        <v>100</v>
      </c>
    </row>
    <row r="9" spans="1:10" x14ac:dyDescent="0.3">
      <c r="A9" t="str">
        <f>IFERROR(INDEX(EQA.CAP_Dados!$B$2:$B$5000,MATCH(5,EQA.CAP_Dados!$T$2:$T$5000,0)),"")</f>
        <v>B</v>
      </c>
      <c r="B9">
        <f>IF($A9="","",IFERROR(INDEX(EQA.CAP_Dados!$C$2:$C$5000,MATCH($A9,EQA.CAP_Dados!$B$2:$B$5000,0)),""))</f>
        <v>2025</v>
      </c>
      <c r="C9">
        <f>IF($A9="","",SUMIFS(EQA.CAP_Dados!$V$2:$V$5000,EQA.CAP_Dados!$B$2:$B$5000,$A9))</f>
        <v>6</v>
      </c>
      <c r="D9">
        <f>IF($A9="","",COUNTIF(EQA.CAP_Dados!$B$2:$B$5000,$A9))</f>
        <v>30</v>
      </c>
      <c r="E9">
        <f>IF($A9="","",COUNTIFS(EQA.CAP_Dados!$B$2:$B$5000,$A9,EQA.CAP_Dados!$W$2:$W$5000,"ACEITO"))</f>
        <v>30</v>
      </c>
      <c r="F9">
        <f>IF($A9="","",COUNTIFS(EQA.CAP_Dados!$B$2:$B$5000,$A9,EQA.CAP_Dados!$W$2:$W$5000,"NAO ACEITO"))</f>
        <v>0</v>
      </c>
      <c r="G9" s="135">
        <f t="shared" si="0"/>
        <v>100</v>
      </c>
    </row>
    <row r="10" spans="1:10" x14ac:dyDescent="0.3">
      <c r="A10" t="str">
        <f>IFERROR(INDEX(EQA.CAP_Dados!$B$2:$B$5000,MATCH(6,EQA.CAP_Dados!$T$2:$T$5000,0)),"")</f>
        <v>C</v>
      </c>
      <c r="B10">
        <f>IF($A10="","",IFERROR(INDEX(EQA.CAP_Dados!$C$2:$C$5000,MATCH($A10,EQA.CAP_Dados!$B$2:$B$5000,0)),""))</f>
        <v>2025</v>
      </c>
      <c r="C10">
        <f>IF($A10="","",SUMIFS(EQA.CAP_Dados!$V$2:$V$5000,EQA.CAP_Dados!$B$2:$B$5000,$A10))</f>
        <v>6</v>
      </c>
      <c r="D10">
        <f>IF($A10="","",COUNTIF(EQA.CAP_Dados!$B$2:$B$5000,$A10))</f>
        <v>30</v>
      </c>
      <c r="E10">
        <f>IF($A10="","",COUNTIFS(EQA.CAP_Dados!$B$2:$B$5000,$A10,EQA.CAP_Dados!$W$2:$W$5000,"ACEITO"))</f>
        <v>30</v>
      </c>
      <c r="F10">
        <f>IF($A10="","",COUNTIFS(EQA.CAP_Dados!$B$2:$B$5000,$A10,EQA.CAP_Dados!$W$2:$W$5000,"NAO ACEITO"))</f>
        <v>0</v>
      </c>
      <c r="G10" s="135">
        <f t="shared" si="0"/>
        <v>100</v>
      </c>
    </row>
    <row r="11" spans="1:10" x14ac:dyDescent="0.3">
      <c r="A11" t="str">
        <f>IFERROR(INDEX(EQA.CAP_Dados!$B$2:$B$5000,MATCH(7,EQA.CAP_Dados!$T$2:$T$5000,0)),"")</f>
        <v/>
      </c>
      <c r="B11" t="str">
        <f>IF($A11="","",IFERROR(INDEX(EQA.CAP_Dados!$C$2:$C$5000,MATCH($A11,EQA.CAP_Dados!$B$2:$B$5000,0)),""))</f>
        <v/>
      </c>
      <c r="C11" t="str">
        <f>IF($A11="","",SUMIFS(EQA.CAP_Dados!$V$2:$V$5000,EQA.CAP_Dados!$B$2:$B$5000,$A11))</f>
        <v/>
      </c>
      <c r="D11" t="str">
        <f>IF($A11="","",COUNTIF(EQA.CAP_Dados!$B$2:$B$5000,$A11))</f>
        <v/>
      </c>
      <c r="E11" t="str">
        <f>IF($A11="","",COUNTIFS(EQA.CAP_Dados!$B$2:$B$5000,$A11,EQA.CAP_Dados!$W$2:$W$5000,"ACEITO"))</f>
        <v/>
      </c>
      <c r="F11" t="str">
        <f>IF($A11="","",COUNTIFS(EQA.CAP_Dados!$B$2:$B$5000,$A11,EQA.CAP_Dados!$W$2:$W$5000,"NAO ACEITO"))</f>
        <v/>
      </c>
      <c r="G11" s="135" t="str">
        <f t="shared" si="0"/>
        <v/>
      </c>
    </row>
    <row r="12" spans="1:10" x14ac:dyDescent="0.3">
      <c r="A12" t="str">
        <f>IFERROR(INDEX(EQA.CAP_Dados!$B$2:$B$5000,MATCH(8,EQA.CAP_Dados!$T$2:$T$5000,0)),"")</f>
        <v/>
      </c>
      <c r="B12" t="str">
        <f>IF($A12="","",IFERROR(INDEX(EQA.CAP_Dados!$C$2:$C$5000,MATCH($A12,EQA.CAP_Dados!$B$2:$B$5000,0)),""))</f>
        <v/>
      </c>
      <c r="C12" t="str">
        <f>IF($A12="","",SUMIFS(EQA.CAP_Dados!$V$2:$V$5000,EQA.CAP_Dados!$B$2:$B$5000,$A12))</f>
        <v/>
      </c>
      <c r="D12" t="str">
        <f>IF($A12="","",COUNTIF(EQA.CAP_Dados!$B$2:$B$5000,$A12))</f>
        <v/>
      </c>
      <c r="E12" t="str">
        <f>IF($A12="","",COUNTIFS(EQA.CAP_Dados!$B$2:$B$5000,$A12,EQA.CAP_Dados!$W$2:$W$5000,"ACEITO"))</f>
        <v/>
      </c>
      <c r="F12" t="str">
        <f>IF($A12="","",COUNTIFS(EQA.CAP_Dados!$B$2:$B$5000,$A12,EQA.CAP_Dados!$W$2:$W$5000,"NAO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SUM(EQA.CAP_Dados!$V$2:$V$5000)</f>
        <v>109</v>
      </c>
      <c r="D13" s="133">
        <f>COUNTA(EQA.CAP_Dados!$B$2:$B$5000)</f>
        <v>545</v>
      </c>
      <c r="E13" s="133">
        <f>COUNTIF(EQA.CAP_Dados!$W$2:$W$5000,"ACEITO")</f>
        <v>530</v>
      </c>
      <c r="F13" s="133">
        <f>COUNTIF(EQA.CAP_Dados!$W$2:$W$5000,"NAO ACEITO")</f>
        <v>15</v>
      </c>
      <c r="G13" s="136">
        <f>IF($D13=0,"",$E13/$D13*100)</f>
        <v>97.247706422018354</v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COUNT(EQA.CAP_Dados!$T$2:$T$5000)</f>
        <v>6</v>
      </c>
    </row>
    <row r="17" spans="1:10" x14ac:dyDescent="0.3">
      <c r="I17" t="s">
        <v>1088</v>
      </c>
      <c r="J17">
        <f>COUNT(EQA.CAP_Dados!$U$2:$U$5000)</f>
        <v>37</v>
      </c>
    </row>
    <row r="18" spans="1:10" x14ac:dyDescent="0.3">
      <c r="I18" t="s">
        <v>1082</v>
      </c>
      <c r="J18">
        <f>COUNTA(EQA.CAP_Dados!$B$2:$B$5000)</f>
        <v>545</v>
      </c>
    </row>
    <row r="19" spans="1:10" x14ac:dyDescent="0.3">
      <c r="I19" t="s">
        <v>506</v>
      </c>
      <c r="J19">
        <f>COUNTIF(EQA.CAP_Dados!$W$2:$W$5000,"NAO ACEITO")</f>
        <v>15</v>
      </c>
    </row>
    <row r="20" spans="1:10" x14ac:dyDescent="0.3">
      <c r="I20" t="s">
        <v>1089</v>
      </c>
      <c r="J20">
        <f>SUM(EQA.CAP_Dados!$X$2:$X$5000)</f>
        <v>7</v>
      </c>
    </row>
    <row r="21" spans="1:10" x14ac:dyDescent="0.3">
      <c r="I21" t="s">
        <v>1090</v>
      </c>
      <c r="J21">
        <f>COUNTIF(EQA.CAP_Dados!$W$2:$W$5000,"NAO AVALIADO")</f>
        <v>0</v>
      </c>
    </row>
    <row r="22" spans="1:10" x14ac:dyDescent="0.3">
      <c r="I22" t="s">
        <v>1091</v>
      </c>
      <c r="J22">
        <f>SUMPRODUCT((EQA_Base!$A$2:$A$5001="CAP")*(EQA_Base!$E$2:$E$5001="")*(EQA_Base!$D$2:$D$5001&lt;&gt;""))</f>
        <v>20</v>
      </c>
    </row>
    <row r="23" spans="1:10" x14ac:dyDescent="0.3">
      <c r="I23" t="s">
        <v>1092</v>
      </c>
      <c r="J23">
        <f>SUMPRODUCT((EQA_Base!$A$2:$A$5001="CAP")*(EQA_Base!$T$2:$T$5001="NAO"))</f>
        <v>90</v>
      </c>
    </row>
    <row r="26" spans="1:10" ht="15.6" x14ac:dyDescent="0.3">
      <c r="A26" s="134" t="s">
        <v>1093</v>
      </c>
    </row>
    <row r="27" spans="1:10" ht="30" customHeight="1" x14ac:dyDescent="0.3">
      <c r="A27" s="132" t="s">
        <v>88</v>
      </c>
      <c r="B27" s="132" t="str">
        <f>IF($A5="","",$A5)</f>
        <v>C-A 2025</v>
      </c>
      <c r="C27" s="132" t="str">
        <f>IF($A6="","",$A6)</f>
        <v>C-B 2025</v>
      </c>
      <c r="D27" s="132" t="str">
        <f>IF($A7="","",$A7)</f>
        <v>C-C 2025</v>
      </c>
      <c r="E27" s="132" t="str">
        <f>IF($A8="","",$A8)</f>
        <v>A</v>
      </c>
      <c r="F27" s="132" t="str">
        <f>IF($A9="","",$A9)</f>
        <v>B</v>
      </c>
      <c r="G27" s="132" t="str">
        <f>IF($A10="","",$A10)</f>
        <v>C</v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IFERROR(INDEX(EQA.CAP_Dados!$D$2:$D$5000,MATCH(ROW()-27,EQA.CAP_Dados!$U$2:$U$5000,0)),"")</f>
        <v>ALT (SGPT)</v>
      </c>
      <c r="B28">
        <f>IF(OR($A28="",B$27=""),"",IF(COUNTIFS(EQA.CAP_Dados!$B$2:$B$5000,B$27,EQA.CAP_Dados!$D$2:$D$5000,$A28)=0,"—",COUNTIFS(EQA.CAP_Dados!$B$2:$B$5000,B$27,EQA.CAP_Dados!$D$2:$D$5000,$A28)))</f>
        <v>5</v>
      </c>
      <c r="C28">
        <f>IF(OR($A28="",C$27=""),"",IF(COUNTIFS(EQA.CAP_Dados!$B$2:$B$5000,C$27,EQA.CAP_Dados!$D$2:$D$5000,$A28)=0,"—",COUNTIFS(EQA.CAP_Dados!$B$2:$B$5000,C$27,EQA.CAP_Dados!$D$2:$D$5000,$A28)))</f>
        <v>5</v>
      </c>
      <c r="D28">
        <f>IF(OR($A28="",D$27=""),"",IF(COUNTIFS(EQA.CAP_Dados!$B$2:$B$5000,D$27,EQA.CAP_Dados!$D$2:$D$5000,$A28)=0,"—",COUNTIFS(EQA.CAP_Dados!$B$2:$B$5000,D$27,EQA.CAP_Dados!$D$2:$D$5000,$A28)))</f>
        <v>5</v>
      </c>
      <c r="E28" t="str">
        <f>IF(OR($A28="",E$27=""),"",IF(COUNTIFS(EQA.CAP_Dados!$B$2:$B$5000,E$27,EQA.CAP_Dados!$D$2:$D$5000,$A28)=0,"—",COUNTIFS(EQA.CAP_Dados!$B$2:$B$5000,E$27,EQA.CAP_Dados!$D$2:$D$5000,$A28)))</f>
        <v>—</v>
      </c>
      <c r="F28" t="str">
        <f>IF(OR($A28="",F$27=""),"",IF(COUNTIFS(EQA.CAP_Dados!$B$2:$B$5000,F$27,EQA.CAP_Dados!$D$2:$D$5000,$A28)=0,"—",COUNTIFS(EQA.CAP_Dados!$B$2:$B$5000,F$27,EQA.CAP_Dados!$D$2:$D$5000,$A28)))</f>
        <v>—</v>
      </c>
      <c r="G28" t="str">
        <f>IF(OR($A28="",G$27=""),"",IF(COUNTIFS(EQA.CAP_Dados!$B$2:$B$5000,G$27,EQA.CAP_Dados!$D$2:$D$5000,$A28)=0,"—",COUNTIFS(EQA.CAP_Dados!$B$2:$B$5000,G$27,EQA.CAP_Dados!$D$2:$D$5000,$A28)))</f>
        <v>—</v>
      </c>
      <c r="H28" t="str">
        <f>IF(OR($A28="",H$27=""),"",IF(COUNTIFS(EQA.CAP_Dados!$B$2:$B$5000,H$27,EQA.CAP_Dados!$D$2:$D$5000,$A28)=0,"—",COUNTIFS(EQA.CAP_Dados!$B$2:$B$5000,H$27,EQA.CAP_Dados!$D$2:$D$5000,$A28)))</f>
        <v/>
      </c>
      <c r="I28" t="str">
        <f>IF(OR($A28="",I$27=""),"",IF(COUNTIFS(EQA.CAP_Dados!$B$2:$B$5000,I$27,EQA.CAP_Dados!$D$2:$D$5000,$A28)=0,"—",COUNTIFS(EQA.CAP_Dados!$B$2:$B$5000,I$27,EQA.CAP_Dados!$D$2:$D$5000,$A28)))</f>
        <v/>
      </c>
      <c r="J28">
        <f>IF($A28="","",COUNTIF(EQA.CAP_Dados!$D$2:$D$5000,$A28))</f>
        <v>15</v>
      </c>
    </row>
    <row r="29" spans="1:10" x14ac:dyDescent="0.3">
      <c r="A29" t="str">
        <f>IFERROR(INDEX(EQA.CAP_Dados!$D$2:$D$5000,MATCH(ROW()-27,EQA.CAP_Dados!$U$2:$U$5000,0)),"")</f>
        <v>AST (SGOT)</v>
      </c>
      <c r="B29">
        <f>IF(OR($A29="",B$27=""),"",IF(COUNTIFS(EQA.CAP_Dados!$B$2:$B$5000,B$27,EQA.CAP_Dados!$D$2:$D$5000,$A29)=0,"—",COUNTIFS(EQA.CAP_Dados!$B$2:$B$5000,B$27,EQA.CAP_Dados!$D$2:$D$5000,$A29)))</f>
        <v>5</v>
      </c>
      <c r="C29">
        <f>IF(OR($A29="",C$27=""),"",IF(COUNTIFS(EQA.CAP_Dados!$B$2:$B$5000,C$27,EQA.CAP_Dados!$D$2:$D$5000,$A29)=0,"—",COUNTIFS(EQA.CAP_Dados!$B$2:$B$5000,C$27,EQA.CAP_Dados!$D$2:$D$5000,$A29)))</f>
        <v>5</v>
      </c>
      <c r="D29">
        <f>IF(OR($A29="",D$27=""),"",IF(COUNTIFS(EQA.CAP_Dados!$B$2:$B$5000,D$27,EQA.CAP_Dados!$D$2:$D$5000,$A29)=0,"—",COUNTIFS(EQA.CAP_Dados!$B$2:$B$5000,D$27,EQA.CAP_Dados!$D$2:$D$5000,$A29)))</f>
        <v>5</v>
      </c>
      <c r="E29" t="str">
        <f>IF(OR($A29="",E$27=""),"",IF(COUNTIFS(EQA.CAP_Dados!$B$2:$B$5000,E$27,EQA.CAP_Dados!$D$2:$D$5000,$A29)=0,"—",COUNTIFS(EQA.CAP_Dados!$B$2:$B$5000,E$27,EQA.CAP_Dados!$D$2:$D$5000,$A29)))</f>
        <v>—</v>
      </c>
      <c r="F29" t="str">
        <f>IF(OR($A29="",F$27=""),"",IF(COUNTIFS(EQA.CAP_Dados!$B$2:$B$5000,F$27,EQA.CAP_Dados!$D$2:$D$5000,$A29)=0,"—",COUNTIFS(EQA.CAP_Dados!$B$2:$B$5000,F$27,EQA.CAP_Dados!$D$2:$D$5000,$A29)))</f>
        <v>—</v>
      </c>
      <c r="G29" t="str">
        <f>IF(OR($A29="",G$27=""),"",IF(COUNTIFS(EQA.CAP_Dados!$B$2:$B$5000,G$27,EQA.CAP_Dados!$D$2:$D$5000,$A29)=0,"—",COUNTIFS(EQA.CAP_Dados!$B$2:$B$5000,G$27,EQA.CAP_Dados!$D$2:$D$5000,$A29)))</f>
        <v>—</v>
      </c>
      <c r="H29" t="str">
        <f>IF(OR($A29="",H$27=""),"",IF(COUNTIFS(EQA.CAP_Dados!$B$2:$B$5000,H$27,EQA.CAP_Dados!$D$2:$D$5000,$A29)=0,"—",COUNTIFS(EQA.CAP_Dados!$B$2:$B$5000,H$27,EQA.CAP_Dados!$D$2:$D$5000,$A29)))</f>
        <v/>
      </c>
      <c r="I29" t="str">
        <f>IF(OR($A29="",I$27=""),"",IF(COUNTIFS(EQA.CAP_Dados!$B$2:$B$5000,I$27,EQA.CAP_Dados!$D$2:$D$5000,$A29)=0,"—",COUNTIFS(EQA.CAP_Dados!$B$2:$B$5000,I$27,EQA.CAP_Dados!$D$2:$D$5000,$A29)))</f>
        <v/>
      </c>
      <c r="J29">
        <f>IF($A29="","",COUNTIF(EQA.CAP_Dados!$D$2:$D$5000,$A29))</f>
        <v>15</v>
      </c>
    </row>
    <row r="30" spans="1:10" x14ac:dyDescent="0.3">
      <c r="A30" t="str">
        <f>IFERROR(INDEX(EQA.CAP_Dados!$D$2:$D$5000,MATCH(ROW()-27,EQA.CAP_Dados!$U$2:$U$5000,0)),"")</f>
        <v>Albumin</v>
      </c>
      <c r="B30">
        <f>IF(OR($A30="",B$27=""),"",IF(COUNTIFS(EQA.CAP_Dados!$B$2:$B$5000,B$27,EQA.CAP_Dados!$D$2:$D$5000,$A30)=0,"—",COUNTIFS(EQA.CAP_Dados!$B$2:$B$5000,B$27,EQA.CAP_Dados!$D$2:$D$5000,$A30)))</f>
        <v>5</v>
      </c>
      <c r="C30">
        <f>IF(OR($A30="",C$27=""),"",IF(COUNTIFS(EQA.CAP_Dados!$B$2:$B$5000,C$27,EQA.CAP_Dados!$D$2:$D$5000,$A30)=0,"—",COUNTIFS(EQA.CAP_Dados!$B$2:$B$5000,C$27,EQA.CAP_Dados!$D$2:$D$5000,$A30)))</f>
        <v>5</v>
      </c>
      <c r="D30">
        <f>IF(OR($A30="",D$27=""),"",IF(COUNTIFS(EQA.CAP_Dados!$B$2:$B$5000,D$27,EQA.CAP_Dados!$D$2:$D$5000,$A30)=0,"—",COUNTIFS(EQA.CAP_Dados!$B$2:$B$5000,D$27,EQA.CAP_Dados!$D$2:$D$5000,$A30)))</f>
        <v>5</v>
      </c>
      <c r="E30" t="str">
        <f>IF(OR($A30="",E$27=""),"",IF(COUNTIFS(EQA.CAP_Dados!$B$2:$B$5000,E$27,EQA.CAP_Dados!$D$2:$D$5000,$A30)=0,"—",COUNTIFS(EQA.CAP_Dados!$B$2:$B$5000,E$27,EQA.CAP_Dados!$D$2:$D$5000,$A30)))</f>
        <v>—</v>
      </c>
      <c r="F30" t="str">
        <f>IF(OR($A30="",F$27=""),"",IF(COUNTIFS(EQA.CAP_Dados!$B$2:$B$5000,F$27,EQA.CAP_Dados!$D$2:$D$5000,$A30)=0,"—",COUNTIFS(EQA.CAP_Dados!$B$2:$B$5000,F$27,EQA.CAP_Dados!$D$2:$D$5000,$A30)))</f>
        <v>—</v>
      </c>
      <c r="G30" t="str">
        <f>IF(OR($A30="",G$27=""),"",IF(COUNTIFS(EQA.CAP_Dados!$B$2:$B$5000,G$27,EQA.CAP_Dados!$D$2:$D$5000,$A30)=0,"—",COUNTIFS(EQA.CAP_Dados!$B$2:$B$5000,G$27,EQA.CAP_Dados!$D$2:$D$5000,$A30)))</f>
        <v>—</v>
      </c>
      <c r="H30" t="str">
        <f>IF(OR($A30="",H$27=""),"",IF(COUNTIFS(EQA.CAP_Dados!$B$2:$B$5000,H$27,EQA.CAP_Dados!$D$2:$D$5000,$A30)=0,"—",COUNTIFS(EQA.CAP_Dados!$B$2:$B$5000,H$27,EQA.CAP_Dados!$D$2:$D$5000,$A30)))</f>
        <v/>
      </c>
      <c r="I30" t="str">
        <f>IF(OR($A30="",I$27=""),"",IF(COUNTIFS(EQA.CAP_Dados!$B$2:$B$5000,I$27,EQA.CAP_Dados!$D$2:$D$5000,$A30)=0,"—",COUNTIFS(EQA.CAP_Dados!$B$2:$B$5000,I$27,EQA.CAP_Dados!$D$2:$D$5000,$A30)))</f>
        <v/>
      </c>
      <c r="J30">
        <f>IF($A30="","",COUNTIF(EQA.CAP_Dados!$D$2:$D$5000,$A30))</f>
        <v>15</v>
      </c>
    </row>
    <row r="31" spans="1:10" x14ac:dyDescent="0.3">
      <c r="A31" t="str">
        <f>IFERROR(INDEX(EQA.CAP_Dados!$D$2:$D$5000,MATCH(ROW()-27,EQA.CAP_Dados!$U$2:$U$5000,0)),"")</f>
        <v>Alkaline Phosphatase</v>
      </c>
      <c r="B31">
        <f>IF(OR($A31="",B$27=""),"",IF(COUNTIFS(EQA.CAP_Dados!$B$2:$B$5000,B$27,EQA.CAP_Dados!$D$2:$D$5000,$A31)=0,"—",COUNTIFS(EQA.CAP_Dados!$B$2:$B$5000,B$27,EQA.CAP_Dados!$D$2:$D$5000,$A31)))</f>
        <v>5</v>
      </c>
      <c r="C31">
        <f>IF(OR($A31="",C$27=""),"",IF(COUNTIFS(EQA.CAP_Dados!$B$2:$B$5000,C$27,EQA.CAP_Dados!$D$2:$D$5000,$A31)=0,"—",COUNTIFS(EQA.CAP_Dados!$B$2:$B$5000,C$27,EQA.CAP_Dados!$D$2:$D$5000,$A31)))</f>
        <v>5</v>
      </c>
      <c r="D31">
        <f>IF(OR($A31="",D$27=""),"",IF(COUNTIFS(EQA.CAP_Dados!$B$2:$B$5000,D$27,EQA.CAP_Dados!$D$2:$D$5000,$A31)=0,"—",COUNTIFS(EQA.CAP_Dados!$B$2:$B$5000,D$27,EQA.CAP_Dados!$D$2:$D$5000,$A31)))</f>
        <v>5</v>
      </c>
      <c r="E31" t="str">
        <f>IF(OR($A31="",E$27=""),"",IF(COUNTIFS(EQA.CAP_Dados!$B$2:$B$5000,E$27,EQA.CAP_Dados!$D$2:$D$5000,$A31)=0,"—",COUNTIFS(EQA.CAP_Dados!$B$2:$B$5000,E$27,EQA.CAP_Dados!$D$2:$D$5000,$A31)))</f>
        <v>—</v>
      </c>
      <c r="F31" t="str">
        <f>IF(OR($A31="",F$27=""),"",IF(COUNTIFS(EQA.CAP_Dados!$B$2:$B$5000,F$27,EQA.CAP_Dados!$D$2:$D$5000,$A31)=0,"—",COUNTIFS(EQA.CAP_Dados!$B$2:$B$5000,F$27,EQA.CAP_Dados!$D$2:$D$5000,$A31)))</f>
        <v>—</v>
      </c>
      <c r="G31" t="str">
        <f>IF(OR($A31="",G$27=""),"",IF(COUNTIFS(EQA.CAP_Dados!$B$2:$B$5000,G$27,EQA.CAP_Dados!$D$2:$D$5000,$A31)=0,"—",COUNTIFS(EQA.CAP_Dados!$B$2:$B$5000,G$27,EQA.CAP_Dados!$D$2:$D$5000,$A31)))</f>
        <v>—</v>
      </c>
      <c r="H31" t="str">
        <f>IF(OR($A31="",H$27=""),"",IF(COUNTIFS(EQA.CAP_Dados!$B$2:$B$5000,H$27,EQA.CAP_Dados!$D$2:$D$5000,$A31)=0,"—",COUNTIFS(EQA.CAP_Dados!$B$2:$B$5000,H$27,EQA.CAP_Dados!$D$2:$D$5000,$A31)))</f>
        <v/>
      </c>
      <c r="I31" t="str">
        <f>IF(OR($A31="",I$27=""),"",IF(COUNTIFS(EQA.CAP_Dados!$B$2:$B$5000,I$27,EQA.CAP_Dados!$D$2:$D$5000,$A31)=0,"—",COUNTIFS(EQA.CAP_Dados!$B$2:$B$5000,I$27,EQA.CAP_Dados!$D$2:$D$5000,$A31)))</f>
        <v/>
      </c>
      <c r="J31">
        <f>IF($A31="","",COUNTIF(EQA.CAP_Dados!$D$2:$D$5000,$A31))</f>
        <v>15</v>
      </c>
    </row>
    <row r="32" spans="1:10" x14ac:dyDescent="0.3">
      <c r="A32" t="str">
        <f>IFERROR(INDEX(EQA.CAP_Dados!$D$2:$D$5000,MATCH(ROW()-27,EQA.CAP_Dados!$U$2:$U$5000,0)),"")</f>
        <v>Amylase, serum</v>
      </c>
      <c r="B32">
        <f>IF(OR($A32="",B$27=""),"",IF(COUNTIFS(EQA.CAP_Dados!$B$2:$B$5000,B$27,EQA.CAP_Dados!$D$2:$D$5000,$A32)=0,"—",COUNTIFS(EQA.CAP_Dados!$B$2:$B$5000,B$27,EQA.CAP_Dados!$D$2:$D$5000,$A32)))</f>
        <v>5</v>
      </c>
      <c r="C32">
        <f>IF(OR($A32="",C$27=""),"",IF(COUNTIFS(EQA.CAP_Dados!$B$2:$B$5000,C$27,EQA.CAP_Dados!$D$2:$D$5000,$A32)=0,"—",COUNTIFS(EQA.CAP_Dados!$B$2:$B$5000,C$27,EQA.CAP_Dados!$D$2:$D$5000,$A32)))</f>
        <v>5</v>
      </c>
      <c r="D32">
        <f>IF(OR($A32="",D$27=""),"",IF(COUNTIFS(EQA.CAP_Dados!$B$2:$B$5000,D$27,EQA.CAP_Dados!$D$2:$D$5000,$A32)=0,"—",COUNTIFS(EQA.CAP_Dados!$B$2:$B$5000,D$27,EQA.CAP_Dados!$D$2:$D$5000,$A32)))</f>
        <v>5</v>
      </c>
      <c r="E32" t="str">
        <f>IF(OR($A32="",E$27=""),"",IF(COUNTIFS(EQA.CAP_Dados!$B$2:$B$5000,E$27,EQA.CAP_Dados!$D$2:$D$5000,$A32)=0,"—",COUNTIFS(EQA.CAP_Dados!$B$2:$B$5000,E$27,EQA.CAP_Dados!$D$2:$D$5000,$A32)))</f>
        <v>—</v>
      </c>
      <c r="F32" t="str">
        <f>IF(OR($A32="",F$27=""),"",IF(COUNTIFS(EQA.CAP_Dados!$B$2:$B$5000,F$27,EQA.CAP_Dados!$D$2:$D$5000,$A32)=0,"—",COUNTIFS(EQA.CAP_Dados!$B$2:$B$5000,F$27,EQA.CAP_Dados!$D$2:$D$5000,$A32)))</f>
        <v>—</v>
      </c>
      <c r="G32" t="str">
        <f>IF(OR($A32="",G$27=""),"",IF(COUNTIFS(EQA.CAP_Dados!$B$2:$B$5000,G$27,EQA.CAP_Dados!$D$2:$D$5000,$A32)=0,"—",COUNTIFS(EQA.CAP_Dados!$B$2:$B$5000,G$27,EQA.CAP_Dados!$D$2:$D$5000,$A32)))</f>
        <v>—</v>
      </c>
      <c r="H32" t="str">
        <f>IF(OR($A32="",H$27=""),"",IF(COUNTIFS(EQA.CAP_Dados!$B$2:$B$5000,H$27,EQA.CAP_Dados!$D$2:$D$5000,$A32)=0,"—",COUNTIFS(EQA.CAP_Dados!$B$2:$B$5000,H$27,EQA.CAP_Dados!$D$2:$D$5000,$A32)))</f>
        <v/>
      </c>
      <c r="I32" t="str">
        <f>IF(OR($A32="",I$27=""),"",IF(COUNTIFS(EQA.CAP_Dados!$B$2:$B$5000,I$27,EQA.CAP_Dados!$D$2:$D$5000,$A32)=0,"—",COUNTIFS(EQA.CAP_Dados!$B$2:$B$5000,I$27,EQA.CAP_Dados!$D$2:$D$5000,$A32)))</f>
        <v/>
      </c>
      <c r="J32">
        <f>IF($A32="","",COUNTIF(EQA.CAP_Dados!$D$2:$D$5000,$A32))</f>
        <v>15</v>
      </c>
    </row>
    <row r="33" spans="1:10" x14ac:dyDescent="0.3">
      <c r="A33" t="str">
        <f>IFERROR(INDEX(EQA.CAP_Dados!$D$2:$D$5000,MATCH(ROW()-27,EQA.CAP_Dados!$U$2:$U$5000,0)),"")</f>
        <v>Bilirubin, direct</v>
      </c>
      <c r="B33">
        <f>IF(OR($A33="",B$27=""),"",IF(COUNTIFS(EQA.CAP_Dados!$B$2:$B$5000,B$27,EQA.CAP_Dados!$D$2:$D$5000,$A33)=0,"—",COUNTIFS(EQA.CAP_Dados!$B$2:$B$5000,B$27,EQA.CAP_Dados!$D$2:$D$5000,$A33)))</f>
        <v>5</v>
      </c>
      <c r="C33">
        <f>IF(OR($A33="",C$27=""),"",IF(COUNTIFS(EQA.CAP_Dados!$B$2:$B$5000,C$27,EQA.CAP_Dados!$D$2:$D$5000,$A33)=0,"—",COUNTIFS(EQA.CAP_Dados!$B$2:$B$5000,C$27,EQA.CAP_Dados!$D$2:$D$5000,$A33)))</f>
        <v>5</v>
      </c>
      <c r="D33">
        <f>IF(OR($A33="",D$27=""),"",IF(COUNTIFS(EQA.CAP_Dados!$B$2:$B$5000,D$27,EQA.CAP_Dados!$D$2:$D$5000,$A33)=0,"—",COUNTIFS(EQA.CAP_Dados!$B$2:$B$5000,D$27,EQA.CAP_Dados!$D$2:$D$5000,$A33)))</f>
        <v>5</v>
      </c>
      <c r="E33" t="str">
        <f>IF(OR($A33="",E$27=""),"",IF(COUNTIFS(EQA.CAP_Dados!$B$2:$B$5000,E$27,EQA.CAP_Dados!$D$2:$D$5000,$A33)=0,"—",COUNTIFS(EQA.CAP_Dados!$B$2:$B$5000,E$27,EQA.CAP_Dados!$D$2:$D$5000,$A33)))</f>
        <v>—</v>
      </c>
      <c r="F33" t="str">
        <f>IF(OR($A33="",F$27=""),"",IF(COUNTIFS(EQA.CAP_Dados!$B$2:$B$5000,F$27,EQA.CAP_Dados!$D$2:$D$5000,$A33)=0,"—",COUNTIFS(EQA.CAP_Dados!$B$2:$B$5000,F$27,EQA.CAP_Dados!$D$2:$D$5000,$A33)))</f>
        <v>—</v>
      </c>
      <c r="G33" t="str">
        <f>IF(OR($A33="",G$27=""),"",IF(COUNTIFS(EQA.CAP_Dados!$B$2:$B$5000,G$27,EQA.CAP_Dados!$D$2:$D$5000,$A33)=0,"—",COUNTIFS(EQA.CAP_Dados!$B$2:$B$5000,G$27,EQA.CAP_Dados!$D$2:$D$5000,$A33)))</f>
        <v>—</v>
      </c>
      <c r="H33" t="str">
        <f>IF(OR($A33="",H$27=""),"",IF(COUNTIFS(EQA.CAP_Dados!$B$2:$B$5000,H$27,EQA.CAP_Dados!$D$2:$D$5000,$A33)=0,"—",COUNTIFS(EQA.CAP_Dados!$B$2:$B$5000,H$27,EQA.CAP_Dados!$D$2:$D$5000,$A33)))</f>
        <v/>
      </c>
      <c r="I33" t="str">
        <f>IF(OR($A33="",I$27=""),"",IF(COUNTIFS(EQA.CAP_Dados!$B$2:$B$5000,I$27,EQA.CAP_Dados!$D$2:$D$5000,$A33)=0,"—",COUNTIFS(EQA.CAP_Dados!$B$2:$B$5000,I$27,EQA.CAP_Dados!$D$2:$D$5000,$A33)))</f>
        <v/>
      </c>
      <c r="J33">
        <f>IF($A33="","",COUNTIF(EQA.CAP_Dados!$D$2:$D$5000,$A33))</f>
        <v>15</v>
      </c>
    </row>
    <row r="34" spans="1:10" x14ac:dyDescent="0.3">
      <c r="A34" t="str">
        <f>IFERROR(INDEX(EQA.CAP_Dados!$D$2:$D$5000,MATCH(ROW()-27,EQA.CAP_Dados!$U$2:$U$5000,0)),"")</f>
        <v>Bilirubin, total</v>
      </c>
      <c r="B34">
        <f>IF(OR($A34="",B$27=""),"",IF(COUNTIFS(EQA.CAP_Dados!$B$2:$B$5000,B$27,EQA.CAP_Dados!$D$2:$D$5000,$A34)=0,"—",COUNTIFS(EQA.CAP_Dados!$B$2:$B$5000,B$27,EQA.CAP_Dados!$D$2:$D$5000,$A34)))</f>
        <v>5</v>
      </c>
      <c r="C34">
        <f>IF(OR($A34="",C$27=""),"",IF(COUNTIFS(EQA.CAP_Dados!$B$2:$B$5000,C$27,EQA.CAP_Dados!$D$2:$D$5000,$A34)=0,"—",COUNTIFS(EQA.CAP_Dados!$B$2:$B$5000,C$27,EQA.CAP_Dados!$D$2:$D$5000,$A34)))</f>
        <v>5</v>
      </c>
      <c r="D34">
        <f>IF(OR($A34="",D$27=""),"",IF(COUNTIFS(EQA.CAP_Dados!$B$2:$B$5000,D$27,EQA.CAP_Dados!$D$2:$D$5000,$A34)=0,"—",COUNTIFS(EQA.CAP_Dados!$B$2:$B$5000,D$27,EQA.CAP_Dados!$D$2:$D$5000,$A34)))</f>
        <v>5</v>
      </c>
      <c r="E34" t="str">
        <f>IF(OR($A34="",E$27=""),"",IF(COUNTIFS(EQA.CAP_Dados!$B$2:$B$5000,E$27,EQA.CAP_Dados!$D$2:$D$5000,$A34)=0,"—",COUNTIFS(EQA.CAP_Dados!$B$2:$B$5000,E$27,EQA.CAP_Dados!$D$2:$D$5000,$A34)))</f>
        <v>—</v>
      </c>
      <c r="F34" t="str">
        <f>IF(OR($A34="",F$27=""),"",IF(COUNTIFS(EQA.CAP_Dados!$B$2:$B$5000,F$27,EQA.CAP_Dados!$D$2:$D$5000,$A34)=0,"—",COUNTIFS(EQA.CAP_Dados!$B$2:$B$5000,F$27,EQA.CAP_Dados!$D$2:$D$5000,$A34)))</f>
        <v>—</v>
      </c>
      <c r="G34" t="str">
        <f>IF(OR($A34="",G$27=""),"",IF(COUNTIFS(EQA.CAP_Dados!$B$2:$B$5000,G$27,EQA.CAP_Dados!$D$2:$D$5000,$A34)=0,"—",COUNTIFS(EQA.CAP_Dados!$B$2:$B$5000,G$27,EQA.CAP_Dados!$D$2:$D$5000,$A34)))</f>
        <v>—</v>
      </c>
      <c r="H34" t="str">
        <f>IF(OR($A34="",H$27=""),"",IF(COUNTIFS(EQA.CAP_Dados!$B$2:$B$5000,H$27,EQA.CAP_Dados!$D$2:$D$5000,$A34)=0,"—",COUNTIFS(EQA.CAP_Dados!$B$2:$B$5000,H$27,EQA.CAP_Dados!$D$2:$D$5000,$A34)))</f>
        <v/>
      </c>
      <c r="I34" t="str">
        <f>IF(OR($A34="",I$27=""),"",IF(COUNTIFS(EQA.CAP_Dados!$B$2:$B$5000,I$27,EQA.CAP_Dados!$D$2:$D$5000,$A34)=0,"—",COUNTIFS(EQA.CAP_Dados!$B$2:$B$5000,I$27,EQA.CAP_Dados!$D$2:$D$5000,$A34)))</f>
        <v/>
      </c>
      <c r="J34">
        <f>IF($A34="","",COUNTIF(EQA.CAP_Dados!$D$2:$D$5000,$A34))</f>
        <v>15</v>
      </c>
    </row>
    <row r="35" spans="1:10" x14ac:dyDescent="0.3">
      <c r="A35" t="str">
        <f>IFERROR(INDEX(EQA.CAP_Dados!$D$2:$D$5000,MATCH(ROW()-27,EQA.CAP_Dados!$U$2:$U$5000,0)),"")</f>
        <v>CO2</v>
      </c>
      <c r="B35">
        <f>IF(OR($A35="",B$27=""),"",IF(COUNTIFS(EQA.CAP_Dados!$B$2:$B$5000,B$27,EQA.CAP_Dados!$D$2:$D$5000,$A35)=0,"—",COUNTIFS(EQA.CAP_Dados!$B$2:$B$5000,B$27,EQA.CAP_Dados!$D$2:$D$5000,$A35)))</f>
        <v>5</v>
      </c>
      <c r="C35">
        <f>IF(OR($A35="",C$27=""),"",IF(COUNTIFS(EQA.CAP_Dados!$B$2:$B$5000,C$27,EQA.CAP_Dados!$D$2:$D$5000,$A35)=0,"—",COUNTIFS(EQA.CAP_Dados!$B$2:$B$5000,C$27,EQA.CAP_Dados!$D$2:$D$5000,$A35)))</f>
        <v>5</v>
      </c>
      <c r="D35">
        <f>IF(OR($A35="",D$27=""),"",IF(COUNTIFS(EQA.CAP_Dados!$B$2:$B$5000,D$27,EQA.CAP_Dados!$D$2:$D$5000,$A35)=0,"—",COUNTIFS(EQA.CAP_Dados!$B$2:$B$5000,D$27,EQA.CAP_Dados!$D$2:$D$5000,$A35)))</f>
        <v>5</v>
      </c>
      <c r="E35" t="str">
        <f>IF(OR($A35="",E$27=""),"",IF(COUNTIFS(EQA.CAP_Dados!$B$2:$B$5000,E$27,EQA.CAP_Dados!$D$2:$D$5000,$A35)=0,"—",COUNTIFS(EQA.CAP_Dados!$B$2:$B$5000,E$27,EQA.CAP_Dados!$D$2:$D$5000,$A35)))</f>
        <v>—</v>
      </c>
      <c r="F35" t="str">
        <f>IF(OR($A35="",F$27=""),"",IF(COUNTIFS(EQA.CAP_Dados!$B$2:$B$5000,F$27,EQA.CAP_Dados!$D$2:$D$5000,$A35)=0,"—",COUNTIFS(EQA.CAP_Dados!$B$2:$B$5000,F$27,EQA.CAP_Dados!$D$2:$D$5000,$A35)))</f>
        <v>—</v>
      </c>
      <c r="G35" t="str">
        <f>IF(OR($A35="",G$27=""),"",IF(COUNTIFS(EQA.CAP_Dados!$B$2:$B$5000,G$27,EQA.CAP_Dados!$D$2:$D$5000,$A35)=0,"—",COUNTIFS(EQA.CAP_Dados!$B$2:$B$5000,G$27,EQA.CAP_Dados!$D$2:$D$5000,$A35)))</f>
        <v>—</v>
      </c>
      <c r="H35" t="str">
        <f>IF(OR($A35="",H$27=""),"",IF(COUNTIFS(EQA.CAP_Dados!$B$2:$B$5000,H$27,EQA.CAP_Dados!$D$2:$D$5000,$A35)=0,"—",COUNTIFS(EQA.CAP_Dados!$B$2:$B$5000,H$27,EQA.CAP_Dados!$D$2:$D$5000,$A35)))</f>
        <v/>
      </c>
      <c r="I35" t="str">
        <f>IF(OR($A35="",I$27=""),"",IF(COUNTIFS(EQA.CAP_Dados!$B$2:$B$5000,I$27,EQA.CAP_Dados!$D$2:$D$5000,$A35)=0,"—",COUNTIFS(EQA.CAP_Dados!$B$2:$B$5000,I$27,EQA.CAP_Dados!$D$2:$D$5000,$A35)))</f>
        <v/>
      </c>
      <c r="J35">
        <f>IF($A35="","",COUNTIF(EQA.CAP_Dados!$D$2:$D$5000,$A35))</f>
        <v>15</v>
      </c>
    </row>
    <row r="36" spans="1:10" x14ac:dyDescent="0.3">
      <c r="A36" t="str">
        <f>IFERROR(INDEX(EQA.CAP_Dados!$D$2:$D$5000,MATCH(ROW()-27,EQA.CAP_Dados!$U$2:$U$5000,0)),"")</f>
        <v>Calcium, serum</v>
      </c>
      <c r="B36">
        <f>IF(OR($A36="",B$27=""),"",IF(COUNTIFS(EQA.CAP_Dados!$B$2:$B$5000,B$27,EQA.CAP_Dados!$D$2:$D$5000,$A36)=0,"—",COUNTIFS(EQA.CAP_Dados!$B$2:$B$5000,B$27,EQA.CAP_Dados!$D$2:$D$5000,$A36)))</f>
        <v>5</v>
      </c>
      <c r="C36">
        <f>IF(OR($A36="",C$27=""),"",IF(COUNTIFS(EQA.CAP_Dados!$B$2:$B$5000,C$27,EQA.CAP_Dados!$D$2:$D$5000,$A36)=0,"—",COUNTIFS(EQA.CAP_Dados!$B$2:$B$5000,C$27,EQA.CAP_Dados!$D$2:$D$5000,$A36)))</f>
        <v>5</v>
      </c>
      <c r="D36">
        <f>IF(OR($A36="",D$27=""),"",IF(COUNTIFS(EQA.CAP_Dados!$B$2:$B$5000,D$27,EQA.CAP_Dados!$D$2:$D$5000,$A36)=0,"—",COUNTIFS(EQA.CAP_Dados!$B$2:$B$5000,D$27,EQA.CAP_Dados!$D$2:$D$5000,$A36)))</f>
        <v>5</v>
      </c>
      <c r="E36" t="str">
        <f>IF(OR($A36="",E$27=""),"",IF(COUNTIFS(EQA.CAP_Dados!$B$2:$B$5000,E$27,EQA.CAP_Dados!$D$2:$D$5000,$A36)=0,"—",COUNTIFS(EQA.CAP_Dados!$B$2:$B$5000,E$27,EQA.CAP_Dados!$D$2:$D$5000,$A36)))</f>
        <v>—</v>
      </c>
      <c r="F36" t="str">
        <f>IF(OR($A36="",F$27=""),"",IF(COUNTIFS(EQA.CAP_Dados!$B$2:$B$5000,F$27,EQA.CAP_Dados!$D$2:$D$5000,$A36)=0,"—",COUNTIFS(EQA.CAP_Dados!$B$2:$B$5000,F$27,EQA.CAP_Dados!$D$2:$D$5000,$A36)))</f>
        <v>—</v>
      </c>
      <c r="G36" t="str">
        <f>IF(OR($A36="",G$27=""),"",IF(COUNTIFS(EQA.CAP_Dados!$B$2:$B$5000,G$27,EQA.CAP_Dados!$D$2:$D$5000,$A36)=0,"—",COUNTIFS(EQA.CAP_Dados!$B$2:$B$5000,G$27,EQA.CAP_Dados!$D$2:$D$5000,$A36)))</f>
        <v>—</v>
      </c>
      <c r="H36" t="str">
        <f>IF(OR($A36="",H$27=""),"",IF(COUNTIFS(EQA.CAP_Dados!$B$2:$B$5000,H$27,EQA.CAP_Dados!$D$2:$D$5000,$A36)=0,"—",COUNTIFS(EQA.CAP_Dados!$B$2:$B$5000,H$27,EQA.CAP_Dados!$D$2:$D$5000,$A36)))</f>
        <v/>
      </c>
      <c r="I36" t="str">
        <f>IF(OR($A36="",I$27=""),"",IF(COUNTIFS(EQA.CAP_Dados!$B$2:$B$5000,I$27,EQA.CAP_Dados!$D$2:$D$5000,$A36)=0,"—",COUNTIFS(EQA.CAP_Dados!$B$2:$B$5000,I$27,EQA.CAP_Dados!$D$2:$D$5000,$A36)))</f>
        <v/>
      </c>
      <c r="J36">
        <f>IF($A36="","",COUNTIF(EQA.CAP_Dados!$D$2:$D$5000,$A36))</f>
        <v>15</v>
      </c>
    </row>
    <row r="37" spans="1:10" x14ac:dyDescent="0.3">
      <c r="A37" t="str">
        <f>IFERROR(INDEX(EQA.CAP_Dados!$D$2:$D$5000,MATCH(ROW()-27,EQA.CAP_Dados!$U$2:$U$5000,0)),"")</f>
        <v>Chloride</v>
      </c>
      <c r="B37">
        <f>IF(OR($A37="",B$27=""),"",IF(COUNTIFS(EQA.CAP_Dados!$B$2:$B$5000,B$27,EQA.CAP_Dados!$D$2:$D$5000,$A37)=0,"—",COUNTIFS(EQA.CAP_Dados!$B$2:$B$5000,B$27,EQA.CAP_Dados!$D$2:$D$5000,$A37)))</f>
        <v>5</v>
      </c>
      <c r="C37">
        <f>IF(OR($A37="",C$27=""),"",IF(COUNTIFS(EQA.CAP_Dados!$B$2:$B$5000,C$27,EQA.CAP_Dados!$D$2:$D$5000,$A37)=0,"—",COUNTIFS(EQA.CAP_Dados!$B$2:$B$5000,C$27,EQA.CAP_Dados!$D$2:$D$5000,$A37)))</f>
        <v>5</v>
      </c>
      <c r="D37">
        <f>IF(OR($A37="",D$27=""),"",IF(COUNTIFS(EQA.CAP_Dados!$B$2:$B$5000,D$27,EQA.CAP_Dados!$D$2:$D$5000,$A37)=0,"—",COUNTIFS(EQA.CAP_Dados!$B$2:$B$5000,D$27,EQA.CAP_Dados!$D$2:$D$5000,$A37)))</f>
        <v>5</v>
      </c>
      <c r="E37" t="str">
        <f>IF(OR($A37="",E$27=""),"",IF(COUNTIFS(EQA.CAP_Dados!$B$2:$B$5000,E$27,EQA.CAP_Dados!$D$2:$D$5000,$A37)=0,"—",COUNTIFS(EQA.CAP_Dados!$B$2:$B$5000,E$27,EQA.CAP_Dados!$D$2:$D$5000,$A37)))</f>
        <v>—</v>
      </c>
      <c r="F37" t="str">
        <f>IF(OR($A37="",F$27=""),"",IF(COUNTIFS(EQA.CAP_Dados!$B$2:$B$5000,F$27,EQA.CAP_Dados!$D$2:$D$5000,$A37)=0,"—",COUNTIFS(EQA.CAP_Dados!$B$2:$B$5000,F$27,EQA.CAP_Dados!$D$2:$D$5000,$A37)))</f>
        <v>—</v>
      </c>
      <c r="G37" t="str">
        <f>IF(OR($A37="",G$27=""),"",IF(COUNTIFS(EQA.CAP_Dados!$B$2:$B$5000,G$27,EQA.CAP_Dados!$D$2:$D$5000,$A37)=0,"—",COUNTIFS(EQA.CAP_Dados!$B$2:$B$5000,G$27,EQA.CAP_Dados!$D$2:$D$5000,$A37)))</f>
        <v>—</v>
      </c>
      <c r="H37" t="str">
        <f>IF(OR($A37="",H$27=""),"",IF(COUNTIFS(EQA.CAP_Dados!$B$2:$B$5000,H$27,EQA.CAP_Dados!$D$2:$D$5000,$A37)=0,"—",COUNTIFS(EQA.CAP_Dados!$B$2:$B$5000,H$27,EQA.CAP_Dados!$D$2:$D$5000,$A37)))</f>
        <v/>
      </c>
      <c r="I37" t="str">
        <f>IF(OR($A37="",I$27=""),"",IF(COUNTIFS(EQA.CAP_Dados!$B$2:$B$5000,I$27,EQA.CAP_Dados!$D$2:$D$5000,$A37)=0,"—",COUNTIFS(EQA.CAP_Dados!$B$2:$B$5000,I$27,EQA.CAP_Dados!$D$2:$D$5000,$A37)))</f>
        <v/>
      </c>
      <c r="J37">
        <f>IF($A37="","",COUNTIF(EQA.CAP_Dados!$D$2:$D$5000,$A37))</f>
        <v>15</v>
      </c>
    </row>
    <row r="38" spans="1:10" x14ac:dyDescent="0.3">
      <c r="A38" t="str">
        <f>IFERROR(INDEX(EQA.CAP_Dados!$D$2:$D$5000,MATCH(ROW()-27,EQA.CAP_Dados!$U$2:$U$5000,0)),"")</f>
        <v>Cholesterol</v>
      </c>
      <c r="B38">
        <f>IF(OR($A38="",B$27=""),"",IF(COUNTIFS(EQA.CAP_Dados!$B$2:$B$5000,B$27,EQA.CAP_Dados!$D$2:$D$5000,$A38)=0,"—",COUNTIFS(EQA.CAP_Dados!$B$2:$B$5000,B$27,EQA.CAP_Dados!$D$2:$D$5000,$A38)))</f>
        <v>5</v>
      </c>
      <c r="C38">
        <f>IF(OR($A38="",C$27=""),"",IF(COUNTIFS(EQA.CAP_Dados!$B$2:$B$5000,C$27,EQA.CAP_Dados!$D$2:$D$5000,$A38)=0,"—",COUNTIFS(EQA.CAP_Dados!$B$2:$B$5000,C$27,EQA.CAP_Dados!$D$2:$D$5000,$A38)))</f>
        <v>5</v>
      </c>
      <c r="D38">
        <f>IF(OR($A38="",D$27=""),"",IF(COUNTIFS(EQA.CAP_Dados!$B$2:$B$5000,D$27,EQA.CAP_Dados!$D$2:$D$5000,$A38)=0,"—",COUNTIFS(EQA.CAP_Dados!$B$2:$B$5000,D$27,EQA.CAP_Dados!$D$2:$D$5000,$A38)))</f>
        <v>5</v>
      </c>
      <c r="E38" t="str">
        <f>IF(OR($A38="",E$27=""),"",IF(COUNTIFS(EQA.CAP_Dados!$B$2:$B$5000,E$27,EQA.CAP_Dados!$D$2:$D$5000,$A38)=0,"—",COUNTIFS(EQA.CAP_Dados!$B$2:$B$5000,E$27,EQA.CAP_Dados!$D$2:$D$5000,$A38)))</f>
        <v>—</v>
      </c>
      <c r="F38" t="str">
        <f>IF(OR($A38="",F$27=""),"",IF(COUNTIFS(EQA.CAP_Dados!$B$2:$B$5000,F$27,EQA.CAP_Dados!$D$2:$D$5000,$A38)=0,"—",COUNTIFS(EQA.CAP_Dados!$B$2:$B$5000,F$27,EQA.CAP_Dados!$D$2:$D$5000,$A38)))</f>
        <v>—</v>
      </c>
      <c r="G38" t="str">
        <f>IF(OR($A38="",G$27=""),"",IF(COUNTIFS(EQA.CAP_Dados!$B$2:$B$5000,G$27,EQA.CAP_Dados!$D$2:$D$5000,$A38)=0,"—",COUNTIFS(EQA.CAP_Dados!$B$2:$B$5000,G$27,EQA.CAP_Dados!$D$2:$D$5000,$A38)))</f>
        <v>—</v>
      </c>
      <c r="H38" t="str">
        <f>IF(OR($A38="",H$27=""),"",IF(COUNTIFS(EQA.CAP_Dados!$B$2:$B$5000,H$27,EQA.CAP_Dados!$D$2:$D$5000,$A38)=0,"—",COUNTIFS(EQA.CAP_Dados!$B$2:$B$5000,H$27,EQA.CAP_Dados!$D$2:$D$5000,$A38)))</f>
        <v/>
      </c>
      <c r="I38" t="str">
        <f>IF(OR($A38="",I$27=""),"",IF(COUNTIFS(EQA.CAP_Dados!$B$2:$B$5000,I$27,EQA.CAP_Dados!$D$2:$D$5000,$A38)=0,"—",COUNTIFS(EQA.CAP_Dados!$B$2:$B$5000,I$27,EQA.CAP_Dados!$D$2:$D$5000,$A38)))</f>
        <v/>
      </c>
      <c r="J38">
        <f>IF($A38="","",COUNTIF(EQA.CAP_Dados!$D$2:$D$5000,$A38))</f>
        <v>15</v>
      </c>
    </row>
    <row r="39" spans="1:10" x14ac:dyDescent="0.3">
      <c r="A39" t="str">
        <f>IFERROR(INDEX(EQA.CAP_Dados!$D$2:$D$5000,MATCH(ROW()-27,EQA.CAP_Dados!$U$2:$U$5000,0)),"")</f>
        <v>Creatine Kinase</v>
      </c>
      <c r="B39">
        <f>IF(OR($A39="",B$27=""),"",IF(COUNTIFS(EQA.CAP_Dados!$B$2:$B$5000,B$27,EQA.CAP_Dados!$D$2:$D$5000,$A39)=0,"—",COUNTIFS(EQA.CAP_Dados!$B$2:$B$5000,B$27,EQA.CAP_Dados!$D$2:$D$5000,$A39)))</f>
        <v>5</v>
      </c>
      <c r="C39">
        <f>IF(OR($A39="",C$27=""),"",IF(COUNTIFS(EQA.CAP_Dados!$B$2:$B$5000,C$27,EQA.CAP_Dados!$D$2:$D$5000,$A39)=0,"—",COUNTIFS(EQA.CAP_Dados!$B$2:$B$5000,C$27,EQA.CAP_Dados!$D$2:$D$5000,$A39)))</f>
        <v>5</v>
      </c>
      <c r="D39">
        <f>IF(OR($A39="",D$27=""),"",IF(COUNTIFS(EQA.CAP_Dados!$B$2:$B$5000,D$27,EQA.CAP_Dados!$D$2:$D$5000,$A39)=0,"—",COUNTIFS(EQA.CAP_Dados!$B$2:$B$5000,D$27,EQA.CAP_Dados!$D$2:$D$5000,$A39)))</f>
        <v>5</v>
      </c>
      <c r="E39" t="str">
        <f>IF(OR($A39="",E$27=""),"",IF(COUNTIFS(EQA.CAP_Dados!$B$2:$B$5000,E$27,EQA.CAP_Dados!$D$2:$D$5000,$A39)=0,"—",COUNTIFS(EQA.CAP_Dados!$B$2:$B$5000,E$27,EQA.CAP_Dados!$D$2:$D$5000,$A39)))</f>
        <v>—</v>
      </c>
      <c r="F39" t="str">
        <f>IF(OR($A39="",F$27=""),"",IF(COUNTIFS(EQA.CAP_Dados!$B$2:$B$5000,F$27,EQA.CAP_Dados!$D$2:$D$5000,$A39)=0,"—",COUNTIFS(EQA.CAP_Dados!$B$2:$B$5000,F$27,EQA.CAP_Dados!$D$2:$D$5000,$A39)))</f>
        <v>—</v>
      </c>
      <c r="G39" t="str">
        <f>IF(OR($A39="",G$27=""),"",IF(COUNTIFS(EQA.CAP_Dados!$B$2:$B$5000,G$27,EQA.CAP_Dados!$D$2:$D$5000,$A39)=0,"—",COUNTIFS(EQA.CAP_Dados!$B$2:$B$5000,G$27,EQA.CAP_Dados!$D$2:$D$5000,$A39)))</f>
        <v>—</v>
      </c>
      <c r="H39" t="str">
        <f>IF(OR($A39="",H$27=""),"",IF(COUNTIFS(EQA.CAP_Dados!$B$2:$B$5000,H$27,EQA.CAP_Dados!$D$2:$D$5000,$A39)=0,"—",COUNTIFS(EQA.CAP_Dados!$B$2:$B$5000,H$27,EQA.CAP_Dados!$D$2:$D$5000,$A39)))</f>
        <v/>
      </c>
      <c r="I39" t="str">
        <f>IF(OR($A39="",I$27=""),"",IF(COUNTIFS(EQA.CAP_Dados!$B$2:$B$5000,I$27,EQA.CAP_Dados!$D$2:$D$5000,$A39)=0,"—",COUNTIFS(EQA.CAP_Dados!$B$2:$B$5000,I$27,EQA.CAP_Dados!$D$2:$D$5000,$A39)))</f>
        <v/>
      </c>
      <c r="J39">
        <f>IF($A39="","",COUNTIF(EQA.CAP_Dados!$D$2:$D$5000,$A39))</f>
        <v>15</v>
      </c>
    </row>
    <row r="40" spans="1:10" x14ac:dyDescent="0.3">
      <c r="A40" t="str">
        <f>IFERROR(INDEX(EQA.CAP_Dados!$D$2:$D$5000,MATCH(ROW()-27,EQA.CAP_Dados!$U$2:$U$5000,0)),"")</f>
        <v>Creatinine, serum</v>
      </c>
      <c r="B40">
        <f>IF(OR($A40="",B$27=""),"",IF(COUNTIFS(EQA.CAP_Dados!$B$2:$B$5000,B$27,EQA.CAP_Dados!$D$2:$D$5000,$A40)=0,"—",COUNTIFS(EQA.CAP_Dados!$B$2:$B$5000,B$27,EQA.CAP_Dados!$D$2:$D$5000,$A40)))</f>
        <v>5</v>
      </c>
      <c r="C40">
        <f>IF(OR($A40="",C$27=""),"",IF(COUNTIFS(EQA.CAP_Dados!$B$2:$B$5000,C$27,EQA.CAP_Dados!$D$2:$D$5000,$A40)=0,"—",COUNTIFS(EQA.CAP_Dados!$B$2:$B$5000,C$27,EQA.CAP_Dados!$D$2:$D$5000,$A40)))</f>
        <v>5</v>
      </c>
      <c r="D40">
        <f>IF(OR($A40="",D$27=""),"",IF(COUNTIFS(EQA.CAP_Dados!$B$2:$B$5000,D$27,EQA.CAP_Dados!$D$2:$D$5000,$A40)=0,"—",COUNTIFS(EQA.CAP_Dados!$B$2:$B$5000,D$27,EQA.CAP_Dados!$D$2:$D$5000,$A40)))</f>
        <v>5</v>
      </c>
      <c r="E40" t="str">
        <f>IF(OR($A40="",E$27=""),"",IF(COUNTIFS(EQA.CAP_Dados!$B$2:$B$5000,E$27,EQA.CAP_Dados!$D$2:$D$5000,$A40)=0,"—",COUNTIFS(EQA.CAP_Dados!$B$2:$B$5000,E$27,EQA.CAP_Dados!$D$2:$D$5000,$A40)))</f>
        <v>—</v>
      </c>
      <c r="F40" t="str">
        <f>IF(OR($A40="",F$27=""),"",IF(COUNTIFS(EQA.CAP_Dados!$B$2:$B$5000,F$27,EQA.CAP_Dados!$D$2:$D$5000,$A40)=0,"—",COUNTIFS(EQA.CAP_Dados!$B$2:$B$5000,F$27,EQA.CAP_Dados!$D$2:$D$5000,$A40)))</f>
        <v>—</v>
      </c>
      <c r="G40" t="str">
        <f>IF(OR($A40="",G$27=""),"",IF(COUNTIFS(EQA.CAP_Dados!$B$2:$B$5000,G$27,EQA.CAP_Dados!$D$2:$D$5000,$A40)=0,"—",COUNTIFS(EQA.CAP_Dados!$B$2:$B$5000,G$27,EQA.CAP_Dados!$D$2:$D$5000,$A40)))</f>
        <v>—</v>
      </c>
      <c r="H40" t="str">
        <f>IF(OR($A40="",H$27=""),"",IF(COUNTIFS(EQA.CAP_Dados!$B$2:$B$5000,H$27,EQA.CAP_Dados!$D$2:$D$5000,$A40)=0,"—",COUNTIFS(EQA.CAP_Dados!$B$2:$B$5000,H$27,EQA.CAP_Dados!$D$2:$D$5000,$A40)))</f>
        <v/>
      </c>
      <c r="I40" t="str">
        <f>IF(OR($A40="",I$27=""),"",IF(COUNTIFS(EQA.CAP_Dados!$B$2:$B$5000,I$27,EQA.CAP_Dados!$D$2:$D$5000,$A40)=0,"—",COUNTIFS(EQA.CAP_Dados!$B$2:$B$5000,I$27,EQA.CAP_Dados!$D$2:$D$5000,$A40)))</f>
        <v/>
      </c>
      <c r="J40">
        <f>IF($A40="","",COUNTIF(EQA.CAP_Dados!$D$2:$D$5000,$A40))</f>
        <v>15</v>
      </c>
    </row>
    <row r="41" spans="1:10" x14ac:dyDescent="0.3">
      <c r="A41" t="str">
        <f>IFERROR(INDEX(EQA.CAP_Dados!$D$2:$D$5000,MATCH(ROW()-27,EQA.CAP_Dados!$U$2:$U$5000,0)),"")</f>
        <v>Ferritin</v>
      </c>
      <c r="B41">
        <f>IF(OR($A41="",B$27=""),"",IF(COUNTIFS(EQA.CAP_Dados!$B$2:$B$5000,B$27,EQA.CAP_Dados!$D$2:$D$5000,$A41)=0,"—",COUNTIFS(EQA.CAP_Dados!$B$2:$B$5000,B$27,EQA.CAP_Dados!$D$2:$D$5000,$A41)))</f>
        <v>5</v>
      </c>
      <c r="C41">
        <f>IF(OR($A41="",C$27=""),"",IF(COUNTIFS(EQA.CAP_Dados!$B$2:$B$5000,C$27,EQA.CAP_Dados!$D$2:$D$5000,$A41)=0,"—",COUNTIFS(EQA.CAP_Dados!$B$2:$B$5000,C$27,EQA.CAP_Dados!$D$2:$D$5000,$A41)))</f>
        <v>5</v>
      </c>
      <c r="D41">
        <f>IF(OR($A41="",D$27=""),"",IF(COUNTIFS(EQA.CAP_Dados!$B$2:$B$5000,D$27,EQA.CAP_Dados!$D$2:$D$5000,$A41)=0,"—",COUNTIFS(EQA.CAP_Dados!$B$2:$B$5000,D$27,EQA.CAP_Dados!$D$2:$D$5000,$A41)))</f>
        <v>5</v>
      </c>
      <c r="E41" t="str">
        <f>IF(OR($A41="",E$27=""),"",IF(COUNTIFS(EQA.CAP_Dados!$B$2:$B$5000,E$27,EQA.CAP_Dados!$D$2:$D$5000,$A41)=0,"—",COUNTIFS(EQA.CAP_Dados!$B$2:$B$5000,E$27,EQA.CAP_Dados!$D$2:$D$5000,$A41)))</f>
        <v>—</v>
      </c>
      <c r="F41" t="str">
        <f>IF(OR($A41="",F$27=""),"",IF(COUNTIFS(EQA.CAP_Dados!$B$2:$B$5000,F$27,EQA.CAP_Dados!$D$2:$D$5000,$A41)=0,"—",COUNTIFS(EQA.CAP_Dados!$B$2:$B$5000,F$27,EQA.CAP_Dados!$D$2:$D$5000,$A41)))</f>
        <v>—</v>
      </c>
      <c r="G41" t="str">
        <f>IF(OR($A41="",G$27=""),"",IF(COUNTIFS(EQA.CAP_Dados!$B$2:$B$5000,G$27,EQA.CAP_Dados!$D$2:$D$5000,$A41)=0,"—",COUNTIFS(EQA.CAP_Dados!$B$2:$B$5000,G$27,EQA.CAP_Dados!$D$2:$D$5000,$A41)))</f>
        <v>—</v>
      </c>
      <c r="H41" t="str">
        <f>IF(OR($A41="",H$27=""),"",IF(COUNTIFS(EQA.CAP_Dados!$B$2:$B$5000,H$27,EQA.CAP_Dados!$D$2:$D$5000,$A41)=0,"—",COUNTIFS(EQA.CAP_Dados!$B$2:$B$5000,H$27,EQA.CAP_Dados!$D$2:$D$5000,$A41)))</f>
        <v/>
      </c>
      <c r="I41" t="str">
        <f>IF(OR($A41="",I$27=""),"",IF(COUNTIFS(EQA.CAP_Dados!$B$2:$B$5000,I$27,EQA.CAP_Dados!$D$2:$D$5000,$A41)=0,"—",COUNTIFS(EQA.CAP_Dados!$B$2:$B$5000,I$27,EQA.CAP_Dados!$D$2:$D$5000,$A41)))</f>
        <v/>
      </c>
      <c r="J41">
        <f>IF($A41="","",COUNTIF(EQA.CAP_Dados!$D$2:$D$5000,$A41))</f>
        <v>15</v>
      </c>
    </row>
    <row r="42" spans="1:10" x14ac:dyDescent="0.3">
      <c r="A42" t="str">
        <f>IFERROR(INDEX(EQA.CAP_Dados!$D$2:$D$5000,MATCH(ROW()-27,EQA.CAP_Dados!$U$2:$U$5000,0)),"")</f>
        <v>Gamma Glutamyl Trans</v>
      </c>
      <c r="B42">
        <f>IF(OR($A42="",B$27=""),"",IF(COUNTIFS(EQA.CAP_Dados!$B$2:$B$5000,B$27,EQA.CAP_Dados!$D$2:$D$5000,$A42)=0,"—",COUNTIFS(EQA.CAP_Dados!$B$2:$B$5000,B$27,EQA.CAP_Dados!$D$2:$D$5000,$A42)))</f>
        <v>5</v>
      </c>
      <c r="C42">
        <f>IF(OR($A42="",C$27=""),"",IF(COUNTIFS(EQA.CAP_Dados!$B$2:$B$5000,C$27,EQA.CAP_Dados!$D$2:$D$5000,$A42)=0,"—",COUNTIFS(EQA.CAP_Dados!$B$2:$B$5000,C$27,EQA.CAP_Dados!$D$2:$D$5000,$A42)))</f>
        <v>5</v>
      </c>
      <c r="D42">
        <f>IF(OR($A42="",D$27=""),"",IF(COUNTIFS(EQA.CAP_Dados!$B$2:$B$5000,D$27,EQA.CAP_Dados!$D$2:$D$5000,$A42)=0,"—",COUNTIFS(EQA.CAP_Dados!$B$2:$B$5000,D$27,EQA.CAP_Dados!$D$2:$D$5000,$A42)))</f>
        <v>5</v>
      </c>
      <c r="E42" t="str">
        <f>IF(OR($A42="",E$27=""),"",IF(COUNTIFS(EQA.CAP_Dados!$B$2:$B$5000,E$27,EQA.CAP_Dados!$D$2:$D$5000,$A42)=0,"—",COUNTIFS(EQA.CAP_Dados!$B$2:$B$5000,E$27,EQA.CAP_Dados!$D$2:$D$5000,$A42)))</f>
        <v>—</v>
      </c>
      <c r="F42" t="str">
        <f>IF(OR($A42="",F$27=""),"",IF(COUNTIFS(EQA.CAP_Dados!$B$2:$B$5000,F$27,EQA.CAP_Dados!$D$2:$D$5000,$A42)=0,"—",COUNTIFS(EQA.CAP_Dados!$B$2:$B$5000,F$27,EQA.CAP_Dados!$D$2:$D$5000,$A42)))</f>
        <v>—</v>
      </c>
      <c r="G42" t="str">
        <f>IF(OR($A42="",G$27=""),"",IF(COUNTIFS(EQA.CAP_Dados!$B$2:$B$5000,G$27,EQA.CAP_Dados!$D$2:$D$5000,$A42)=0,"—",COUNTIFS(EQA.CAP_Dados!$B$2:$B$5000,G$27,EQA.CAP_Dados!$D$2:$D$5000,$A42)))</f>
        <v>—</v>
      </c>
      <c r="H42" t="str">
        <f>IF(OR($A42="",H$27=""),"",IF(COUNTIFS(EQA.CAP_Dados!$B$2:$B$5000,H$27,EQA.CAP_Dados!$D$2:$D$5000,$A42)=0,"—",COUNTIFS(EQA.CAP_Dados!$B$2:$B$5000,H$27,EQA.CAP_Dados!$D$2:$D$5000,$A42)))</f>
        <v/>
      </c>
      <c r="I42" t="str">
        <f>IF(OR($A42="",I$27=""),"",IF(COUNTIFS(EQA.CAP_Dados!$B$2:$B$5000,I$27,EQA.CAP_Dados!$D$2:$D$5000,$A42)=0,"—",COUNTIFS(EQA.CAP_Dados!$B$2:$B$5000,I$27,EQA.CAP_Dados!$D$2:$D$5000,$A42)))</f>
        <v/>
      </c>
      <c r="J42">
        <f>IF($A42="","",COUNTIF(EQA.CAP_Dados!$D$2:$D$5000,$A42))</f>
        <v>15</v>
      </c>
    </row>
    <row r="43" spans="1:10" x14ac:dyDescent="0.3">
      <c r="A43" t="str">
        <f>IFERROR(INDEX(EQA.CAP_Dados!$D$2:$D$5000,MATCH(ROW()-27,EQA.CAP_Dados!$U$2:$U$5000,0)),"")</f>
        <v>Glucose, serum</v>
      </c>
      <c r="B43">
        <f>IF(OR($A43="",B$27=""),"",IF(COUNTIFS(EQA.CAP_Dados!$B$2:$B$5000,B$27,EQA.CAP_Dados!$D$2:$D$5000,$A43)=0,"—",COUNTIFS(EQA.CAP_Dados!$B$2:$B$5000,B$27,EQA.CAP_Dados!$D$2:$D$5000,$A43)))</f>
        <v>5</v>
      </c>
      <c r="C43">
        <f>IF(OR($A43="",C$27=""),"",IF(COUNTIFS(EQA.CAP_Dados!$B$2:$B$5000,C$27,EQA.CAP_Dados!$D$2:$D$5000,$A43)=0,"—",COUNTIFS(EQA.CAP_Dados!$B$2:$B$5000,C$27,EQA.CAP_Dados!$D$2:$D$5000,$A43)))</f>
        <v>5</v>
      </c>
      <c r="D43">
        <f>IF(OR($A43="",D$27=""),"",IF(COUNTIFS(EQA.CAP_Dados!$B$2:$B$5000,D$27,EQA.CAP_Dados!$D$2:$D$5000,$A43)=0,"—",COUNTIFS(EQA.CAP_Dados!$B$2:$B$5000,D$27,EQA.CAP_Dados!$D$2:$D$5000,$A43)))</f>
        <v>5</v>
      </c>
      <c r="E43" t="str">
        <f>IF(OR($A43="",E$27=""),"",IF(COUNTIFS(EQA.CAP_Dados!$B$2:$B$5000,E$27,EQA.CAP_Dados!$D$2:$D$5000,$A43)=0,"—",COUNTIFS(EQA.CAP_Dados!$B$2:$B$5000,E$27,EQA.CAP_Dados!$D$2:$D$5000,$A43)))</f>
        <v>—</v>
      </c>
      <c r="F43" t="str">
        <f>IF(OR($A43="",F$27=""),"",IF(COUNTIFS(EQA.CAP_Dados!$B$2:$B$5000,F$27,EQA.CAP_Dados!$D$2:$D$5000,$A43)=0,"—",COUNTIFS(EQA.CAP_Dados!$B$2:$B$5000,F$27,EQA.CAP_Dados!$D$2:$D$5000,$A43)))</f>
        <v>—</v>
      </c>
      <c r="G43" t="str">
        <f>IF(OR($A43="",G$27=""),"",IF(COUNTIFS(EQA.CAP_Dados!$B$2:$B$5000,G$27,EQA.CAP_Dados!$D$2:$D$5000,$A43)=0,"—",COUNTIFS(EQA.CAP_Dados!$B$2:$B$5000,G$27,EQA.CAP_Dados!$D$2:$D$5000,$A43)))</f>
        <v>—</v>
      </c>
      <c r="H43" t="str">
        <f>IF(OR($A43="",H$27=""),"",IF(COUNTIFS(EQA.CAP_Dados!$B$2:$B$5000,H$27,EQA.CAP_Dados!$D$2:$D$5000,$A43)=0,"—",COUNTIFS(EQA.CAP_Dados!$B$2:$B$5000,H$27,EQA.CAP_Dados!$D$2:$D$5000,$A43)))</f>
        <v/>
      </c>
      <c r="I43" t="str">
        <f>IF(OR($A43="",I$27=""),"",IF(COUNTIFS(EQA.CAP_Dados!$B$2:$B$5000,I$27,EQA.CAP_Dados!$D$2:$D$5000,$A43)=0,"—",COUNTIFS(EQA.CAP_Dados!$B$2:$B$5000,I$27,EQA.CAP_Dados!$D$2:$D$5000,$A43)))</f>
        <v/>
      </c>
      <c r="J43">
        <f>IF($A43="","",COUNTIF(EQA.CAP_Dados!$D$2:$D$5000,$A43))</f>
        <v>15</v>
      </c>
    </row>
    <row r="44" spans="1:10" x14ac:dyDescent="0.3">
      <c r="A44" t="str">
        <f>IFERROR(INDEX(EQA.CAP_Dados!$D$2:$D$5000,MATCH(ROW()-27,EQA.CAP_Dados!$U$2:$U$5000,0)),"")</f>
        <v>HDL Cholesterol</v>
      </c>
      <c r="B44">
        <f>IF(OR($A44="",B$27=""),"",IF(COUNTIFS(EQA.CAP_Dados!$B$2:$B$5000,B$27,EQA.CAP_Dados!$D$2:$D$5000,$A44)=0,"—",COUNTIFS(EQA.CAP_Dados!$B$2:$B$5000,B$27,EQA.CAP_Dados!$D$2:$D$5000,$A44)))</f>
        <v>5</v>
      </c>
      <c r="C44">
        <f>IF(OR($A44="",C$27=""),"",IF(COUNTIFS(EQA.CAP_Dados!$B$2:$B$5000,C$27,EQA.CAP_Dados!$D$2:$D$5000,$A44)=0,"—",COUNTIFS(EQA.CAP_Dados!$B$2:$B$5000,C$27,EQA.CAP_Dados!$D$2:$D$5000,$A44)))</f>
        <v>5</v>
      </c>
      <c r="D44">
        <f>IF(OR($A44="",D$27=""),"",IF(COUNTIFS(EQA.CAP_Dados!$B$2:$B$5000,D$27,EQA.CAP_Dados!$D$2:$D$5000,$A44)=0,"—",COUNTIFS(EQA.CAP_Dados!$B$2:$B$5000,D$27,EQA.CAP_Dados!$D$2:$D$5000,$A44)))</f>
        <v>5</v>
      </c>
      <c r="E44" t="str">
        <f>IF(OR($A44="",E$27=""),"",IF(COUNTIFS(EQA.CAP_Dados!$B$2:$B$5000,E$27,EQA.CAP_Dados!$D$2:$D$5000,$A44)=0,"—",COUNTIFS(EQA.CAP_Dados!$B$2:$B$5000,E$27,EQA.CAP_Dados!$D$2:$D$5000,$A44)))</f>
        <v>—</v>
      </c>
      <c r="F44" t="str">
        <f>IF(OR($A44="",F$27=""),"",IF(COUNTIFS(EQA.CAP_Dados!$B$2:$B$5000,F$27,EQA.CAP_Dados!$D$2:$D$5000,$A44)=0,"—",COUNTIFS(EQA.CAP_Dados!$B$2:$B$5000,F$27,EQA.CAP_Dados!$D$2:$D$5000,$A44)))</f>
        <v>—</v>
      </c>
      <c r="G44" t="str">
        <f>IF(OR($A44="",G$27=""),"",IF(COUNTIFS(EQA.CAP_Dados!$B$2:$B$5000,G$27,EQA.CAP_Dados!$D$2:$D$5000,$A44)=0,"—",COUNTIFS(EQA.CAP_Dados!$B$2:$B$5000,G$27,EQA.CAP_Dados!$D$2:$D$5000,$A44)))</f>
        <v>—</v>
      </c>
      <c r="H44" t="str">
        <f>IF(OR($A44="",H$27=""),"",IF(COUNTIFS(EQA.CAP_Dados!$B$2:$B$5000,H$27,EQA.CAP_Dados!$D$2:$D$5000,$A44)=0,"—",COUNTIFS(EQA.CAP_Dados!$B$2:$B$5000,H$27,EQA.CAP_Dados!$D$2:$D$5000,$A44)))</f>
        <v/>
      </c>
      <c r="I44" t="str">
        <f>IF(OR($A44="",I$27=""),"",IF(COUNTIFS(EQA.CAP_Dados!$B$2:$B$5000,I$27,EQA.CAP_Dados!$D$2:$D$5000,$A44)=0,"—",COUNTIFS(EQA.CAP_Dados!$B$2:$B$5000,I$27,EQA.CAP_Dados!$D$2:$D$5000,$A44)))</f>
        <v/>
      </c>
      <c r="J44">
        <f>IF($A44="","",COUNTIF(EQA.CAP_Dados!$D$2:$D$5000,$A44))</f>
        <v>15</v>
      </c>
    </row>
    <row r="45" spans="1:10" x14ac:dyDescent="0.3">
      <c r="A45" t="str">
        <f>IFERROR(INDEX(EQA.CAP_Dados!$D$2:$D$5000,MATCH(ROW()-27,EQA.CAP_Dados!$U$2:$U$5000,0)),"")</f>
        <v>Iron</v>
      </c>
      <c r="B45">
        <f>IF(OR($A45="",B$27=""),"",IF(COUNTIFS(EQA.CAP_Dados!$B$2:$B$5000,B$27,EQA.CAP_Dados!$D$2:$D$5000,$A45)=0,"—",COUNTIFS(EQA.CAP_Dados!$B$2:$B$5000,B$27,EQA.CAP_Dados!$D$2:$D$5000,$A45)))</f>
        <v>5</v>
      </c>
      <c r="C45">
        <f>IF(OR($A45="",C$27=""),"",IF(COUNTIFS(EQA.CAP_Dados!$B$2:$B$5000,C$27,EQA.CAP_Dados!$D$2:$D$5000,$A45)=0,"—",COUNTIFS(EQA.CAP_Dados!$B$2:$B$5000,C$27,EQA.CAP_Dados!$D$2:$D$5000,$A45)))</f>
        <v>5</v>
      </c>
      <c r="D45">
        <f>IF(OR($A45="",D$27=""),"",IF(COUNTIFS(EQA.CAP_Dados!$B$2:$B$5000,D$27,EQA.CAP_Dados!$D$2:$D$5000,$A45)=0,"—",COUNTIFS(EQA.CAP_Dados!$B$2:$B$5000,D$27,EQA.CAP_Dados!$D$2:$D$5000,$A45)))</f>
        <v>5</v>
      </c>
      <c r="E45" t="str">
        <f>IF(OR($A45="",E$27=""),"",IF(COUNTIFS(EQA.CAP_Dados!$B$2:$B$5000,E$27,EQA.CAP_Dados!$D$2:$D$5000,$A45)=0,"—",COUNTIFS(EQA.CAP_Dados!$B$2:$B$5000,E$27,EQA.CAP_Dados!$D$2:$D$5000,$A45)))</f>
        <v>—</v>
      </c>
      <c r="F45" t="str">
        <f>IF(OR($A45="",F$27=""),"",IF(COUNTIFS(EQA.CAP_Dados!$B$2:$B$5000,F$27,EQA.CAP_Dados!$D$2:$D$5000,$A45)=0,"—",COUNTIFS(EQA.CAP_Dados!$B$2:$B$5000,F$27,EQA.CAP_Dados!$D$2:$D$5000,$A45)))</f>
        <v>—</v>
      </c>
      <c r="G45" t="str">
        <f>IF(OR($A45="",G$27=""),"",IF(COUNTIFS(EQA.CAP_Dados!$B$2:$B$5000,G$27,EQA.CAP_Dados!$D$2:$D$5000,$A45)=0,"—",COUNTIFS(EQA.CAP_Dados!$B$2:$B$5000,G$27,EQA.CAP_Dados!$D$2:$D$5000,$A45)))</f>
        <v>—</v>
      </c>
      <c r="H45" t="str">
        <f>IF(OR($A45="",H$27=""),"",IF(COUNTIFS(EQA.CAP_Dados!$B$2:$B$5000,H$27,EQA.CAP_Dados!$D$2:$D$5000,$A45)=0,"—",COUNTIFS(EQA.CAP_Dados!$B$2:$B$5000,H$27,EQA.CAP_Dados!$D$2:$D$5000,$A45)))</f>
        <v/>
      </c>
      <c r="I45" t="str">
        <f>IF(OR($A45="",I$27=""),"",IF(COUNTIFS(EQA.CAP_Dados!$B$2:$B$5000,I$27,EQA.CAP_Dados!$D$2:$D$5000,$A45)=0,"—",COUNTIFS(EQA.CAP_Dados!$B$2:$B$5000,I$27,EQA.CAP_Dados!$D$2:$D$5000,$A45)))</f>
        <v/>
      </c>
      <c r="J45">
        <f>IF($A45="","",COUNTIF(EQA.CAP_Dados!$D$2:$D$5000,$A45))</f>
        <v>15</v>
      </c>
    </row>
    <row r="46" spans="1:10" x14ac:dyDescent="0.3">
      <c r="A46" t="str">
        <f>IFERROR(INDEX(EQA.CAP_Dados!$D$2:$D$5000,MATCH(ROW()-27,EQA.CAP_Dados!$U$2:$U$5000,0)),"")</f>
        <v>Lactate</v>
      </c>
      <c r="B46">
        <f>IF(OR($A46="",B$27=""),"",IF(COUNTIFS(EQA.CAP_Dados!$B$2:$B$5000,B$27,EQA.CAP_Dados!$D$2:$D$5000,$A46)=0,"—",COUNTIFS(EQA.CAP_Dados!$B$2:$B$5000,B$27,EQA.CAP_Dados!$D$2:$D$5000,$A46)))</f>
        <v>5</v>
      </c>
      <c r="C46">
        <f>IF(OR($A46="",C$27=""),"",IF(COUNTIFS(EQA.CAP_Dados!$B$2:$B$5000,C$27,EQA.CAP_Dados!$D$2:$D$5000,$A46)=0,"—",COUNTIFS(EQA.CAP_Dados!$B$2:$B$5000,C$27,EQA.CAP_Dados!$D$2:$D$5000,$A46)))</f>
        <v>5</v>
      </c>
      <c r="D46">
        <f>IF(OR($A46="",D$27=""),"",IF(COUNTIFS(EQA.CAP_Dados!$B$2:$B$5000,D$27,EQA.CAP_Dados!$D$2:$D$5000,$A46)=0,"—",COUNTIFS(EQA.CAP_Dados!$B$2:$B$5000,D$27,EQA.CAP_Dados!$D$2:$D$5000,$A46)))</f>
        <v>5</v>
      </c>
      <c r="E46" t="str">
        <f>IF(OR($A46="",E$27=""),"",IF(COUNTIFS(EQA.CAP_Dados!$B$2:$B$5000,E$27,EQA.CAP_Dados!$D$2:$D$5000,$A46)=0,"—",COUNTIFS(EQA.CAP_Dados!$B$2:$B$5000,E$27,EQA.CAP_Dados!$D$2:$D$5000,$A46)))</f>
        <v>—</v>
      </c>
      <c r="F46" t="str">
        <f>IF(OR($A46="",F$27=""),"",IF(COUNTIFS(EQA.CAP_Dados!$B$2:$B$5000,F$27,EQA.CAP_Dados!$D$2:$D$5000,$A46)=0,"—",COUNTIFS(EQA.CAP_Dados!$B$2:$B$5000,F$27,EQA.CAP_Dados!$D$2:$D$5000,$A46)))</f>
        <v>—</v>
      </c>
      <c r="G46" t="str">
        <f>IF(OR($A46="",G$27=""),"",IF(COUNTIFS(EQA.CAP_Dados!$B$2:$B$5000,G$27,EQA.CAP_Dados!$D$2:$D$5000,$A46)=0,"—",COUNTIFS(EQA.CAP_Dados!$B$2:$B$5000,G$27,EQA.CAP_Dados!$D$2:$D$5000,$A46)))</f>
        <v>—</v>
      </c>
      <c r="H46" t="str">
        <f>IF(OR($A46="",H$27=""),"",IF(COUNTIFS(EQA.CAP_Dados!$B$2:$B$5000,H$27,EQA.CAP_Dados!$D$2:$D$5000,$A46)=0,"—",COUNTIFS(EQA.CAP_Dados!$B$2:$B$5000,H$27,EQA.CAP_Dados!$D$2:$D$5000,$A46)))</f>
        <v/>
      </c>
      <c r="I46" t="str">
        <f>IF(OR($A46="",I$27=""),"",IF(COUNTIFS(EQA.CAP_Dados!$B$2:$B$5000,I$27,EQA.CAP_Dados!$D$2:$D$5000,$A46)=0,"—",COUNTIFS(EQA.CAP_Dados!$B$2:$B$5000,I$27,EQA.CAP_Dados!$D$2:$D$5000,$A46)))</f>
        <v/>
      </c>
      <c r="J46">
        <f>IF($A46="","",COUNTIF(EQA.CAP_Dados!$D$2:$D$5000,$A46))</f>
        <v>15</v>
      </c>
    </row>
    <row r="47" spans="1:10" x14ac:dyDescent="0.3">
      <c r="A47" t="str">
        <f>IFERROR(INDEX(EQA.CAP_Dados!$D$2:$D$5000,MATCH(ROW()-27,EQA.CAP_Dados!$U$2:$U$5000,0)),"")</f>
        <v>Lactate Dehydrogenase</v>
      </c>
      <c r="B47">
        <f>IF(OR($A47="",B$27=""),"",IF(COUNTIFS(EQA.CAP_Dados!$B$2:$B$5000,B$27,EQA.CAP_Dados!$D$2:$D$5000,$A47)=0,"—",COUNTIFS(EQA.CAP_Dados!$B$2:$B$5000,B$27,EQA.CAP_Dados!$D$2:$D$5000,$A47)))</f>
        <v>5</v>
      </c>
      <c r="C47">
        <f>IF(OR($A47="",C$27=""),"",IF(COUNTIFS(EQA.CAP_Dados!$B$2:$B$5000,C$27,EQA.CAP_Dados!$D$2:$D$5000,$A47)=0,"—",COUNTIFS(EQA.CAP_Dados!$B$2:$B$5000,C$27,EQA.CAP_Dados!$D$2:$D$5000,$A47)))</f>
        <v>5</v>
      </c>
      <c r="D47">
        <f>IF(OR($A47="",D$27=""),"",IF(COUNTIFS(EQA.CAP_Dados!$B$2:$B$5000,D$27,EQA.CAP_Dados!$D$2:$D$5000,$A47)=0,"—",COUNTIFS(EQA.CAP_Dados!$B$2:$B$5000,D$27,EQA.CAP_Dados!$D$2:$D$5000,$A47)))</f>
        <v>5</v>
      </c>
      <c r="E47" t="str">
        <f>IF(OR($A47="",E$27=""),"",IF(COUNTIFS(EQA.CAP_Dados!$B$2:$B$5000,E$27,EQA.CAP_Dados!$D$2:$D$5000,$A47)=0,"—",COUNTIFS(EQA.CAP_Dados!$B$2:$B$5000,E$27,EQA.CAP_Dados!$D$2:$D$5000,$A47)))</f>
        <v>—</v>
      </c>
      <c r="F47" t="str">
        <f>IF(OR($A47="",F$27=""),"",IF(COUNTIFS(EQA.CAP_Dados!$B$2:$B$5000,F$27,EQA.CAP_Dados!$D$2:$D$5000,$A47)=0,"—",COUNTIFS(EQA.CAP_Dados!$B$2:$B$5000,F$27,EQA.CAP_Dados!$D$2:$D$5000,$A47)))</f>
        <v>—</v>
      </c>
      <c r="G47" t="str">
        <f>IF(OR($A47="",G$27=""),"",IF(COUNTIFS(EQA.CAP_Dados!$B$2:$B$5000,G$27,EQA.CAP_Dados!$D$2:$D$5000,$A47)=0,"—",COUNTIFS(EQA.CAP_Dados!$B$2:$B$5000,G$27,EQA.CAP_Dados!$D$2:$D$5000,$A47)))</f>
        <v>—</v>
      </c>
      <c r="H47" t="str">
        <f>IF(OR($A47="",H$27=""),"",IF(COUNTIFS(EQA.CAP_Dados!$B$2:$B$5000,H$27,EQA.CAP_Dados!$D$2:$D$5000,$A47)=0,"—",COUNTIFS(EQA.CAP_Dados!$B$2:$B$5000,H$27,EQA.CAP_Dados!$D$2:$D$5000,$A47)))</f>
        <v/>
      </c>
      <c r="I47" t="str">
        <f>IF(OR($A47="",I$27=""),"",IF(COUNTIFS(EQA.CAP_Dados!$B$2:$B$5000,I$27,EQA.CAP_Dados!$D$2:$D$5000,$A47)=0,"—",COUNTIFS(EQA.CAP_Dados!$B$2:$B$5000,I$27,EQA.CAP_Dados!$D$2:$D$5000,$A47)))</f>
        <v/>
      </c>
      <c r="J47">
        <f>IF($A47="","",COUNTIF(EQA.CAP_Dados!$D$2:$D$5000,$A47))</f>
        <v>15</v>
      </c>
    </row>
    <row r="48" spans="1:10" x14ac:dyDescent="0.3">
      <c r="A48" t="str">
        <f>IFERROR(INDEX(EQA.CAP_Dados!$D$2:$D$5000,MATCH(ROW()-27,EQA.CAP_Dados!$U$2:$U$5000,0)),"")</f>
        <v>Lipase</v>
      </c>
      <c r="B48">
        <f>IF(OR($A48="",B$27=""),"",IF(COUNTIFS(EQA.CAP_Dados!$B$2:$B$5000,B$27,EQA.CAP_Dados!$D$2:$D$5000,$A48)=0,"—",COUNTIFS(EQA.CAP_Dados!$B$2:$B$5000,B$27,EQA.CAP_Dados!$D$2:$D$5000,$A48)))</f>
        <v>5</v>
      </c>
      <c r="C48">
        <f>IF(OR($A48="",C$27=""),"",IF(COUNTIFS(EQA.CAP_Dados!$B$2:$B$5000,C$27,EQA.CAP_Dados!$D$2:$D$5000,$A48)=0,"—",COUNTIFS(EQA.CAP_Dados!$B$2:$B$5000,C$27,EQA.CAP_Dados!$D$2:$D$5000,$A48)))</f>
        <v>5</v>
      </c>
      <c r="D48">
        <f>IF(OR($A48="",D$27=""),"",IF(COUNTIFS(EQA.CAP_Dados!$B$2:$B$5000,D$27,EQA.CAP_Dados!$D$2:$D$5000,$A48)=0,"—",COUNTIFS(EQA.CAP_Dados!$B$2:$B$5000,D$27,EQA.CAP_Dados!$D$2:$D$5000,$A48)))</f>
        <v>5</v>
      </c>
      <c r="E48" t="str">
        <f>IF(OR($A48="",E$27=""),"",IF(COUNTIFS(EQA.CAP_Dados!$B$2:$B$5000,E$27,EQA.CAP_Dados!$D$2:$D$5000,$A48)=0,"—",COUNTIFS(EQA.CAP_Dados!$B$2:$B$5000,E$27,EQA.CAP_Dados!$D$2:$D$5000,$A48)))</f>
        <v>—</v>
      </c>
      <c r="F48" t="str">
        <f>IF(OR($A48="",F$27=""),"",IF(COUNTIFS(EQA.CAP_Dados!$B$2:$B$5000,F$27,EQA.CAP_Dados!$D$2:$D$5000,$A48)=0,"—",COUNTIFS(EQA.CAP_Dados!$B$2:$B$5000,F$27,EQA.CAP_Dados!$D$2:$D$5000,$A48)))</f>
        <v>—</v>
      </c>
      <c r="G48" t="str">
        <f>IF(OR($A48="",G$27=""),"",IF(COUNTIFS(EQA.CAP_Dados!$B$2:$B$5000,G$27,EQA.CAP_Dados!$D$2:$D$5000,$A48)=0,"—",COUNTIFS(EQA.CAP_Dados!$B$2:$B$5000,G$27,EQA.CAP_Dados!$D$2:$D$5000,$A48)))</f>
        <v>—</v>
      </c>
      <c r="H48" t="str">
        <f>IF(OR($A48="",H$27=""),"",IF(COUNTIFS(EQA.CAP_Dados!$B$2:$B$5000,H$27,EQA.CAP_Dados!$D$2:$D$5000,$A48)=0,"—",COUNTIFS(EQA.CAP_Dados!$B$2:$B$5000,H$27,EQA.CAP_Dados!$D$2:$D$5000,$A48)))</f>
        <v/>
      </c>
      <c r="I48" t="str">
        <f>IF(OR($A48="",I$27=""),"",IF(COUNTIFS(EQA.CAP_Dados!$B$2:$B$5000,I$27,EQA.CAP_Dados!$D$2:$D$5000,$A48)=0,"—",COUNTIFS(EQA.CAP_Dados!$B$2:$B$5000,I$27,EQA.CAP_Dados!$D$2:$D$5000,$A48)))</f>
        <v/>
      </c>
      <c r="J48">
        <f>IF($A48="","",COUNTIF(EQA.CAP_Dados!$D$2:$D$5000,$A48))</f>
        <v>15</v>
      </c>
    </row>
    <row r="49" spans="1:10" x14ac:dyDescent="0.3">
      <c r="A49" t="str">
        <f>IFERROR(INDEX(EQA.CAP_Dados!$D$2:$D$5000,MATCH(ROW()-27,EQA.CAP_Dados!$U$2:$U$5000,0)),"")</f>
        <v>Magnesium</v>
      </c>
      <c r="B49">
        <f>IF(OR($A49="",B$27=""),"",IF(COUNTIFS(EQA.CAP_Dados!$B$2:$B$5000,B$27,EQA.CAP_Dados!$D$2:$D$5000,$A49)=0,"—",COUNTIFS(EQA.CAP_Dados!$B$2:$B$5000,B$27,EQA.CAP_Dados!$D$2:$D$5000,$A49)))</f>
        <v>5</v>
      </c>
      <c r="C49">
        <f>IF(OR($A49="",C$27=""),"",IF(COUNTIFS(EQA.CAP_Dados!$B$2:$B$5000,C$27,EQA.CAP_Dados!$D$2:$D$5000,$A49)=0,"—",COUNTIFS(EQA.CAP_Dados!$B$2:$B$5000,C$27,EQA.CAP_Dados!$D$2:$D$5000,$A49)))</f>
        <v>5</v>
      </c>
      <c r="D49">
        <f>IF(OR($A49="",D$27=""),"",IF(COUNTIFS(EQA.CAP_Dados!$B$2:$B$5000,D$27,EQA.CAP_Dados!$D$2:$D$5000,$A49)=0,"—",COUNTIFS(EQA.CAP_Dados!$B$2:$B$5000,D$27,EQA.CAP_Dados!$D$2:$D$5000,$A49)))</f>
        <v>5</v>
      </c>
      <c r="E49" t="str">
        <f>IF(OR($A49="",E$27=""),"",IF(COUNTIFS(EQA.CAP_Dados!$B$2:$B$5000,E$27,EQA.CAP_Dados!$D$2:$D$5000,$A49)=0,"—",COUNTIFS(EQA.CAP_Dados!$B$2:$B$5000,E$27,EQA.CAP_Dados!$D$2:$D$5000,$A49)))</f>
        <v>—</v>
      </c>
      <c r="F49" t="str">
        <f>IF(OR($A49="",F$27=""),"",IF(COUNTIFS(EQA.CAP_Dados!$B$2:$B$5000,F$27,EQA.CAP_Dados!$D$2:$D$5000,$A49)=0,"—",COUNTIFS(EQA.CAP_Dados!$B$2:$B$5000,F$27,EQA.CAP_Dados!$D$2:$D$5000,$A49)))</f>
        <v>—</v>
      </c>
      <c r="G49" t="str">
        <f>IF(OR($A49="",G$27=""),"",IF(COUNTIFS(EQA.CAP_Dados!$B$2:$B$5000,G$27,EQA.CAP_Dados!$D$2:$D$5000,$A49)=0,"—",COUNTIFS(EQA.CAP_Dados!$B$2:$B$5000,G$27,EQA.CAP_Dados!$D$2:$D$5000,$A49)))</f>
        <v>—</v>
      </c>
      <c r="H49" t="str">
        <f>IF(OR($A49="",H$27=""),"",IF(COUNTIFS(EQA.CAP_Dados!$B$2:$B$5000,H$27,EQA.CAP_Dados!$D$2:$D$5000,$A49)=0,"—",COUNTIFS(EQA.CAP_Dados!$B$2:$B$5000,H$27,EQA.CAP_Dados!$D$2:$D$5000,$A49)))</f>
        <v/>
      </c>
      <c r="I49" t="str">
        <f>IF(OR($A49="",I$27=""),"",IF(COUNTIFS(EQA.CAP_Dados!$B$2:$B$5000,I$27,EQA.CAP_Dados!$D$2:$D$5000,$A49)=0,"—",COUNTIFS(EQA.CAP_Dados!$B$2:$B$5000,I$27,EQA.CAP_Dados!$D$2:$D$5000,$A49)))</f>
        <v/>
      </c>
      <c r="J49">
        <f>IF($A49="","",COUNTIF(EQA.CAP_Dados!$D$2:$D$5000,$A49))</f>
        <v>15</v>
      </c>
    </row>
    <row r="50" spans="1:10" x14ac:dyDescent="0.3">
      <c r="A50" t="str">
        <f>IFERROR(INDEX(EQA.CAP_Dados!$D$2:$D$5000,MATCH(ROW()-27,EQA.CAP_Dados!$U$2:$U$5000,0)),"")</f>
        <v>Phosphorus, serum</v>
      </c>
      <c r="B50">
        <f>IF(OR($A50="",B$27=""),"",IF(COUNTIFS(EQA.CAP_Dados!$B$2:$B$5000,B$27,EQA.CAP_Dados!$D$2:$D$5000,$A50)=0,"—",COUNTIFS(EQA.CAP_Dados!$B$2:$B$5000,B$27,EQA.CAP_Dados!$D$2:$D$5000,$A50)))</f>
        <v>5</v>
      </c>
      <c r="C50">
        <f>IF(OR($A50="",C$27=""),"",IF(COUNTIFS(EQA.CAP_Dados!$B$2:$B$5000,C$27,EQA.CAP_Dados!$D$2:$D$5000,$A50)=0,"—",COUNTIFS(EQA.CAP_Dados!$B$2:$B$5000,C$27,EQA.CAP_Dados!$D$2:$D$5000,$A50)))</f>
        <v>5</v>
      </c>
      <c r="D50">
        <f>IF(OR($A50="",D$27=""),"",IF(COUNTIFS(EQA.CAP_Dados!$B$2:$B$5000,D$27,EQA.CAP_Dados!$D$2:$D$5000,$A50)=0,"—",COUNTIFS(EQA.CAP_Dados!$B$2:$B$5000,D$27,EQA.CAP_Dados!$D$2:$D$5000,$A50)))</f>
        <v>5</v>
      </c>
      <c r="E50" t="str">
        <f>IF(OR($A50="",E$27=""),"",IF(COUNTIFS(EQA.CAP_Dados!$B$2:$B$5000,E$27,EQA.CAP_Dados!$D$2:$D$5000,$A50)=0,"—",COUNTIFS(EQA.CAP_Dados!$B$2:$B$5000,E$27,EQA.CAP_Dados!$D$2:$D$5000,$A50)))</f>
        <v>—</v>
      </c>
      <c r="F50" t="str">
        <f>IF(OR($A50="",F$27=""),"",IF(COUNTIFS(EQA.CAP_Dados!$B$2:$B$5000,F$27,EQA.CAP_Dados!$D$2:$D$5000,$A50)=0,"—",COUNTIFS(EQA.CAP_Dados!$B$2:$B$5000,F$27,EQA.CAP_Dados!$D$2:$D$5000,$A50)))</f>
        <v>—</v>
      </c>
      <c r="G50" t="str">
        <f>IF(OR($A50="",G$27=""),"",IF(COUNTIFS(EQA.CAP_Dados!$B$2:$B$5000,G$27,EQA.CAP_Dados!$D$2:$D$5000,$A50)=0,"—",COUNTIFS(EQA.CAP_Dados!$B$2:$B$5000,G$27,EQA.CAP_Dados!$D$2:$D$5000,$A50)))</f>
        <v>—</v>
      </c>
      <c r="H50" t="str">
        <f>IF(OR($A50="",H$27=""),"",IF(COUNTIFS(EQA.CAP_Dados!$B$2:$B$5000,H$27,EQA.CAP_Dados!$D$2:$D$5000,$A50)=0,"—",COUNTIFS(EQA.CAP_Dados!$B$2:$B$5000,H$27,EQA.CAP_Dados!$D$2:$D$5000,$A50)))</f>
        <v/>
      </c>
      <c r="I50" t="str">
        <f>IF(OR($A50="",I$27=""),"",IF(COUNTIFS(EQA.CAP_Dados!$B$2:$B$5000,I$27,EQA.CAP_Dados!$D$2:$D$5000,$A50)=0,"—",COUNTIFS(EQA.CAP_Dados!$B$2:$B$5000,I$27,EQA.CAP_Dados!$D$2:$D$5000,$A50)))</f>
        <v/>
      </c>
      <c r="J50">
        <f>IF($A50="","",COUNTIF(EQA.CAP_Dados!$D$2:$D$5000,$A50))</f>
        <v>15</v>
      </c>
    </row>
    <row r="51" spans="1:10" x14ac:dyDescent="0.3">
      <c r="A51" t="str">
        <f>IFERROR(INDEX(EQA.CAP_Dados!$D$2:$D$5000,MATCH(ROW()-27,EQA.CAP_Dados!$U$2:$U$5000,0)),"")</f>
        <v>Potassium, serum</v>
      </c>
      <c r="B51">
        <f>IF(OR($A51="",B$27=""),"",IF(COUNTIFS(EQA.CAP_Dados!$B$2:$B$5000,B$27,EQA.CAP_Dados!$D$2:$D$5000,$A51)=0,"—",COUNTIFS(EQA.CAP_Dados!$B$2:$B$5000,B$27,EQA.CAP_Dados!$D$2:$D$5000,$A51)))</f>
        <v>5</v>
      </c>
      <c r="C51">
        <f>IF(OR($A51="",C$27=""),"",IF(COUNTIFS(EQA.CAP_Dados!$B$2:$B$5000,C$27,EQA.CAP_Dados!$D$2:$D$5000,$A51)=0,"—",COUNTIFS(EQA.CAP_Dados!$B$2:$B$5000,C$27,EQA.CAP_Dados!$D$2:$D$5000,$A51)))</f>
        <v>5</v>
      </c>
      <c r="D51">
        <f>IF(OR($A51="",D$27=""),"",IF(COUNTIFS(EQA.CAP_Dados!$B$2:$B$5000,D$27,EQA.CAP_Dados!$D$2:$D$5000,$A51)=0,"—",COUNTIFS(EQA.CAP_Dados!$B$2:$B$5000,D$27,EQA.CAP_Dados!$D$2:$D$5000,$A51)))</f>
        <v>5</v>
      </c>
      <c r="E51" t="str">
        <f>IF(OR($A51="",E$27=""),"",IF(COUNTIFS(EQA.CAP_Dados!$B$2:$B$5000,E$27,EQA.CAP_Dados!$D$2:$D$5000,$A51)=0,"—",COUNTIFS(EQA.CAP_Dados!$B$2:$B$5000,E$27,EQA.CAP_Dados!$D$2:$D$5000,$A51)))</f>
        <v>—</v>
      </c>
      <c r="F51" t="str">
        <f>IF(OR($A51="",F$27=""),"",IF(COUNTIFS(EQA.CAP_Dados!$B$2:$B$5000,F$27,EQA.CAP_Dados!$D$2:$D$5000,$A51)=0,"—",COUNTIFS(EQA.CAP_Dados!$B$2:$B$5000,F$27,EQA.CAP_Dados!$D$2:$D$5000,$A51)))</f>
        <v>—</v>
      </c>
      <c r="G51" t="str">
        <f>IF(OR($A51="",G$27=""),"",IF(COUNTIFS(EQA.CAP_Dados!$B$2:$B$5000,G$27,EQA.CAP_Dados!$D$2:$D$5000,$A51)=0,"—",COUNTIFS(EQA.CAP_Dados!$B$2:$B$5000,G$27,EQA.CAP_Dados!$D$2:$D$5000,$A51)))</f>
        <v>—</v>
      </c>
      <c r="H51" t="str">
        <f>IF(OR($A51="",H$27=""),"",IF(COUNTIFS(EQA.CAP_Dados!$B$2:$B$5000,H$27,EQA.CAP_Dados!$D$2:$D$5000,$A51)=0,"—",COUNTIFS(EQA.CAP_Dados!$B$2:$B$5000,H$27,EQA.CAP_Dados!$D$2:$D$5000,$A51)))</f>
        <v/>
      </c>
      <c r="I51" t="str">
        <f>IF(OR($A51="",I$27=""),"",IF(COUNTIFS(EQA.CAP_Dados!$B$2:$B$5000,I$27,EQA.CAP_Dados!$D$2:$D$5000,$A51)=0,"—",COUNTIFS(EQA.CAP_Dados!$B$2:$B$5000,I$27,EQA.CAP_Dados!$D$2:$D$5000,$A51)))</f>
        <v/>
      </c>
      <c r="J51">
        <f>IF($A51="","",COUNTIF(EQA.CAP_Dados!$D$2:$D$5000,$A51))</f>
        <v>15</v>
      </c>
    </row>
    <row r="52" spans="1:10" x14ac:dyDescent="0.3">
      <c r="A52" t="str">
        <f>IFERROR(INDEX(EQA.CAP_Dados!$D$2:$D$5000,MATCH(ROW()-27,EQA.CAP_Dados!$U$2:$U$5000,0)),"")</f>
        <v>Protein, total, serum</v>
      </c>
      <c r="B52">
        <f>IF(OR($A52="",B$27=""),"",IF(COUNTIFS(EQA.CAP_Dados!$B$2:$B$5000,B$27,EQA.CAP_Dados!$D$2:$D$5000,$A52)=0,"—",COUNTIFS(EQA.CAP_Dados!$B$2:$B$5000,B$27,EQA.CAP_Dados!$D$2:$D$5000,$A52)))</f>
        <v>5</v>
      </c>
      <c r="C52">
        <f>IF(OR($A52="",C$27=""),"",IF(COUNTIFS(EQA.CAP_Dados!$B$2:$B$5000,C$27,EQA.CAP_Dados!$D$2:$D$5000,$A52)=0,"—",COUNTIFS(EQA.CAP_Dados!$B$2:$B$5000,C$27,EQA.CAP_Dados!$D$2:$D$5000,$A52)))</f>
        <v>5</v>
      </c>
      <c r="D52">
        <f>IF(OR($A52="",D$27=""),"",IF(COUNTIFS(EQA.CAP_Dados!$B$2:$B$5000,D$27,EQA.CAP_Dados!$D$2:$D$5000,$A52)=0,"—",COUNTIFS(EQA.CAP_Dados!$B$2:$B$5000,D$27,EQA.CAP_Dados!$D$2:$D$5000,$A52)))</f>
        <v>5</v>
      </c>
      <c r="E52" t="str">
        <f>IF(OR($A52="",E$27=""),"",IF(COUNTIFS(EQA.CAP_Dados!$B$2:$B$5000,E$27,EQA.CAP_Dados!$D$2:$D$5000,$A52)=0,"—",COUNTIFS(EQA.CAP_Dados!$B$2:$B$5000,E$27,EQA.CAP_Dados!$D$2:$D$5000,$A52)))</f>
        <v>—</v>
      </c>
      <c r="F52" t="str">
        <f>IF(OR($A52="",F$27=""),"",IF(COUNTIFS(EQA.CAP_Dados!$B$2:$B$5000,F$27,EQA.CAP_Dados!$D$2:$D$5000,$A52)=0,"—",COUNTIFS(EQA.CAP_Dados!$B$2:$B$5000,F$27,EQA.CAP_Dados!$D$2:$D$5000,$A52)))</f>
        <v>—</v>
      </c>
      <c r="G52" t="str">
        <f>IF(OR($A52="",G$27=""),"",IF(COUNTIFS(EQA.CAP_Dados!$B$2:$B$5000,G$27,EQA.CAP_Dados!$D$2:$D$5000,$A52)=0,"—",COUNTIFS(EQA.CAP_Dados!$B$2:$B$5000,G$27,EQA.CAP_Dados!$D$2:$D$5000,$A52)))</f>
        <v>—</v>
      </c>
      <c r="H52" t="str">
        <f>IF(OR($A52="",H$27=""),"",IF(COUNTIFS(EQA.CAP_Dados!$B$2:$B$5000,H$27,EQA.CAP_Dados!$D$2:$D$5000,$A52)=0,"—",COUNTIFS(EQA.CAP_Dados!$B$2:$B$5000,H$27,EQA.CAP_Dados!$D$2:$D$5000,$A52)))</f>
        <v/>
      </c>
      <c r="I52" t="str">
        <f>IF(OR($A52="",I$27=""),"",IF(COUNTIFS(EQA.CAP_Dados!$B$2:$B$5000,I$27,EQA.CAP_Dados!$D$2:$D$5000,$A52)=0,"—",COUNTIFS(EQA.CAP_Dados!$B$2:$B$5000,I$27,EQA.CAP_Dados!$D$2:$D$5000,$A52)))</f>
        <v/>
      </c>
      <c r="J52">
        <f>IF($A52="","",COUNTIF(EQA.CAP_Dados!$D$2:$D$5000,$A52))</f>
        <v>15</v>
      </c>
    </row>
    <row r="53" spans="1:10" x14ac:dyDescent="0.3">
      <c r="A53" t="str">
        <f>IFERROR(INDEX(EQA.CAP_Dados!$D$2:$D$5000,MATCH(ROW()-27,EQA.CAP_Dados!$U$2:$U$5000,0)),"")</f>
        <v>Sodium, serum</v>
      </c>
      <c r="B53">
        <f>IF(OR($A53="",B$27=""),"",IF(COUNTIFS(EQA.CAP_Dados!$B$2:$B$5000,B$27,EQA.CAP_Dados!$D$2:$D$5000,$A53)=0,"—",COUNTIFS(EQA.CAP_Dados!$B$2:$B$5000,B$27,EQA.CAP_Dados!$D$2:$D$5000,$A53)))</f>
        <v>5</v>
      </c>
      <c r="C53">
        <f>IF(OR($A53="",C$27=""),"",IF(COUNTIFS(EQA.CAP_Dados!$B$2:$B$5000,C$27,EQA.CAP_Dados!$D$2:$D$5000,$A53)=0,"—",COUNTIFS(EQA.CAP_Dados!$B$2:$B$5000,C$27,EQA.CAP_Dados!$D$2:$D$5000,$A53)))</f>
        <v>5</v>
      </c>
      <c r="D53">
        <f>IF(OR($A53="",D$27=""),"",IF(COUNTIFS(EQA.CAP_Dados!$B$2:$B$5000,D$27,EQA.CAP_Dados!$D$2:$D$5000,$A53)=0,"—",COUNTIFS(EQA.CAP_Dados!$B$2:$B$5000,D$27,EQA.CAP_Dados!$D$2:$D$5000,$A53)))</f>
        <v>5</v>
      </c>
      <c r="E53" t="str">
        <f>IF(OR($A53="",E$27=""),"",IF(COUNTIFS(EQA.CAP_Dados!$B$2:$B$5000,E$27,EQA.CAP_Dados!$D$2:$D$5000,$A53)=0,"—",COUNTIFS(EQA.CAP_Dados!$B$2:$B$5000,E$27,EQA.CAP_Dados!$D$2:$D$5000,$A53)))</f>
        <v>—</v>
      </c>
      <c r="F53" t="str">
        <f>IF(OR($A53="",F$27=""),"",IF(COUNTIFS(EQA.CAP_Dados!$B$2:$B$5000,F$27,EQA.CAP_Dados!$D$2:$D$5000,$A53)=0,"—",COUNTIFS(EQA.CAP_Dados!$B$2:$B$5000,F$27,EQA.CAP_Dados!$D$2:$D$5000,$A53)))</f>
        <v>—</v>
      </c>
      <c r="G53" t="str">
        <f>IF(OR($A53="",G$27=""),"",IF(COUNTIFS(EQA.CAP_Dados!$B$2:$B$5000,G$27,EQA.CAP_Dados!$D$2:$D$5000,$A53)=0,"—",COUNTIFS(EQA.CAP_Dados!$B$2:$B$5000,G$27,EQA.CAP_Dados!$D$2:$D$5000,$A53)))</f>
        <v>—</v>
      </c>
      <c r="H53" t="str">
        <f>IF(OR($A53="",H$27=""),"",IF(COUNTIFS(EQA.CAP_Dados!$B$2:$B$5000,H$27,EQA.CAP_Dados!$D$2:$D$5000,$A53)=0,"—",COUNTIFS(EQA.CAP_Dados!$B$2:$B$5000,H$27,EQA.CAP_Dados!$D$2:$D$5000,$A53)))</f>
        <v/>
      </c>
      <c r="I53" t="str">
        <f>IF(OR($A53="",I$27=""),"",IF(COUNTIFS(EQA.CAP_Dados!$B$2:$B$5000,I$27,EQA.CAP_Dados!$D$2:$D$5000,$A53)=0,"—",COUNTIFS(EQA.CAP_Dados!$B$2:$B$5000,I$27,EQA.CAP_Dados!$D$2:$D$5000,$A53)))</f>
        <v/>
      </c>
      <c r="J53">
        <f>IF($A53="","",COUNTIF(EQA.CAP_Dados!$D$2:$D$5000,$A53))</f>
        <v>15</v>
      </c>
    </row>
    <row r="54" spans="1:10" x14ac:dyDescent="0.3">
      <c r="A54" t="str">
        <f>IFERROR(INDEX(EQA.CAP_Dados!$D$2:$D$5000,MATCH(ROW()-27,EQA.CAP_Dados!$U$2:$U$5000,0)),"")</f>
        <v>TIBC</v>
      </c>
      <c r="B54">
        <f>IF(OR($A54="",B$27=""),"",IF(COUNTIFS(EQA.CAP_Dados!$B$2:$B$5000,B$27,EQA.CAP_Dados!$D$2:$D$5000,$A54)=0,"—",COUNTIFS(EQA.CAP_Dados!$B$2:$B$5000,B$27,EQA.CAP_Dados!$D$2:$D$5000,$A54)))</f>
        <v>5</v>
      </c>
      <c r="C54">
        <f>IF(OR($A54="",C$27=""),"",IF(COUNTIFS(EQA.CAP_Dados!$B$2:$B$5000,C$27,EQA.CAP_Dados!$D$2:$D$5000,$A54)=0,"—",COUNTIFS(EQA.CAP_Dados!$B$2:$B$5000,C$27,EQA.CAP_Dados!$D$2:$D$5000,$A54)))</f>
        <v>5</v>
      </c>
      <c r="D54">
        <f>IF(OR($A54="",D$27=""),"",IF(COUNTIFS(EQA.CAP_Dados!$B$2:$B$5000,D$27,EQA.CAP_Dados!$D$2:$D$5000,$A54)=0,"—",COUNTIFS(EQA.CAP_Dados!$B$2:$B$5000,D$27,EQA.CAP_Dados!$D$2:$D$5000,$A54)))</f>
        <v>5</v>
      </c>
      <c r="E54" t="str">
        <f>IF(OR($A54="",E$27=""),"",IF(COUNTIFS(EQA.CAP_Dados!$B$2:$B$5000,E$27,EQA.CAP_Dados!$D$2:$D$5000,$A54)=0,"—",COUNTIFS(EQA.CAP_Dados!$B$2:$B$5000,E$27,EQA.CAP_Dados!$D$2:$D$5000,$A54)))</f>
        <v>—</v>
      </c>
      <c r="F54" t="str">
        <f>IF(OR($A54="",F$27=""),"",IF(COUNTIFS(EQA.CAP_Dados!$B$2:$B$5000,F$27,EQA.CAP_Dados!$D$2:$D$5000,$A54)=0,"—",COUNTIFS(EQA.CAP_Dados!$B$2:$B$5000,F$27,EQA.CAP_Dados!$D$2:$D$5000,$A54)))</f>
        <v>—</v>
      </c>
      <c r="G54" t="str">
        <f>IF(OR($A54="",G$27=""),"",IF(COUNTIFS(EQA.CAP_Dados!$B$2:$B$5000,G$27,EQA.CAP_Dados!$D$2:$D$5000,$A54)=0,"—",COUNTIFS(EQA.CAP_Dados!$B$2:$B$5000,G$27,EQA.CAP_Dados!$D$2:$D$5000,$A54)))</f>
        <v>—</v>
      </c>
      <c r="H54" t="str">
        <f>IF(OR($A54="",H$27=""),"",IF(COUNTIFS(EQA.CAP_Dados!$B$2:$B$5000,H$27,EQA.CAP_Dados!$D$2:$D$5000,$A54)=0,"—",COUNTIFS(EQA.CAP_Dados!$B$2:$B$5000,H$27,EQA.CAP_Dados!$D$2:$D$5000,$A54)))</f>
        <v/>
      </c>
      <c r="I54" t="str">
        <f>IF(OR($A54="",I$27=""),"",IF(COUNTIFS(EQA.CAP_Dados!$B$2:$B$5000,I$27,EQA.CAP_Dados!$D$2:$D$5000,$A54)=0,"—",COUNTIFS(EQA.CAP_Dados!$B$2:$B$5000,I$27,EQA.CAP_Dados!$D$2:$D$5000,$A54)))</f>
        <v/>
      </c>
      <c r="J54">
        <f>IF($A54="","",COUNTIF(EQA.CAP_Dados!$D$2:$D$5000,$A54))</f>
        <v>15</v>
      </c>
    </row>
    <row r="55" spans="1:10" x14ac:dyDescent="0.3">
      <c r="A55" t="str">
        <f>IFERROR(INDEX(EQA.CAP_Dados!$D$2:$D$5000,MATCH(ROW()-27,EQA.CAP_Dados!$U$2:$U$5000,0)),"")</f>
        <v>Triglycerides</v>
      </c>
      <c r="B55">
        <f>IF(OR($A55="",B$27=""),"",IF(COUNTIFS(EQA.CAP_Dados!$B$2:$B$5000,B$27,EQA.CAP_Dados!$D$2:$D$5000,$A55)=0,"—",COUNTIFS(EQA.CAP_Dados!$B$2:$B$5000,B$27,EQA.CAP_Dados!$D$2:$D$5000,$A55)))</f>
        <v>5</v>
      </c>
      <c r="C55">
        <f>IF(OR($A55="",C$27=""),"",IF(COUNTIFS(EQA.CAP_Dados!$B$2:$B$5000,C$27,EQA.CAP_Dados!$D$2:$D$5000,$A55)=0,"—",COUNTIFS(EQA.CAP_Dados!$B$2:$B$5000,C$27,EQA.CAP_Dados!$D$2:$D$5000,$A55)))</f>
        <v>5</v>
      </c>
      <c r="D55">
        <f>IF(OR($A55="",D$27=""),"",IF(COUNTIFS(EQA.CAP_Dados!$B$2:$B$5000,D$27,EQA.CAP_Dados!$D$2:$D$5000,$A55)=0,"—",COUNTIFS(EQA.CAP_Dados!$B$2:$B$5000,D$27,EQA.CAP_Dados!$D$2:$D$5000,$A55)))</f>
        <v>5</v>
      </c>
      <c r="E55" t="str">
        <f>IF(OR($A55="",E$27=""),"",IF(COUNTIFS(EQA.CAP_Dados!$B$2:$B$5000,E$27,EQA.CAP_Dados!$D$2:$D$5000,$A55)=0,"—",COUNTIFS(EQA.CAP_Dados!$B$2:$B$5000,E$27,EQA.CAP_Dados!$D$2:$D$5000,$A55)))</f>
        <v>—</v>
      </c>
      <c r="F55" t="str">
        <f>IF(OR($A55="",F$27=""),"",IF(COUNTIFS(EQA.CAP_Dados!$B$2:$B$5000,F$27,EQA.CAP_Dados!$D$2:$D$5000,$A55)=0,"—",COUNTIFS(EQA.CAP_Dados!$B$2:$B$5000,F$27,EQA.CAP_Dados!$D$2:$D$5000,$A55)))</f>
        <v>—</v>
      </c>
      <c r="G55" t="str">
        <f>IF(OR($A55="",G$27=""),"",IF(COUNTIFS(EQA.CAP_Dados!$B$2:$B$5000,G$27,EQA.CAP_Dados!$D$2:$D$5000,$A55)=0,"—",COUNTIFS(EQA.CAP_Dados!$B$2:$B$5000,G$27,EQA.CAP_Dados!$D$2:$D$5000,$A55)))</f>
        <v>—</v>
      </c>
      <c r="H55" t="str">
        <f>IF(OR($A55="",H$27=""),"",IF(COUNTIFS(EQA.CAP_Dados!$B$2:$B$5000,H$27,EQA.CAP_Dados!$D$2:$D$5000,$A55)=0,"—",COUNTIFS(EQA.CAP_Dados!$B$2:$B$5000,H$27,EQA.CAP_Dados!$D$2:$D$5000,$A55)))</f>
        <v/>
      </c>
      <c r="I55" t="str">
        <f>IF(OR($A55="",I$27=""),"",IF(COUNTIFS(EQA.CAP_Dados!$B$2:$B$5000,I$27,EQA.CAP_Dados!$D$2:$D$5000,$A55)=0,"—",COUNTIFS(EQA.CAP_Dados!$B$2:$B$5000,I$27,EQA.CAP_Dados!$D$2:$D$5000,$A55)))</f>
        <v/>
      </c>
      <c r="J55">
        <f>IF($A55="","",COUNTIF(EQA.CAP_Dados!$D$2:$D$5000,$A55))</f>
        <v>15</v>
      </c>
    </row>
    <row r="56" spans="1:10" x14ac:dyDescent="0.3">
      <c r="A56" t="str">
        <f>IFERROR(INDEX(EQA.CAP_Dados!$D$2:$D$5000,MATCH(ROW()-27,EQA.CAP_Dados!$U$2:$U$5000,0)),"")</f>
        <v>Urea Nitrogen</v>
      </c>
      <c r="B56">
        <f>IF(OR($A56="",B$27=""),"",IF(COUNTIFS(EQA.CAP_Dados!$B$2:$B$5000,B$27,EQA.CAP_Dados!$D$2:$D$5000,$A56)=0,"—",COUNTIFS(EQA.CAP_Dados!$B$2:$B$5000,B$27,EQA.CAP_Dados!$D$2:$D$5000,$A56)))</f>
        <v>5</v>
      </c>
      <c r="C56">
        <f>IF(OR($A56="",C$27=""),"",IF(COUNTIFS(EQA.CAP_Dados!$B$2:$B$5000,C$27,EQA.CAP_Dados!$D$2:$D$5000,$A56)=0,"—",COUNTIFS(EQA.CAP_Dados!$B$2:$B$5000,C$27,EQA.CAP_Dados!$D$2:$D$5000,$A56)))</f>
        <v>5</v>
      </c>
      <c r="D56">
        <f>IF(OR($A56="",D$27=""),"",IF(COUNTIFS(EQA.CAP_Dados!$B$2:$B$5000,D$27,EQA.CAP_Dados!$D$2:$D$5000,$A56)=0,"—",COUNTIFS(EQA.CAP_Dados!$B$2:$B$5000,D$27,EQA.CAP_Dados!$D$2:$D$5000,$A56)))</f>
        <v>5</v>
      </c>
      <c r="E56" t="str">
        <f>IF(OR($A56="",E$27=""),"",IF(COUNTIFS(EQA.CAP_Dados!$B$2:$B$5000,E$27,EQA.CAP_Dados!$D$2:$D$5000,$A56)=0,"—",COUNTIFS(EQA.CAP_Dados!$B$2:$B$5000,E$27,EQA.CAP_Dados!$D$2:$D$5000,$A56)))</f>
        <v>—</v>
      </c>
      <c r="F56" t="str">
        <f>IF(OR($A56="",F$27=""),"",IF(COUNTIFS(EQA.CAP_Dados!$B$2:$B$5000,F$27,EQA.CAP_Dados!$D$2:$D$5000,$A56)=0,"—",COUNTIFS(EQA.CAP_Dados!$B$2:$B$5000,F$27,EQA.CAP_Dados!$D$2:$D$5000,$A56)))</f>
        <v>—</v>
      </c>
      <c r="G56" t="str">
        <f>IF(OR($A56="",G$27=""),"",IF(COUNTIFS(EQA.CAP_Dados!$B$2:$B$5000,G$27,EQA.CAP_Dados!$D$2:$D$5000,$A56)=0,"—",COUNTIFS(EQA.CAP_Dados!$B$2:$B$5000,G$27,EQA.CAP_Dados!$D$2:$D$5000,$A56)))</f>
        <v>—</v>
      </c>
      <c r="H56" t="str">
        <f>IF(OR($A56="",H$27=""),"",IF(COUNTIFS(EQA.CAP_Dados!$B$2:$B$5000,H$27,EQA.CAP_Dados!$D$2:$D$5000,$A56)=0,"—",COUNTIFS(EQA.CAP_Dados!$B$2:$B$5000,H$27,EQA.CAP_Dados!$D$2:$D$5000,$A56)))</f>
        <v/>
      </c>
      <c r="I56" t="str">
        <f>IF(OR($A56="",I$27=""),"",IF(COUNTIFS(EQA.CAP_Dados!$B$2:$B$5000,I$27,EQA.CAP_Dados!$D$2:$D$5000,$A56)=0,"—",COUNTIFS(EQA.CAP_Dados!$B$2:$B$5000,I$27,EQA.CAP_Dados!$D$2:$D$5000,$A56)))</f>
        <v/>
      </c>
      <c r="J56">
        <f>IF($A56="","",COUNTIF(EQA.CAP_Dados!$D$2:$D$5000,$A56))</f>
        <v>15</v>
      </c>
    </row>
    <row r="57" spans="1:10" x14ac:dyDescent="0.3">
      <c r="A57" t="str">
        <f>IFERROR(INDEX(EQA.CAP_Dados!$D$2:$D$5000,MATCH(ROW()-27,EQA.CAP_Dados!$U$2:$U$5000,0)),"")</f>
        <v>Uric Acid</v>
      </c>
      <c r="B57">
        <f>IF(OR($A57="",B$27=""),"",IF(COUNTIFS(EQA.CAP_Dados!$B$2:$B$5000,B$27,EQA.CAP_Dados!$D$2:$D$5000,$A57)=0,"—",COUNTIFS(EQA.CAP_Dados!$B$2:$B$5000,B$27,EQA.CAP_Dados!$D$2:$D$5000,$A57)))</f>
        <v>5</v>
      </c>
      <c r="C57">
        <f>IF(OR($A57="",C$27=""),"",IF(COUNTIFS(EQA.CAP_Dados!$B$2:$B$5000,C$27,EQA.CAP_Dados!$D$2:$D$5000,$A57)=0,"—",COUNTIFS(EQA.CAP_Dados!$B$2:$B$5000,C$27,EQA.CAP_Dados!$D$2:$D$5000,$A57)))</f>
        <v>5</v>
      </c>
      <c r="D57">
        <f>IF(OR($A57="",D$27=""),"",IF(COUNTIFS(EQA.CAP_Dados!$B$2:$B$5000,D$27,EQA.CAP_Dados!$D$2:$D$5000,$A57)=0,"—",COUNTIFS(EQA.CAP_Dados!$B$2:$B$5000,D$27,EQA.CAP_Dados!$D$2:$D$5000,$A57)))</f>
        <v>5</v>
      </c>
      <c r="E57" t="str">
        <f>IF(OR($A57="",E$27=""),"",IF(COUNTIFS(EQA.CAP_Dados!$B$2:$B$5000,E$27,EQA.CAP_Dados!$D$2:$D$5000,$A57)=0,"—",COUNTIFS(EQA.CAP_Dados!$B$2:$B$5000,E$27,EQA.CAP_Dados!$D$2:$D$5000,$A57)))</f>
        <v>—</v>
      </c>
      <c r="F57" t="str">
        <f>IF(OR($A57="",F$27=""),"",IF(COUNTIFS(EQA.CAP_Dados!$B$2:$B$5000,F$27,EQA.CAP_Dados!$D$2:$D$5000,$A57)=0,"—",COUNTIFS(EQA.CAP_Dados!$B$2:$B$5000,F$27,EQA.CAP_Dados!$D$2:$D$5000,$A57)))</f>
        <v>—</v>
      </c>
      <c r="G57" t="str">
        <f>IF(OR($A57="",G$27=""),"",IF(COUNTIFS(EQA.CAP_Dados!$B$2:$B$5000,G$27,EQA.CAP_Dados!$D$2:$D$5000,$A57)=0,"—",COUNTIFS(EQA.CAP_Dados!$B$2:$B$5000,G$27,EQA.CAP_Dados!$D$2:$D$5000,$A57)))</f>
        <v>—</v>
      </c>
      <c r="H57" t="str">
        <f>IF(OR($A57="",H$27=""),"",IF(COUNTIFS(EQA.CAP_Dados!$B$2:$B$5000,H$27,EQA.CAP_Dados!$D$2:$D$5000,$A57)=0,"—",COUNTIFS(EQA.CAP_Dados!$B$2:$B$5000,H$27,EQA.CAP_Dados!$D$2:$D$5000,$A57)))</f>
        <v/>
      </c>
      <c r="I57" t="str">
        <f>IF(OR($A57="",I$27=""),"",IF(COUNTIFS(EQA.CAP_Dados!$B$2:$B$5000,I$27,EQA.CAP_Dados!$D$2:$D$5000,$A57)=0,"—",COUNTIFS(EQA.CAP_Dados!$B$2:$B$5000,I$27,EQA.CAP_Dados!$D$2:$D$5000,$A57)))</f>
        <v/>
      </c>
      <c r="J57">
        <f>IF($A57="","",COUNTIF(EQA.CAP_Dados!$D$2:$D$5000,$A57))</f>
        <v>15</v>
      </c>
    </row>
    <row r="58" spans="1:10" x14ac:dyDescent="0.3">
      <c r="A58" t="str">
        <f>IFERROR(INDEX(EQA.CAP_Dados!$D$2:$D$5000,MATCH(ROW()-27,EQA.CAP_Dados!$U$2:$U$5000,0)),"")</f>
        <v>Thyroid Stim Hormone</v>
      </c>
      <c r="B58" t="str">
        <f>IF(OR($A58="",B$27=""),"",IF(COUNTIFS(EQA.CAP_Dados!$B$2:$B$5000,B$27,EQA.CAP_Dados!$D$2:$D$5000,$A58)=0,"—",COUNTIFS(EQA.CAP_Dados!$B$2:$B$5000,B$27,EQA.CAP_Dados!$D$2:$D$5000,$A58)))</f>
        <v>—</v>
      </c>
      <c r="C58">
        <f>IF(OR($A58="",C$27=""),"",IF(COUNTIFS(EQA.CAP_Dados!$B$2:$B$5000,C$27,EQA.CAP_Dados!$D$2:$D$5000,$A58)=0,"—",COUNTIFS(EQA.CAP_Dados!$B$2:$B$5000,C$27,EQA.CAP_Dados!$D$2:$D$5000,$A58)))</f>
        <v>5</v>
      </c>
      <c r="D58" t="str">
        <f>IF(OR($A58="",D$27=""),"",IF(COUNTIFS(EQA.CAP_Dados!$B$2:$B$5000,D$27,EQA.CAP_Dados!$D$2:$D$5000,$A58)=0,"—",COUNTIFS(EQA.CAP_Dados!$B$2:$B$5000,D$27,EQA.CAP_Dados!$D$2:$D$5000,$A58)))</f>
        <v>—</v>
      </c>
      <c r="E58" t="str">
        <f>IF(OR($A58="",E$27=""),"",IF(COUNTIFS(EQA.CAP_Dados!$B$2:$B$5000,E$27,EQA.CAP_Dados!$D$2:$D$5000,$A58)=0,"—",COUNTIFS(EQA.CAP_Dados!$B$2:$B$5000,E$27,EQA.CAP_Dados!$D$2:$D$5000,$A58)))</f>
        <v>—</v>
      </c>
      <c r="F58" t="str">
        <f>IF(OR($A58="",F$27=""),"",IF(COUNTIFS(EQA.CAP_Dados!$B$2:$B$5000,F$27,EQA.CAP_Dados!$D$2:$D$5000,$A58)=0,"—",COUNTIFS(EQA.CAP_Dados!$B$2:$B$5000,F$27,EQA.CAP_Dados!$D$2:$D$5000,$A58)))</f>
        <v>—</v>
      </c>
      <c r="G58" t="str">
        <f>IF(OR($A58="",G$27=""),"",IF(COUNTIFS(EQA.CAP_Dados!$B$2:$B$5000,G$27,EQA.CAP_Dados!$D$2:$D$5000,$A58)=0,"—",COUNTIFS(EQA.CAP_Dados!$B$2:$B$5000,G$27,EQA.CAP_Dados!$D$2:$D$5000,$A58)))</f>
        <v>—</v>
      </c>
      <c r="H58" t="str">
        <f>IF(OR($A58="",H$27=""),"",IF(COUNTIFS(EQA.CAP_Dados!$B$2:$B$5000,H$27,EQA.CAP_Dados!$D$2:$D$5000,$A58)=0,"—",COUNTIFS(EQA.CAP_Dados!$B$2:$B$5000,H$27,EQA.CAP_Dados!$D$2:$D$5000,$A58)))</f>
        <v/>
      </c>
      <c r="I58" t="str">
        <f>IF(OR($A58="",I$27=""),"",IF(COUNTIFS(EQA.CAP_Dados!$B$2:$B$5000,I$27,EQA.CAP_Dados!$D$2:$D$5000,$A58)=0,"—",COUNTIFS(EQA.CAP_Dados!$B$2:$B$5000,I$27,EQA.CAP_Dados!$D$2:$D$5000,$A58)))</f>
        <v/>
      </c>
      <c r="J58">
        <f>IF($A58="","",COUNTIF(EQA.CAP_Dados!$D$2:$D$5000,$A58))</f>
        <v>5</v>
      </c>
    </row>
    <row r="59" spans="1:10" x14ac:dyDescent="0.3">
      <c r="A59" t="str">
        <f>IFERROR(INDEX(EQA.CAP_Dados!$D$2:$D$5000,MATCH(ROW()-27,EQA.CAP_Dados!$U$2:$U$5000,0)),"")</f>
        <v>Colesterol total</v>
      </c>
      <c r="B59" t="str">
        <f>IF(OR($A59="",B$27=""),"",IF(COUNTIFS(EQA.CAP_Dados!$B$2:$B$5000,B$27,EQA.CAP_Dados!$D$2:$D$5000,$A59)=0,"—",COUNTIFS(EQA.CAP_Dados!$B$2:$B$5000,B$27,EQA.CAP_Dados!$D$2:$D$5000,$A59)))</f>
        <v>—</v>
      </c>
      <c r="C59" t="str">
        <f>IF(OR($A59="",C$27=""),"",IF(COUNTIFS(EQA.CAP_Dados!$B$2:$B$5000,C$27,EQA.CAP_Dados!$D$2:$D$5000,$A59)=0,"—",COUNTIFS(EQA.CAP_Dados!$B$2:$B$5000,C$27,EQA.CAP_Dados!$D$2:$D$5000,$A59)))</f>
        <v>—</v>
      </c>
      <c r="D59" t="str">
        <f>IF(OR($A59="",D$27=""),"",IF(COUNTIFS(EQA.CAP_Dados!$B$2:$B$5000,D$27,EQA.CAP_Dados!$D$2:$D$5000,$A59)=0,"—",COUNTIFS(EQA.CAP_Dados!$B$2:$B$5000,D$27,EQA.CAP_Dados!$D$2:$D$5000,$A59)))</f>
        <v>—</v>
      </c>
      <c r="E59">
        <f>IF(OR($A59="",E$27=""),"",IF(COUNTIFS(EQA.CAP_Dados!$B$2:$B$5000,E$27,EQA.CAP_Dados!$D$2:$D$5000,$A59)=0,"—",COUNTIFS(EQA.CAP_Dados!$B$2:$B$5000,E$27,EQA.CAP_Dados!$D$2:$D$5000,$A59)))</f>
        <v>5</v>
      </c>
      <c r="F59">
        <f>IF(OR($A59="",F$27=""),"",IF(COUNTIFS(EQA.CAP_Dados!$B$2:$B$5000,F$27,EQA.CAP_Dados!$D$2:$D$5000,$A59)=0,"—",COUNTIFS(EQA.CAP_Dados!$B$2:$B$5000,F$27,EQA.CAP_Dados!$D$2:$D$5000,$A59)))</f>
        <v>5</v>
      </c>
      <c r="G59">
        <f>IF(OR($A59="",G$27=""),"",IF(COUNTIFS(EQA.CAP_Dados!$B$2:$B$5000,G$27,EQA.CAP_Dados!$D$2:$D$5000,$A59)=0,"—",COUNTIFS(EQA.CAP_Dados!$B$2:$B$5000,G$27,EQA.CAP_Dados!$D$2:$D$5000,$A59)))</f>
        <v>5</v>
      </c>
      <c r="H59" t="str">
        <f>IF(OR($A59="",H$27=""),"",IF(COUNTIFS(EQA.CAP_Dados!$B$2:$B$5000,H$27,EQA.CAP_Dados!$D$2:$D$5000,$A59)=0,"—",COUNTIFS(EQA.CAP_Dados!$B$2:$B$5000,H$27,EQA.CAP_Dados!$D$2:$D$5000,$A59)))</f>
        <v/>
      </c>
      <c r="I59" t="str">
        <f>IF(OR($A59="",I$27=""),"",IF(COUNTIFS(EQA.CAP_Dados!$B$2:$B$5000,I$27,EQA.CAP_Dados!$D$2:$D$5000,$A59)=0,"—",COUNTIFS(EQA.CAP_Dados!$B$2:$B$5000,I$27,EQA.CAP_Dados!$D$2:$D$5000,$A59)))</f>
        <v/>
      </c>
      <c r="J59">
        <f>IF($A59="","",COUNTIF(EQA.CAP_Dados!$D$2:$D$5000,$A59))</f>
        <v>15</v>
      </c>
    </row>
    <row r="60" spans="1:10" x14ac:dyDescent="0.3">
      <c r="A60" t="str">
        <f>IFERROR(INDEX(EQA.CAP_Dados!$D$2:$D$5000,MATCH(ROW()-27,EQA.CAP_Dados!$U$2:$U$5000,0)),"")</f>
        <v>Creatinina</v>
      </c>
      <c r="B60" t="str">
        <f>IF(OR($A60="",B$27=""),"",IF(COUNTIFS(EQA.CAP_Dados!$B$2:$B$5000,B$27,EQA.CAP_Dados!$D$2:$D$5000,$A60)=0,"—",COUNTIFS(EQA.CAP_Dados!$B$2:$B$5000,B$27,EQA.CAP_Dados!$D$2:$D$5000,$A60)))</f>
        <v>—</v>
      </c>
      <c r="C60" t="str">
        <f>IF(OR($A60="",C$27=""),"",IF(COUNTIFS(EQA.CAP_Dados!$B$2:$B$5000,C$27,EQA.CAP_Dados!$D$2:$D$5000,$A60)=0,"—",COUNTIFS(EQA.CAP_Dados!$B$2:$B$5000,C$27,EQA.CAP_Dados!$D$2:$D$5000,$A60)))</f>
        <v>—</v>
      </c>
      <c r="D60" t="str">
        <f>IF(OR($A60="",D$27=""),"",IF(COUNTIFS(EQA.CAP_Dados!$B$2:$B$5000,D$27,EQA.CAP_Dados!$D$2:$D$5000,$A60)=0,"—",COUNTIFS(EQA.CAP_Dados!$B$2:$B$5000,D$27,EQA.CAP_Dados!$D$2:$D$5000,$A60)))</f>
        <v>—</v>
      </c>
      <c r="E60">
        <f>IF(OR($A60="",E$27=""),"",IF(COUNTIFS(EQA.CAP_Dados!$B$2:$B$5000,E$27,EQA.CAP_Dados!$D$2:$D$5000,$A60)=0,"—",COUNTIFS(EQA.CAP_Dados!$B$2:$B$5000,E$27,EQA.CAP_Dados!$D$2:$D$5000,$A60)))</f>
        <v>5</v>
      </c>
      <c r="F60">
        <f>IF(OR($A60="",F$27=""),"",IF(COUNTIFS(EQA.CAP_Dados!$B$2:$B$5000,F$27,EQA.CAP_Dados!$D$2:$D$5000,$A60)=0,"—",COUNTIFS(EQA.CAP_Dados!$B$2:$B$5000,F$27,EQA.CAP_Dados!$D$2:$D$5000,$A60)))</f>
        <v>5</v>
      </c>
      <c r="G60">
        <f>IF(OR($A60="",G$27=""),"",IF(COUNTIFS(EQA.CAP_Dados!$B$2:$B$5000,G$27,EQA.CAP_Dados!$D$2:$D$5000,$A60)=0,"—",COUNTIFS(EQA.CAP_Dados!$B$2:$B$5000,G$27,EQA.CAP_Dados!$D$2:$D$5000,$A60)))</f>
        <v>5</v>
      </c>
      <c r="H60" t="str">
        <f>IF(OR($A60="",H$27=""),"",IF(COUNTIFS(EQA.CAP_Dados!$B$2:$B$5000,H$27,EQA.CAP_Dados!$D$2:$D$5000,$A60)=0,"—",COUNTIFS(EQA.CAP_Dados!$B$2:$B$5000,H$27,EQA.CAP_Dados!$D$2:$D$5000,$A60)))</f>
        <v/>
      </c>
      <c r="I60" t="str">
        <f>IF(OR($A60="",I$27=""),"",IF(COUNTIFS(EQA.CAP_Dados!$B$2:$B$5000,I$27,EQA.CAP_Dados!$D$2:$D$5000,$A60)=0,"—",COUNTIFS(EQA.CAP_Dados!$B$2:$B$5000,I$27,EQA.CAP_Dados!$D$2:$D$5000,$A60)))</f>
        <v/>
      </c>
      <c r="J60">
        <f>IF($A60="","",COUNTIF(EQA.CAP_Dados!$D$2:$D$5000,$A60))</f>
        <v>15</v>
      </c>
    </row>
    <row r="61" spans="1:10" x14ac:dyDescent="0.3">
      <c r="A61" t="str">
        <f>IFERROR(INDEX(EQA.CAP_Dados!$D$2:$D$5000,MATCH(ROW()-27,EQA.CAP_Dados!$U$2:$U$5000,0)),"")</f>
        <v>Glicose</v>
      </c>
      <c r="B61" t="str">
        <f>IF(OR($A61="",B$27=""),"",IF(COUNTIFS(EQA.CAP_Dados!$B$2:$B$5000,B$27,EQA.CAP_Dados!$D$2:$D$5000,$A61)=0,"—",COUNTIFS(EQA.CAP_Dados!$B$2:$B$5000,B$27,EQA.CAP_Dados!$D$2:$D$5000,$A61)))</f>
        <v>—</v>
      </c>
      <c r="C61" t="str">
        <f>IF(OR($A61="",C$27=""),"",IF(COUNTIFS(EQA.CAP_Dados!$B$2:$B$5000,C$27,EQA.CAP_Dados!$D$2:$D$5000,$A61)=0,"—",COUNTIFS(EQA.CAP_Dados!$B$2:$B$5000,C$27,EQA.CAP_Dados!$D$2:$D$5000,$A61)))</f>
        <v>—</v>
      </c>
      <c r="D61" t="str">
        <f>IF(OR($A61="",D$27=""),"",IF(COUNTIFS(EQA.CAP_Dados!$B$2:$B$5000,D$27,EQA.CAP_Dados!$D$2:$D$5000,$A61)=0,"—",COUNTIFS(EQA.CAP_Dados!$B$2:$B$5000,D$27,EQA.CAP_Dados!$D$2:$D$5000,$A61)))</f>
        <v>—</v>
      </c>
      <c r="E61">
        <f>IF(OR($A61="",E$27=""),"",IF(COUNTIFS(EQA.CAP_Dados!$B$2:$B$5000,E$27,EQA.CAP_Dados!$D$2:$D$5000,$A61)=0,"—",COUNTIFS(EQA.CAP_Dados!$B$2:$B$5000,E$27,EQA.CAP_Dados!$D$2:$D$5000,$A61)))</f>
        <v>5</v>
      </c>
      <c r="F61">
        <f>IF(OR($A61="",F$27=""),"",IF(COUNTIFS(EQA.CAP_Dados!$B$2:$B$5000,F$27,EQA.CAP_Dados!$D$2:$D$5000,$A61)=0,"—",COUNTIFS(EQA.CAP_Dados!$B$2:$B$5000,F$27,EQA.CAP_Dados!$D$2:$D$5000,$A61)))</f>
        <v>5</v>
      </c>
      <c r="G61">
        <f>IF(OR($A61="",G$27=""),"",IF(COUNTIFS(EQA.CAP_Dados!$B$2:$B$5000,G$27,EQA.CAP_Dados!$D$2:$D$5000,$A61)=0,"—",COUNTIFS(EQA.CAP_Dados!$B$2:$B$5000,G$27,EQA.CAP_Dados!$D$2:$D$5000,$A61)))</f>
        <v>5</v>
      </c>
      <c r="H61" t="str">
        <f>IF(OR($A61="",H$27=""),"",IF(COUNTIFS(EQA.CAP_Dados!$B$2:$B$5000,H$27,EQA.CAP_Dados!$D$2:$D$5000,$A61)=0,"—",COUNTIFS(EQA.CAP_Dados!$B$2:$B$5000,H$27,EQA.CAP_Dados!$D$2:$D$5000,$A61)))</f>
        <v/>
      </c>
      <c r="I61" t="str">
        <f>IF(OR($A61="",I$27=""),"",IF(COUNTIFS(EQA.CAP_Dados!$B$2:$B$5000,I$27,EQA.CAP_Dados!$D$2:$D$5000,$A61)=0,"—",COUNTIFS(EQA.CAP_Dados!$B$2:$B$5000,I$27,EQA.CAP_Dados!$D$2:$D$5000,$A61)))</f>
        <v/>
      </c>
      <c r="J61">
        <f>IF($A61="","",COUNTIF(EQA.CAP_Dados!$D$2:$D$5000,$A61))</f>
        <v>15</v>
      </c>
    </row>
    <row r="62" spans="1:10" x14ac:dyDescent="0.3">
      <c r="A62" t="str">
        <f>IFERROR(INDEX(EQA.CAP_Dados!$D$2:$D$5000,MATCH(ROW()-27,EQA.CAP_Dados!$U$2:$U$5000,0)),"")</f>
        <v>HDL colesterol</v>
      </c>
      <c r="B62" t="str">
        <f>IF(OR($A62="",B$27=""),"",IF(COUNTIFS(EQA.CAP_Dados!$B$2:$B$5000,B$27,EQA.CAP_Dados!$D$2:$D$5000,$A62)=0,"—",COUNTIFS(EQA.CAP_Dados!$B$2:$B$5000,B$27,EQA.CAP_Dados!$D$2:$D$5000,$A62)))</f>
        <v>—</v>
      </c>
      <c r="C62" t="str">
        <f>IF(OR($A62="",C$27=""),"",IF(COUNTIFS(EQA.CAP_Dados!$B$2:$B$5000,C$27,EQA.CAP_Dados!$D$2:$D$5000,$A62)=0,"—",COUNTIFS(EQA.CAP_Dados!$B$2:$B$5000,C$27,EQA.CAP_Dados!$D$2:$D$5000,$A62)))</f>
        <v>—</v>
      </c>
      <c r="D62" t="str">
        <f>IF(OR($A62="",D$27=""),"",IF(COUNTIFS(EQA.CAP_Dados!$B$2:$B$5000,D$27,EQA.CAP_Dados!$D$2:$D$5000,$A62)=0,"—",COUNTIFS(EQA.CAP_Dados!$B$2:$B$5000,D$27,EQA.CAP_Dados!$D$2:$D$5000,$A62)))</f>
        <v>—</v>
      </c>
      <c r="E62">
        <f>IF(OR($A62="",E$27=""),"",IF(COUNTIFS(EQA.CAP_Dados!$B$2:$B$5000,E$27,EQA.CAP_Dados!$D$2:$D$5000,$A62)=0,"—",COUNTIFS(EQA.CAP_Dados!$B$2:$B$5000,E$27,EQA.CAP_Dados!$D$2:$D$5000,$A62)))</f>
        <v>5</v>
      </c>
      <c r="F62">
        <f>IF(OR($A62="",F$27=""),"",IF(COUNTIFS(EQA.CAP_Dados!$B$2:$B$5000,F$27,EQA.CAP_Dados!$D$2:$D$5000,$A62)=0,"—",COUNTIFS(EQA.CAP_Dados!$B$2:$B$5000,F$27,EQA.CAP_Dados!$D$2:$D$5000,$A62)))</f>
        <v>5</v>
      </c>
      <c r="G62">
        <f>IF(OR($A62="",G$27=""),"",IF(COUNTIFS(EQA.CAP_Dados!$B$2:$B$5000,G$27,EQA.CAP_Dados!$D$2:$D$5000,$A62)=0,"—",COUNTIFS(EQA.CAP_Dados!$B$2:$B$5000,G$27,EQA.CAP_Dados!$D$2:$D$5000,$A62)))</f>
        <v>5</v>
      </c>
      <c r="H62" t="str">
        <f>IF(OR($A62="",H$27=""),"",IF(COUNTIFS(EQA.CAP_Dados!$B$2:$B$5000,H$27,EQA.CAP_Dados!$D$2:$D$5000,$A62)=0,"—",COUNTIFS(EQA.CAP_Dados!$B$2:$B$5000,H$27,EQA.CAP_Dados!$D$2:$D$5000,$A62)))</f>
        <v/>
      </c>
      <c r="I62" t="str">
        <f>IF(OR($A62="",I$27=""),"",IF(COUNTIFS(EQA.CAP_Dados!$B$2:$B$5000,I$27,EQA.CAP_Dados!$D$2:$D$5000,$A62)=0,"—",COUNTIFS(EQA.CAP_Dados!$B$2:$B$5000,I$27,EQA.CAP_Dados!$D$2:$D$5000,$A62)))</f>
        <v/>
      </c>
      <c r="J62">
        <f>IF($A62="","",COUNTIF(EQA.CAP_Dados!$D$2:$D$5000,$A62))</f>
        <v>15</v>
      </c>
    </row>
    <row r="63" spans="1:10" x14ac:dyDescent="0.3">
      <c r="A63" t="str">
        <f>IFERROR(INDEX(EQA.CAP_Dados!$D$2:$D$5000,MATCH(ROW()-27,EQA.CAP_Dados!$U$2:$U$5000,0)),"")</f>
        <v>Ureia</v>
      </c>
      <c r="B63" t="str">
        <f>IF(OR($A63="",B$27=""),"",IF(COUNTIFS(EQA.CAP_Dados!$B$2:$B$5000,B$27,EQA.CAP_Dados!$D$2:$D$5000,$A63)=0,"—",COUNTIFS(EQA.CAP_Dados!$B$2:$B$5000,B$27,EQA.CAP_Dados!$D$2:$D$5000,$A63)))</f>
        <v>—</v>
      </c>
      <c r="C63" t="str">
        <f>IF(OR($A63="",C$27=""),"",IF(COUNTIFS(EQA.CAP_Dados!$B$2:$B$5000,C$27,EQA.CAP_Dados!$D$2:$D$5000,$A63)=0,"—",COUNTIFS(EQA.CAP_Dados!$B$2:$B$5000,C$27,EQA.CAP_Dados!$D$2:$D$5000,$A63)))</f>
        <v>—</v>
      </c>
      <c r="D63" t="str">
        <f>IF(OR($A63="",D$27=""),"",IF(COUNTIFS(EQA.CAP_Dados!$B$2:$B$5000,D$27,EQA.CAP_Dados!$D$2:$D$5000,$A63)=0,"—",COUNTIFS(EQA.CAP_Dados!$B$2:$B$5000,D$27,EQA.CAP_Dados!$D$2:$D$5000,$A63)))</f>
        <v>—</v>
      </c>
      <c r="E63">
        <f>IF(OR($A63="",E$27=""),"",IF(COUNTIFS(EQA.CAP_Dados!$B$2:$B$5000,E$27,EQA.CAP_Dados!$D$2:$D$5000,$A63)=0,"—",COUNTIFS(EQA.CAP_Dados!$B$2:$B$5000,E$27,EQA.CAP_Dados!$D$2:$D$5000,$A63)))</f>
        <v>5</v>
      </c>
      <c r="F63">
        <f>IF(OR($A63="",F$27=""),"",IF(COUNTIFS(EQA.CAP_Dados!$B$2:$B$5000,F$27,EQA.CAP_Dados!$D$2:$D$5000,$A63)=0,"—",COUNTIFS(EQA.CAP_Dados!$B$2:$B$5000,F$27,EQA.CAP_Dados!$D$2:$D$5000,$A63)))</f>
        <v>5</v>
      </c>
      <c r="G63">
        <f>IF(OR($A63="",G$27=""),"",IF(COUNTIFS(EQA.CAP_Dados!$B$2:$B$5000,G$27,EQA.CAP_Dados!$D$2:$D$5000,$A63)=0,"—",COUNTIFS(EQA.CAP_Dados!$B$2:$B$5000,G$27,EQA.CAP_Dados!$D$2:$D$5000,$A63)))</f>
        <v>5</v>
      </c>
      <c r="H63" t="str">
        <f>IF(OR($A63="",H$27=""),"",IF(COUNTIFS(EQA.CAP_Dados!$B$2:$B$5000,H$27,EQA.CAP_Dados!$D$2:$D$5000,$A63)=0,"—",COUNTIFS(EQA.CAP_Dados!$B$2:$B$5000,H$27,EQA.CAP_Dados!$D$2:$D$5000,$A63)))</f>
        <v/>
      </c>
      <c r="I63" t="str">
        <f>IF(OR($A63="",I$27=""),"",IF(COUNTIFS(EQA.CAP_Dados!$B$2:$B$5000,I$27,EQA.CAP_Dados!$D$2:$D$5000,$A63)=0,"—",COUNTIFS(EQA.CAP_Dados!$B$2:$B$5000,I$27,EQA.CAP_Dados!$D$2:$D$5000,$A63)))</f>
        <v/>
      </c>
      <c r="J63">
        <f>IF($A63="","",COUNTIF(EQA.CAP_Dados!$D$2:$D$5000,$A63))</f>
        <v>15</v>
      </c>
    </row>
    <row r="64" spans="1:10" x14ac:dyDescent="0.3">
      <c r="A64" t="str">
        <f>IFERROR(INDEX(EQA.CAP_Dados!$D$2:$D$5000,MATCH(ROW()-27,EQA.CAP_Dados!$U$2:$U$5000,0)),"")</f>
        <v>Ácido úrico</v>
      </c>
      <c r="B64" t="str">
        <f>IF(OR($A64="",B$27=""),"",IF(COUNTIFS(EQA.CAP_Dados!$B$2:$B$5000,B$27,EQA.CAP_Dados!$D$2:$D$5000,$A64)=0,"—",COUNTIFS(EQA.CAP_Dados!$B$2:$B$5000,B$27,EQA.CAP_Dados!$D$2:$D$5000,$A64)))</f>
        <v>—</v>
      </c>
      <c r="C64" t="str">
        <f>IF(OR($A64="",C$27=""),"",IF(COUNTIFS(EQA.CAP_Dados!$B$2:$B$5000,C$27,EQA.CAP_Dados!$D$2:$D$5000,$A64)=0,"—",COUNTIFS(EQA.CAP_Dados!$B$2:$B$5000,C$27,EQA.CAP_Dados!$D$2:$D$5000,$A64)))</f>
        <v>—</v>
      </c>
      <c r="D64" t="str">
        <f>IF(OR($A64="",D$27=""),"",IF(COUNTIFS(EQA.CAP_Dados!$B$2:$B$5000,D$27,EQA.CAP_Dados!$D$2:$D$5000,$A64)=0,"—",COUNTIFS(EQA.CAP_Dados!$B$2:$B$5000,D$27,EQA.CAP_Dados!$D$2:$D$5000,$A64)))</f>
        <v>—</v>
      </c>
      <c r="E64">
        <f>IF(OR($A64="",E$27=""),"",IF(COUNTIFS(EQA.CAP_Dados!$B$2:$B$5000,E$27,EQA.CAP_Dados!$D$2:$D$5000,$A64)=0,"—",COUNTIFS(EQA.CAP_Dados!$B$2:$B$5000,E$27,EQA.CAP_Dados!$D$2:$D$5000,$A64)))</f>
        <v>5</v>
      </c>
      <c r="F64">
        <f>IF(OR($A64="",F$27=""),"",IF(COUNTIFS(EQA.CAP_Dados!$B$2:$B$5000,F$27,EQA.CAP_Dados!$D$2:$D$5000,$A64)=0,"—",COUNTIFS(EQA.CAP_Dados!$B$2:$B$5000,F$27,EQA.CAP_Dados!$D$2:$D$5000,$A64)))</f>
        <v>5</v>
      </c>
      <c r="G64">
        <f>IF(OR($A64="",G$27=""),"",IF(COUNTIFS(EQA.CAP_Dados!$B$2:$B$5000,G$27,EQA.CAP_Dados!$D$2:$D$5000,$A64)=0,"—",COUNTIFS(EQA.CAP_Dados!$B$2:$B$5000,G$27,EQA.CAP_Dados!$D$2:$D$5000,$A64)))</f>
        <v>5</v>
      </c>
      <c r="H64" t="str">
        <f>IF(OR($A64="",H$27=""),"",IF(COUNTIFS(EQA.CAP_Dados!$B$2:$B$5000,H$27,EQA.CAP_Dados!$D$2:$D$5000,$A64)=0,"—",COUNTIFS(EQA.CAP_Dados!$B$2:$B$5000,H$27,EQA.CAP_Dados!$D$2:$D$5000,$A64)))</f>
        <v/>
      </c>
      <c r="I64" t="str">
        <f>IF(OR($A64="",I$27=""),"",IF(COUNTIFS(EQA.CAP_Dados!$B$2:$B$5000,I$27,EQA.CAP_Dados!$D$2:$D$5000,$A64)=0,"—",COUNTIFS(EQA.CAP_Dados!$B$2:$B$5000,I$27,EQA.CAP_Dados!$D$2:$D$5000,$A64)))</f>
        <v/>
      </c>
      <c r="J64">
        <f>IF($A64="","",COUNTIF(EQA.CAP_Dados!$D$2:$D$5000,$A64))</f>
        <v>15</v>
      </c>
    </row>
    <row r="65" spans="1:10" x14ac:dyDescent="0.3">
      <c r="A65" t="str">
        <f>IFERROR(INDEX(EQA.CAP_Dados!$D$2:$D$5000,MATCH(ROW()-27,EQA.CAP_Dados!$U$2:$U$5000,0)),"")</f>
        <v/>
      </c>
      <c r="B65" t="str">
        <f>IF(OR($A65="",B$27=""),"",IF(COUNTIFS(EQA.CAP_Dados!$B$2:$B$5000,B$27,EQA.CAP_Dados!$D$2:$D$5000,$A65)=0,"—",COUNTIFS(EQA.CAP_Dados!$B$2:$B$5000,B$27,EQA.CAP_Dados!$D$2:$D$5000,$A65)))</f>
        <v/>
      </c>
      <c r="C65" t="str">
        <f>IF(OR($A65="",C$27=""),"",IF(COUNTIFS(EQA.CAP_Dados!$B$2:$B$5000,C$27,EQA.CAP_Dados!$D$2:$D$5000,$A65)=0,"—",COUNTIFS(EQA.CAP_Dados!$B$2:$B$5000,C$27,EQA.CAP_Dados!$D$2:$D$5000,$A65)))</f>
        <v/>
      </c>
      <c r="D65" t="str">
        <f>IF(OR($A65="",D$27=""),"",IF(COUNTIFS(EQA.CAP_Dados!$B$2:$B$5000,D$27,EQA.CAP_Dados!$D$2:$D$5000,$A65)=0,"—",COUNTIFS(EQA.CAP_Dados!$B$2:$B$5000,D$27,EQA.CAP_Dados!$D$2:$D$5000,$A65)))</f>
        <v/>
      </c>
      <c r="E65" t="str">
        <f>IF(OR($A65="",E$27=""),"",IF(COUNTIFS(EQA.CAP_Dados!$B$2:$B$5000,E$27,EQA.CAP_Dados!$D$2:$D$5000,$A65)=0,"—",COUNTIFS(EQA.CAP_Dados!$B$2:$B$5000,E$27,EQA.CAP_Dados!$D$2:$D$5000,$A65)))</f>
        <v/>
      </c>
      <c r="F65" t="str">
        <f>IF(OR($A65="",F$27=""),"",IF(COUNTIFS(EQA.CAP_Dados!$B$2:$B$5000,F$27,EQA.CAP_Dados!$D$2:$D$5000,$A65)=0,"—",COUNTIFS(EQA.CAP_Dados!$B$2:$B$5000,F$27,EQA.CAP_Dados!$D$2:$D$5000,$A65)))</f>
        <v/>
      </c>
      <c r="G65" t="str">
        <f>IF(OR($A65="",G$27=""),"",IF(COUNTIFS(EQA.CAP_Dados!$B$2:$B$5000,G$27,EQA.CAP_Dados!$D$2:$D$5000,$A65)=0,"—",COUNTIFS(EQA.CAP_Dados!$B$2:$B$5000,G$27,EQA.CAP_Dados!$D$2:$D$5000,$A65)))</f>
        <v/>
      </c>
      <c r="H65" t="str">
        <f>IF(OR($A65="",H$27=""),"",IF(COUNTIFS(EQA.CAP_Dados!$B$2:$B$5000,H$27,EQA.CAP_Dados!$D$2:$D$5000,$A65)=0,"—",COUNTIFS(EQA.CAP_Dados!$B$2:$B$5000,H$27,EQA.CAP_Dados!$D$2:$D$5000,$A65)))</f>
        <v/>
      </c>
      <c r="I65" t="str">
        <f>IF(OR($A65="",I$27=""),"",IF(COUNTIFS(EQA.CAP_Dados!$B$2:$B$5000,I$27,EQA.CAP_Dados!$D$2:$D$5000,$A65)=0,"—",COUNTIFS(EQA.CAP_Dados!$B$2:$B$5000,I$27,EQA.CAP_Dados!$D$2:$D$5000,$A65)))</f>
        <v/>
      </c>
      <c r="J65" t="str">
        <f>IF($A65="","",COUNTIF(EQA.CAP_Dados!$D$2:$D$5000,$A65))</f>
        <v/>
      </c>
    </row>
    <row r="66" spans="1:10" x14ac:dyDescent="0.3">
      <c r="A66" t="str">
        <f>IFERROR(INDEX(EQA.CAP_Dados!$D$2:$D$5000,MATCH(ROW()-27,EQA.CAP_Dados!$U$2:$U$5000,0)),"")</f>
        <v/>
      </c>
      <c r="B66" t="str">
        <f>IF(OR($A66="",B$27=""),"",IF(COUNTIFS(EQA.CAP_Dados!$B$2:$B$5000,B$27,EQA.CAP_Dados!$D$2:$D$5000,$A66)=0,"—",COUNTIFS(EQA.CAP_Dados!$B$2:$B$5000,B$27,EQA.CAP_Dados!$D$2:$D$5000,$A66)))</f>
        <v/>
      </c>
      <c r="C66" t="str">
        <f>IF(OR($A66="",C$27=""),"",IF(COUNTIFS(EQA.CAP_Dados!$B$2:$B$5000,C$27,EQA.CAP_Dados!$D$2:$D$5000,$A66)=0,"—",COUNTIFS(EQA.CAP_Dados!$B$2:$B$5000,C$27,EQA.CAP_Dados!$D$2:$D$5000,$A66)))</f>
        <v/>
      </c>
      <c r="D66" t="str">
        <f>IF(OR($A66="",D$27=""),"",IF(COUNTIFS(EQA.CAP_Dados!$B$2:$B$5000,D$27,EQA.CAP_Dados!$D$2:$D$5000,$A66)=0,"—",COUNTIFS(EQA.CAP_Dados!$B$2:$B$5000,D$27,EQA.CAP_Dados!$D$2:$D$5000,$A66)))</f>
        <v/>
      </c>
      <c r="E66" t="str">
        <f>IF(OR($A66="",E$27=""),"",IF(COUNTIFS(EQA.CAP_Dados!$B$2:$B$5000,E$27,EQA.CAP_Dados!$D$2:$D$5000,$A66)=0,"—",COUNTIFS(EQA.CAP_Dados!$B$2:$B$5000,E$27,EQA.CAP_Dados!$D$2:$D$5000,$A66)))</f>
        <v/>
      </c>
      <c r="F66" t="str">
        <f>IF(OR($A66="",F$27=""),"",IF(COUNTIFS(EQA.CAP_Dados!$B$2:$B$5000,F$27,EQA.CAP_Dados!$D$2:$D$5000,$A66)=0,"—",COUNTIFS(EQA.CAP_Dados!$B$2:$B$5000,F$27,EQA.CAP_Dados!$D$2:$D$5000,$A66)))</f>
        <v/>
      </c>
      <c r="G66" t="str">
        <f>IF(OR($A66="",G$27=""),"",IF(COUNTIFS(EQA.CAP_Dados!$B$2:$B$5000,G$27,EQA.CAP_Dados!$D$2:$D$5000,$A66)=0,"—",COUNTIFS(EQA.CAP_Dados!$B$2:$B$5000,G$27,EQA.CAP_Dados!$D$2:$D$5000,$A66)))</f>
        <v/>
      </c>
      <c r="H66" t="str">
        <f>IF(OR($A66="",H$27=""),"",IF(COUNTIFS(EQA.CAP_Dados!$B$2:$B$5000,H$27,EQA.CAP_Dados!$D$2:$D$5000,$A66)=0,"—",COUNTIFS(EQA.CAP_Dados!$B$2:$B$5000,H$27,EQA.CAP_Dados!$D$2:$D$5000,$A66)))</f>
        <v/>
      </c>
      <c r="I66" t="str">
        <f>IF(OR($A66="",I$27=""),"",IF(COUNTIFS(EQA.CAP_Dados!$B$2:$B$5000,I$27,EQA.CAP_Dados!$D$2:$D$5000,$A66)=0,"—",COUNTIFS(EQA.CAP_Dados!$B$2:$B$5000,I$27,EQA.CAP_Dados!$D$2:$D$5000,$A66)))</f>
        <v/>
      </c>
      <c r="J66" t="str">
        <f>IF($A66="","",COUNTIF(EQA.CAP_Dados!$D$2:$D$5000,$A66))</f>
        <v/>
      </c>
    </row>
    <row r="67" spans="1:10" x14ac:dyDescent="0.3">
      <c r="A67" t="str">
        <f>IFERROR(INDEX(EQA.CAP_Dados!$D$2:$D$5000,MATCH(ROW()-27,EQA.CAP_Dados!$U$2:$U$5000,0)),"")</f>
        <v/>
      </c>
      <c r="B67" t="str">
        <f>IF(OR($A67="",B$27=""),"",IF(COUNTIFS(EQA.CAP_Dados!$B$2:$B$5000,B$27,EQA.CAP_Dados!$D$2:$D$5000,$A67)=0,"—",COUNTIFS(EQA.CAP_Dados!$B$2:$B$5000,B$27,EQA.CAP_Dados!$D$2:$D$5000,$A67)))</f>
        <v/>
      </c>
      <c r="C67" t="str">
        <f>IF(OR($A67="",C$27=""),"",IF(COUNTIFS(EQA.CAP_Dados!$B$2:$B$5000,C$27,EQA.CAP_Dados!$D$2:$D$5000,$A67)=0,"—",COUNTIFS(EQA.CAP_Dados!$B$2:$B$5000,C$27,EQA.CAP_Dados!$D$2:$D$5000,$A67)))</f>
        <v/>
      </c>
      <c r="D67" t="str">
        <f>IF(OR($A67="",D$27=""),"",IF(COUNTIFS(EQA.CAP_Dados!$B$2:$B$5000,D$27,EQA.CAP_Dados!$D$2:$D$5000,$A67)=0,"—",COUNTIFS(EQA.CAP_Dados!$B$2:$B$5000,D$27,EQA.CAP_Dados!$D$2:$D$5000,$A67)))</f>
        <v/>
      </c>
      <c r="E67" t="str">
        <f>IF(OR($A67="",E$27=""),"",IF(COUNTIFS(EQA.CAP_Dados!$B$2:$B$5000,E$27,EQA.CAP_Dados!$D$2:$D$5000,$A67)=0,"—",COUNTIFS(EQA.CAP_Dados!$B$2:$B$5000,E$27,EQA.CAP_Dados!$D$2:$D$5000,$A67)))</f>
        <v/>
      </c>
      <c r="F67" t="str">
        <f>IF(OR($A67="",F$27=""),"",IF(COUNTIFS(EQA.CAP_Dados!$B$2:$B$5000,F$27,EQA.CAP_Dados!$D$2:$D$5000,$A67)=0,"—",COUNTIFS(EQA.CAP_Dados!$B$2:$B$5000,F$27,EQA.CAP_Dados!$D$2:$D$5000,$A67)))</f>
        <v/>
      </c>
      <c r="G67" t="str">
        <f>IF(OR($A67="",G$27=""),"",IF(COUNTIFS(EQA.CAP_Dados!$B$2:$B$5000,G$27,EQA.CAP_Dados!$D$2:$D$5000,$A67)=0,"—",COUNTIFS(EQA.CAP_Dados!$B$2:$B$5000,G$27,EQA.CAP_Dados!$D$2:$D$5000,$A67)))</f>
        <v/>
      </c>
      <c r="H67" t="str">
        <f>IF(OR($A67="",H$27=""),"",IF(COUNTIFS(EQA.CAP_Dados!$B$2:$B$5000,H$27,EQA.CAP_Dados!$D$2:$D$5000,$A67)=0,"—",COUNTIFS(EQA.CAP_Dados!$B$2:$B$5000,H$27,EQA.CAP_Dados!$D$2:$D$5000,$A67)))</f>
        <v/>
      </c>
      <c r="I67" t="str">
        <f>IF(OR($A67="",I$27=""),"",IF(COUNTIFS(EQA.CAP_Dados!$B$2:$B$5000,I$27,EQA.CAP_Dados!$D$2:$D$5000,$A67)=0,"—",COUNTIFS(EQA.CAP_Dados!$B$2:$B$5000,I$27,EQA.CAP_Dados!$D$2:$D$5000,$A67)))</f>
        <v/>
      </c>
      <c r="J67" t="str">
        <f>IF($A67="","",COUNTIF(EQA.CAP_Dados!$D$2:$D$5000,$A67))</f>
        <v/>
      </c>
    </row>
    <row r="68" spans="1:10" x14ac:dyDescent="0.3">
      <c r="A68" t="str">
        <f>IFERROR(INDEX(EQA.CAP_Dados!$D$2:$D$5000,MATCH(ROW()-27,EQA.CAP_Dados!$U$2:$U$5000,0)),"")</f>
        <v/>
      </c>
      <c r="B68" t="str">
        <f>IF(OR($A68="",B$27=""),"",IF(COUNTIFS(EQA.CAP_Dados!$B$2:$B$5000,B$27,EQA.CAP_Dados!$D$2:$D$5000,$A68)=0,"—",COUNTIFS(EQA.CAP_Dados!$B$2:$B$5000,B$27,EQA.CAP_Dados!$D$2:$D$5000,$A68)))</f>
        <v/>
      </c>
      <c r="C68" t="str">
        <f>IF(OR($A68="",C$27=""),"",IF(COUNTIFS(EQA.CAP_Dados!$B$2:$B$5000,C$27,EQA.CAP_Dados!$D$2:$D$5000,$A68)=0,"—",COUNTIFS(EQA.CAP_Dados!$B$2:$B$5000,C$27,EQA.CAP_Dados!$D$2:$D$5000,$A68)))</f>
        <v/>
      </c>
      <c r="D68" t="str">
        <f>IF(OR($A68="",D$27=""),"",IF(COUNTIFS(EQA.CAP_Dados!$B$2:$B$5000,D$27,EQA.CAP_Dados!$D$2:$D$5000,$A68)=0,"—",COUNTIFS(EQA.CAP_Dados!$B$2:$B$5000,D$27,EQA.CAP_Dados!$D$2:$D$5000,$A68)))</f>
        <v/>
      </c>
      <c r="E68" t="str">
        <f>IF(OR($A68="",E$27=""),"",IF(COUNTIFS(EQA.CAP_Dados!$B$2:$B$5000,E$27,EQA.CAP_Dados!$D$2:$D$5000,$A68)=0,"—",COUNTIFS(EQA.CAP_Dados!$B$2:$B$5000,E$27,EQA.CAP_Dados!$D$2:$D$5000,$A68)))</f>
        <v/>
      </c>
      <c r="F68" t="str">
        <f>IF(OR($A68="",F$27=""),"",IF(COUNTIFS(EQA.CAP_Dados!$B$2:$B$5000,F$27,EQA.CAP_Dados!$D$2:$D$5000,$A68)=0,"—",COUNTIFS(EQA.CAP_Dados!$B$2:$B$5000,F$27,EQA.CAP_Dados!$D$2:$D$5000,$A68)))</f>
        <v/>
      </c>
      <c r="G68" t="str">
        <f>IF(OR($A68="",G$27=""),"",IF(COUNTIFS(EQA.CAP_Dados!$B$2:$B$5000,G$27,EQA.CAP_Dados!$D$2:$D$5000,$A68)=0,"—",COUNTIFS(EQA.CAP_Dados!$B$2:$B$5000,G$27,EQA.CAP_Dados!$D$2:$D$5000,$A68)))</f>
        <v/>
      </c>
      <c r="H68" t="str">
        <f>IF(OR($A68="",H$27=""),"",IF(COUNTIFS(EQA.CAP_Dados!$B$2:$B$5000,H$27,EQA.CAP_Dados!$D$2:$D$5000,$A68)=0,"—",COUNTIFS(EQA.CAP_Dados!$B$2:$B$5000,H$27,EQA.CAP_Dados!$D$2:$D$5000,$A68)))</f>
        <v/>
      </c>
      <c r="I68" t="str">
        <f>IF(OR($A68="",I$27=""),"",IF(COUNTIFS(EQA.CAP_Dados!$B$2:$B$5000,I$27,EQA.CAP_Dados!$D$2:$D$5000,$A68)=0,"—",COUNTIFS(EQA.CAP_Dados!$B$2:$B$5000,I$27,EQA.CAP_Dados!$D$2:$D$5000,$A68)))</f>
        <v/>
      </c>
      <c r="J68" t="str">
        <f>IF($A68="","",COUNTIF(EQA.CAP_Dados!$D$2:$D$5000,$A68))</f>
        <v/>
      </c>
    </row>
    <row r="69" spans="1:10" x14ac:dyDescent="0.3">
      <c r="A69" t="str">
        <f>IFERROR(INDEX(EQA.CAP_Dados!$D$2:$D$5000,MATCH(ROW()-27,EQA.CAP_Dados!$U$2:$U$5000,0)),"")</f>
        <v/>
      </c>
      <c r="B69" t="str">
        <f>IF(OR($A69="",B$27=""),"",IF(COUNTIFS(EQA.CAP_Dados!$B$2:$B$5000,B$27,EQA.CAP_Dados!$D$2:$D$5000,$A69)=0,"—",COUNTIFS(EQA.CAP_Dados!$B$2:$B$5000,B$27,EQA.CAP_Dados!$D$2:$D$5000,$A69)))</f>
        <v/>
      </c>
      <c r="C69" t="str">
        <f>IF(OR($A69="",C$27=""),"",IF(COUNTIFS(EQA.CAP_Dados!$B$2:$B$5000,C$27,EQA.CAP_Dados!$D$2:$D$5000,$A69)=0,"—",COUNTIFS(EQA.CAP_Dados!$B$2:$B$5000,C$27,EQA.CAP_Dados!$D$2:$D$5000,$A69)))</f>
        <v/>
      </c>
      <c r="D69" t="str">
        <f>IF(OR($A69="",D$27=""),"",IF(COUNTIFS(EQA.CAP_Dados!$B$2:$B$5000,D$27,EQA.CAP_Dados!$D$2:$D$5000,$A69)=0,"—",COUNTIFS(EQA.CAP_Dados!$B$2:$B$5000,D$27,EQA.CAP_Dados!$D$2:$D$5000,$A69)))</f>
        <v/>
      </c>
      <c r="E69" t="str">
        <f>IF(OR($A69="",E$27=""),"",IF(COUNTIFS(EQA.CAP_Dados!$B$2:$B$5000,E$27,EQA.CAP_Dados!$D$2:$D$5000,$A69)=0,"—",COUNTIFS(EQA.CAP_Dados!$B$2:$B$5000,E$27,EQA.CAP_Dados!$D$2:$D$5000,$A69)))</f>
        <v/>
      </c>
      <c r="F69" t="str">
        <f>IF(OR($A69="",F$27=""),"",IF(COUNTIFS(EQA.CAP_Dados!$B$2:$B$5000,F$27,EQA.CAP_Dados!$D$2:$D$5000,$A69)=0,"—",COUNTIFS(EQA.CAP_Dados!$B$2:$B$5000,F$27,EQA.CAP_Dados!$D$2:$D$5000,$A69)))</f>
        <v/>
      </c>
      <c r="G69" t="str">
        <f>IF(OR($A69="",G$27=""),"",IF(COUNTIFS(EQA.CAP_Dados!$B$2:$B$5000,G$27,EQA.CAP_Dados!$D$2:$D$5000,$A69)=0,"—",COUNTIFS(EQA.CAP_Dados!$B$2:$B$5000,G$27,EQA.CAP_Dados!$D$2:$D$5000,$A69)))</f>
        <v/>
      </c>
      <c r="H69" t="str">
        <f>IF(OR($A69="",H$27=""),"",IF(COUNTIFS(EQA.CAP_Dados!$B$2:$B$5000,H$27,EQA.CAP_Dados!$D$2:$D$5000,$A69)=0,"—",COUNTIFS(EQA.CAP_Dados!$B$2:$B$5000,H$27,EQA.CAP_Dados!$D$2:$D$5000,$A69)))</f>
        <v/>
      </c>
      <c r="I69" t="str">
        <f>IF(OR($A69="",I$27=""),"",IF(COUNTIFS(EQA.CAP_Dados!$B$2:$B$5000,I$27,EQA.CAP_Dados!$D$2:$D$5000,$A69)=0,"—",COUNTIFS(EQA.CAP_Dados!$B$2:$B$5000,I$27,EQA.CAP_Dados!$D$2:$D$5000,$A69)))</f>
        <v/>
      </c>
      <c r="J69" t="str">
        <f>IF($A69="","",COUNTIF(EQA.CAP_Dados!$D$2:$D$5000,$A69))</f>
        <v/>
      </c>
    </row>
    <row r="70" spans="1:10" x14ac:dyDescent="0.3">
      <c r="A70" t="str">
        <f>IFERROR(INDEX(EQA.CAP_Dados!$D$2:$D$5000,MATCH(ROW()-27,EQA.CAP_Dados!$U$2:$U$5000,0)),"")</f>
        <v/>
      </c>
      <c r="B70" t="str">
        <f>IF(OR($A70="",B$27=""),"",IF(COUNTIFS(EQA.CAP_Dados!$B$2:$B$5000,B$27,EQA.CAP_Dados!$D$2:$D$5000,$A70)=0,"—",COUNTIFS(EQA.CAP_Dados!$B$2:$B$5000,B$27,EQA.CAP_Dados!$D$2:$D$5000,$A70)))</f>
        <v/>
      </c>
      <c r="C70" t="str">
        <f>IF(OR($A70="",C$27=""),"",IF(COUNTIFS(EQA.CAP_Dados!$B$2:$B$5000,C$27,EQA.CAP_Dados!$D$2:$D$5000,$A70)=0,"—",COUNTIFS(EQA.CAP_Dados!$B$2:$B$5000,C$27,EQA.CAP_Dados!$D$2:$D$5000,$A70)))</f>
        <v/>
      </c>
      <c r="D70" t="str">
        <f>IF(OR($A70="",D$27=""),"",IF(COUNTIFS(EQA.CAP_Dados!$B$2:$B$5000,D$27,EQA.CAP_Dados!$D$2:$D$5000,$A70)=0,"—",COUNTIFS(EQA.CAP_Dados!$B$2:$B$5000,D$27,EQA.CAP_Dados!$D$2:$D$5000,$A70)))</f>
        <v/>
      </c>
      <c r="E70" t="str">
        <f>IF(OR($A70="",E$27=""),"",IF(COUNTIFS(EQA.CAP_Dados!$B$2:$B$5000,E$27,EQA.CAP_Dados!$D$2:$D$5000,$A70)=0,"—",COUNTIFS(EQA.CAP_Dados!$B$2:$B$5000,E$27,EQA.CAP_Dados!$D$2:$D$5000,$A70)))</f>
        <v/>
      </c>
      <c r="F70" t="str">
        <f>IF(OR($A70="",F$27=""),"",IF(COUNTIFS(EQA.CAP_Dados!$B$2:$B$5000,F$27,EQA.CAP_Dados!$D$2:$D$5000,$A70)=0,"—",COUNTIFS(EQA.CAP_Dados!$B$2:$B$5000,F$27,EQA.CAP_Dados!$D$2:$D$5000,$A70)))</f>
        <v/>
      </c>
      <c r="G70" t="str">
        <f>IF(OR($A70="",G$27=""),"",IF(COUNTIFS(EQA.CAP_Dados!$B$2:$B$5000,G$27,EQA.CAP_Dados!$D$2:$D$5000,$A70)=0,"—",COUNTIFS(EQA.CAP_Dados!$B$2:$B$5000,G$27,EQA.CAP_Dados!$D$2:$D$5000,$A70)))</f>
        <v/>
      </c>
      <c r="H70" t="str">
        <f>IF(OR($A70="",H$27=""),"",IF(COUNTIFS(EQA.CAP_Dados!$B$2:$B$5000,H$27,EQA.CAP_Dados!$D$2:$D$5000,$A70)=0,"—",COUNTIFS(EQA.CAP_Dados!$B$2:$B$5000,H$27,EQA.CAP_Dados!$D$2:$D$5000,$A70)))</f>
        <v/>
      </c>
      <c r="I70" t="str">
        <f>IF(OR($A70="",I$27=""),"",IF(COUNTIFS(EQA.CAP_Dados!$B$2:$B$5000,I$27,EQA.CAP_Dados!$D$2:$D$5000,$A70)=0,"—",COUNTIFS(EQA.CAP_Dados!$B$2:$B$5000,I$27,EQA.CAP_Dados!$D$2:$D$5000,$A70)))</f>
        <v/>
      </c>
      <c r="J70" t="str">
        <f>IF($A70="","",COUNTIF(EQA.CAP_Dados!$D$2:$D$5000,$A70))</f>
        <v/>
      </c>
    </row>
    <row r="71" spans="1:10" x14ac:dyDescent="0.3">
      <c r="A71" t="str">
        <f>IFERROR(INDEX(EQA.CAP_Dados!$D$2:$D$5000,MATCH(ROW()-27,EQA.CAP_Dados!$U$2:$U$5000,0)),"")</f>
        <v/>
      </c>
      <c r="B71" t="str">
        <f>IF(OR($A71="",B$27=""),"",IF(COUNTIFS(EQA.CAP_Dados!$B$2:$B$5000,B$27,EQA.CAP_Dados!$D$2:$D$5000,$A71)=0,"—",COUNTIFS(EQA.CAP_Dados!$B$2:$B$5000,B$27,EQA.CAP_Dados!$D$2:$D$5000,$A71)))</f>
        <v/>
      </c>
      <c r="C71" t="str">
        <f>IF(OR($A71="",C$27=""),"",IF(COUNTIFS(EQA.CAP_Dados!$B$2:$B$5000,C$27,EQA.CAP_Dados!$D$2:$D$5000,$A71)=0,"—",COUNTIFS(EQA.CAP_Dados!$B$2:$B$5000,C$27,EQA.CAP_Dados!$D$2:$D$5000,$A71)))</f>
        <v/>
      </c>
      <c r="D71" t="str">
        <f>IF(OR($A71="",D$27=""),"",IF(COUNTIFS(EQA.CAP_Dados!$B$2:$B$5000,D$27,EQA.CAP_Dados!$D$2:$D$5000,$A71)=0,"—",COUNTIFS(EQA.CAP_Dados!$B$2:$B$5000,D$27,EQA.CAP_Dados!$D$2:$D$5000,$A71)))</f>
        <v/>
      </c>
      <c r="E71" t="str">
        <f>IF(OR($A71="",E$27=""),"",IF(COUNTIFS(EQA.CAP_Dados!$B$2:$B$5000,E$27,EQA.CAP_Dados!$D$2:$D$5000,$A71)=0,"—",COUNTIFS(EQA.CAP_Dados!$B$2:$B$5000,E$27,EQA.CAP_Dados!$D$2:$D$5000,$A71)))</f>
        <v/>
      </c>
      <c r="F71" t="str">
        <f>IF(OR($A71="",F$27=""),"",IF(COUNTIFS(EQA.CAP_Dados!$B$2:$B$5000,F$27,EQA.CAP_Dados!$D$2:$D$5000,$A71)=0,"—",COUNTIFS(EQA.CAP_Dados!$B$2:$B$5000,F$27,EQA.CAP_Dados!$D$2:$D$5000,$A71)))</f>
        <v/>
      </c>
      <c r="G71" t="str">
        <f>IF(OR($A71="",G$27=""),"",IF(COUNTIFS(EQA.CAP_Dados!$B$2:$B$5000,G$27,EQA.CAP_Dados!$D$2:$D$5000,$A71)=0,"—",COUNTIFS(EQA.CAP_Dados!$B$2:$B$5000,G$27,EQA.CAP_Dados!$D$2:$D$5000,$A71)))</f>
        <v/>
      </c>
      <c r="H71" t="str">
        <f>IF(OR($A71="",H$27=""),"",IF(COUNTIFS(EQA.CAP_Dados!$B$2:$B$5000,H$27,EQA.CAP_Dados!$D$2:$D$5000,$A71)=0,"—",COUNTIFS(EQA.CAP_Dados!$B$2:$B$5000,H$27,EQA.CAP_Dados!$D$2:$D$5000,$A71)))</f>
        <v/>
      </c>
      <c r="I71" t="str">
        <f>IF(OR($A71="",I$27=""),"",IF(COUNTIFS(EQA.CAP_Dados!$B$2:$B$5000,I$27,EQA.CAP_Dados!$D$2:$D$5000,$A71)=0,"—",COUNTIFS(EQA.CAP_Dados!$B$2:$B$5000,I$27,EQA.CAP_Dados!$D$2:$D$5000,$A71)))</f>
        <v/>
      </c>
      <c r="J71" t="str">
        <f>IF($A71="","",COUNTIF(EQA.CAP_Dados!$D$2:$D$5000,$A71))</f>
        <v/>
      </c>
    </row>
    <row r="72" spans="1:10" x14ac:dyDescent="0.3">
      <c r="A72" t="str">
        <f>IFERROR(INDEX(EQA.CAP_Dados!$D$2:$D$5000,MATCH(ROW()-27,EQA.CAP_Dados!$U$2:$U$5000,0)),"")</f>
        <v/>
      </c>
      <c r="B72" t="str">
        <f>IF(OR($A72="",B$27=""),"",IF(COUNTIFS(EQA.CAP_Dados!$B$2:$B$5000,B$27,EQA.CAP_Dados!$D$2:$D$5000,$A72)=0,"—",COUNTIFS(EQA.CAP_Dados!$B$2:$B$5000,B$27,EQA.CAP_Dados!$D$2:$D$5000,$A72)))</f>
        <v/>
      </c>
      <c r="C72" t="str">
        <f>IF(OR($A72="",C$27=""),"",IF(COUNTIFS(EQA.CAP_Dados!$B$2:$B$5000,C$27,EQA.CAP_Dados!$D$2:$D$5000,$A72)=0,"—",COUNTIFS(EQA.CAP_Dados!$B$2:$B$5000,C$27,EQA.CAP_Dados!$D$2:$D$5000,$A72)))</f>
        <v/>
      </c>
      <c r="D72" t="str">
        <f>IF(OR($A72="",D$27=""),"",IF(COUNTIFS(EQA.CAP_Dados!$B$2:$B$5000,D$27,EQA.CAP_Dados!$D$2:$D$5000,$A72)=0,"—",COUNTIFS(EQA.CAP_Dados!$B$2:$B$5000,D$27,EQA.CAP_Dados!$D$2:$D$5000,$A72)))</f>
        <v/>
      </c>
      <c r="E72" t="str">
        <f>IF(OR($A72="",E$27=""),"",IF(COUNTIFS(EQA.CAP_Dados!$B$2:$B$5000,E$27,EQA.CAP_Dados!$D$2:$D$5000,$A72)=0,"—",COUNTIFS(EQA.CAP_Dados!$B$2:$B$5000,E$27,EQA.CAP_Dados!$D$2:$D$5000,$A72)))</f>
        <v/>
      </c>
      <c r="F72" t="str">
        <f>IF(OR($A72="",F$27=""),"",IF(COUNTIFS(EQA.CAP_Dados!$B$2:$B$5000,F$27,EQA.CAP_Dados!$D$2:$D$5000,$A72)=0,"—",COUNTIFS(EQA.CAP_Dados!$B$2:$B$5000,F$27,EQA.CAP_Dados!$D$2:$D$5000,$A72)))</f>
        <v/>
      </c>
      <c r="G72" t="str">
        <f>IF(OR($A72="",G$27=""),"",IF(COUNTIFS(EQA.CAP_Dados!$B$2:$B$5000,G$27,EQA.CAP_Dados!$D$2:$D$5000,$A72)=0,"—",COUNTIFS(EQA.CAP_Dados!$B$2:$B$5000,G$27,EQA.CAP_Dados!$D$2:$D$5000,$A72)))</f>
        <v/>
      </c>
      <c r="H72" t="str">
        <f>IF(OR($A72="",H$27=""),"",IF(COUNTIFS(EQA.CAP_Dados!$B$2:$B$5000,H$27,EQA.CAP_Dados!$D$2:$D$5000,$A72)=0,"—",COUNTIFS(EQA.CAP_Dados!$B$2:$B$5000,H$27,EQA.CAP_Dados!$D$2:$D$5000,$A72)))</f>
        <v/>
      </c>
      <c r="I72" t="str">
        <f>IF(OR($A72="",I$27=""),"",IF(COUNTIFS(EQA.CAP_Dados!$B$2:$B$5000,I$27,EQA.CAP_Dados!$D$2:$D$5000,$A72)=0,"—",COUNTIFS(EQA.CAP_Dados!$B$2:$B$5000,I$27,EQA.CAP_Dados!$D$2:$D$5000,$A72)))</f>
        <v/>
      </c>
      <c r="J72" t="str">
        <f>IF($A72="","",COUNTIF(EQA.CAP_Dados!$D$2:$D$5000,$A72))</f>
        <v/>
      </c>
    </row>
    <row r="73" spans="1:10" x14ac:dyDescent="0.3">
      <c r="A73" t="str">
        <f>IFERROR(INDEX(EQA.CAP_Dados!$D$2:$D$5000,MATCH(ROW()-27,EQA.CAP_Dados!$U$2:$U$5000,0)),"")</f>
        <v/>
      </c>
      <c r="B73" t="str">
        <f>IF(OR($A73="",B$27=""),"",IF(COUNTIFS(EQA.CAP_Dados!$B$2:$B$5000,B$27,EQA.CAP_Dados!$D$2:$D$5000,$A73)=0,"—",COUNTIFS(EQA.CAP_Dados!$B$2:$B$5000,B$27,EQA.CAP_Dados!$D$2:$D$5000,$A73)))</f>
        <v/>
      </c>
      <c r="C73" t="str">
        <f>IF(OR($A73="",C$27=""),"",IF(COUNTIFS(EQA.CAP_Dados!$B$2:$B$5000,C$27,EQA.CAP_Dados!$D$2:$D$5000,$A73)=0,"—",COUNTIFS(EQA.CAP_Dados!$B$2:$B$5000,C$27,EQA.CAP_Dados!$D$2:$D$5000,$A73)))</f>
        <v/>
      </c>
      <c r="D73" t="str">
        <f>IF(OR($A73="",D$27=""),"",IF(COUNTIFS(EQA.CAP_Dados!$B$2:$B$5000,D$27,EQA.CAP_Dados!$D$2:$D$5000,$A73)=0,"—",COUNTIFS(EQA.CAP_Dados!$B$2:$B$5000,D$27,EQA.CAP_Dados!$D$2:$D$5000,$A73)))</f>
        <v/>
      </c>
      <c r="E73" t="str">
        <f>IF(OR($A73="",E$27=""),"",IF(COUNTIFS(EQA.CAP_Dados!$B$2:$B$5000,E$27,EQA.CAP_Dados!$D$2:$D$5000,$A73)=0,"—",COUNTIFS(EQA.CAP_Dados!$B$2:$B$5000,E$27,EQA.CAP_Dados!$D$2:$D$5000,$A73)))</f>
        <v/>
      </c>
      <c r="F73" t="str">
        <f>IF(OR($A73="",F$27=""),"",IF(COUNTIFS(EQA.CAP_Dados!$B$2:$B$5000,F$27,EQA.CAP_Dados!$D$2:$D$5000,$A73)=0,"—",COUNTIFS(EQA.CAP_Dados!$B$2:$B$5000,F$27,EQA.CAP_Dados!$D$2:$D$5000,$A73)))</f>
        <v/>
      </c>
      <c r="G73" t="str">
        <f>IF(OR($A73="",G$27=""),"",IF(COUNTIFS(EQA.CAP_Dados!$B$2:$B$5000,G$27,EQA.CAP_Dados!$D$2:$D$5000,$A73)=0,"—",COUNTIFS(EQA.CAP_Dados!$B$2:$B$5000,G$27,EQA.CAP_Dados!$D$2:$D$5000,$A73)))</f>
        <v/>
      </c>
      <c r="H73" t="str">
        <f>IF(OR($A73="",H$27=""),"",IF(COUNTIFS(EQA.CAP_Dados!$B$2:$B$5000,H$27,EQA.CAP_Dados!$D$2:$D$5000,$A73)=0,"—",COUNTIFS(EQA.CAP_Dados!$B$2:$B$5000,H$27,EQA.CAP_Dados!$D$2:$D$5000,$A73)))</f>
        <v/>
      </c>
      <c r="I73" t="str">
        <f>IF(OR($A73="",I$27=""),"",IF(COUNTIFS(EQA.CAP_Dados!$B$2:$B$5000,I$27,EQA.CAP_Dados!$D$2:$D$5000,$A73)=0,"—",COUNTIFS(EQA.CAP_Dados!$B$2:$B$5000,I$27,EQA.CAP_Dados!$D$2:$D$5000,$A73)))</f>
        <v/>
      </c>
      <c r="J73" t="str">
        <f>IF($A73="","",COUNTIF(EQA.CAP_Dados!$D$2:$D$5000,$A73))</f>
        <v/>
      </c>
    </row>
    <row r="74" spans="1:10" x14ac:dyDescent="0.3">
      <c r="A74" t="str">
        <f>IFERROR(INDEX(EQA.CAP_Dados!$D$2:$D$5000,MATCH(ROW()-27,EQA.CAP_Dados!$U$2:$U$5000,0)),"")</f>
        <v/>
      </c>
      <c r="B74" t="str">
        <f>IF(OR($A74="",B$27=""),"",IF(COUNTIFS(EQA.CAP_Dados!$B$2:$B$5000,B$27,EQA.CAP_Dados!$D$2:$D$5000,$A74)=0,"—",COUNTIFS(EQA.CAP_Dados!$B$2:$B$5000,B$27,EQA.CAP_Dados!$D$2:$D$5000,$A74)))</f>
        <v/>
      </c>
      <c r="C74" t="str">
        <f>IF(OR($A74="",C$27=""),"",IF(COUNTIFS(EQA.CAP_Dados!$B$2:$B$5000,C$27,EQA.CAP_Dados!$D$2:$D$5000,$A74)=0,"—",COUNTIFS(EQA.CAP_Dados!$B$2:$B$5000,C$27,EQA.CAP_Dados!$D$2:$D$5000,$A74)))</f>
        <v/>
      </c>
      <c r="D74" t="str">
        <f>IF(OR($A74="",D$27=""),"",IF(COUNTIFS(EQA.CAP_Dados!$B$2:$B$5000,D$27,EQA.CAP_Dados!$D$2:$D$5000,$A74)=0,"—",COUNTIFS(EQA.CAP_Dados!$B$2:$B$5000,D$27,EQA.CAP_Dados!$D$2:$D$5000,$A74)))</f>
        <v/>
      </c>
      <c r="E74" t="str">
        <f>IF(OR($A74="",E$27=""),"",IF(COUNTIFS(EQA.CAP_Dados!$B$2:$B$5000,E$27,EQA.CAP_Dados!$D$2:$D$5000,$A74)=0,"—",COUNTIFS(EQA.CAP_Dados!$B$2:$B$5000,E$27,EQA.CAP_Dados!$D$2:$D$5000,$A74)))</f>
        <v/>
      </c>
      <c r="F74" t="str">
        <f>IF(OR($A74="",F$27=""),"",IF(COUNTIFS(EQA.CAP_Dados!$B$2:$B$5000,F$27,EQA.CAP_Dados!$D$2:$D$5000,$A74)=0,"—",COUNTIFS(EQA.CAP_Dados!$B$2:$B$5000,F$27,EQA.CAP_Dados!$D$2:$D$5000,$A74)))</f>
        <v/>
      </c>
      <c r="G74" t="str">
        <f>IF(OR($A74="",G$27=""),"",IF(COUNTIFS(EQA.CAP_Dados!$B$2:$B$5000,G$27,EQA.CAP_Dados!$D$2:$D$5000,$A74)=0,"—",COUNTIFS(EQA.CAP_Dados!$B$2:$B$5000,G$27,EQA.CAP_Dados!$D$2:$D$5000,$A74)))</f>
        <v/>
      </c>
      <c r="H74" t="str">
        <f>IF(OR($A74="",H$27=""),"",IF(COUNTIFS(EQA.CAP_Dados!$B$2:$B$5000,H$27,EQA.CAP_Dados!$D$2:$D$5000,$A74)=0,"—",COUNTIFS(EQA.CAP_Dados!$B$2:$B$5000,H$27,EQA.CAP_Dados!$D$2:$D$5000,$A74)))</f>
        <v/>
      </c>
      <c r="I74" t="str">
        <f>IF(OR($A74="",I$27=""),"",IF(COUNTIFS(EQA.CAP_Dados!$B$2:$B$5000,I$27,EQA.CAP_Dados!$D$2:$D$5000,$A74)=0,"—",COUNTIFS(EQA.CAP_Dados!$B$2:$B$5000,I$27,EQA.CAP_Dados!$D$2:$D$5000,$A74)))</f>
        <v/>
      </c>
      <c r="J74" t="str">
        <f>IF($A74="","",COUNTIF(EQA.CAP_Dados!$D$2:$D$5000,$A74))</f>
        <v/>
      </c>
    </row>
    <row r="75" spans="1:10" x14ac:dyDescent="0.3">
      <c r="A75" t="str">
        <f>IFERROR(INDEX(EQA.CAP_Dados!$D$2:$D$5000,MATCH(ROW()-27,EQA.CAP_Dados!$U$2:$U$5000,0)),"")</f>
        <v/>
      </c>
      <c r="B75" t="str">
        <f>IF(OR($A75="",B$27=""),"",IF(COUNTIFS(EQA.CAP_Dados!$B$2:$B$5000,B$27,EQA.CAP_Dados!$D$2:$D$5000,$A75)=0,"—",COUNTIFS(EQA.CAP_Dados!$B$2:$B$5000,B$27,EQA.CAP_Dados!$D$2:$D$5000,$A75)))</f>
        <v/>
      </c>
      <c r="C75" t="str">
        <f>IF(OR($A75="",C$27=""),"",IF(COUNTIFS(EQA.CAP_Dados!$B$2:$B$5000,C$27,EQA.CAP_Dados!$D$2:$D$5000,$A75)=0,"—",COUNTIFS(EQA.CAP_Dados!$B$2:$B$5000,C$27,EQA.CAP_Dados!$D$2:$D$5000,$A75)))</f>
        <v/>
      </c>
      <c r="D75" t="str">
        <f>IF(OR($A75="",D$27=""),"",IF(COUNTIFS(EQA.CAP_Dados!$B$2:$B$5000,D$27,EQA.CAP_Dados!$D$2:$D$5000,$A75)=0,"—",COUNTIFS(EQA.CAP_Dados!$B$2:$B$5000,D$27,EQA.CAP_Dados!$D$2:$D$5000,$A75)))</f>
        <v/>
      </c>
      <c r="E75" t="str">
        <f>IF(OR($A75="",E$27=""),"",IF(COUNTIFS(EQA.CAP_Dados!$B$2:$B$5000,E$27,EQA.CAP_Dados!$D$2:$D$5000,$A75)=0,"—",COUNTIFS(EQA.CAP_Dados!$B$2:$B$5000,E$27,EQA.CAP_Dados!$D$2:$D$5000,$A75)))</f>
        <v/>
      </c>
      <c r="F75" t="str">
        <f>IF(OR($A75="",F$27=""),"",IF(COUNTIFS(EQA.CAP_Dados!$B$2:$B$5000,F$27,EQA.CAP_Dados!$D$2:$D$5000,$A75)=0,"—",COUNTIFS(EQA.CAP_Dados!$B$2:$B$5000,F$27,EQA.CAP_Dados!$D$2:$D$5000,$A75)))</f>
        <v/>
      </c>
      <c r="G75" t="str">
        <f>IF(OR($A75="",G$27=""),"",IF(COUNTIFS(EQA.CAP_Dados!$B$2:$B$5000,G$27,EQA.CAP_Dados!$D$2:$D$5000,$A75)=0,"—",COUNTIFS(EQA.CAP_Dados!$B$2:$B$5000,G$27,EQA.CAP_Dados!$D$2:$D$5000,$A75)))</f>
        <v/>
      </c>
      <c r="H75" t="str">
        <f>IF(OR($A75="",H$27=""),"",IF(COUNTIFS(EQA.CAP_Dados!$B$2:$B$5000,H$27,EQA.CAP_Dados!$D$2:$D$5000,$A75)=0,"—",COUNTIFS(EQA.CAP_Dados!$B$2:$B$5000,H$27,EQA.CAP_Dados!$D$2:$D$5000,$A75)))</f>
        <v/>
      </c>
      <c r="I75" t="str">
        <f>IF(OR($A75="",I$27=""),"",IF(COUNTIFS(EQA.CAP_Dados!$B$2:$B$5000,I$27,EQA.CAP_Dados!$D$2:$D$5000,$A75)=0,"—",COUNTIFS(EQA.CAP_Dados!$B$2:$B$5000,I$27,EQA.CAP_Dados!$D$2:$D$5000,$A75)))</f>
        <v/>
      </c>
      <c r="J75" t="str">
        <f>IF($A75="","",COUNTIF(EQA.CAP_Dados!$D$2:$D$5000,$A75))</f>
        <v/>
      </c>
    </row>
    <row r="76" spans="1:10" x14ac:dyDescent="0.3">
      <c r="A76" t="str">
        <f>IFERROR(INDEX(EQA.CAP_Dados!$D$2:$D$5000,MATCH(ROW()-27,EQA.CAP_Dados!$U$2:$U$5000,0)),"")</f>
        <v/>
      </c>
      <c r="B76" t="str">
        <f>IF(OR($A76="",B$27=""),"",IF(COUNTIFS(EQA.CAP_Dados!$B$2:$B$5000,B$27,EQA.CAP_Dados!$D$2:$D$5000,$A76)=0,"—",COUNTIFS(EQA.CAP_Dados!$B$2:$B$5000,B$27,EQA.CAP_Dados!$D$2:$D$5000,$A76)))</f>
        <v/>
      </c>
      <c r="C76" t="str">
        <f>IF(OR($A76="",C$27=""),"",IF(COUNTIFS(EQA.CAP_Dados!$B$2:$B$5000,C$27,EQA.CAP_Dados!$D$2:$D$5000,$A76)=0,"—",COUNTIFS(EQA.CAP_Dados!$B$2:$B$5000,C$27,EQA.CAP_Dados!$D$2:$D$5000,$A76)))</f>
        <v/>
      </c>
      <c r="D76" t="str">
        <f>IF(OR($A76="",D$27=""),"",IF(COUNTIFS(EQA.CAP_Dados!$B$2:$B$5000,D$27,EQA.CAP_Dados!$D$2:$D$5000,$A76)=0,"—",COUNTIFS(EQA.CAP_Dados!$B$2:$B$5000,D$27,EQA.CAP_Dados!$D$2:$D$5000,$A76)))</f>
        <v/>
      </c>
      <c r="E76" t="str">
        <f>IF(OR($A76="",E$27=""),"",IF(COUNTIFS(EQA.CAP_Dados!$B$2:$B$5000,E$27,EQA.CAP_Dados!$D$2:$D$5000,$A76)=0,"—",COUNTIFS(EQA.CAP_Dados!$B$2:$B$5000,E$27,EQA.CAP_Dados!$D$2:$D$5000,$A76)))</f>
        <v/>
      </c>
      <c r="F76" t="str">
        <f>IF(OR($A76="",F$27=""),"",IF(COUNTIFS(EQA.CAP_Dados!$B$2:$B$5000,F$27,EQA.CAP_Dados!$D$2:$D$5000,$A76)=0,"—",COUNTIFS(EQA.CAP_Dados!$B$2:$B$5000,F$27,EQA.CAP_Dados!$D$2:$D$5000,$A76)))</f>
        <v/>
      </c>
      <c r="G76" t="str">
        <f>IF(OR($A76="",G$27=""),"",IF(COUNTIFS(EQA.CAP_Dados!$B$2:$B$5000,G$27,EQA.CAP_Dados!$D$2:$D$5000,$A76)=0,"—",COUNTIFS(EQA.CAP_Dados!$B$2:$B$5000,G$27,EQA.CAP_Dados!$D$2:$D$5000,$A76)))</f>
        <v/>
      </c>
      <c r="H76" t="str">
        <f>IF(OR($A76="",H$27=""),"",IF(COUNTIFS(EQA.CAP_Dados!$B$2:$B$5000,H$27,EQA.CAP_Dados!$D$2:$D$5000,$A76)=0,"—",COUNTIFS(EQA.CAP_Dados!$B$2:$B$5000,H$27,EQA.CAP_Dados!$D$2:$D$5000,$A76)))</f>
        <v/>
      </c>
      <c r="I76" t="str">
        <f>IF(OR($A76="",I$27=""),"",IF(COUNTIFS(EQA.CAP_Dados!$B$2:$B$5000,I$27,EQA.CAP_Dados!$D$2:$D$5000,$A76)=0,"—",COUNTIFS(EQA.CAP_Dados!$B$2:$B$5000,I$27,EQA.CAP_Dados!$D$2:$D$5000,$A76)))</f>
        <v/>
      </c>
      <c r="J76" t="str">
        <f>IF($A76="","",COUNTIF(EQA.CAP_Dados!$D$2:$D$5000,$A76))</f>
        <v/>
      </c>
    </row>
    <row r="77" spans="1:10" x14ac:dyDescent="0.3">
      <c r="A77" t="str">
        <f>IFERROR(INDEX(EQA.CAP_Dados!$D$2:$D$5000,MATCH(ROW()-27,EQA.CAP_Dados!$U$2:$U$5000,0)),"")</f>
        <v/>
      </c>
      <c r="B77" t="str">
        <f>IF(OR($A77="",B$27=""),"",IF(COUNTIFS(EQA.CAP_Dados!$B$2:$B$5000,B$27,EQA.CAP_Dados!$D$2:$D$5000,$A77)=0,"—",COUNTIFS(EQA.CAP_Dados!$B$2:$B$5000,B$27,EQA.CAP_Dados!$D$2:$D$5000,$A77)))</f>
        <v/>
      </c>
      <c r="C77" t="str">
        <f>IF(OR($A77="",C$27=""),"",IF(COUNTIFS(EQA.CAP_Dados!$B$2:$B$5000,C$27,EQA.CAP_Dados!$D$2:$D$5000,$A77)=0,"—",COUNTIFS(EQA.CAP_Dados!$B$2:$B$5000,C$27,EQA.CAP_Dados!$D$2:$D$5000,$A77)))</f>
        <v/>
      </c>
      <c r="D77" t="str">
        <f>IF(OR($A77="",D$27=""),"",IF(COUNTIFS(EQA.CAP_Dados!$B$2:$B$5000,D$27,EQA.CAP_Dados!$D$2:$D$5000,$A77)=0,"—",COUNTIFS(EQA.CAP_Dados!$B$2:$B$5000,D$27,EQA.CAP_Dados!$D$2:$D$5000,$A77)))</f>
        <v/>
      </c>
      <c r="E77" t="str">
        <f>IF(OR($A77="",E$27=""),"",IF(COUNTIFS(EQA.CAP_Dados!$B$2:$B$5000,E$27,EQA.CAP_Dados!$D$2:$D$5000,$A77)=0,"—",COUNTIFS(EQA.CAP_Dados!$B$2:$B$5000,E$27,EQA.CAP_Dados!$D$2:$D$5000,$A77)))</f>
        <v/>
      </c>
      <c r="F77" t="str">
        <f>IF(OR($A77="",F$27=""),"",IF(COUNTIFS(EQA.CAP_Dados!$B$2:$B$5000,F$27,EQA.CAP_Dados!$D$2:$D$5000,$A77)=0,"—",COUNTIFS(EQA.CAP_Dados!$B$2:$B$5000,F$27,EQA.CAP_Dados!$D$2:$D$5000,$A77)))</f>
        <v/>
      </c>
      <c r="G77" t="str">
        <f>IF(OR($A77="",G$27=""),"",IF(COUNTIFS(EQA.CAP_Dados!$B$2:$B$5000,G$27,EQA.CAP_Dados!$D$2:$D$5000,$A77)=0,"—",COUNTIFS(EQA.CAP_Dados!$B$2:$B$5000,G$27,EQA.CAP_Dados!$D$2:$D$5000,$A77)))</f>
        <v/>
      </c>
      <c r="H77" t="str">
        <f>IF(OR($A77="",H$27=""),"",IF(COUNTIFS(EQA.CAP_Dados!$B$2:$B$5000,H$27,EQA.CAP_Dados!$D$2:$D$5000,$A77)=0,"—",COUNTIFS(EQA.CAP_Dados!$B$2:$B$5000,H$27,EQA.CAP_Dados!$D$2:$D$5000,$A77)))</f>
        <v/>
      </c>
      <c r="I77" t="str">
        <f>IF(OR($A77="",I$27=""),"",IF(COUNTIFS(EQA.CAP_Dados!$B$2:$B$5000,I$27,EQA.CAP_Dados!$D$2:$D$5000,$A77)=0,"—",COUNTIFS(EQA.CAP_Dados!$B$2:$B$5000,I$27,EQA.CAP_Dados!$D$2:$D$5000,$A77)))</f>
        <v/>
      </c>
      <c r="J77" t="str">
        <f>IF($A77="","",COUNTIF(EQA.CAP_Dados!$D$2:$D$5000,$A77))</f>
        <v/>
      </c>
    </row>
    <row r="78" spans="1:10" x14ac:dyDescent="0.3">
      <c r="A78" t="str">
        <f>IFERROR(INDEX(EQA.CAP_Dados!$D$2:$D$5000,MATCH(ROW()-27,EQA.CAP_Dados!$U$2:$U$5000,0)),"")</f>
        <v/>
      </c>
      <c r="B78" t="str">
        <f>IF(OR($A78="",B$27=""),"",IF(COUNTIFS(EQA.CAP_Dados!$B$2:$B$5000,B$27,EQA.CAP_Dados!$D$2:$D$5000,$A78)=0,"—",COUNTIFS(EQA.CAP_Dados!$B$2:$B$5000,B$27,EQA.CAP_Dados!$D$2:$D$5000,$A78)))</f>
        <v/>
      </c>
      <c r="C78" t="str">
        <f>IF(OR($A78="",C$27=""),"",IF(COUNTIFS(EQA.CAP_Dados!$B$2:$B$5000,C$27,EQA.CAP_Dados!$D$2:$D$5000,$A78)=0,"—",COUNTIFS(EQA.CAP_Dados!$B$2:$B$5000,C$27,EQA.CAP_Dados!$D$2:$D$5000,$A78)))</f>
        <v/>
      </c>
      <c r="D78" t="str">
        <f>IF(OR($A78="",D$27=""),"",IF(COUNTIFS(EQA.CAP_Dados!$B$2:$B$5000,D$27,EQA.CAP_Dados!$D$2:$D$5000,$A78)=0,"—",COUNTIFS(EQA.CAP_Dados!$B$2:$B$5000,D$27,EQA.CAP_Dados!$D$2:$D$5000,$A78)))</f>
        <v/>
      </c>
      <c r="E78" t="str">
        <f>IF(OR($A78="",E$27=""),"",IF(COUNTIFS(EQA.CAP_Dados!$B$2:$B$5000,E$27,EQA.CAP_Dados!$D$2:$D$5000,$A78)=0,"—",COUNTIFS(EQA.CAP_Dados!$B$2:$B$5000,E$27,EQA.CAP_Dados!$D$2:$D$5000,$A78)))</f>
        <v/>
      </c>
      <c r="F78" t="str">
        <f>IF(OR($A78="",F$27=""),"",IF(COUNTIFS(EQA.CAP_Dados!$B$2:$B$5000,F$27,EQA.CAP_Dados!$D$2:$D$5000,$A78)=0,"—",COUNTIFS(EQA.CAP_Dados!$B$2:$B$5000,F$27,EQA.CAP_Dados!$D$2:$D$5000,$A78)))</f>
        <v/>
      </c>
      <c r="G78" t="str">
        <f>IF(OR($A78="",G$27=""),"",IF(COUNTIFS(EQA.CAP_Dados!$B$2:$B$5000,G$27,EQA.CAP_Dados!$D$2:$D$5000,$A78)=0,"—",COUNTIFS(EQA.CAP_Dados!$B$2:$B$5000,G$27,EQA.CAP_Dados!$D$2:$D$5000,$A78)))</f>
        <v/>
      </c>
      <c r="H78" t="str">
        <f>IF(OR($A78="",H$27=""),"",IF(COUNTIFS(EQA.CAP_Dados!$B$2:$B$5000,H$27,EQA.CAP_Dados!$D$2:$D$5000,$A78)=0,"—",COUNTIFS(EQA.CAP_Dados!$B$2:$B$5000,H$27,EQA.CAP_Dados!$D$2:$D$5000,$A78)))</f>
        <v/>
      </c>
      <c r="I78" t="str">
        <f>IF(OR($A78="",I$27=""),"",IF(COUNTIFS(EQA.CAP_Dados!$B$2:$B$5000,I$27,EQA.CAP_Dados!$D$2:$D$5000,$A78)=0,"—",COUNTIFS(EQA.CAP_Dados!$B$2:$B$5000,I$27,EQA.CAP_Dados!$D$2:$D$5000,$A78)))</f>
        <v/>
      </c>
      <c r="J78" t="str">
        <f>IF($A78="","",COUNTIF(EQA.CAP_Dados!$D$2:$D$5000,$A78))</f>
        <v/>
      </c>
    </row>
    <row r="79" spans="1:10" x14ac:dyDescent="0.3">
      <c r="A79" t="str">
        <f>IFERROR(INDEX(EQA.CAP_Dados!$D$2:$D$5000,MATCH(ROW()-27,EQA.CAP_Dados!$U$2:$U$5000,0)),"")</f>
        <v/>
      </c>
      <c r="B79" t="str">
        <f>IF(OR($A79="",B$27=""),"",IF(COUNTIFS(EQA.CAP_Dados!$B$2:$B$5000,B$27,EQA.CAP_Dados!$D$2:$D$5000,$A79)=0,"—",COUNTIFS(EQA.CAP_Dados!$B$2:$B$5000,B$27,EQA.CAP_Dados!$D$2:$D$5000,$A79)))</f>
        <v/>
      </c>
      <c r="C79" t="str">
        <f>IF(OR($A79="",C$27=""),"",IF(COUNTIFS(EQA.CAP_Dados!$B$2:$B$5000,C$27,EQA.CAP_Dados!$D$2:$D$5000,$A79)=0,"—",COUNTIFS(EQA.CAP_Dados!$B$2:$B$5000,C$27,EQA.CAP_Dados!$D$2:$D$5000,$A79)))</f>
        <v/>
      </c>
      <c r="D79" t="str">
        <f>IF(OR($A79="",D$27=""),"",IF(COUNTIFS(EQA.CAP_Dados!$B$2:$B$5000,D$27,EQA.CAP_Dados!$D$2:$D$5000,$A79)=0,"—",COUNTIFS(EQA.CAP_Dados!$B$2:$B$5000,D$27,EQA.CAP_Dados!$D$2:$D$5000,$A79)))</f>
        <v/>
      </c>
      <c r="E79" t="str">
        <f>IF(OR($A79="",E$27=""),"",IF(COUNTIFS(EQA.CAP_Dados!$B$2:$B$5000,E$27,EQA.CAP_Dados!$D$2:$D$5000,$A79)=0,"—",COUNTIFS(EQA.CAP_Dados!$B$2:$B$5000,E$27,EQA.CAP_Dados!$D$2:$D$5000,$A79)))</f>
        <v/>
      </c>
      <c r="F79" t="str">
        <f>IF(OR($A79="",F$27=""),"",IF(COUNTIFS(EQA.CAP_Dados!$B$2:$B$5000,F$27,EQA.CAP_Dados!$D$2:$D$5000,$A79)=0,"—",COUNTIFS(EQA.CAP_Dados!$B$2:$B$5000,F$27,EQA.CAP_Dados!$D$2:$D$5000,$A79)))</f>
        <v/>
      </c>
      <c r="G79" t="str">
        <f>IF(OR($A79="",G$27=""),"",IF(COUNTIFS(EQA.CAP_Dados!$B$2:$B$5000,G$27,EQA.CAP_Dados!$D$2:$D$5000,$A79)=0,"—",COUNTIFS(EQA.CAP_Dados!$B$2:$B$5000,G$27,EQA.CAP_Dados!$D$2:$D$5000,$A79)))</f>
        <v/>
      </c>
      <c r="H79" t="str">
        <f>IF(OR($A79="",H$27=""),"",IF(COUNTIFS(EQA.CAP_Dados!$B$2:$B$5000,H$27,EQA.CAP_Dados!$D$2:$D$5000,$A79)=0,"—",COUNTIFS(EQA.CAP_Dados!$B$2:$B$5000,H$27,EQA.CAP_Dados!$D$2:$D$5000,$A79)))</f>
        <v/>
      </c>
      <c r="I79" t="str">
        <f>IF(OR($A79="",I$27=""),"",IF(COUNTIFS(EQA.CAP_Dados!$B$2:$B$5000,I$27,EQA.CAP_Dados!$D$2:$D$5000,$A79)=0,"—",COUNTIFS(EQA.CAP_Dados!$B$2:$B$5000,I$27,EQA.CAP_Dados!$D$2:$D$5000,$A79)))</f>
        <v/>
      </c>
      <c r="J79" t="str">
        <f>IF($A79="","",COUNTIF(EQA.CAP_Dados!$D$2:$D$5000,$A79))</f>
        <v/>
      </c>
    </row>
    <row r="80" spans="1:10" x14ac:dyDescent="0.3">
      <c r="A80" t="str">
        <f>IFERROR(INDEX(EQA.CAP_Dados!$D$2:$D$5000,MATCH(ROW()-27,EQA.CAP_Dados!$U$2:$U$5000,0)),"")</f>
        <v/>
      </c>
      <c r="B80" t="str">
        <f>IF(OR($A80="",B$27=""),"",IF(COUNTIFS(EQA.CAP_Dados!$B$2:$B$5000,B$27,EQA.CAP_Dados!$D$2:$D$5000,$A80)=0,"—",COUNTIFS(EQA.CAP_Dados!$B$2:$B$5000,B$27,EQA.CAP_Dados!$D$2:$D$5000,$A80)))</f>
        <v/>
      </c>
      <c r="C80" t="str">
        <f>IF(OR($A80="",C$27=""),"",IF(COUNTIFS(EQA.CAP_Dados!$B$2:$B$5000,C$27,EQA.CAP_Dados!$D$2:$D$5000,$A80)=0,"—",COUNTIFS(EQA.CAP_Dados!$B$2:$B$5000,C$27,EQA.CAP_Dados!$D$2:$D$5000,$A80)))</f>
        <v/>
      </c>
      <c r="D80" t="str">
        <f>IF(OR($A80="",D$27=""),"",IF(COUNTIFS(EQA.CAP_Dados!$B$2:$B$5000,D$27,EQA.CAP_Dados!$D$2:$D$5000,$A80)=0,"—",COUNTIFS(EQA.CAP_Dados!$B$2:$B$5000,D$27,EQA.CAP_Dados!$D$2:$D$5000,$A80)))</f>
        <v/>
      </c>
      <c r="E80" t="str">
        <f>IF(OR($A80="",E$27=""),"",IF(COUNTIFS(EQA.CAP_Dados!$B$2:$B$5000,E$27,EQA.CAP_Dados!$D$2:$D$5000,$A80)=0,"—",COUNTIFS(EQA.CAP_Dados!$B$2:$B$5000,E$27,EQA.CAP_Dados!$D$2:$D$5000,$A80)))</f>
        <v/>
      </c>
      <c r="F80" t="str">
        <f>IF(OR($A80="",F$27=""),"",IF(COUNTIFS(EQA.CAP_Dados!$B$2:$B$5000,F$27,EQA.CAP_Dados!$D$2:$D$5000,$A80)=0,"—",COUNTIFS(EQA.CAP_Dados!$B$2:$B$5000,F$27,EQA.CAP_Dados!$D$2:$D$5000,$A80)))</f>
        <v/>
      </c>
      <c r="G80" t="str">
        <f>IF(OR($A80="",G$27=""),"",IF(COUNTIFS(EQA.CAP_Dados!$B$2:$B$5000,G$27,EQA.CAP_Dados!$D$2:$D$5000,$A80)=0,"—",COUNTIFS(EQA.CAP_Dados!$B$2:$B$5000,G$27,EQA.CAP_Dados!$D$2:$D$5000,$A80)))</f>
        <v/>
      </c>
      <c r="H80" t="str">
        <f>IF(OR($A80="",H$27=""),"",IF(COUNTIFS(EQA.CAP_Dados!$B$2:$B$5000,H$27,EQA.CAP_Dados!$D$2:$D$5000,$A80)=0,"—",COUNTIFS(EQA.CAP_Dados!$B$2:$B$5000,H$27,EQA.CAP_Dados!$D$2:$D$5000,$A80)))</f>
        <v/>
      </c>
      <c r="I80" t="str">
        <f>IF(OR($A80="",I$27=""),"",IF(COUNTIFS(EQA.CAP_Dados!$B$2:$B$5000,I$27,EQA.CAP_Dados!$D$2:$D$5000,$A80)=0,"—",COUNTIFS(EQA.CAP_Dados!$B$2:$B$5000,I$27,EQA.CAP_Dados!$D$2:$D$5000,$A80)))</f>
        <v/>
      </c>
      <c r="J80" t="str">
        <f>IF($A80="","",COUNTIF(EQA.CAP_Dados!$D$2:$D$5000,$A80))</f>
        <v/>
      </c>
    </row>
    <row r="81" spans="1:10" x14ac:dyDescent="0.3">
      <c r="A81" t="str">
        <f>IFERROR(INDEX(EQA.CAP_Dados!$D$2:$D$5000,MATCH(ROW()-27,EQA.CAP_Dados!$U$2:$U$5000,0)),"")</f>
        <v/>
      </c>
      <c r="B81" t="str">
        <f>IF(OR($A81="",B$27=""),"",IF(COUNTIFS(EQA.CAP_Dados!$B$2:$B$5000,B$27,EQA.CAP_Dados!$D$2:$D$5000,$A81)=0,"—",COUNTIFS(EQA.CAP_Dados!$B$2:$B$5000,B$27,EQA.CAP_Dados!$D$2:$D$5000,$A81)))</f>
        <v/>
      </c>
      <c r="C81" t="str">
        <f>IF(OR($A81="",C$27=""),"",IF(COUNTIFS(EQA.CAP_Dados!$B$2:$B$5000,C$27,EQA.CAP_Dados!$D$2:$D$5000,$A81)=0,"—",COUNTIFS(EQA.CAP_Dados!$B$2:$B$5000,C$27,EQA.CAP_Dados!$D$2:$D$5000,$A81)))</f>
        <v/>
      </c>
      <c r="D81" t="str">
        <f>IF(OR($A81="",D$27=""),"",IF(COUNTIFS(EQA.CAP_Dados!$B$2:$B$5000,D$27,EQA.CAP_Dados!$D$2:$D$5000,$A81)=0,"—",COUNTIFS(EQA.CAP_Dados!$B$2:$B$5000,D$27,EQA.CAP_Dados!$D$2:$D$5000,$A81)))</f>
        <v/>
      </c>
      <c r="E81" t="str">
        <f>IF(OR($A81="",E$27=""),"",IF(COUNTIFS(EQA.CAP_Dados!$B$2:$B$5000,E$27,EQA.CAP_Dados!$D$2:$D$5000,$A81)=0,"—",COUNTIFS(EQA.CAP_Dados!$B$2:$B$5000,E$27,EQA.CAP_Dados!$D$2:$D$5000,$A81)))</f>
        <v/>
      </c>
      <c r="F81" t="str">
        <f>IF(OR($A81="",F$27=""),"",IF(COUNTIFS(EQA.CAP_Dados!$B$2:$B$5000,F$27,EQA.CAP_Dados!$D$2:$D$5000,$A81)=0,"—",COUNTIFS(EQA.CAP_Dados!$B$2:$B$5000,F$27,EQA.CAP_Dados!$D$2:$D$5000,$A81)))</f>
        <v/>
      </c>
      <c r="G81" t="str">
        <f>IF(OR($A81="",G$27=""),"",IF(COUNTIFS(EQA.CAP_Dados!$B$2:$B$5000,G$27,EQA.CAP_Dados!$D$2:$D$5000,$A81)=0,"—",COUNTIFS(EQA.CAP_Dados!$B$2:$B$5000,G$27,EQA.CAP_Dados!$D$2:$D$5000,$A81)))</f>
        <v/>
      </c>
      <c r="H81" t="str">
        <f>IF(OR($A81="",H$27=""),"",IF(COUNTIFS(EQA.CAP_Dados!$B$2:$B$5000,H$27,EQA.CAP_Dados!$D$2:$D$5000,$A81)=0,"—",COUNTIFS(EQA.CAP_Dados!$B$2:$B$5000,H$27,EQA.CAP_Dados!$D$2:$D$5000,$A81)))</f>
        <v/>
      </c>
      <c r="I81" t="str">
        <f>IF(OR($A81="",I$27=""),"",IF(COUNTIFS(EQA.CAP_Dados!$B$2:$B$5000,I$27,EQA.CAP_Dados!$D$2:$D$5000,$A81)=0,"—",COUNTIFS(EQA.CAP_Dados!$B$2:$B$5000,I$27,EQA.CAP_Dados!$D$2:$D$5000,$A81)))</f>
        <v/>
      </c>
      <c r="J81" t="str">
        <f>IF($A81="","",COUNTIF(EQA.CAP_Dados!$D$2:$D$5000,$A81))</f>
        <v/>
      </c>
    </row>
    <row r="82" spans="1:10" x14ac:dyDescent="0.3">
      <c r="A82" t="str">
        <f>IFERROR(INDEX(EQA.CAP_Dados!$D$2:$D$5000,MATCH(ROW()-27,EQA.CAP_Dados!$U$2:$U$5000,0)),"")</f>
        <v/>
      </c>
      <c r="B82" t="str">
        <f>IF(OR($A82="",B$27=""),"",IF(COUNTIFS(EQA.CAP_Dados!$B$2:$B$5000,B$27,EQA.CAP_Dados!$D$2:$D$5000,$A82)=0,"—",COUNTIFS(EQA.CAP_Dados!$B$2:$B$5000,B$27,EQA.CAP_Dados!$D$2:$D$5000,$A82)))</f>
        <v/>
      </c>
      <c r="C82" t="str">
        <f>IF(OR($A82="",C$27=""),"",IF(COUNTIFS(EQA.CAP_Dados!$B$2:$B$5000,C$27,EQA.CAP_Dados!$D$2:$D$5000,$A82)=0,"—",COUNTIFS(EQA.CAP_Dados!$B$2:$B$5000,C$27,EQA.CAP_Dados!$D$2:$D$5000,$A82)))</f>
        <v/>
      </c>
      <c r="D82" t="str">
        <f>IF(OR($A82="",D$27=""),"",IF(COUNTIFS(EQA.CAP_Dados!$B$2:$B$5000,D$27,EQA.CAP_Dados!$D$2:$D$5000,$A82)=0,"—",COUNTIFS(EQA.CAP_Dados!$B$2:$B$5000,D$27,EQA.CAP_Dados!$D$2:$D$5000,$A82)))</f>
        <v/>
      </c>
      <c r="E82" t="str">
        <f>IF(OR($A82="",E$27=""),"",IF(COUNTIFS(EQA.CAP_Dados!$B$2:$B$5000,E$27,EQA.CAP_Dados!$D$2:$D$5000,$A82)=0,"—",COUNTIFS(EQA.CAP_Dados!$B$2:$B$5000,E$27,EQA.CAP_Dados!$D$2:$D$5000,$A82)))</f>
        <v/>
      </c>
      <c r="F82" t="str">
        <f>IF(OR($A82="",F$27=""),"",IF(COUNTIFS(EQA.CAP_Dados!$B$2:$B$5000,F$27,EQA.CAP_Dados!$D$2:$D$5000,$A82)=0,"—",COUNTIFS(EQA.CAP_Dados!$B$2:$B$5000,F$27,EQA.CAP_Dados!$D$2:$D$5000,$A82)))</f>
        <v/>
      </c>
      <c r="G82" t="str">
        <f>IF(OR($A82="",G$27=""),"",IF(COUNTIFS(EQA.CAP_Dados!$B$2:$B$5000,G$27,EQA.CAP_Dados!$D$2:$D$5000,$A82)=0,"—",COUNTIFS(EQA.CAP_Dados!$B$2:$B$5000,G$27,EQA.CAP_Dados!$D$2:$D$5000,$A82)))</f>
        <v/>
      </c>
      <c r="H82" t="str">
        <f>IF(OR($A82="",H$27=""),"",IF(COUNTIFS(EQA.CAP_Dados!$B$2:$B$5000,H$27,EQA.CAP_Dados!$D$2:$D$5000,$A82)=0,"—",COUNTIFS(EQA.CAP_Dados!$B$2:$B$5000,H$27,EQA.CAP_Dados!$D$2:$D$5000,$A82)))</f>
        <v/>
      </c>
      <c r="I82" t="str">
        <f>IF(OR($A82="",I$27=""),"",IF(COUNTIFS(EQA.CAP_Dados!$B$2:$B$5000,I$27,EQA.CAP_Dados!$D$2:$D$5000,$A82)=0,"—",COUNTIFS(EQA.CAP_Dados!$B$2:$B$5000,I$27,EQA.CAP_Dados!$D$2:$D$5000,$A82)))</f>
        <v/>
      </c>
      <c r="J82" t="str">
        <f>IF($A82="","",COUNTIF(EQA.CAP_Dados!$D$2:$D$5000,$A82))</f>
        <v/>
      </c>
    </row>
    <row r="83" spans="1:10" x14ac:dyDescent="0.3">
      <c r="A83" t="str">
        <f>IFERROR(INDEX(EQA.CAP_Dados!$D$2:$D$5000,MATCH(ROW()-27,EQA.CAP_Dados!$U$2:$U$5000,0)),"")</f>
        <v/>
      </c>
      <c r="B83" t="str">
        <f>IF(OR($A83="",B$27=""),"",IF(COUNTIFS(EQA.CAP_Dados!$B$2:$B$5000,B$27,EQA.CAP_Dados!$D$2:$D$5000,$A83)=0,"—",COUNTIFS(EQA.CAP_Dados!$B$2:$B$5000,B$27,EQA.CAP_Dados!$D$2:$D$5000,$A83)))</f>
        <v/>
      </c>
      <c r="C83" t="str">
        <f>IF(OR($A83="",C$27=""),"",IF(COUNTIFS(EQA.CAP_Dados!$B$2:$B$5000,C$27,EQA.CAP_Dados!$D$2:$D$5000,$A83)=0,"—",COUNTIFS(EQA.CAP_Dados!$B$2:$B$5000,C$27,EQA.CAP_Dados!$D$2:$D$5000,$A83)))</f>
        <v/>
      </c>
      <c r="D83" t="str">
        <f>IF(OR($A83="",D$27=""),"",IF(COUNTIFS(EQA.CAP_Dados!$B$2:$B$5000,D$27,EQA.CAP_Dados!$D$2:$D$5000,$A83)=0,"—",COUNTIFS(EQA.CAP_Dados!$B$2:$B$5000,D$27,EQA.CAP_Dados!$D$2:$D$5000,$A83)))</f>
        <v/>
      </c>
      <c r="E83" t="str">
        <f>IF(OR($A83="",E$27=""),"",IF(COUNTIFS(EQA.CAP_Dados!$B$2:$B$5000,E$27,EQA.CAP_Dados!$D$2:$D$5000,$A83)=0,"—",COUNTIFS(EQA.CAP_Dados!$B$2:$B$5000,E$27,EQA.CAP_Dados!$D$2:$D$5000,$A83)))</f>
        <v/>
      </c>
      <c r="F83" t="str">
        <f>IF(OR($A83="",F$27=""),"",IF(COUNTIFS(EQA.CAP_Dados!$B$2:$B$5000,F$27,EQA.CAP_Dados!$D$2:$D$5000,$A83)=0,"—",COUNTIFS(EQA.CAP_Dados!$B$2:$B$5000,F$27,EQA.CAP_Dados!$D$2:$D$5000,$A83)))</f>
        <v/>
      </c>
      <c r="G83" t="str">
        <f>IF(OR($A83="",G$27=""),"",IF(COUNTIFS(EQA.CAP_Dados!$B$2:$B$5000,G$27,EQA.CAP_Dados!$D$2:$D$5000,$A83)=0,"—",COUNTIFS(EQA.CAP_Dados!$B$2:$B$5000,G$27,EQA.CAP_Dados!$D$2:$D$5000,$A83)))</f>
        <v/>
      </c>
      <c r="H83" t="str">
        <f>IF(OR($A83="",H$27=""),"",IF(COUNTIFS(EQA.CAP_Dados!$B$2:$B$5000,H$27,EQA.CAP_Dados!$D$2:$D$5000,$A83)=0,"—",COUNTIFS(EQA.CAP_Dados!$B$2:$B$5000,H$27,EQA.CAP_Dados!$D$2:$D$5000,$A83)))</f>
        <v/>
      </c>
      <c r="I83" t="str">
        <f>IF(OR($A83="",I$27=""),"",IF(COUNTIFS(EQA.CAP_Dados!$B$2:$B$5000,I$27,EQA.CAP_Dados!$D$2:$D$5000,$A83)=0,"—",COUNTIFS(EQA.CAP_Dados!$B$2:$B$5000,I$27,EQA.CAP_Dados!$D$2:$D$5000,$A83)))</f>
        <v/>
      </c>
      <c r="J83" t="str">
        <f>IF($A83="","",COUNTIF(EQA.CAP_Dados!$D$2:$D$5000,$A83))</f>
        <v/>
      </c>
    </row>
    <row r="84" spans="1:10" x14ac:dyDescent="0.3">
      <c r="A84" t="str">
        <f>IFERROR(INDEX(EQA.CAP_Dados!$D$2:$D$5000,MATCH(ROW()-27,EQA.CAP_Dados!$U$2:$U$5000,0)),"")</f>
        <v/>
      </c>
      <c r="B84" t="str">
        <f>IF(OR($A84="",B$27=""),"",IF(COUNTIFS(EQA.CAP_Dados!$B$2:$B$5000,B$27,EQA.CAP_Dados!$D$2:$D$5000,$A84)=0,"—",COUNTIFS(EQA.CAP_Dados!$B$2:$B$5000,B$27,EQA.CAP_Dados!$D$2:$D$5000,$A84)))</f>
        <v/>
      </c>
      <c r="C84" t="str">
        <f>IF(OR($A84="",C$27=""),"",IF(COUNTIFS(EQA.CAP_Dados!$B$2:$B$5000,C$27,EQA.CAP_Dados!$D$2:$D$5000,$A84)=0,"—",COUNTIFS(EQA.CAP_Dados!$B$2:$B$5000,C$27,EQA.CAP_Dados!$D$2:$D$5000,$A84)))</f>
        <v/>
      </c>
      <c r="D84" t="str">
        <f>IF(OR($A84="",D$27=""),"",IF(COUNTIFS(EQA.CAP_Dados!$B$2:$B$5000,D$27,EQA.CAP_Dados!$D$2:$D$5000,$A84)=0,"—",COUNTIFS(EQA.CAP_Dados!$B$2:$B$5000,D$27,EQA.CAP_Dados!$D$2:$D$5000,$A84)))</f>
        <v/>
      </c>
      <c r="E84" t="str">
        <f>IF(OR($A84="",E$27=""),"",IF(COUNTIFS(EQA.CAP_Dados!$B$2:$B$5000,E$27,EQA.CAP_Dados!$D$2:$D$5000,$A84)=0,"—",COUNTIFS(EQA.CAP_Dados!$B$2:$B$5000,E$27,EQA.CAP_Dados!$D$2:$D$5000,$A84)))</f>
        <v/>
      </c>
      <c r="F84" t="str">
        <f>IF(OR($A84="",F$27=""),"",IF(COUNTIFS(EQA.CAP_Dados!$B$2:$B$5000,F$27,EQA.CAP_Dados!$D$2:$D$5000,$A84)=0,"—",COUNTIFS(EQA.CAP_Dados!$B$2:$B$5000,F$27,EQA.CAP_Dados!$D$2:$D$5000,$A84)))</f>
        <v/>
      </c>
      <c r="G84" t="str">
        <f>IF(OR($A84="",G$27=""),"",IF(COUNTIFS(EQA.CAP_Dados!$B$2:$B$5000,G$27,EQA.CAP_Dados!$D$2:$D$5000,$A84)=0,"—",COUNTIFS(EQA.CAP_Dados!$B$2:$B$5000,G$27,EQA.CAP_Dados!$D$2:$D$5000,$A84)))</f>
        <v/>
      </c>
      <c r="H84" t="str">
        <f>IF(OR($A84="",H$27=""),"",IF(COUNTIFS(EQA.CAP_Dados!$B$2:$B$5000,H$27,EQA.CAP_Dados!$D$2:$D$5000,$A84)=0,"—",COUNTIFS(EQA.CAP_Dados!$B$2:$B$5000,H$27,EQA.CAP_Dados!$D$2:$D$5000,$A84)))</f>
        <v/>
      </c>
      <c r="I84" t="str">
        <f>IF(OR($A84="",I$27=""),"",IF(COUNTIFS(EQA.CAP_Dados!$B$2:$B$5000,I$27,EQA.CAP_Dados!$D$2:$D$5000,$A84)=0,"—",COUNTIFS(EQA.CAP_Dados!$B$2:$B$5000,I$27,EQA.CAP_Dados!$D$2:$D$5000,$A84)))</f>
        <v/>
      </c>
      <c r="J84" t="str">
        <f>IF($A84="","",COUNTIF(EQA.CAP_Dados!$D$2:$D$5000,$A84))</f>
        <v/>
      </c>
    </row>
    <row r="85" spans="1:10" x14ac:dyDescent="0.3">
      <c r="A85" t="str">
        <f>IFERROR(INDEX(EQA.CAP_Dados!$D$2:$D$5000,MATCH(ROW()-27,EQA.CAP_Dados!$U$2:$U$5000,0)),"")</f>
        <v/>
      </c>
      <c r="B85" t="str">
        <f>IF(OR($A85="",B$27=""),"",IF(COUNTIFS(EQA.CAP_Dados!$B$2:$B$5000,B$27,EQA.CAP_Dados!$D$2:$D$5000,$A85)=0,"—",COUNTIFS(EQA.CAP_Dados!$B$2:$B$5000,B$27,EQA.CAP_Dados!$D$2:$D$5000,$A85)))</f>
        <v/>
      </c>
      <c r="C85" t="str">
        <f>IF(OR($A85="",C$27=""),"",IF(COUNTIFS(EQA.CAP_Dados!$B$2:$B$5000,C$27,EQA.CAP_Dados!$D$2:$D$5000,$A85)=0,"—",COUNTIFS(EQA.CAP_Dados!$B$2:$B$5000,C$27,EQA.CAP_Dados!$D$2:$D$5000,$A85)))</f>
        <v/>
      </c>
      <c r="D85" t="str">
        <f>IF(OR($A85="",D$27=""),"",IF(COUNTIFS(EQA.CAP_Dados!$B$2:$B$5000,D$27,EQA.CAP_Dados!$D$2:$D$5000,$A85)=0,"—",COUNTIFS(EQA.CAP_Dados!$B$2:$B$5000,D$27,EQA.CAP_Dados!$D$2:$D$5000,$A85)))</f>
        <v/>
      </c>
      <c r="E85" t="str">
        <f>IF(OR($A85="",E$27=""),"",IF(COUNTIFS(EQA.CAP_Dados!$B$2:$B$5000,E$27,EQA.CAP_Dados!$D$2:$D$5000,$A85)=0,"—",COUNTIFS(EQA.CAP_Dados!$B$2:$B$5000,E$27,EQA.CAP_Dados!$D$2:$D$5000,$A85)))</f>
        <v/>
      </c>
      <c r="F85" t="str">
        <f>IF(OR($A85="",F$27=""),"",IF(COUNTIFS(EQA.CAP_Dados!$B$2:$B$5000,F$27,EQA.CAP_Dados!$D$2:$D$5000,$A85)=0,"—",COUNTIFS(EQA.CAP_Dados!$B$2:$B$5000,F$27,EQA.CAP_Dados!$D$2:$D$5000,$A85)))</f>
        <v/>
      </c>
      <c r="G85" t="str">
        <f>IF(OR($A85="",G$27=""),"",IF(COUNTIFS(EQA.CAP_Dados!$B$2:$B$5000,G$27,EQA.CAP_Dados!$D$2:$D$5000,$A85)=0,"—",COUNTIFS(EQA.CAP_Dados!$B$2:$B$5000,G$27,EQA.CAP_Dados!$D$2:$D$5000,$A85)))</f>
        <v/>
      </c>
      <c r="H85" t="str">
        <f>IF(OR($A85="",H$27=""),"",IF(COUNTIFS(EQA.CAP_Dados!$B$2:$B$5000,H$27,EQA.CAP_Dados!$D$2:$D$5000,$A85)=0,"—",COUNTIFS(EQA.CAP_Dados!$B$2:$B$5000,H$27,EQA.CAP_Dados!$D$2:$D$5000,$A85)))</f>
        <v/>
      </c>
      <c r="I85" t="str">
        <f>IF(OR($A85="",I$27=""),"",IF(COUNTIFS(EQA.CAP_Dados!$B$2:$B$5000,I$27,EQA.CAP_Dados!$D$2:$D$5000,$A85)=0,"—",COUNTIFS(EQA.CAP_Dados!$B$2:$B$5000,I$27,EQA.CAP_Dados!$D$2:$D$5000,$A85)))</f>
        <v/>
      </c>
      <c r="J85" t="str">
        <f>IF($A85="","",COUNTIF(EQA.CAP_Dados!$D$2:$D$5000,$A85))</f>
        <v/>
      </c>
    </row>
    <row r="86" spans="1:10" x14ac:dyDescent="0.3">
      <c r="A86" t="str">
        <f>IFERROR(INDEX(EQA.CAP_Dados!$D$2:$D$5000,MATCH(ROW()-27,EQA.CAP_Dados!$U$2:$U$5000,0)),"")</f>
        <v/>
      </c>
      <c r="B86" t="str">
        <f>IF(OR($A86="",B$27=""),"",IF(COUNTIFS(EQA.CAP_Dados!$B$2:$B$5000,B$27,EQA.CAP_Dados!$D$2:$D$5000,$A86)=0,"—",COUNTIFS(EQA.CAP_Dados!$B$2:$B$5000,B$27,EQA.CAP_Dados!$D$2:$D$5000,$A86)))</f>
        <v/>
      </c>
      <c r="C86" t="str">
        <f>IF(OR($A86="",C$27=""),"",IF(COUNTIFS(EQA.CAP_Dados!$B$2:$B$5000,C$27,EQA.CAP_Dados!$D$2:$D$5000,$A86)=0,"—",COUNTIFS(EQA.CAP_Dados!$B$2:$B$5000,C$27,EQA.CAP_Dados!$D$2:$D$5000,$A86)))</f>
        <v/>
      </c>
      <c r="D86" t="str">
        <f>IF(OR($A86="",D$27=""),"",IF(COUNTIFS(EQA.CAP_Dados!$B$2:$B$5000,D$27,EQA.CAP_Dados!$D$2:$D$5000,$A86)=0,"—",COUNTIFS(EQA.CAP_Dados!$B$2:$B$5000,D$27,EQA.CAP_Dados!$D$2:$D$5000,$A86)))</f>
        <v/>
      </c>
      <c r="E86" t="str">
        <f>IF(OR($A86="",E$27=""),"",IF(COUNTIFS(EQA.CAP_Dados!$B$2:$B$5000,E$27,EQA.CAP_Dados!$D$2:$D$5000,$A86)=0,"—",COUNTIFS(EQA.CAP_Dados!$B$2:$B$5000,E$27,EQA.CAP_Dados!$D$2:$D$5000,$A86)))</f>
        <v/>
      </c>
      <c r="F86" t="str">
        <f>IF(OR($A86="",F$27=""),"",IF(COUNTIFS(EQA.CAP_Dados!$B$2:$B$5000,F$27,EQA.CAP_Dados!$D$2:$D$5000,$A86)=0,"—",COUNTIFS(EQA.CAP_Dados!$B$2:$B$5000,F$27,EQA.CAP_Dados!$D$2:$D$5000,$A86)))</f>
        <v/>
      </c>
      <c r="G86" t="str">
        <f>IF(OR($A86="",G$27=""),"",IF(COUNTIFS(EQA.CAP_Dados!$B$2:$B$5000,G$27,EQA.CAP_Dados!$D$2:$D$5000,$A86)=0,"—",COUNTIFS(EQA.CAP_Dados!$B$2:$B$5000,G$27,EQA.CAP_Dados!$D$2:$D$5000,$A86)))</f>
        <v/>
      </c>
      <c r="H86" t="str">
        <f>IF(OR($A86="",H$27=""),"",IF(COUNTIFS(EQA.CAP_Dados!$B$2:$B$5000,H$27,EQA.CAP_Dados!$D$2:$D$5000,$A86)=0,"—",COUNTIFS(EQA.CAP_Dados!$B$2:$B$5000,H$27,EQA.CAP_Dados!$D$2:$D$5000,$A86)))</f>
        <v/>
      </c>
      <c r="I86" t="str">
        <f>IF(OR($A86="",I$27=""),"",IF(COUNTIFS(EQA.CAP_Dados!$B$2:$B$5000,I$27,EQA.CAP_Dados!$D$2:$D$5000,$A86)=0,"—",COUNTIFS(EQA.CAP_Dados!$B$2:$B$5000,I$27,EQA.CAP_Dados!$D$2:$D$5000,$A86)))</f>
        <v/>
      </c>
      <c r="J86" t="str">
        <f>IF($A86="","",COUNTIF(EQA.CAP_Dados!$D$2:$D$5000,$A86))</f>
        <v/>
      </c>
    </row>
    <row r="87" spans="1:10" x14ac:dyDescent="0.3">
      <c r="A87" t="str">
        <f>IFERROR(INDEX(EQA.CAP_Dados!$D$2:$D$5000,MATCH(ROW()-27,EQA.CAP_Dados!$U$2:$U$5000,0)),"")</f>
        <v/>
      </c>
      <c r="B87" t="str">
        <f>IF(OR($A87="",B$27=""),"",IF(COUNTIFS(EQA.CAP_Dados!$B$2:$B$5000,B$27,EQA.CAP_Dados!$D$2:$D$5000,$A87)=0,"—",COUNTIFS(EQA.CAP_Dados!$B$2:$B$5000,B$27,EQA.CAP_Dados!$D$2:$D$5000,$A87)))</f>
        <v/>
      </c>
      <c r="C87" t="str">
        <f>IF(OR($A87="",C$27=""),"",IF(COUNTIFS(EQA.CAP_Dados!$B$2:$B$5000,C$27,EQA.CAP_Dados!$D$2:$D$5000,$A87)=0,"—",COUNTIFS(EQA.CAP_Dados!$B$2:$B$5000,C$27,EQA.CAP_Dados!$D$2:$D$5000,$A87)))</f>
        <v/>
      </c>
      <c r="D87" t="str">
        <f>IF(OR($A87="",D$27=""),"",IF(COUNTIFS(EQA.CAP_Dados!$B$2:$B$5000,D$27,EQA.CAP_Dados!$D$2:$D$5000,$A87)=0,"—",COUNTIFS(EQA.CAP_Dados!$B$2:$B$5000,D$27,EQA.CAP_Dados!$D$2:$D$5000,$A87)))</f>
        <v/>
      </c>
      <c r="E87" t="str">
        <f>IF(OR($A87="",E$27=""),"",IF(COUNTIFS(EQA.CAP_Dados!$B$2:$B$5000,E$27,EQA.CAP_Dados!$D$2:$D$5000,$A87)=0,"—",COUNTIFS(EQA.CAP_Dados!$B$2:$B$5000,E$27,EQA.CAP_Dados!$D$2:$D$5000,$A87)))</f>
        <v/>
      </c>
      <c r="F87" t="str">
        <f>IF(OR($A87="",F$27=""),"",IF(COUNTIFS(EQA.CAP_Dados!$B$2:$B$5000,F$27,EQA.CAP_Dados!$D$2:$D$5000,$A87)=0,"—",COUNTIFS(EQA.CAP_Dados!$B$2:$B$5000,F$27,EQA.CAP_Dados!$D$2:$D$5000,$A87)))</f>
        <v/>
      </c>
      <c r="G87" t="str">
        <f>IF(OR($A87="",G$27=""),"",IF(COUNTIFS(EQA.CAP_Dados!$B$2:$B$5000,G$27,EQA.CAP_Dados!$D$2:$D$5000,$A87)=0,"—",COUNTIFS(EQA.CAP_Dados!$B$2:$B$5000,G$27,EQA.CAP_Dados!$D$2:$D$5000,$A87)))</f>
        <v/>
      </c>
      <c r="H87" t="str">
        <f>IF(OR($A87="",H$27=""),"",IF(COUNTIFS(EQA.CAP_Dados!$B$2:$B$5000,H$27,EQA.CAP_Dados!$D$2:$D$5000,$A87)=0,"—",COUNTIFS(EQA.CAP_Dados!$B$2:$B$5000,H$27,EQA.CAP_Dados!$D$2:$D$5000,$A87)))</f>
        <v/>
      </c>
      <c r="I87" t="str">
        <f>IF(OR($A87="",I$27=""),"",IF(COUNTIFS(EQA.CAP_Dados!$B$2:$B$5000,I$27,EQA.CAP_Dados!$D$2:$D$5000,$A87)=0,"—",COUNTIFS(EQA.CAP_Dados!$B$2:$B$5000,I$27,EQA.CAP_Dados!$D$2:$D$5000,$A87)))</f>
        <v/>
      </c>
      <c r="J87" t="str">
        <f>IF($A87="","",COUNTIF(EQA.CAP_Dados!$D$2:$D$5000,$A87))</f>
        <v/>
      </c>
    </row>
  </sheetData>
  <sheetProtection algorithmName="SHA-512" hashValue="wb9VHhmx7qWOqUKAoOVNutVVPkM3/8F9JJxqFzLHIMgep2SaaKse8TGv28/hRrD7dlAc2TdgYNM7vegUzFyM8g==" saltValue="pxf6Gr0yAZGAIb5wBV3rxw==" spinCount="100000" sheet="1" scenarios="1"/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D6852-6008-4BD5-BF7D-795BAAD384E1}">
  <sheetPr codeName="Planilha20">
    <tabColor rgb="FF263B4D"/>
  </sheetPr>
  <dimension ref="A1:R210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1102</v>
      </c>
    </row>
    <row r="2" spans="1:18" x14ac:dyDescent="0.3">
      <c r="A2" s="130" t="s">
        <v>1103</v>
      </c>
    </row>
    <row r="3" spans="1:18" x14ac:dyDescent="0.3">
      <c r="A3" s="130" t="str">
        <f>COUNT(EQA.CAP_Dados!$S$2:$S$5000)&amp;" registro(s) — a lista acompanha EQA.CAP_Dados sozinha"</f>
        <v>15 registro(s) — a lista acompanha EQA.CAP_Dados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IFERROR(INDEX(EQA.CAP_Dados!A$2:A$5000,MATCH(ROW()-4,EQA.CAP_Dados!$S$2:$S$5000,0)),"")</f>
        <v>CAP</v>
      </c>
      <c r="B5" t="str">
        <f>IFERROR(INDEX(EQA.CAP_Dados!B$2:B$5000,MATCH(ROW()-4,EQA.CAP_Dados!$S$2:$S$5000,0)),"")</f>
        <v>C-A 2025</v>
      </c>
      <c r="C5" s="126">
        <f>IFERROR(INDEX(EQA.CAP_Dados!C$2:C$5000,MATCH(ROW()-4,EQA.CAP_Dados!$S$2:$S$5000,0)),"")</f>
        <v>2025</v>
      </c>
      <c r="D5" t="str">
        <f>IFERROR(INDEX(EQA.CAP_Dados!D$2:D$5000,MATCH(ROW()-4,EQA.CAP_Dados!$S$2:$S$5000,0)),"")</f>
        <v>Urea Nitrogen</v>
      </c>
      <c r="E5" t="str">
        <f>IFERROR(INDEX(EQA.CAP_Dados!E$2:E$5000,MATCH(ROW()-4,EQA.CAP_Dados!$S$2:$S$5000,0)),"")</f>
        <v>CHM-02</v>
      </c>
      <c r="F5" s="137">
        <f>IFERROR(INDEX(EQA.CAP_Dados!F$2:F$5000,MATCH(ROW()-4,EQA.CAP_Dados!$S$2:$S$5000,0)),"")</f>
        <v>22</v>
      </c>
      <c r="G5" s="138">
        <f>IFERROR(INDEX(EQA.CAP_Dados!G$2:G$5000,MATCH(ROW()-4,EQA.CAP_Dados!$S$2:$S$5000,0)),"")</f>
        <v>19.07</v>
      </c>
      <c r="H5" s="138">
        <f>IFERROR(INDEX(EQA.CAP_Dados!H$2:H$5000,MATCH(ROW()-4,EQA.CAP_Dados!$S$2:$S$5000,0)),"")</f>
        <v>0.83</v>
      </c>
      <c r="I5" s="139">
        <f>IFERROR(INDEX(EQA.CAP_Dados!I$2:I$5000,MATCH(ROW()-4,EQA.CAP_Dados!$S$2:$S$5000,0)),"")</f>
        <v>3.5</v>
      </c>
      <c r="J5" s="137">
        <f>IFERROR(INDEX(EQA.CAP_Dados!J$2:J$5000,MATCH(ROW()-4,EQA.CAP_Dados!$S$2:$S$5000,0)),"")</f>
        <v>17</v>
      </c>
      <c r="K5" s="137">
        <f>IFERROR(INDEX(EQA.CAP_Dados!K$2:K$5000,MATCH(ROW()-4,EQA.CAP_Dados!$S$2:$S$5000,0)),"")</f>
        <v>21.1</v>
      </c>
      <c r="L5" t="str">
        <f>IFERROR(INDEX(EQA.CAP_Dados!L$2:L$5000,MATCH(ROW()-4,EQA.CAP_Dados!$S$2:$S$5000,0)),"")</f>
        <v>Unacceptable</v>
      </c>
      <c r="M5" s="126">
        <f>IFERROR(INDEX(EQA.CAP_Dados!M$2:M$5000,MATCH(ROW()-4,EQA.CAP_Dados!$S$2:$S$5000,0)),"")</f>
        <v>444</v>
      </c>
      <c r="N5" t="str">
        <f>IFERROR(INDEX(EQA.CAP_Dados!N$2:N$5000,MATCH(ROW()-4,EQA.CAP_Dados!$S$2:$S$5000,0)),"")</f>
        <v>mg/dL</v>
      </c>
      <c r="O5" s="137">
        <f>IFERROR(INDEX(EQA.CAP_Dados!O$2:O$5000,MATCH(ROW()-4,EQA.CAP_Dados!$S$2:$S$5000,0)),"")</f>
        <v>15.364446775039328</v>
      </c>
      <c r="P5" s="137">
        <f>IFERROR(INDEX(EQA.CAP_Dados!P$2:P$5000,MATCH(ROW()-4,EQA.CAP_Dados!$S$2:$S$5000,0)),"")</f>
        <v>15.364446775039328</v>
      </c>
      <c r="Q5" s="126">
        <f>IFERROR(INDEX(EQA.CAP_Dados!Q$2:Q$5000,MATCH(ROW()-4,EQA.CAP_Dados!$S$2:$S$5000,0)),"")</f>
        <v>6</v>
      </c>
      <c r="R5" t="str">
        <f>IFERROR(INDEX(EQA.CAP_Dados!R$2:R$5000,MATCH(ROW()-4,EQA.CAP_Dados!$S$2:$S$5000,0)),"")</f>
        <v>bioquímicia_HID0050_FIOCRUZ_CAP25C-A_Svy.pdf</v>
      </c>
    </row>
    <row r="6" spans="1:18" x14ac:dyDescent="0.3">
      <c r="A6" t="str">
        <f>IFERROR(INDEX(EQA.CAP_Dados!A$2:A$5000,MATCH(ROW()-4,EQA.CAP_Dados!$S$2:$S$5000,0)),"")</f>
        <v>CAP</v>
      </c>
      <c r="B6" t="str">
        <f>IFERROR(INDEX(EQA.CAP_Dados!B$2:B$5000,MATCH(ROW()-4,EQA.CAP_Dados!$S$2:$S$5000,0)),"")</f>
        <v>C-A 2025</v>
      </c>
      <c r="C6" s="126">
        <f>IFERROR(INDEX(EQA.CAP_Dados!C$2:C$5000,MATCH(ROW()-4,EQA.CAP_Dados!$S$2:$S$5000,0)),"")</f>
        <v>2025</v>
      </c>
      <c r="D6" t="str">
        <f>IFERROR(INDEX(EQA.CAP_Dados!D$2:D$5000,MATCH(ROW()-4,EQA.CAP_Dados!$S$2:$S$5000,0)),"")</f>
        <v>Urea Nitrogen</v>
      </c>
      <c r="E6" t="str">
        <f>IFERROR(INDEX(EQA.CAP_Dados!E$2:E$5000,MATCH(ROW()-4,EQA.CAP_Dados!$S$2:$S$5000,0)),"")</f>
        <v>CHM-04</v>
      </c>
      <c r="F6" s="137">
        <f>IFERROR(INDEX(EQA.CAP_Dados!F$2:F$5000,MATCH(ROW()-4,EQA.CAP_Dados!$S$2:$S$5000,0)),"")</f>
        <v>48.6</v>
      </c>
      <c r="G6" s="138">
        <f>IFERROR(INDEX(EQA.CAP_Dados!G$2:G$5000,MATCH(ROW()-4,EQA.CAP_Dados!$S$2:$S$5000,0)),"")</f>
        <v>44.02</v>
      </c>
      <c r="H6" s="138">
        <f>IFERROR(INDEX(EQA.CAP_Dados!H$2:H$5000,MATCH(ROW()-4,EQA.CAP_Dados!$S$2:$S$5000,0)),"")</f>
        <v>1.47</v>
      </c>
      <c r="I6" s="139">
        <f>IFERROR(INDEX(EQA.CAP_Dados!I$2:I$5000,MATCH(ROW()-4,EQA.CAP_Dados!$S$2:$S$5000,0)),"")</f>
        <v>3.1</v>
      </c>
      <c r="J6" s="137">
        <f>IFERROR(INDEX(EQA.CAP_Dados!J$2:J$5000,MATCH(ROW()-4,EQA.CAP_Dados!$S$2:$S$5000,0)),"")</f>
        <v>40</v>
      </c>
      <c r="K6" s="137">
        <f>IFERROR(INDEX(EQA.CAP_Dados!K$2:K$5000,MATCH(ROW()-4,EQA.CAP_Dados!$S$2:$S$5000,0)),"")</f>
        <v>48</v>
      </c>
      <c r="L6" t="str">
        <f>IFERROR(INDEX(EQA.CAP_Dados!L$2:L$5000,MATCH(ROW()-4,EQA.CAP_Dados!$S$2:$S$5000,0)),"")</f>
        <v>Unacceptable</v>
      </c>
      <c r="M6" s="126">
        <f>IFERROR(INDEX(EQA.CAP_Dados!M$2:M$5000,MATCH(ROW()-4,EQA.CAP_Dados!$S$2:$S$5000,0)),"")</f>
        <v>448</v>
      </c>
      <c r="N6" t="str">
        <f>IFERROR(INDEX(EQA.CAP_Dados!N$2:N$5000,MATCH(ROW()-4,EQA.CAP_Dados!$S$2:$S$5000,0)),"")</f>
        <v>mg/dL</v>
      </c>
      <c r="O6" s="137">
        <f>IFERROR(INDEX(EQA.CAP_Dados!O$2:O$5000,MATCH(ROW()-4,EQA.CAP_Dados!$S$2:$S$5000,0)),"")</f>
        <v>10.404361653793725</v>
      </c>
      <c r="P6" s="137">
        <f>IFERROR(INDEX(EQA.CAP_Dados!P$2:P$5000,MATCH(ROW()-4,EQA.CAP_Dados!$S$2:$S$5000,0)),"")</f>
        <v>10.404361653793725</v>
      </c>
      <c r="Q6" s="126">
        <f>IFERROR(INDEX(EQA.CAP_Dados!Q$2:Q$5000,MATCH(ROW()-4,EQA.CAP_Dados!$S$2:$S$5000,0)),"")</f>
        <v>6</v>
      </c>
      <c r="R6" t="str">
        <f>IFERROR(INDEX(EQA.CAP_Dados!R$2:R$5000,MATCH(ROW()-4,EQA.CAP_Dados!$S$2:$S$5000,0)),"")</f>
        <v>bioquímicia_HID0050_FIOCRUZ_CAP25C-A_Svy.pdf</v>
      </c>
    </row>
    <row r="7" spans="1:18" x14ac:dyDescent="0.3">
      <c r="A7" t="str">
        <f>IFERROR(INDEX(EQA.CAP_Dados!A$2:A$5000,MATCH(ROW()-4,EQA.CAP_Dados!$S$2:$S$5000,0)),"")</f>
        <v>CAP</v>
      </c>
      <c r="B7" t="str">
        <f>IFERROR(INDEX(EQA.CAP_Dados!B$2:B$5000,MATCH(ROW()-4,EQA.CAP_Dados!$S$2:$S$5000,0)),"")</f>
        <v>C-B 2025</v>
      </c>
      <c r="C7" s="126">
        <f>IFERROR(INDEX(EQA.CAP_Dados!C$2:C$5000,MATCH(ROW()-4,EQA.CAP_Dados!$S$2:$S$5000,0)),"")</f>
        <v>2025</v>
      </c>
      <c r="D7" t="str">
        <f>IFERROR(INDEX(EQA.CAP_Dados!D$2:D$5000,MATCH(ROW()-4,EQA.CAP_Dados!$S$2:$S$5000,0)),"")</f>
        <v>CO2</v>
      </c>
      <c r="E7" t="str">
        <f>IFERROR(INDEX(EQA.CAP_Dados!E$2:E$5000,MATCH(ROW()-4,EQA.CAP_Dados!$S$2:$S$5000,0)),"")</f>
        <v>CHM-06</v>
      </c>
      <c r="F7" s="137">
        <f>IFERROR(INDEX(EQA.CAP_Dados!F$2:F$5000,MATCH(ROW()-4,EQA.CAP_Dados!$S$2:$S$5000,0)),"")</f>
        <v>32</v>
      </c>
      <c r="G7" s="138">
        <f>IFERROR(INDEX(EQA.CAP_Dados!G$2:G$5000,MATCH(ROW()-4,EQA.CAP_Dados!$S$2:$S$5000,0)),"")</f>
        <v>24.6</v>
      </c>
      <c r="H7" s="138">
        <f>IFERROR(INDEX(EQA.CAP_Dados!H$2:H$5000,MATCH(ROW()-4,EQA.CAP_Dados!$S$2:$S$5000,0)),"")</f>
        <v>1.4</v>
      </c>
      <c r="I7" s="139">
        <f>IFERROR(INDEX(EQA.CAP_Dados!I$2:I$5000,MATCH(ROW()-4,EQA.CAP_Dados!$S$2:$S$5000,0)),"")</f>
        <v>5.4</v>
      </c>
      <c r="J7" s="137">
        <f>IFERROR(INDEX(EQA.CAP_Dados!J$2:J$5000,MATCH(ROW()-4,EQA.CAP_Dados!$S$2:$S$5000,0)),"")</f>
        <v>19</v>
      </c>
      <c r="K7" s="137">
        <f>IFERROR(INDEX(EQA.CAP_Dados!K$2:K$5000,MATCH(ROW()-4,EQA.CAP_Dados!$S$2:$S$5000,0)),"")</f>
        <v>30</v>
      </c>
      <c r="L7" t="str">
        <f>IFERROR(INDEX(EQA.CAP_Dados!L$2:L$5000,MATCH(ROW()-4,EQA.CAP_Dados!$S$2:$S$5000,0)),"")</f>
        <v>Unacceptable</v>
      </c>
      <c r="M7" s="126">
        <f>IFERROR(INDEX(EQA.CAP_Dados!M$2:M$5000,MATCH(ROW()-4,EQA.CAP_Dados!$S$2:$S$5000,0)),"")</f>
        <v>398</v>
      </c>
      <c r="N7" t="str">
        <f>IFERROR(INDEX(EQA.CAP_Dados!N$2:N$5000,MATCH(ROW()-4,EQA.CAP_Dados!$S$2:$S$5000,0)),"")</f>
        <v>mmol/L</v>
      </c>
      <c r="O7" s="137">
        <f>IFERROR(INDEX(EQA.CAP_Dados!O$2:O$5000,MATCH(ROW()-4,EQA.CAP_Dados!$S$2:$S$5000,0)),"")</f>
        <v>30.08130081300812</v>
      </c>
      <c r="P7" s="137">
        <f>IFERROR(INDEX(EQA.CAP_Dados!P$2:P$5000,MATCH(ROW()-4,EQA.CAP_Dados!$S$2:$S$5000,0)),"")</f>
        <v>30.08130081300812</v>
      </c>
      <c r="Q7" s="126">
        <f>IFERROR(INDEX(EQA.CAP_Dados!Q$2:Q$5000,MATCH(ROW()-4,EQA.CAP_Dados!$S$2:$S$5000,0)),"")</f>
        <v>3</v>
      </c>
      <c r="R7" t="str">
        <f>IFERROR(INDEX(EQA.CAP_Dados!R$2:R$5000,MATCH(ROW()-4,EQA.CAP_Dados!$S$2:$S$5000,0)),"")</f>
        <v>bioquímicia_HID0050_FIOCRUZ_CAP25C-B_Svy (1)(1).pdf</v>
      </c>
    </row>
    <row r="8" spans="1:18" x14ac:dyDescent="0.3">
      <c r="A8" t="str">
        <f>IFERROR(INDEX(EQA.CAP_Dados!A$2:A$5000,MATCH(ROW()-4,EQA.CAP_Dados!$S$2:$S$5000,0)),"")</f>
        <v>CAP</v>
      </c>
      <c r="B8" t="str">
        <f>IFERROR(INDEX(EQA.CAP_Dados!B$2:B$5000,MATCH(ROW()-4,EQA.CAP_Dados!$S$2:$S$5000,0)),"")</f>
        <v>C-B 2025</v>
      </c>
      <c r="C8" s="126">
        <f>IFERROR(INDEX(EQA.CAP_Dados!C$2:C$5000,MATCH(ROW()-4,EQA.CAP_Dados!$S$2:$S$5000,0)),"")</f>
        <v>2025</v>
      </c>
      <c r="D8" t="str">
        <f>IFERROR(INDEX(EQA.CAP_Dados!D$2:D$5000,MATCH(ROW()-4,EQA.CAP_Dados!$S$2:$S$5000,0)),"")</f>
        <v>CO2</v>
      </c>
      <c r="E8" t="str">
        <f>IFERROR(INDEX(EQA.CAP_Dados!E$2:E$5000,MATCH(ROW()-4,EQA.CAP_Dados!$S$2:$S$5000,0)),"")</f>
        <v>CHM-07</v>
      </c>
      <c r="F8" s="137">
        <f>IFERROR(INDEX(EQA.CAP_Dados!F$2:F$5000,MATCH(ROW()-4,EQA.CAP_Dados!$S$2:$S$5000,0)),"")</f>
        <v>41</v>
      </c>
      <c r="G8" s="138">
        <f>IFERROR(INDEX(EQA.CAP_Dados!G$2:G$5000,MATCH(ROW()-4,EQA.CAP_Dados!$S$2:$S$5000,0)),"")</f>
        <v>32.1</v>
      </c>
      <c r="H8" s="138">
        <f>IFERROR(INDEX(EQA.CAP_Dados!H$2:H$5000,MATCH(ROW()-4,EQA.CAP_Dados!$S$2:$S$5000,0)),"")</f>
        <v>1.5</v>
      </c>
      <c r="I8" s="139">
        <f>IFERROR(INDEX(EQA.CAP_Dados!I$2:I$5000,MATCH(ROW()-4,EQA.CAP_Dados!$S$2:$S$5000,0)),"")</f>
        <v>6</v>
      </c>
      <c r="J8" s="137">
        <f>IFERROR(INDEX(EQA.CAP_Dados!J$2:J$5000,MATCH(ROW()-4,EQA.CAP_Dados!$S$2:$S$5000,0)),"")</f>
        <v>25</v>
      </c>
      <c r="K8" s="137">
        <f>IFERROR(INDEX(EQA.CAP_Dados!K$2:K$5000,MATCH(ROW()-4,EQA.CAP_Dados!$S$2:$S$5000,0)),"")</f>
        <v>39</v>
      </c>
      <c r="L8" t="str">
        <f>IFERROR(INDEX(EQA.CAP_Dados!L$2:L$5000,MATCH(ROW()-4,EQA.CAP_Dados!$S$2:$S$5000,0)),"")</f>
        <v>Unacceptable</v>
      </c>
      <c r="M8" s="126">
        <f>IFERROR(INDEX(EQA.CAP_Dados!M$2:M$5000,MATCH(ROW()-4,EQA.CAP_Dados!$S$2:$S$5000,0)),"")</f>
        <v>393</v>
      </c>
      <c r="N8" t="str">
        <f>IFERROR(INDEX(EQA.CAP_Dados!N$2:N$5000,MATCH(ROW()-4,EQA.CAP_Dados!$S$2:$S$5000,0)),"")</f>
        <v>mmol/L</v>
      </c>
      <c r="O8" s="137">
        <f>IFERROR(INDEX(EQA.CAP_Dados!O$2:O$5000,MATCH(ROW()-4,EQA.CAP_Dados!$S$2:$S$5000,0)),"")</f>
        <v>27.725856697819307</v>
      </c>
      <c r="P8" s="137">
        <f>IFERROR(INDEX(EQA.CAP_Dados!P$2:P$5000,MATCH(ROW()-4,EQA.CAP_Dados!$S$2:$S$5000,0)),"")</f>
        <v>27.725856697819307</v>
      </c>
      <c r="Q8" s="126">
        <f>IFERROR(INDEX(EQA.CAP_Dados!Q$2:Q$5000,MATCH(ROW()-4,EQA.CAP_Dados!$S$2:$S$5000,0)),"")</f>
        <v>3</v>
      </c>
      <c r="R8" t="str">
        <f>IFERROR(INDEX(EQA.CAP_Dados!R$2:R$5000,MATCH(ROW()-4,EQA.CAP_Dados!$S$2:$S$5000,0)),"")</f>
        <v>bioquímicia_HID0050_FIOCRUZ_CAP25C-B_Svy (1)(1).pdf</v>
      </c>
    </row>
    <row r="9" spans="1:18" x14ac:dyDescent="0.3">
      <c r="A9" t="str">
        <f>IFERROR(INDEX(EQA.CAP_Dados!A$2:A$5000,MATCH(ROW()-4,EQA.CAP_Dados!$S$2:$S$5000,0)),"")</f>
        <v>CAP</v>
      </c>
      <c r="B9" t="str">
        <f>IFERROR(INDEX(EQA.CAP_Dados!B$2:B$5000,MATCH(ROW()-4,EQA.CAP_Dados!$S$2:$S$5000,0)),"")</f>
        <v>C-B 2025</v>
      </c>
      <c r="C9" s="126">
        <f>IFERROR(INDEX(EQA.CAP_Dados!C$2:C$5000,MATCH(ROW()-4,EQA.CAP_Dados!$S$2:$S$5000,0)),"")</f>
        <v>2025</v>
      </c>
      <c r="D9" t="str">
        <f>IFERROR(INDEX(EQA.CAP_Dados!D$2:D$5000,MATCH(ROW()-4,EQA.CAP_Dados!$S$2:$S$5000,0)),"")</f>
        <v>CO2</v>
      </c>
      <c r="E9" t="str">
        <f>IFERROR(INDEX(EQA.CAP_Dados!E$2:E$5000,MATCH(ROW()-4,EQA.CAP_Dados!$S$2:$S$5000,0)),"")</f>
        <v>CHM-08</v>
      </c>
      <c r="F9" s="137">
        <f>IFERROR(INDEX(EQA.CAP_Dados!F$2:F$5000,MATCH(ROW()-4,EQA.CAP_Dados!$S$2:$S$5000,0)),"")</f>
        <v>39</v>
      </c>
      <c r="G9" s="138">
        <f>IFERROR(INDEX(EQA.CAP_Dados!G$2:G$5000,MATCH(ROW()-4,EQA.CAP_Dados!$S$2:$S$5000,0)),"")</f>
        <v>29.1</v>
      </c>
      <c r="H9" s="138">
        <f>IFERROR(INDEX(EQA.CAP_Dados!H$2:H$5000,MATCH(ROW()-4,EQA.CAP_Dados!$S$2:$S$5000,0)),"")</f>
        <v>1.5</v>
      </c>
      <c r="I9" s="139">
        <f>IFERROR(INDEX(EQA.CAP_Dados!I$2:I$5000,MATCH(ROW()-4,EQA.CAP_Dados!$S$2:$S$5000,0)),"")</f>
        <v>6.8</v>
      </c>
      <c r="J9" s="137">
        <f>IFERROR(INDEX(EQA.CAP_Dados!J$2:J$5000,MATCH(ROW()-4,EQA.CAP_Dados!$S$2:$S$5000,0)),"")</f>
        <v>23</v>
      </c>
      <c r="K9" s="137">
        <f>IFERROR(INDEX(EQA.CAP_Dados!K$2:K$5000,MATCH(ROW()-4,EQA.CAP_Dados!$S$2:$S$5000,0)),"")</f>
        <v>35</v>
      </c>
      <c r="L9" t="str">
        <f>IFERROR(INDEX(EQA.CAP_Dados!L$2:L$5000,MATCH(ROW()-4,EQA.CAP_Dados!$S$2:$S$5000,0)),"")</f>
        <v>Unacceptable</v>
      </c>
      <c r="M9" s="126">
        <f>IFERROR(INDEX(EQA.CAP_Dados!M$2:M$5000,MATCH(ROW()-4,EQA.CAP_Dados!$S$2:$S$5000,0)),"")</f>
        <v>394</v>
      </c>
      <c r="N9" t="str">
        <f>IFERROR(INDEX(EQA.CAP_Dados!N$2:N$5000,MATCH(ROW()-4,EQA.CAP_Dados!$S$2:$S$5000,0)),"")</f>
        <v>mmol/L</v>
      </c>
      <c r="O9" s="137">
        <f>IFERROR(INDEX(EQA.CAP_Dados!O$2:O$5000,MATCH(ROW()-4,EQA.CAP_Dados!$S$2:$S$5000,0)),"")</f>
        <v>34.020618556701024</v>
      </c>
      <c r="P9" s="137">
        <f>IFERROR(INDEX(EQA.CAP_Dados!P$2:P$5000,MATCH(ROW()-4,EQA.CAP_Dados!$S$2:$S$5000,0)),"")</f>
        <v>34.020618556701024</v>
      </c>
      <c r="Q9" s="126">
        <f>IFERROR(INDEX(EQA.CAP_Dados!Q$2:Q$5000,MATCH(ROW()-4,EQA.CAP_Dados!$S$2:$S$5000,0)),"")</f>
        <v>3</v>
      </c>
      <c r="R9" t="str">
        <f>IFERROR(INDEX(EQA.CAP_Dados!R$2:R$5000,MATCH(ROW()-4,EQA.CAP_Dados!$S$2:$S$5000,0)),"")</f>
        <v>bioquímicia_HID0050_FIOCRUZ_CAP25C-B_Svy (1)(1).pdf</v>
      </c>
    </row>
    <row r="10" spans="1:18" x14ac:dyDescent="0.3">
      <c r="A10" t="str">
        <f>IFERROR(INDEX(EQA.CAP_Dados!A$2:A$5000,MATCH(ROW()-4,EQA.CAP_Dados!$S$2:$S$5000,0)),"")</f>
        <v>CAP</v>
      </c>
      <c r="B10" t="str">
        <f>IFERROR(INDEX(EQA.CAP_Dados!B$2:B$5000,MATCH(ROW()-4,EQA.CAP_Dados!$S$2:$S$5000,0)),"")</f>
        <v>C-B 2025</v>
      </c>
      <c r="C10" s="126">
        <f>IFERROR(INDEX(EQA.CAP_Dados!C$2:C$5000,MATCH(ROW()-4,EQA.CAP_Dados!$S$2:$S$5000,0)),"")</f>
        <v>2025</v>
      </c>
      <c r="D10" t="str">
        <f>IFERROR(INDEX(EQA.CAP_Dados!D$2:D$5000,MATCH(ROW()-4,EQA.CAP_Dados!$S$2:$S$5000,0)),"")</f>
        <v>CO2</v>
      </c>
      <c r="E10" t="str">
        <f>IFERROR(INDEX(EQA.CAP_Dados!E$2:E$5000,MATCH(ROW()-4,EQA.CAP_Dados!$S$2:$S$5000,0)),"")</f>
        <v>CHM-09</v>
      </c>
      <c r="F10" s="137">
        <f>IFERROR(INDEX(EQA.CAP_Dados!F$2:F$5000,MATCH(ROW()-4,EQA.CAP_Dados!$S$2:$S$5000,0)),"")</f>
        <v>46</v>
      </c>
      <c r="G10" s="138">
        <f>IFERROR(INDEX(EQA.CAP_Dados!G$2:G$5000,MATCH(ROW()-4,EQA.CAP_Dados!$S$2:$S$5000,0)),"")</f>
        <v>34</v>
      </c>
      <c r="H10" s="138">
        <f>IFERROR(INDEX(EQA.CAP_Dados!H$2:H$5000,MATCH(ROW()-4,EQA.CAP_Dados!$S$2:$S$5000,0)),"")</f>
        <v>1.7</v>
      </c>
      <c r="I10" s="139">
        <f>IFERROR(INDEX(EQA.CAP_Dados!I$2:I$5000,MATCH(ROW()-4,EQA.CAP_Dados!$S$2:$S$5000,0)),"")</f>
        <v>7</v>
      </c>
      <c r="J10" s="137">
        <f>IFERROR(INDEX(EQA.CAP_Dados!J$2:J$5000,MATCH(ROW()-4,EQA.CAP_Dados!$S$2:$S$5000,0)),"")</f>
        <v>27</v>
      </c>
      <c r="K10" s="137">
        <f>IFERROR(INDEX(EQA.CAP_Dados!K$2:K$5000,MATCH(ROW()-4,EQA.CAP_Dados!$S$2:$S$5000,0)),"")</f>
        <v>41</v>
      </c>
      <c r="L10" t="str">
        <f>IFERROR(INDEX(EQA.CAP_Dados!L$2:L$5000,MATCH(ROW()-4,EQA.CAP_Dados!$S$2:$S$5000,0)),"")</f>
        <v>Unacceptable</v>
      </c>
      <c r="M10" s="126">
        <f>IFERROR(INDEX(EQA.CAP_Dados!M$2:M$5000,MATCH(ROW()-4,EQA.CAP_Dados!$S$2:$S$5000,0)),"")</f>
        <v>403</v>
      </c>
      <c r="N10" t="str">
        <f>IFERROR(INDEX(EQA.CAP_Dados!N$2:N$5000,MATCH(ROW()-4,EQA.CAP_Dados!$S$2:$S$5000,0)),"")</f>
        <v>mmol/L</v>
      </c>
      <c r="O10" s="137">
        <f>IFERROR(INDEX(EQA.CAP_Dados!O$2:O$5000,MATCH(ROW()-4,EQA.CAP_Dados!$S$2:$S$5000,0)),"")</f>
        <v>35.294117647058826</v>
      </c>
      <c r="P10" s="137">
        <f>IFERROR(INDEX(EQA.CAP_Dados!P$2:P$5000,MATCH(ROW()-4,EQA.CAP_Dados!$S$2:$S$5000,0)),"")</f>
        <v>35.294117647058826</v>
      </c>
      <c r="Q10" s="126">
        <f>IFERROR(INDEX(EQA.CAP_Dados!Q$2:Q$5000,MATCH(ROW()-4,EQA.CAP_Dados!$S$2:$S$5000,0)),"")</f>
        <v>3</v>
      </c>
      <c r="R10" t="str">
        <f>IFERROR(INDEX(EQA.CAP_Dados!R$2:R$5000,MATCH(ROW()-4,EQA.CAP_Dados!$S$2:$S$5000,0)),"")</f>
        <v>bioquímicia_HID0050_FIOCRUZ_CAP25C-B_Svy (1)(1).pdf</v>
      </c>
    </row>
    <row r="11" spans="1:18" x14ac:dyDescent="0.3">
      <c r="A11" t="str">
        <f>IFERROR(INDEX(EQA.CAP_Dados!A$2:A$5000,MATCH(ROW()-4,EQA.CAP_Dados!$S$2:$S$5000,0)),"")</f>
        <v>CAP</v>
      </c>
      <c r="B11" t="str">
        <f>IFERROR(INDEX(EQA.CAP_Dados!B$2:B$5000,MATCH(ROW()-4,EQA.CAP_Dados!$S$2:$S$5000,0)),"")</f>
        <v>C-B 2025</v>
      </c>
      <c r="C11" s="126">
        <f>IFERROR(INDEX(EQA.CAP_Dados!C$2:C$5000,MATCH(ROW()-4,EQA.CAP_Dados!$S$2:$S$5000,0)),"")</f>
        <v>2025</v>
      </c>
      <c r="D11" t="str">
        <f>IFERROR(INDEX(EQA.CAP_Dados!D$2:D$5000,MATCH(ROW()-4,EQA.CAP_Dados!$S$2:$S$5000,0)),"")</f>
        <v>CO2</v>
      </c>
      <c r="E11" t="str">
        <f>IFERROR(INDEX(EQA.CAP_Dados!E$2:E$5000,MATCH(ROW()-4,EQA.CAP_Dados!$S$2:$S$5000,0)),"")</f>
        <v>CHM-10</v>
      </c>
      <c r="F11" s="137">
        <f>IFERROR(INDEX(EQA.CAP_Dados!F$2:F$5000,MATCH(ROW()-4,EQA.CAP_Dados!$S$2:$S$5000,0)),"")</f>
        <v>43</v>
      </c>
      <c r="G11" s="138">
        <f>IFERROR(INDEX(EQA.CAP_Dados!G$2:G$5000,MATCH(ROW()-4,EQA.CAP_Dados!$S$2:$S$5000,0)),"")</f>
        <v>34.1</v>
      </c>
      <c r="H11" s="138">
        <f>IFERROR(INDEX(EQA.CAP_Dados!H$2:H$5000,MATCH(ROW()-4,EQA.CAP_Dados!$S$2:$S$5000,0)),"")</f>
        <v>1.7</v>
      </c>
      <c r="I11" s="139">
        <f>IFERROR(INDEX(EQA.CAP_Dados!I$2:I$5000,MATCH(ROW()-4,EQA.CAP_Dados!$S$2:$S$5000,0)),"")</f>
        <v>5.2</v>
      </c>
      <c r="J11" s="137">
        <f>IFERROR(INDEX(EQA.CAP_Dados!J$2:J$5000,MATCH(ROW()-4,EQA.CAP_Dados!$S$2:$S$5000,0)),"")</f>
        <v>27</v>
      </c>
      <c r="K11" s="137">
        <f>IFERROR(INDEX(EQA.CAP_Dados!K$2:K$5000,MATCH(ROW()-4,EQA.CAP_Dados!$S$2:$S$5000,0)),"")</f>
        <v>41</v>
      </c>
      <c r="L11" t="str">
        <f>IFERROR(INDEX(EQA.CAP_Dados!L$2:L$5000,MATCH(ROW()-4,EQA.CAP_Dados!$S$2:$S$5000,0)),"")</f>
        <v>Unacceptable</v>
      </c>
      <c r="M11" s="126">
        <f>IFERROR(INDEX(EQA.CAP_Dados!M$2:M$5000,MATCH(ROW()-4,EQA.CAP_Dados!$S$2:$S$5000,0)),"")</f>
        <v>400</v>
      </c>
      <c r="N11" t="str">
        <f>IFERROR(INDEX(EQA.CAP_Dados!N$2:N$5000,MATCH(ROW()-4,EQA.CAP_Dados!$S$2:$S$5000,0)),"")</f>
        <v>mmol/L</v>
      </c>
      <c r="O11" s="137">
        <f>IFERROR(INDEX(EQA.CAP_Dados!O$2:O$5000,MATCH(ROW()-4,EQA.CAP_Dados!$S$2:$S$5000,0)),"")</f>
        <v>26.09970674486803</v>
      </c>
      <c r="P11" s="137">
        <f>IFERROR(INDEX(EQA.CAP_Dados!P$2:P$5000,MATCH(ROW()-4,EQA.CAP_Dados!$S$2:$S$5000,0)),"")</f>
        <v>26.09970674486803</v>
      </c>
      <c r="Q11" s="126">
        <f>IFERROR(INDEX(EQA.CAP_Dados!Q$2:Q$5000,MATCH(ROW()-4,EQA.CAP_Dados!$S$2:$S$5000,0)),"")</f>
        <v>3</v>
      </c>
      <c r="R11" t="str">
        <f>IFERROR(INDEX(EQA.CAP_Dados!R$2:R$5000,MATCH(ROW()-4,EQA.CAP_Dados!$S$2:$S$5000,0)),"")</f>
        <v>bioquímicia_HID0050_FIOCRUZ_CAP25C-B_Svy (1)(1).pdf</v>
      </c>
    </row>
    <row r="12" spans="1:18" x14ac:dyDescent="0.3">
      <c r="A12" t="str">
        <f>IFERROR(INDEX(EQA.CAP_Dados!A$2:A$5000,MATCH(ROW()-4,EQA.CAP_Dados!$S$2:$S$5000,0)),"")</f>
        <v>CAP</v>
      </c>
      <c r="B12" t="str">
        <f>IFERROR(INDEX(EQA.CAP_Dados!B$2:B$5000,MATCH(ROW()-4,EQA.CAP_Dados!$S$2:$S$5000,0)),"")</f>
        <v>C-B 2025</v>
      </c>
      <c r="C12" s="126">
        <f>IFERROR(INDEX(EQA.CAP_Dados!C$2:C$5000,MATCH(ROW()-4,EQA.CAP_Dados!$S$2:$S$5000,0)),"")</f>
        <v>2025</v>
      </c>
      <c r="D12" t="str">
        <f>IFERROR(INDEX(EQA.CAP_Dados!D$2:D$5000,MATCH(ROW()-4,EQA.CAP_Dados!$S$2:$S$5000,0)),"")</f>
        <v>Chloride</v>
      </c>
      <c r="E12" t="str">
        <f>IFERROR(INDEX(EQA.CAP_Dados!E$2:E$5000,MATCH(ROW()-4,EQA.CAP_Dados!$S$2:$S$5000,0)),"")</f>
        <v>CHM-09</v>
      </c>
      <c r="F12" s="137">
        <f>IFERROR(INDEX(EQA.CAP_Dados!F$2:F$5000,MATCH(ROW()-4,EQA.CAP_Dados!$S$2:$S$5000,0)),"")</f>
        <v>114</v>
      </c>
      <c r="G12" s="138">
        <f>IFERROR(INDEX(EQA.CAP_Dados!G$2:G$5000,MATCH(ROW()-4,EQA.CAP_Dados!$S$2:$S$5000,0)),"")</f>
        <v>107.5</v>
      </c>
      <c r="H12" s="138">
        <f>IFERROR(INDEX(EQA.CAP_Dados!H$2:H$5000,MATCH(ROW()-4,EQA.CAP_Dados!$S$2:$S$5000,0)),"")</f>
        <v>1.4</v>
      </c>
      <c r="I12" s="139">
        <f>IFERROR(INDEX(EQA.CAP_Dados!I$2:I$5000,MATCH(ROW()-4,EQA.CAP_Dados!$S$2:$S$5000,0)),"")</f>
        <v>4.7</v>
      </c>
      <c r="J12" s="137">
        <f>IFERROR(INDEX(EQA.CAP_Dados!J$2:J$5000,MATCH(ROW()-4,EQA.CAP_Dados!$S$2:$S$5000,0)),"")</f>
        <v>102</v>
      </c>
      <c r="K12" s="137">
        <f>IFERROR(INDEX(EQA.CAP_Dados!K$2:K$5000,MATCH(ROW()-4,EQA.CAP_Dados!$S$2:$S$5000,0)),"")</f>
        <v>113</v>
      </c>
      <c r="L12" t="str">
        <f>IFERROR(INDEX(EQA.CAP_Dados!L$2:L$5000,MATCH(ROW()-4,EQA.CAP_Dados!$S$2:$S$5000,0)),"")</f>
        <v>Unacceptable</v>
      </c>
      <c r="M12" s="126">
        <f>IFERROR(INDEX(EQA.CAP_Dados!M$2:M$5000,MATCH(ROW()-4,EQA.CAP_Dados!$S$2:$S$5000,0)),"")</f>
        <v>898</v>
      </c>
      <c r="N12" t="str">
        <f>IFERROR(INDEX(EQA.CAP_Dados!N$2:N$5000,MATCH(ROW()-4,EQA.CAP_Dados!$S$2:$S$5000,0)),"")</f>
        <v>mmol/L</v>
      </c>
      <c r="O12" s="137">
        <f>IFERROR(INDEX(EQA.CAP_Dados!O$2:O$5000,MATCH(ROW()-4,EQA.CAP_Dados!$S$2:$S$5000,0)),"")</f>
        <v>6.0465116279069768</v>
      </c>
      <c r="P12" s="137">
        <f>IFERROR(INDEX(EQA.CAP_Dados!P$2:P$5000,MATCH(ROW()-4,EQA.CAP_Dados!$S$2:$S$5000,0)),"")</f>
        <v>6.0465116279069768</v>
      </c>
      <c r="Q12" s="126">
        <f>IFERROR(INDEX(EQA.CAP_Dados!Q$2:Q$5000,MATCH(ROW()-4,EQA.CAP_Dados!$S$2:$S$5000,0)),"")</f>
        <v>3</v>
      </c>
      <c r="R12" t="str">
        <f>IFERROR(INDEX(EQA.CAP_Dados!R$2:R$5000,MATCH(ROW()-4,EQA.CAP_Dados!$S$2:$S$5000,0)),"")</f>
        <v>bioquímicia_HID0050_FIOCRUZ_CAP25C-B_Svy (1)(1).pdf</v>
      </c>
    </row>
    <row r="13" spans="1:18" x14ac:dyDescent="0.3">
      <c r="A13" t="str">
        <f>IFERROR(INDEX(EQA.CAP_Dados!A$2:A$5000,MATCH(ROW()-4,EQA.CAP_Dados!$S$2:$S$5000,0)),"")</f>
        <v>CAP</v>
      </c>
      <c r="B13" t="str">
        <f>IFERROR(INDEX(EQA.CAP_Dados!B$2:B$5000,MATCH(ROW()-4,EQA.CAP_Dados!$S$2:$S$5000,0)),"")</f>
        <v>C-B 2025</v>
      </c>
      <c r="C13" s="126">
        <f>IFERROR(INDEX(EQA.CAP_Dados!C$2:C$5000,MATCH(ROW()-4,EQA.CAP_Dados!$S$2:$S$5000,0)),"")</f>
        <v>2025</v>
      </c>
      <c r="D13" t="str">
        <f>IFERROR(INDEX(EQA.CAP_Dados!D$2:D$5000,MATCH(ROW()-4,EQA.CAP_Dados!$S$2:$S$5000,0)),"")</f>
        <v>Chloride</v>
      </c>
      <c r="E13" t="str">
        <f>IFERROR(INDEX(EQA.CAP_Dados!E$2:E$5000,MATCH(ROW()-4,EQA.CAP_Dados!$S$2:$S$5000,0)),"")</f>
        <v>CHM-10</v>
      </c>
      <c r="F13" s="137">
        <f>IFERROR(INDEX(EQA.CAP_Dados!F$2:F$5000,MATCH(ROW()-4,EQA.CAP_Dados!$S$2:$S$5000,0)),"")</f>
        <v>112</v>
      </c>
      <c r="G13" s="138">
        <f>IFERROR(INDEX(EQA.CAP_Dados!G$2:G$5000,MATCH(ROW()-4,EQA.CAP_Dados!$S$2:$S$5000,0)),"")</f>
        <v>104.4</v>
      </c>
      <c r="H13" s="138">
        <f>IFERROR(INDEX(EQA.CAP_Dados!H$2:H$5000,MATCH(ROW()-4,EQA.CAP_Dados!$S$2:$S$5000,0)),"")</f>
        <v>1.4</v>
      </c>
      <c r="I13" s="139">
        <f>IFERROR(INDEX(EQA.CAP_Dados!I$2:I$5000,MATCH(ROW()-4,EQA.CAP_Dados!$S$2:$S$5000,0)),"")</f>
        <v>5.4</v>
      </c>
      <c r="J13" s="137">
        <f>IFERROR(INDEX(EQA.CAP_Dados!J$2:J$5000,MATCH(ROW()-4,EQA.CAP_Dados!$S$2:$S$5000,0)),"")</f>
        <v>99</v>
      </c>
      <c r="K13" s="137">
        <f>IFERROR(INDEX(EQA.CAP_Dados!K$2:K$5000,MATCH(ROW()-4,EQA.CAP_Dados!$S$2:$S$5000,0)),"")</f>
        <v>110</v>
      </c>
      <c r="L13" t="str">
        <f>IFERROR(INDEX(EQA.CAP_Dados!L$2:L$5000,MATCH(ROW()-4,EQA.CAP_Dados!$S$2:$S$5000,0)),"")</f>
        <v>Unacceptable</v>
      </c>
      <c r="M13" s="126">
        <f>IFERROR(INDEX(EQA.CAP_Dados!M$2:M$5000,MATCH(ROW()-4,EQA.CAP_Dados!$S$2:$S$5000,0)),"")</f>
        <v>875</v>
      </c>
      <c r="N13" t="str">
        <f>IFERROR(INDEX(EQA.CAP_Dados!N$2:N$5000,MATCH(ROW()-4,EQA.CAP_Dados!$S$2:$S$5000,0)),"")</f>
        <v>mmol/L</v>
      </c>
      <c r="O13" s="137">
        <f>IFERROR(INDEX(EQA.CAP_Dados!O$2:O$5000,MATCH(ROW()-4,EQA.CAP_Dados!$S$2:$S$5000,0)),"")</f>
        <v>7.2796934865900331</v>
      </c>
      <c r="P13" s="137">
        <f>IFERROR(INDEX(EQA.CAP_Dados!P$2:P$5000,MATCH(ROW()-4,EQA.CAP_Dados!$S$2:$S$5000,0)),"")</f>
        <v>7.2796934865900331</v>
      </c>
      <c r="Q13" s="126">
        <f>IFERROR(INDEX(EQA.CAP_Dados!Q$2:Q$5000,MATCH(ROW()-4,EQA.CAP_Dados!$S$2:$S$5000,0)),"")</f>
        <v>3</v>
      </c>
      <c r="R13" t="str">
        <f>IFERROR(INDEX(EQA.CAP_Dados!R$2:R$5000,MATCH(ROW()-4,EQA.CAP_Dados!$S$2:$S$5000,0)),"")</f>
        <v>bioquímicia_HID0050_FIOCRUZ_CAP25C-B_Svy (1)(1).pdf</v>
      </c>
    </row>
    <row r="14" spans="1:18" x14ac:dyDescent="0.3">
      <c r="A14" t="str">
        <f>IFERROR(INDEX(EQA.CAP_Dados!A$2:A$5000,MATCH(ROW()-4,EQA.CAP_Dados!$S$2:$S$5000,0)),"")</f>
        <v>CAP</v>
      </c>
      <c r="B14" t="str">
        <f>IFERROR(INDEX(EQA.CAP_Dados!B$2:B$5000,MATCH(ROW()-4,EQA.CAP_Dados!$S$2:$S$5000,0)),"")</f>
        <v>C-B 2025</v>
      </c>
      <c r="C14" s="126">
        <f>IFERROR(INDEX(EQA.CAP_Dados!C$2:C$5000,MATCH(ROW()-4,EQA.CAP_Dados!$S$2:$S$5000,0)),"")</f>
        <v>2025</v>
      </c>
      <c r="D14" t="str">
        <f>IFERROR(INDEX(EQA.CAP_Dados!D$2:D$5000,MATCH(ROW()-4,EQA.CAP_Dados!$S$2:$S$5000,0)),"")</f>
        <v>Creatine Kinase</v>
      </c>
      <c r="E14" t="str">
        <f>IFERROR(INDEX(EQA.CAP_Dados!E$2:E$5000,MATCH(ROW()-4,EQA.CAP_Dados!$S$2:$S$5000,0)),"")</f>
        <v>CHM-07</v>
      </c>
      <c r="F14" s="137">
        <f>IFERROR(INDEX(EQA.CAP_Dados!F$2:F$5000,MATCH(ROW()-4,EQA.CAP_Dados!$S$2:$S$5000,0)),"")</f>
        <v>15</v>
      </c>
      <c r="G14" s="138">
        <f>IFERROR(INDEX(EQA.CAP_Dados!G$2:G$5000,MATCH(ROW()-4,EQA.CAP_Dados!$S$2:$S$5000,0)),"")</f>
        <v>21.3</v>
      </c>
      <c r="H14" s="138">
        <f>IFERROR(INDEX(EQA.CAP_Dados!H$2:H$5000,MATCH(ROW()-4,EQA.CAP_Dados!$S$2:$S$5000,0)),"")</f>
        <v>2.5</v>
      </c>
      <c r="I14" s="139">
        <f>IFERROR(INDEX(EQA.CAP_Dados!I$2:I$5000,MATCH(ROW()-4,EQA.CAP_Dados!$S$2:$S$5000,0)),"")</f>
        <v>-2.6</v>
      </c>
      <c r="J14" s="137">
        <f>IFERROR(INDEX(EQA.CAP_Dados!J$2:J$5000,MATCH(ROW()-4,EQA.CAP_Dados!$S$2:$S$5000,0)),"")</f>
        <v>17</v>
      </c>
      <c r="K14" s="137">
        <f>IFERROR(INDEX(EQA.CAP_Dados!K$2:K$5000,MATCH(ROW()-4,EQA.CAP_Dados!$S$2:$S$5000,0)),"")</f>
        <v>26</v>
      </c>
      <c r="L14" t="str">
        <f>IFERROR(INDEX(EQA.CAP_Dados!L$2:L$5000,MATCH(ROW()-4,EQA.CAP_Dados!$S$2:$S$5000,0)),"")</f>
        <v>Unacceptable</v>
      </c>
      <c r="M14" s="126">
        <f>IFERROR(INDEX(EQA.CAP_Dados!M$2:M$5000,MATCH(ROW()-4,EQA.CAP_Dados!$S$2:$S$5000,0)),"")</f>
        <v>348</v>
      </c>
      <c r="N14" t="str">
        <f>IFERROR(INDEX(EQA.CAP_Dados!N$2:N$5000,MATCH(ROW()-4,EQA.CAP_Dados!$S$2:$S$5000,0)),"")</f>
        <v>U/L</v>
      </c>
      <c r="O14" s="137">
        <f>IFERROR(INDEX(EQA.CAP_Dados!O$2:O$5000,MATCH(ROW()-4,EQA.CAP_Dados!$S$2:$S$5000,0)),"")</f>
        <v>-29.577464788732399</v>
      </c>
      <c r="P14" s="137">
        <f>IFERROR(INDEX(EQA.CAP_Dados!P$2:P$5000,MATCH(ROW()-4,EQA.CAP_Dados!$S$2:$S$5000,0)),"")</f>
        <v>29.577464788732399</v>
      </c>
      <c r="Q14" s="126">
        <f>IFERROR(INDEX(EQA.CAP_Dados!Q$2:Q$5000,MATCH(ROW()-4,EQA.CAP_Dados!$S$2:$S$5000,0)),"")</f>
        <v>7</v>
      </c>
      <c r="R14" t="str">
        <f>IFERROR(INDEX(EQA.CAP_Dados!R$2:R$5000,MATCH(ROW()-4,EQA.CAP_Dados!$S$2:$S$5000,0)),"")</f>
        <v>bioquímicia_HID0050_FIOCRUZ_CAP25C-B_Svy (1)(1).pdf</v>
      </c>
    </row>
    <row r="15" spans="1:18" x14ac:dyDescent="0.3">
      <c r="A15" t="str">
        <f>IFERROR(INDEX(EQA.CAP_Dados!A$2:A$5000,MATCH(ROW()-4,EQA.CAP_Dados!$S$2:$S$5000,0)),"")</f>
        <v>CAP</v>
      </c>
      <c r="B15" t="str">
        <f>IFERROR(INDEX(EQA.CAP_Dados!B$2:B$5000,MATCH(ROW()-4,EQA.CAP_Dados!$S$2:$S$5000,0)),"")</f>
        <v>C-B 2025</v>
      </c>
      <c r="C15" s="126">
        <f>IFERROR(INDEX(EQA.CAP_Dados!C$2:C$5000,MATCH(ROW()-4,EQA.CAP_Dados!$S$2:$S$5000,0)),"")</f>
        <v>2025</v>
      </c>
      <c r="D15" t="str">
        <f>IFERROR(INDEX(EQA.CAP_Dados!D$2:D$5000,MATCH(ROW()-4,EQA.CAP_Dados!$S$2:$S$5000,0)),"")</f>
        <v>Sodium, serum</v>
      </c>
      <c r="E15" t="str">
        <f>IFERROR(INDEX(EQA.CAP_Dados!E$2:E$5000,MATCH(ROW()-4,EQA.CAP_Dados!$S$2:$S$5000,0)),"")</f>
        <v>CHM-07</v>
      </c>
      <c r="F15" s="137">
        <f>IFERROR(INDEX(EQA.CAP_Dados!F$2:F$5000,MATCH(ROW()-4,EQA.CAP_Dados!$S$2:$S$5000,0)),"")</f>
        <v>149</v>
      </c>
      <c r="G15" s="138">
        <f>IFERROR(INDEX(EQA.CAP_Dados!G$2:G$5000,MATCH(ROW()-4,EQA.CAP_Dados!$S$2:$S$5000,0)),"")</f>
        <v>141.5</v>
      </c>
      <c r="H15" s="138">
        <f>IFERROR(INDEX(EQA.CAP_Dados!H$2:H$5000,MATCH(ROW()-4,EQA.CAP_Dados!$S$2:$S$5000,0)),"")</f>
        <v>2.4</v>
      </c>
      <c r="I15" s="139">
        <f>IFERROR(INDEX(EQA.CAP_Dados!I$2:I$5000,MATCH(ROW()-4,EQA.CAP_Dados!$S$2:$S$5000,0)),"")</f>
        <v>3.1</v>
      </c>
      <c r="J15" s="137">
        <f>IFERROR(INDEX(EQA.CAP_Dados!J$2:J$5000,MATCH(ROW()-4,EQA.CAP_Dados!$S$2:$S$5000,0)),"")</f>
        <v>137</v>
      </c>
      <c r="K15" s="137">
        <f>IFERROR(INDEX(EQA.CAP_Dados!K$2:K$5000,MATCH(ROW()-4,EQA.CAP_Dados!$S$2:$S$5000,0)),"")</f>
        <v>146</v>
      </c>
      <c r="L15" t="str">
        <f>IFERROR(INDEX(EQA.CAP_Dados!L$2:L$5000,MATCH(ROW()-4,EQA.CAP_Dados!$S$2:$S$5000,0)),"")</f>
        <v>Unacceptable</v>
      </c>
      <c r="M15" s="126">
        <f>IFERROR(INDEX(EQA.CAP_Dados!M$2:M$5000,MATCH(ROW()-4,EQA.CAP_Dados!$S$2:$S$5000,0)),"")</f>
        <v>115</v>
      </c>
      <c r="N15" t="str">
        <f>IFERROR(INDEX(EQA.CAP_Dados!N$2:N$5000,MATCH(ROW()-4,EQA.CAP_Dados!$S$2:$S$5000,0)),"")</f>
        <v>mmol/L</v>
      </c>
      <c r="O15" s="137">
        <f>IFERROR(INDEX(EQA.CAP_Dados!O$2:O$5000,MATCH(ROW()-4,EQA.CAP_Dados!$S$2:$S$5000,0)),"")</f>
        <v>5.3003533568904597</v>
      </c>
      <c r="P15" s="137">
        <f>IFERROR(INDEX(EQA.CAP_Dados!P$2:P$5000,MATCH(ROW()-4,EQA.CAP_Dados!$S$2:$S$5000,0)),"")</f>
        <v>5.3003533568904597</v>
      </c>
      <c r="Q15" s="126">
        <f>IFERROR(INDEX(EQA.CAP_Dados!Q$2:Q$5000,MATCH(ROW()-4,EQA.CAP_Dados!$S$2:$S$5000,0)),"")</f>
        <v>5</v>
      </c>
      <c r="R15" t="str">
        <f>IFERROR(INDEX(EQA.CAP_Dados!R$2:R$5000,MATCH(ROW()-4,EQA.CAP_Dados!$S$2:$S$5000,0)),"")</f>
        <v>bioquímicia_HID0050_FIOCRUZ_CAP25C-B_Svy (1)(1).pdf</v>
      </c>
    </row>
    <row r="16" spans="1:18" x14ac:dyDescent="0.3">
      <c r="A16" t="str">
        <f>IFERROR(INDEX(EQA.CAP_Dados!A$2:A$5000,MATCH(ROW()-4,EQA.CAP_Dados!$S$2:$S$5000,0)),"")</f>
        <v>CAP</v>
      </c>
      <c r="B16" t="str">
        <f>IFERROR(INDEX(EQA.CAP_Dados!B$2:B$5000,MATCH(ROW()-4,EQA.CAP_Dados!$S$2:$S$5000,0)),"")</f>
        <v>C-B 2025</v>
      </c>
      <c r="C16" s="126">
        <f>IFERROR(INDEX(EQA.CAP_Dados!C$2:C$5000,MATCH(ROW()-4,EQA.CAP_Dados!$S$2:$S$5000,0)),"")</f>
        <v>2025</v>
      </c>
      <c r="D16" t="str">
        <f>IFERROR(INDEX(EQA.CAP_Dados!D$2:D$5000,MATCH(ROW()-4,EQA.CAP_Dados!$S$2:$S$5000,0)),"")</f>
        <v>Sodium, serum</v>
      </c>
      <c r="E16" t="str">
        <f>IFERROR(INDEX(EQA.CAP_Dados!E$2:E$5000,MATCH(ROW()-4,EQA.CAP_Dados!$S$2:$S$5000,0)),"")</f>
        <v>CHM-08</v>
      </c>
      <c r="F16" s="137">
        <f>IFERROR(INDEX(EQA.CAP_Dados!F$2:F$5000,MATCH(ROW()-4,EQA.CAP_Dados!$S$2:$S$5000,0)),"")</f>
        <v>144</v>
      </c>
      <c r="G16" s="138">
        <f>IFERROR(INDEX(EQA.CAP_Dados!G$2:G$5000,MATCH(ROW()-4,EQA.CAP_Dados!$S$2:$S$5000,0)),"")</f>
        <v>138.80000000000001</v>
      </c>
      <c r="H16" s="138">
        <f>IFERROR(INDEX(EQA.CAP_Dados!H$2:H$5000,MATCH(ROW()-4,EQA.CAP_Dados!$S$2:$S$5000,0)),"")</f>
        <v>1.9</v>
      </c>
      <c r="I16" s="139">
        <f>IFERROR(INDEX(EQA.CAP_Dados!I$2:I$5000,MATCH(ROW()-4,EQA.CAP_Dados!$S$2:$S$5000,0)),"")</f>
        <v>2.8</v>
      </c>
      <c r="J16" s="137">
        <f>IFERROR(INDEX(EQA.CAP_Dados!J$2:J$5000,MATCH(ROW()-4,EQA.CAP_Dados!$S$2:$S$5000,0)),"")</f>
        <v>134</v>
      </c>
      <c r="K16" s="137">
        <f>IFERROR(INDEX(EQA.CAP_Dados!K$2:K$5000,MATCH(ROW()-4,EQA.CAP_Dados!$S$2:$S$5000,0)),"")</f>
        <v>143</v>
      </c>
      <c r="L16" t="str">
        <f>IFERROR(INDEX(EQA.CAP_Dados!L$2:L$5000,MATCH(ROW()-4,EQA.CAP_Dados!$S$2:$S$5000,0)),"")</f>
        <v>Unacceptable</v>
      </c>
      <c r="M16" s="126">
        <f>IFERROR(INDEX(EQA.CAP_Dados!M$2:M$5000,MATCH(ROW()-4,EQA.CAP_Dados!$S$2:$S$5000,0)),"")</f>
        <v>114</v>
      </c>
      <c r="N16" t="str">
        <f>IFERROR(INDEX(EQA.CAP_Dados!N$2:N$5000,MATCH(ROW()-4,EQA.CAP_Dados!$S$2:$S$5000,0)),"")</f>
        <v>mmol/L</v>
      </c>
      <c r="O16" s="137">
        <f>IFERROR(INDEX(EQA.CAP_Dados!O$2:O$5000,MATCH(ROW()-4,EQA.CAP_Dados!$S$2:$S$5000,0)),"")</f>
        <v>3.7463976945244872</v>
      </c>
      <c r="P16" s="137">
        <f>IFERROR(INDEX(EQA.CAP_Dados!P$2:P$5000,MATCH(ROW()-4,EQA.CAP_Dados!$S$2:$S$5000,0)),"")</f>
        <v>3.7463976945244872</v>
      </c>
      <c r="Q16" s="126">
        <f>IFERROR(INDEX(EQA.CAP_Dados!Q$2:Q$5000,MATCH(ROW()-4,EQA.CAP_Dados!$S$2:$S$5000,0)),"")</f>
        <v>5</v>
      </c>
      <c r="R16" t="str">
        <f>IFERROR(INDEX(EQA.CAP_Dados!R$2:R$5000,MATCH(ROW()-4,EQA.CAP_Dados!$S$2:$S$5000,0)),"")</f>
        <v>bioquímicia_HID0050_FIOCRUZ_CAP25C-B_Svy (1)(1).pdf</v>
      </c>
    </row>
    <row r="17" spans="1:18" x14ac:dyDescent="0.3">
      <c r="A17" t="str">
        <f>IFERROR(INDEX(EQA.CAP_Dados!A$2:A$5000,MATCH(ROW()-4,EQA.CAP_Dados!$S$2:$S$5000,0)),"")</f>
        <v>CAP</v>
      </c>
      <c r="B17" t="str">
        <f>IFERROR(INDEX(EQA.CAP_Dados!B$2:B$5000,MATCH(ROW()-4,EQA.CAP_Dados!$S$2:$S$5000,0)),"")</f>
        <v>C-B 2025</v>
      </c>
      <c r="C17" s="126">
        <f>IFERROR(INDEX(EQA.CAP_Dados!C$2:C$5000,MATCH(ROW()-4,EQA.CAP_Dados!$S$2:$S$5000,0)),"")</f>
        <v>2025</v>
      </c>
      <c r="D17" t="str">
        <f>IFERROR(INDEX(EQA.CAP_Dados!D$2:D$5000,MATCH(ROW()-4,EQA.CAP_Dados!$S$2:$S$5000,0)),"")</f>
        <v>Sodium, serum</v>
      </c>
      <c r="E17" t="str">
        <f>IFERROR(INDEX(EQA.CAP_Dados!E$2:E$5000,MATCH(ROW()-4,EQA.CAP_Dados!$S$2:$S$5000,0)),"")</f>
        <v>CHM-09</v>
      </c>
      <c r="F17" s="137">
        <f>IFERROR(INDEX(EQA.CAP_Dados!F$2:F$5000,MATCH(ROW()-4,EQA.CAP_Dados!$S$2:$S$5000,0)),"")</f>
        <v>153</v>
      </c>
      <c r="G17" s="138">
        <f>IFERROR(INDEX(EQA.CAP_Dados!G$2:G$5000,MATCH(ROW()-4,EQA.CAP_Dados!$S$2:$S$5000,0)),"")</f>
        <v>146.9</v>
      </c>
      <c r="H17" s="138">
        <f>IFERROR(INDEX(EQA.CAP_Dados!H$2:H$5000,MATCH(ROW()-4,EQA.CAP_Dados!$S$2:$S$5000,0)),"")</f>
        <v>2.2999999999999998</v>
      </c>
      <c r="I17" s="139">
        <f>IFERROR(INDEX(EQA.CAP_Dados!I$2:I$5000,MATCH(ROW()-4,EQA.CAP_Dados!$S$2:$S$5000,0)),"")</f>
        <v>2.7</v>
      </c>
      <c r="J17" s="137">
        <f>IFERROR(INDEX(EQA.CAP_Dados!J$2:J$5000,MATCH(ROW()-4,EQA.CAP_Dados!$S$2:$S$5000,0)),"")</f>
        <v>142</v>
      </c>
      <c r="K17" s="137">
        <f>IFERROR(INDEX(EQA.CAP_Dados!K$2:K$5000,MATCH(ROW()-4,EQA.CAP_Dados!$S$2:$S$5000,0)),"")</f>
        <v>151</v>
      </c>
      <c r="L17" t="str">
        <f>IFERROR(INDEX(EQA.CAP_Dados!L$2:L$5000,MATCH(ROW()-4,EQA.CAP_Dados!$S$2:$S$5000,0)),"")</f>
        <v>Unacceptable</v>
      </c>
      <c r="M17" s="126">
        <f>IFERROR(INDEX(EQA.CAP_Dados!M$2:M$5000,MATCH(ROW()-4,EQA.CAP_Dados!$S$2:$S$5000,0)),"")</f>
        <v>116</v>
      </c>
      <c r="N17" t="str">
        <f>IFERROR(INDEX(EQA.CAP_Dados!N$2:N$5000,MATCH(ROW()-4,EQA.CAP_Dados!$S$2:$S$5000,0)),"")</f>
        <v>mmol/L</v>
      </c>
      <c r="O17" s="137">
        <f>IFERROR(INDEX(EQA.CAP_Dados!O$2:O$5000,MATCH(ROW()-4,EQA.CAP_Dados!$S$2:$S$5000,0)),"")</f>
        <v>4.1524846834581313</v>
      </c>
      <c r="P17" s="137">
        <f>IFERROR(INDEX(EQA.CAP_Dados!P$2:P$5000,MATCH(ROW()-4,EQA.CAP_Dados!$S$2:$S$5000,0)),"")</f>
        <v>4.1524846834581313</v>
      </c>
      <c r="Q17" s="126">
        <f>IFERROR(INDEX(EQA.CAP_Dados!Q$2:Q$5000,MATCH(ROW()-4,EQA.CAP_Dados!$S$2:$S$5000,0)),"")</f>
        <v>5</v>
      </c>
      <c r="R17" t="str">
        <f>IFERROR(INDEX(EQA.CAP_Dados!R$2:R$5000,MATCH(ROW()-4,EQA.CAP_Dados!$S$2:$S$5000,0)),"")</f>
        <v>bioquímicia_HID0050_FIOCRUZ_CAP25C-B_Svy (1)(1).pdf</v>
      </c>
    </row>
    <row r="18" spans="1:18" x14ac:dyDescent="0.3">
      <c r="A18" t="str">
        <f>IFERROR(INDEX(EQA.CAP_Dados!A$2:A$5000,MATCH(ROW()-4,EQA.CAP_Dados!$S$2:$S$5000,0)),"")</f>
        <v>CAP</v>
      </c>
      <c r="B18" t="str">
        <f>IFERROR(INDEX(EQA.CAP_Dados!B$2:B$5000,MATCH(ROW()-4,EQA.CAP_Dados!$S$2:$S$5000,0)),"")</f>
        <v>C-B 2025</v>
      </c>
      <c r="C18" s="126">
        <f>IFERROR(INDEX(EQA.CAP_Dados!C$2:C$5000,MATCH(ROW()-4,EQA.CAP_Dados!$S$2:$S$5000,0)),"")</f>
        <v>2025</v>
      </c>
      <c r="D18" t="str">
        <f>IFERROR(INDEX(EQA.CAP_Dados!D$2:D$5000,MATCH(ROW()-4,EQA.CAP_Dados!$S$2:$S$5000,0)),"")</f>
        <v>TIBC</v>
      </c>
      <c r="E18" t="str">
        <f>IFERROR(INDEX(EQA.CAP_Dados!E$2:E$5000,MATCH(ROW()-4,EQA.CAP_Dados!$S$2:$S$5000,0)),"")</f>
        <v>CHM-07</v>
      </c>
      <c r="F18" s="137">
        <f>IFERROR(INDEX(EQA.CAP_Dados!F$2:F$5000,MATCH(ROW()-4,EQA.CAP_Dados!$S$2:$S$5000,0)),"")</f>
        <v>43</v>
      </c>
      <c r="G18" s="138">
        <f>IFERROR(INDEX(EQA.CAP_Dados!G$2:G$5000,MATCH(ROW()-4,EQA.CAP_Dados!$S$2:$S$5000,0)),"")</f>
        <v>63.2</v>
      </c>
      <c r="H18" s="138">
        <f>IFERROR(INDEX(EQA.CAP_Dados!H$2:H$5000,MATCH(ROW()-4,EQA.CAP_Dados!$S$2:$S$5000,0)),"")</f>
        <v>8.9</v>
      </c>
      <c r="I18" s="139">
        <f>IFERROR(INDEX(EQA.CAP_Dados!I$2:I$5000,MATCH(ROW()-4,EQA.CAP_Dados!$S$2:$S$5000,0)),"")</f>
        <v>-2.2999999999999998</v>
      </c>
      <c r="J18" s="137">
        <f>IFERROR(INDEX(EQA.CAP_Dados!J$2:J$5000,MATCH(ROW()-4,EQA.CAP_Dados!$S$2:$S$5000,0)),"")</f>
        <v>50</v>
      </c>
      <c r="K18" s="137">
        <f>IFERROR(INDEX(EQA.CAP_Dados!K$2:K$5000,MATCH(ROW()-4,EQA.CAP_Dados!$S$2:$S$5000,0)),"")</f>
        <v>76</v>
      </c>
      <c r="L18" t="str">
        <f>IFERROR(INDEX(EQA.CAP_Dados!L$2:L$5000,MATCH(ROW()-4,EQA.CAP_Dados!$S$2:$S$5000,0)),"")</f>
        <v>Unacceptable</v>
      </c>
      <c r="M18" s="126">
        <f>IFERROR(INDEX(EQA.CAP_Dados!M$2:M$5000,MATCH(ROW()-4,EQA.CAP_Dados!$S$2:$S$5000,0)),"")</f>
        <v>145</v>
      </c>
      <c r="N18" t="str">
        <f>IFERROR(INDEX(EQA.CAP_Dados!N$2:N$5000,MATCH(ROW()-4,EQA.CAP_Dados!$S$2:$S$5000,0)),"")</f>
        <v>ug/dL</v>
      </c>
      <c r="O18" s="137">
        <f>IFERROR(INDEX(EQA.CAP_Dados!O$2:O$5000,MATCH(ROW()-4,EQA.CAP_Dados!$S$2:$S$5000,0)),"")</f>
        <v>-31.962025316455701</v>
      </c>
      <c r="P18" s="137">
        <f>IFERROR(INDEX(EQA.CAP_Dados!P$2:P$5000,MATCH(ROW()-4,EQA.CAP_Dados!$S$2:$S$5000,0)),"")</f>
        <v>31.962025316455701</v>
      </c>
      <c r="Q18" s="126">
        <f>IFERROR(INDEX(EQA.CAP_Dados!Q$2:Q$5000,MATCH(ROW()-4,EQA.CAP_Dados!$S$2:$S$5000,0)),"")</f>
        <v>10</v>
      </c>
      <c r="R18" t="str">
        <f>IFERROR(INDEX(EQA.CAP_Dados!R$2:R$5000,MATCH(ROW()-4,EQA.CAP_Dados!$S$2:$S$5000,0)),"")</f>
        <v>bioquímicia_HID0050_FIOCRUZ_CAP25C-B_Svy (1)(1).pdf</v>
      </c>
    </row>
    <row r="19" spans="1:18" x14ac:dyDescent="0.3">
      <c r="A19" t="str">
        <f>IFERROR(INDEX(EQA.CAP_Dados!A$2:A$5000,MATCH(ROW()-4,EQA.CAP_Dados!$S$2:$S$5000,0)),"")</f>
        <v>CAP</v>
      </c>
      <c r="B19" t="str">
        <f>IFERROR(INDEX(EQA.CAP_Dados!B$2:B$5000,MATCH(ROW()-4,EQA.CAP_Dados!$S$2:$S$5000,0)),"")</f>
        <v>C-C 2025</v>
      </c>
      <c r="C19" s="126">
        <f>IFERROR(INDEX(EQA.CAP_Dados!C$2:C$5000,MATCH(ROW()-4,EQA.CAP_Dados!$S$2:$S$5000,0)),"")</f>
        <v>2025</v>
      </c>
      <c r="D19" t="str">
        <f>IFERROR(INDEX(EQA.CAP_Dados!D$2:D$5000,MATCH(ROW()-4,EQA.CAP_Dados!$S$2:$S$5000,0)),"")</f>
        <v>Glucose, serum</v>
      </c>
      <c r="E19" t="str">
        <f>IFERROR(INDEX(EQA.CAP_Dados!E$2:E$5000,MATCH(ROW()-4,EQA.CAP_Dados!$S$2:$S$5000,0)),"")</f>
        <v>CHM-11</v>
      </c>
      <c r="F19" s="137">
        <f>IFERROR(INDEX(EQA.CAP_Dados!F$2:F$5000,MATCH(ROW()-4,EQA.CAP_Dados!$S$2:$S$5000,0)),"")</f>
        <v>57</v>
      </c>
      <c r="G19" s="138">
        <f>IFERROR(INDEX(EQA.CAP_Dados!G$2:G$5000,MATCH(ROW()-4,EQA.CAP_Dados!$S$2:$S$5000,0)),"")</f>
        <v>63.85</v>
      </c>
      <c r="H19" s="138">
        <f>IFERROR(INDEX(EQA.CAP_Dados!H$2:H$5000,MATCH(ROW()-4,EQA.CAP_Dados!$S$2:$S$5000,0)),"")</f>
        <v>3.61</v>
      </c>
      <c r="I19" s="139">
        <f>IFERROR(INDEX(EQA.CAP_Dados!I$2:I$5000,MATCH(ROW()-4,EQA.CAP_Dados!$S$2:$S$5000,0)),"")</f>
        <v>-1.9</v>
      </c>
      <c r="J19" s="137">
        <f>IFERROR(INDEX(EQA.CAP_Dados!J$2:J$5000,MATCH(ROW()-4,EQA.CAP_Dados!$S$2:$S$5000,0)),"")</f>
        <v>57.8</v>
      </c>
      <c r="K19" s="137">
        <f>IFERROR(INDEX(EQA.CAP_Dados!K$2:K$5000,MATCH(ROW()-4,EQA.CAP_Dados!$S$2:$S$5000,0)),"")</f>
        <v>69.900000000000006</v>
      </c>
      <c r="L19" t="str">
        <f>IFERROR(INDEX(EQA.CAP_Dados!L$2:L$5000,MATCH(ROW()-4,EQA.CAP_Dados!$S$2:$S$5000,0)),"")</f>
        <v>Unacceptable</v>
      </c>
      <c r="M19" s="126">
        <f>IFERROR(INDEX(EQA.CAP_Dados!M$2:M$5000,MATCH(ROW()-4,EQA.CAP_Dados!$S$2:$S$5000,0)),"")</f>
        <v>26</v>
      </c>
      <c r="N19" t="str">
        <f>IFERROR(INDEX(EQA.CAP_Dados!N$2:N$5000,MATCH(ROW()-4,EQA.CAP_Dados!$S$2:$S$5000,0)),"")</f>
        <v>mg/dL</v>
      </c>
      <c r="O19" s="137">
        <f>IFERROR(INDEX(EQA.CAP_Dados!O$2:O$5000,MATCH(ROW()-4,EQA.CAP_Dados!$S$2:$S$5000,0)),"")</f>
        <v>-10.728269381362571</v>
      </c>
      <c r="P19" s="137">
        <f>IFERROR(INDEX(EQA.CAP_Dados!P$2:P$5000,MATCH(ROW()-4,EQA.CAP_Dados!$S$2:$S$5000,0)),"")</f>
        <v>10.728269381362571</v>
      </c>
      <c r="Q19" s="126">
        <f>IFERROR(INDEX(EQA.CAP_Dados!Q$2:Q$5000,MATCH(ROW()-4,EQA.CAP_Dados!$S$2:$S$5000,0)),"")</f>
        <v>4</v>
      </c>
      <c r="R19" t="str">
        <f>IFERROR(INDEX(EQA.CAP_Dados!R$2:R$5000,MATCH(ROW()-4,EQA.CAP_Dados!$S$2:$S$5000,0)),"")</f>
        <v>bioquímicia_HID0050_FIOCRUZ_CAP25C-C_Svy (1).pdf</v>
      </c>
    </row>
    <row r="20" spans="1:18" x14ac:dyDescent="0.3">
      <c r="A20" t="str">
        <f>IFERROR(INDEX(EQA.CAP_Dados!A$2:A$5000,MATCH(ROW()-4,EQA.CAP_Dados!$S$2:$S$5000,0)),"")</f>
        <v/>
      </c>
      <c r="B20" t="str">
        <f>IFERROR(INDEX(EQA.CAP_Dados!B$2:B$5000,MATCH(ROW()-4,EQA.CAP_Dados!$S$2:$S$5000,0)),"")</f>
        <v/>
      </c>
      <c r="C20" s="126" t="str">
        <f>IFERROR(INDEX(EQA.CAP_Dados!C$2:C$5000,MATCH(ROW()-4,EQA.CAP_Dados!$S$2:$S$5000,0)),"")</f>
        <v/>
      </c>
      <c r="D20" t="str">
        <f>IFERROR(INDEX(EQA.CAP_Dados!D$2:D$5000,MATCH(ROW()-4,EQA.CAP_Dados!$S$2:$S$5000,0)),"")</f>
        <v/>
      </c>
      <c r="E20" t="str">
        <f>IFERROR(INDEX(EQA.CAP_Dados!E$2:E$5000,MATCH(ROW()-4,EQA.CAP_Dados!$S$2:$S$5000,0)),"")</f>
        <v/>
      </c>
      <c r="F20" s="137" t="str">
        <f>IFERROR(INDEX(EQA.CAP_Dados!F$2:F$5000,MATCH(ROW()-4,EQA.CAP_Dados!$S$2:$S$5000,0)),"")</f>
        <v/>
      </c>
      <c r="G20" s="138" t="str">
        <f>IFERROR(INDEX(EQA.CAP_Dados!G$2:G$5000,MATCH(ROW()-4,EQA.CAP_Dados!$S$2:$S$5000,0)),"")</f>
        <v/>
      </c>
      <c r="H20" s="138" t="str">
        <f>IFERROR(INDEX(EQA.CAP_Dados!H$2:H$5000,MATCH(ROW()-4,EQA.CAP_Dados!$S$2:$S$5000,0)),"")</f>
        <v/>
      </c>
      <c r="I20" s="139" t="str">
        <f>IFERROR(INDEX(EQA.CAP_Dados!I$2:I$5000,MATCH(ROW()-4,EQA.CAP_Dados!$S$2:$S$5000,0)),"")</f>
        <v/>
      </c>
      <c r="J20" s="137" t="str">
        <f>IFERROR(INDEX(EQA.CAP_Dados!J$2:J$5000,MATCH(ROW()-4,EQA.CAP_Dados!$S$2:$S$5000,0)),"")</f>
        <v/>
      </c>
      <c r="K20" s="137" t="str">
        <f>IFERROR(INDEX(EQA.CAP_Dados!K$2:K$5000,MATCH(ROW()-4,EQA.CAP_Dados!$S$2:$S$5000,0)),"")</f>
        <v/>
      </c>
      <c r="L20" t="str">
        <f>IFERROR(INDEX(EQA.CAP_Dados!L$2:L$5000,MATCH(ROW()-4,EQA.CAP_Dados!$S$2:$S$5000,0)),"")</f>
        <v/>
      </c>
      <c r="M20" s="126" t="str">
        <f>IFERROR(INDEX(EQA.CAP_Dados!M$2:M$5000,MATCH(ROW()-4,EQA.CAP_Dados!$S$2:$S$5000,0)),"")</f>
        <v/>
      </c>
      <c r="N20" t="str">
        <f>IFERROR(INDEX(EQA.CAP_Dados!N$2:N$5000,MATCH(ROW()-4,EQA.CAP_Dados!$S$2:$S$5000,0)),"")</f>
        <v/>
      </c>
      <c r="O20" s="137" t="str">
        <f>IFERROR(INDEX(EQA.CAP_Dados!O$2:O$5000,MATCH(ROW()-4,EQA.CAP_Dados!$S$2:$S$5000,0)),"")</f>
        <v/>
      </c>
      <c r="P20" s="137" t="str">
        <f>IFERROR(INDEX(EQA.CAP_Dados!P$2:P$5000,MATCH(ROW()-4,EQA.CAP_Dados!$S$2:$S$5000,0)),"")</f>
        <v/>
      </c>
      <c r="Q20" s="126" t="str">
        <f>IFERROR(INDEX(EQA.CAP_Dados!Q$2:Q$5000,MATCH(ROW()-4,EQA.CAP_Dados!$S$2:$S$5000,0)),"")</f>
        <v/>
      </c>
      <c r="R20" t="str">
        <f>IFERROR(INDEX(EQA.CAP_Dados!R$2:R$5000,MATCH(ROW()-4,EQA.CAP_Dados!$S$2:$S$5000,0)),"")</f>
        <v/>
      </c>
    </row>
    <row r="21" spans="1:18" x14ac:dyDescent="0.3">
      <c r="A21" t="str">
        <f>IFERROR(INDEX(EQA.CAP_Dados!A$2:A$5000,MATCH(ROW()-4,EQA.CAP_Dados!$S$2:$S$5000,0)),"")</f>
        <v/>
      </c>
      <c r="B21" t="str">
        <f>IFERROR(INDEX(EQA.CAP_Dados!B$2:B$5000,MATCH(ROW()-4,EQA.CAP_Dados!$S$2:$S$5000,0)),"")</f>
        <v/>
      </c>
      <c r="C21" s="126" t="str">
        <f>IFERROR(INDEX(EQA.CAP_Dados!C$2:C$5000,MATCH(ROW()-4,EQA.CAP_Dados!$S$2:$S$5000,0)),"")</f>
        <v/>
      </c>
      <c r="D21" t="str">
        <f>IFERROR(INDEX(EQA.CAP_Dados!D$2:D$5000,MATCH(ROW()-4,EQA.CAP_Dados!$S$2:$S$5000,0)),"")</f>
        <v/>
      </c>
      <c r="E21" t="str">
        <f>IFERROR(INDEX(EQA.CAP_Dados!E$2:E$5000,MATCH(ROW()-4,EQA.CAP_Dados!$S$2:$S$5000,0)),"")</f>
        <v/>
      </c>
      <c r="F21" s="137" t="str">
        <f>IFERROR(INDEX(EQA.CAP_Dados!F$2:F$5000,MATCH(ROW()-4,EQA.CAP_Dados!$S$2:$S$5000,0)),"")</f>
        <v/>
      </c>
      <c r="G21" s="138" t="str">
        <f>IFERROR(INDEX(EQA.CAP_Dados!G$2:G$5000,MATCH(ROW()-4,EQA.CAP_Dados!$S$2:$S$5000,0)),"")</f>
        <v/>
      </c>
      <c r="H21" s="138" t="str">
        <f>IFERROR(INDEX(EQA.CAP_Dados!H$2:H$5000,MATCH(ROW()-4,EQA.CAP_Dados!$S$2:$S$5000,0)),"")</f>
        <v/>
      </c>
      <c r="I21" s="139" t="str">
        <f>IFERROR(INDEX(EQA.CAP_Dados!I$2:I$5000,MATCH(ROW()-4,EQA.CAP_Dados!$S$2:$S$5000,0)),"")</f>
        <v/>
      </c>
      <c r="J21" s="137" t="str">
        <f>IFERROR(INDEX(EQA.CAP_Dados!J$2:J$5000,MATCH(ROW()-4,EQA.CAP_Dados!$S$2:$S$5000,0)),"")</f>
        <v/>
      </c>
      <c r="K21" s="137" t="str">
        <f>IFERROR(INDEX(EQA.CAP_Dados!K$2:K$5000,MATCH(ROW()-4,EQA.CAP_Dados!$S$2:$S$5000,0)),"")</f>
        <v/>
      </c>
      <c r="L21" t="str">
        <f>IFERROR(INDEX(EQA.CAP_Dados!L$2:L$5000,MATCH(ROW()-4,EQA.CAP_Dados!$S$2:$S$5000,0)),"")</f>
        <v/>
      </c>
      <c r="M21" s="126" t="str">
        <f>IFERROR(INDEX(EQA.CAP_Dados!M$2:M$5000,MATCH(ROW()-4,EQA.CAP_Dados!$S$2:$S$5000,0)),"")</f>
        <v/>
      </c>
      <c r="N21" t="str">
        <f>IFERROR(INDEX(EQA.CAP_Dados!N$2:N$5000,MATCH(ROW()-4,EQA.CAP_Dados!$S$2:$S$5000,0)),"")</f>
        <v/>
      </c>
      <c r="O21" s="137" t="str">
        <f>IFERROR(INDEX(EQA.CAP_Dados!O$2:O$5000,MATCH(ROW()-4,EQA.CAP_Dados!$S$2:$S$5000,0)),"")</f>
        <v/>
      </c>
      <c r="P21" s="137" t="str">
        <f>IFERROR(INDEX(EQA.CAP_Dados!P$2:P$5000,MATCH(ROW()-4,EQA.CAP_Dados!$S$2:$S$5000,0)),"")</f>
        <v/>
      </c>
      <c r="Q21" s="126" t="str">
        <f>IFERROR(INDEX(EQA.CAP_Dados!Q$2:Q$5000,MATCH(ROW()-4,EQA.CAP_Dados!$S$2:$S$5000,0)),"")</f>
        <v/>
      </c>
      <c r="R21" t="str">
        <f>IFERROR(INDEX(EQA.CAP_Dados!R$2:R$5000,MATCH(ROW()-4,EQA.CAP_Dados!$S$2:$S$5000,0)),"")</f>
        <v/>
      </c>
    </row>
    <row r="22" spans="1:18" x14ac:dyDescent="0.3">
      <c r="A22" t="str">
        <f>IFERROR(INDEX(EQA.CAP_Dados!A$2:A$5000,MATCH(ROW()-4,EQA.CAP_Dados!$S$2:$S$5000,0)),"")</f>
        <v/>
      </c>
      <c r="B22" t="str">
        <f>IFERROR(INDEX(EQA.CAP_Dados!B$2:B$5000,MATCH(ROW()-4,EQA.CAP_Dados!$S$2:$S$5000,0)),"")</f>
        <v/>
      </c>
      <c r="C22" s="126" t="str">
        <f>IFERROR(INDEX(EQA.CAP_Dados!C$2:C$5000,MATCH(ROW()-4,EQA.CAP_Dados!$S$2:$S$5000,0)),"")</f>
        <v/>
      </c>
      <c r="D22" t="str">
        <f>IFERROR(INDEX(EQA.CAP_Dados!D$2:D$5000,MATCH(ROW()-4,EQA.CAP_Dados!$S$2:$S$5000,0)),"")</f>
        <v/>
      </c>
      <c r="E22" t="str">
        <f>IFERROR(INDEX(EQA.CAP_Dados!E$2:E$5000,MATCH(ROW()-4,EQA.CAP_Dados!$S$2:$S$5000,0)),"")</f>
        <v/>
      </c>
      <c r="F22" s="137" t="str">
        <f>IFERROR(INDEX(EQA.CAP_Dados!F$2:F$5000,MATCH(ROW()-4,EQA.CAP_Dados!$S$2:$S$5000,0)),"")</f>
        <v/>
      </c>
      <c r="G22" s="138" t="str">
        <f>IFERROR(INDEX(EQA.CAP_Dados!G$2:G$5000,MATCH(ROW()-4,EQA.CAP_Dados!$S$2:$S$5000,0)),"")</f>
        <v/>
      </c>
      <c r="H22" s="138" t="str">
        <f>IFERROR(INDEX(EQA.CAP_Dados!H$2:H$5000,MATCH(ROW()-4,EQA.CAP_Dados!$S$2:$S$5000,0)),"")</f>
        <v/>
      </c>
      <c r="I22" s="139" t="str">
        <f>IFERROR(INDEX(EQA.CAP_Dados!I$2:I$5000,MATCH(ROW()-4,EQA.CAP_Dados!$S$2:$S$5000,0)),"")</f>
        <v/>
      </c>
      <c r="J22" s="137" t="str">
        <f>IFERROR(INDEX(EQA.CAP_Dados!J$2:J$5000,MATCH(ROW()-4,EQA.CAP_Dados!$S$2:$S$5000,0)),"")</f>
        <v/>
      </c>
      <c r="K22" s="137" t="str">
        <f>IFERROR(INDEX(EQA.CAP_Dados!K$2:K$5000,MATCH(ROW()-4,EQA.CAP_Dados!$S$2:$S$5000,0)),"")</f>
        <v/>
      </c>
      <c r="L22" t="str">
        <f>IFERROR(INDEX(EQA.CAP_Dados!L$2:L$5000,MATCH(ROW()-4,EQA.CAP_Dados!$S$2:$S$5000,0)),"")</f>
        <v/>
      </c>
      <c r="M22" s="126" t="str">
        <f>IFERROR(INDEX(EQA.CAP_Dados!M$2:M$5000,MATCH(ROW()-4,EQA.CAP_Dados!$S$2:$S$5000,0)),"")</f>
        <v/>
      </c>
      <c r="N22" t="str">
        <f>IFERROR(INDEX(EQA.CAP_Dados!N$2:N$5000,MATCH(ROW()-4,EQA.CAP_Dados!$S$2:$S$5000,0)),"")</f>
        <v/>
      </c>
      <c r="O22" s="137" t="str">
        <f>IFERROR(INDEX(EQA.CAP_Dados!O$2:O$5000,MATCH(ROW()-4,EQA.CAP_Dados!$S$2:$S$5000,0)),"")</f>
        <v/>
      </c>
      <c r="P22" s="137" t="str">
        <f>IFERROR(INDEX(EQA.CAP_Dados!P$2:P$5000,MATCH(ROW()-4,EQA.CAP_Dados!$S$2:$S$5000,0)),"")</f>
        <v/>
      </c>
      <c r="Q22" s="126" t="str">
        <f>IFERROR(INDEX(EQA.CAP_Dados!Q$2:Q$5000,MATCH(ROW()-4,EQA.CAP_Dados!$S$2:$S$5000,0)),"")</f>
        <v/>
      </c>
      <c r="R22" t="str">
        <f>IFERROR(INDEX(EQA.CAP_Dados!R$2:R$5000,MATCH(ROW()-4,EQA.CAP_Dados!$S$2:$S$5000,0)),"")</f>
        <v/>
      </c>
    </row>
    <row r="23" spans="1:18" x14ac:dyDescent="0.3">
      <c r="A23" t="str">
        <f>IFERROR(INDEX(EQA.CAP_Dados!A$2:A$5000,MATCH(ROW()-4,EQA.CAP_Dados!$S$2:$S$5000,0)),"")</f>
        <v/>
      </c>
      <c r="B23" t="str">
        <f>IFERROR(INDEX(EQA.CAP_Dados!B$2:B$5000,MATCH(ROW()-4,EQA.CAP_Dados!$S$2:$S$5000,0)),"")</f>
        <v/>
      </c>
      <c r="C23" s="126" t="str">
        <f>IFERROR(INDEX(EQA.CAP_Dados!C$2:C$5000,MATCH(ROW()-4,EQA.CAP_Dados!$S$2:$S$5000,0)),"")</f>
        <v/>
      </c>
      <c r="D23" t="str">
        <f>IFERROR(INDEX(EQA.CAP_Dados!D$2:D$5000,MATCH(ROW()-4,EQA.CAP_Dados!$S$2:$S$5000,0)),"")</f>
        <v/>
      </c>
      <c r="E23" t="str">
        <f>IFERROR(INDEX(EQA.CAP_Dados!E$2:E$5000,MATCH(ROW()-4,EQA.CAP_Dados!$S$2:$S$5000,0)),"")</f>
        <v/>
      </c>
      <c r="F23" s="137" t="str">
        <f>IFERROR(INDEX(EQA.CAP_Dados!F$2:F$5000,MATCH(ROW()-4,EQA.CAP_Dados!$S$2:$S$5000,0)),"")</f>
        <v/>
      </c>
      <c r="G23" s="138" t="str">
        <f>IFERROR(INDEX(EQA.CAP_Dados!G$2:G$5000,MATCH(ROW()-4,EQA.CAP_Dados!$S$2:$S$5000,0)),"")</f>
        <v/>
      </c>
      <c r="H23" s="138" t="str">
        <f>IFERROR(INDEX(EQA.CAP_Dados!H$2:H$5000,MATCH(ROW()-4,EQA.CAP_Dados!$S$2:$S$5000,0)),"")</f>
        <v/>
      </c>
      <c r="I23" s="139" t="str">
        <f>IFERROR(INDEX(EQA.CAP_Dados!I$2:I$5000,MATCH(ROW()-4,EQA.CAP_Dados!$S$2:$S$5000,0)),"")</f>
        <v/>
      </c>
      <c r="J23" s="137" t="str">
        <f>IFERROR(INDEX(EQA.CAP_Dados!J$2:J$5000,MATCH(ROW()-4,EQA.CAP_Dados!$S$2:$S$5000,0)),"")</f>
        <v/>
      </c>
      <c r="K23" s="137" t="str">
        <f>IFERROR(INDEX(EQA.CAP_Dados!K$2:K$5000,MATCH(ROW()-4,EQA.CAP_Dados!$S$2:$S$5000,0)),"")</f>
        <v/>
      </c>
      <c r="L23" t="str">
        <f>IFERROR(INDEX(EQA.CAP_Dados!L$2:L$5000,MATCH(ROW()-4,EQA.CAP_Dados!$S$2:$S$5000,0)),"")</f>
        <v/>
      </c>
      <c r="M23" s="126" t="str">
        <f>IFERROR(INDEX(EQA.CAP_Dados!M$2:M$5000,MATCH(ROW()-4,EQA.CAP_Dados!$S$2:$S$5000,0)),"")</f>
        <v/>
      </c>
      <c r="N23" t="str">
        <f>IFERROR(INDEX(EQA.CAP_Dados!N$2:N$5000,MATCH(ROW()-4,EQA.CAP_Dados!$S$2:$S$5000,0)),"")</f>
        <v/>
      </c>
      <c r="O23" s="137" t="str">
        <f>IFERROR(INDEX(EQA.CAP_Dados!O$2:O$5000,MATCH(ROW()-4,EQA.CAP_Dados!$S$2:$S$5000,0)),"")</f>
        <v/>
      </c>
      <c r="P23" s="137" t="str">
        <f>IFERROR(INDEX(EQA.CAP_Dados!P$2:P$5000,MATCH(ROW()-4,EQA.CAP_Dados!$S$2:$S$5000,0)),"")</f>
        <v/>
      </c>
      <c r="Q23" s="126" t="str">
        <f>IFERROR(INDEX(EQA.CAP_Dados!Q$2:Q$5000,MATCH(ROW()-4,EQA.CAP_Dados!$S$2:$S$5000,0)),"")</f>
        <v/>
      </c>
      <c r="R23" t="str">
        <f>IFERROR(INDEX(EQA.CAP_Dados!R$2:R$5000,MATCH(ROW()-4,EQA.CAP_Dados!$S$2:$S$5000,0)),"")</f>
        <v/>
      </c>
    </row>
    <row r="24" spans="1:18" x14ac:dyDescent="0.3">
      <c r="A24" t="str">
        <f>IFERROR(INDEX(EQA.CAP_Dados!A$2:A$5000,MATCH(ROW()-4,EQA.CAP_Dados!$S$2:$S$5000,0)),"")</f>
        <v/>
      </c>
      <c r="B24" t="str">
        <f>IFERROR(INDEX(EQA.CAP_Dados!B$2:B$5000,MATCH(ROW()-4,EQA.CAP_Dados!$S$2:$S$5000,0)),"")</f>
        <v/>
      </c>
      <c r="C24" s="126" t="str">
        <f>IFERROR(INDEX(EQA.CAP_Dados!C$2:C$5000,MATCH(ROW()-4,EQA.CAP_Dados!$S$2:$S$5000,0)),"")</f>
        <v/>
      </c>
      <c r="D24" t="str">
        <f>IFERROR(INDEX(EQA.CAP_Dados!D$2:D$5000,MATCH(ROW()-4,EQA.CAP_Dados!$S$2:$S$5000,0)),"")</f>
        <v/>
      </c>
      <c r="E24" t="str">
        <f>IFERROR(INDEX(EQA.CAP_Dados!E$2:E$5000,MATCH(ROW()-4,EQA.CAP_Dados!$S$2:$S$5000,0)),"")</f>
        <v/>
      </c>
      <c r="F24" s="137" t="str">
        <f>IFERROR(INDEX(EQA.CAP_Dados!F$2:F$5000,MATCH(ROW()-4,EQA.CAP_Dados!$S$2:$S$5000,0)),"")</f>
        <v/>
      </c>
      <c r="G24" s="138" t="str">
        <f>IFERROR(INDEX(EQA.CAP_Dados!G$2:G$5000,MATCH(ROW()-4,EQA.CAP_Dados!$S$2:$S$5000,0)),"")</f>
        <v/>
      </c>
      <c r="H24" s="138" t="str">
        <f>IFERROR(INDEX(EQA.CAP_Dados!H$2:H$5000,MATCH(ROW()-4,EQA.CAP_Dados!$S$2:$S$5000,0)),"")</f>
        <v/>
      </c>
      <c r="I24" s="139" t="str">
        <f>IFERROR(INDEX(EQA.CAP_Dados!I$2:I$5000,MATCH(ROW()-4,EQA.CAP_Dados!$S$2:$S$5000,0)),"")</f>
        <v/>
      </c>
      <c r="J24" s="137" t="str">
        <f>IFERROR(INDEX(EQA.CAP_Dados!J$2:J$5000,MATCH(ROW()-4,EQA.CAP_Dados!$S$2:$S$5000,0)),"")</f>
        <v/>
      </c>
      <c r="K24" s="137" t="str">
        <f>IFERROR(INDEX(EQA.CAP_Dados!K$2:K$5000,MATCH(ROW()-4,EQA.CAP_Dados!$S$2:$S$5000,0)),"")</f>
        <v/>
      </c>
      <c r="L24" t="str">
        <f>IFERROR(INDEX(EQA.CAP_Dados!L$2:L$5000,MATCH(ROW()-4,EQA.CAP_Dados!$S$2:$S$5000,0)),"")</f>
        <v/>
      </c>
      <c r="M24" s="126" t="str">
        <f>IFERROR(INDEX(EQA.CAP_Dados!M$2:M$5000,MATCH(ROW()-4,EQA.CAP_Dados!$S$2:$S$5000,0)),"")</f>
        <v/>
      </c>
      <c r="N24" t="str">
        <f>IFERROR(INDEX(EQA.CAP_Dados!N$2:N$5000,MATCH(ROW()-4,EQA.CAP_Dados!$S$2:$S$5000,0)),"")</f>
        <v/>
      </c>
      <c r="O24" s="137" t="str">
        <f>IFERROR(INDEX(EQA.CAP_Dados!O$2:O$5000,MATCH(ROW()-4,EQA.CAP_Dados!$S$2:$S$5000,0)),"")</f>
        <v/>
      </c>
      <c r="P24" s="137" t="str">
        <f>IFERROR(INDEX(EQA.CAP_Dados!P$2:P$5000,MATCH(ROW()-4,EQA.CAP_Dados!$S$2:$S$5000,0)),"")</f>
        <v/>
      </c>
      <c r="Q24" s="126" t="str">
        <f>IFERROR(INDEX(EQA.CAP_Dados!Q$2:Q$5000,MATCH(ROW()-4,EQA.CAP_Dados!$S$2:$S$5000,0)),"")</f>
        <v/>
      </c>
      <c r="R24" t="str">
        <f>IFERROR(INDEX(EQA.CAP_Dados!R$2:R$5000,MATCH(ROW()-4,EQA.CAP_Dados!$S$2:$S$5000,0)),"")</f>
        <v/>
      </c>
    </row>
    <row r="25" spans="1:18" x14ac:dyDescent="0.3">
      <c r="A25" t="str">
        <f>IFERROR(INDEX(EQA.CAP_Dados!A$2:A$5000,MATCH(ROW()-4,EQA.CAP_Dados!$S$2:$S$5000,0)),"")</f>
        <v/>
      </c>
      <c r="B25" t="str">
        <f>IFERROR(INDEX(EQA.CAP_Dados!B$2:B$5000,MATCH(ROW()-4,EQA.CAP_Dados!$S$2:$S$5000,0)),"")</f>
        <v/>
      </c>
      <c r="C25" s="126" t="str">
        <f>IFERROR(INDEX(EQA.CAP_Dados!C$2:C$5000,MATCH(ROW()-4,EQA.CAP_Dados!$S$2:$S$5000,0)),"")</f>
        <v/>
      </c>
      <c r="D25" t="str">
        <f>IFERROR(INDEX(EQA.CAP_Dados!D$2:D$5000,MATCH(ROW()-4,EQA.CAP_Dados!$S$2:$S$5000,0)),"")</f>
        <v/>
      </c>
      <c r="E25" t="str">
        <f>IFERROR(INDEX(EQA.CAP_Dados!E$2:E$5000,MATCH(ROW()-4,EQA.CAP_Dados!$S$2:$S$5000,0)),"")</f>
        <v/>
      </c>
      <c r="F25" s="137" t="str">
        <f>IFERROR(INDEX(EQA.CAP_Dados!F$2:F$5000,MATCH(ROW()-4,EQA.CAP_Dados!$S$2:$S$5000,0)),"")</f>
        <v/>
      </c>
      <c r="G25" s="138" t="str">
        <f>IFERROR(INDEX(EQA.CAP_Dados!G$2:G$5000,MATCH(ROW()-4,EQA.CAP_Dados!$S$2:$S$5000,0)),"")</f>
        <v/>
      </c>
      <c r="H25" s="138" t="str">
        <f>IFERROR(INDEX(EQA.CAP_Dados!H$2:H$5000,MATCH(ROW()-4,EQA.CAP_Dados!$S$2:$S$5000,0)),"")</f>
        <v/>
      </c>
      <c r="I25" s="139" t="str">
        <f>IFERROR(INDEX(EQA.CAP_Dados!I$2:I$5000,MATCH(ROW()-4,EQA.CAP_Dados!$S$2:$S$5000,0)),"")</f>
        <v/>
      </c>
      <c r="J25" s="137" t="str">
        <f>IFERROR(INDEX(EQA.CAP_Dados!J$2:J$5000,MATCH(ROW()-4,EQA.CAP_Dados!$S$2:$S$5000,0)),"")</f>
        <v/>
      </c>
      <c r="K25" s="137" t="str">
        <f>IFERROR(INDEX(EQA.CAP_Dados!K$2:K$5000,MATCH(ROW()-4,EQA.CAP_Dados!$S$2:$S$5000,0)),"")</f>
        <v/>
      </c>
      <c r="L25" t="str">
        <f>IFERROR(INDEX(EQA.CAP_Dados!L$2:L$5000,MATCH(ROW()-4,EQA.CAP_Dados!$S$2:$S$5000,0)),"")</f>
        <v/>
      </c>
      <c r="M25" s="126" t="str">
        <f>IFERROR(INDEX(EQA.CAP_Dados!M$2:M$5000,MATCH(ROW()-4,EQA.CAP_Dados!$S$2:$S$5000,0)),"")</f>
        <v/>
      </c>
      <c r="N25" t="str">
        <f>IFERROR(INDEX(EQA.CAP_Dados!N$2:N$5000,MATCH(ROW()-4,EQA.CAP_Dados!$S$2:$S$5000,0)),"")</f>
        <v/>
      </c>
      <c r="O25" s="137" t="str">
        <f>IFERROR(INDEX(EQA.CAP_Dados!O$2:O$5000,MATCH(ROW()-4,EQA.CAP_Dados!$S$2:$S$5000,0)),"")</f>
        <v/>
      </c>
      <c r="P25" s="137" t="str">
        <f>IFERROR(INDEX(EQA.CAP_Dados!P$2:P$5000,MATCH(ROW()-4,EQA.CAP_Dados!$S$2:$S$5000,0)),"")</f>
        <v/>
      </c>
      <c r="Q25" s="126" t="str">
        <f>IFERROR(INDEX(EQA.CAP_Dados!Q$2:Q$5000,MATCH(ROW()-4,EQA.CAP_Dados!$S$2:$S$5000,0)),"")</f>
        <v/>
      </c>
      <c r="R25" t="str">
        <f>IFERROR(INDEX(EQA.CAP_Dados!R$2:R$5000,MATCH(ROW()-4,EQA.CAP_Dados!$S$2:$S$5000,0)),"")</f>
        <v/>
      </c>
    </row>
    <row r="26" spans="1:18" x14ac:dyDescent="0.3">
      <c r="A26" t="str">
        <f>IFERROR(INDEX(EQA.CAP_Dados!A$2:A$5000,MATCH(ROW()-4,EQA.CAP_Dados!$S$2:$S$5000,0)),"")</f>
        <v/>
      </c>
      <c r="B26" t="str">
        <f>IFERROR(INDEX(EQA.CAP_Dados!B$2:B$5000,MATCH(ROW()-4,EQA.CAP_Dados!$S$2:$S$5000,0)),"")</f>
        <v/>
      </c>
      <c r="C26" s="126" t="str">
        <f>IFERROR(INDEX(EQA.CAP_Dados!C$2:C$5000,MATCH(ROW()-4,EQA.CAP_Dados!$S$2:$S$5000,0)),"")</f>
        <v/>
      </c>
      <c r="D26" t="str">
        <f>IFERROR(INDEX(EQA.CAP_Dados!D$2:D$5000,MATCH(ROW()-4,EQA.CAP_Dados!$S$2:$S$5000,0)),"")</f>
        <v/>
      </c>
      <c r="E26" t="str">
        <f>IFERROR(INDEX(EQA.CAP_Dados!E$2:E$5000,MATCH(ROW()-4,EQA.CAP_Dados!$S$2:$S$5000,0)),"")</f>
        <v/>
      </c>
      <c r="F26" s="137" t="str">
        <f>IFERROR(INDEX(EQA.CAP_Dados!F$2:F$5000,MATCH(ROW()-4,EQA.CAP_Dados!$S$2:$S$5000,0)),"")</f>
        <v/>
      </c>
      <c r="G26" s="138" t="str">
        <f>IFERROR(INDEX(EQA.CAP_Dados!G$2:G$5000,MATCH(ROW()-4,EQA.CAP_Dados!$S$2:$S$5000,0)),"")</f>
        <v/>
      </c>
      <c r="H26" s="138" t="str">
        <f>IFERROR(INDEX(EQA.CAP_Dados!H$2:H$5000,MATCH(ROW()-4,EQA.CAP_Dados!$S$2:$S$5000,0)),"")</f>
        <v/>
      </c>
      <c r="I26" s="139" t="str">
        <f>IFERROR(INDEX(EQA.CAP_Dados!I$2:I$5000,MATCH(ROW()-4,EQA.CAP_Dados!$S$2:$S$5000,0)),"")</f>
        <v/>
      </c>
      <c r="J26" s="137" t="str">
        <f>IFERROR(INDEX(EQA.CAP_Dados!J$2:J$5000,MATCH(ROW()-4,EQA.CAP_Dados!$S$2:$S$5000,0)),"")</f>
        <v/>
      </c>
      <c r="K26" s="137" t="str">
        <f>IFERROR(INDEX(EQA.CAP_Dados!K$2:K$5000,MATCH(ROW()-4,EQA.CAP_Dados!$S$2:$S$5000,0)),"")</f>
        <v/>
      </c>
      <c r="L26" t="str">
        <f>IFERROR(INDEX(EQA.CAP_Dados!L$2:L$5000,MATCH(ROW()-4,EQA.CAP_Dados!$S$2:$S$5000,0)),"")</f>
        <v/>
      </c>
      <c r="M26" s="126" t="str">
        <f>IFERROR(INDEX(EQA.CAP_Dados!M$2:M$5000,MATCH(ROW()-4,EQA.CAP_Dados!$S$2:$S$5000,0)),"")</f>
        <v/>
      </c>
      <c r="N26" t="str">
        <f>IFERROR(INDEX(EQA.CAP_Dados!N$2:N$5000,MATCH(ROW()-4,EQA.CAP_Dados!$S$2:$S$5000,0)),"")</f>
        <v/>
      </c>
      <c r="O26" s="137" t="str">
        <f>IFERROR(INDEX(EQA.CAP_Dados!O$2:O$5000,MATCH(ROW()-4,EQA.CAP_Dados!$S$2:$S$5000,0)),"")</f>
        <v/>
      </c>
      <c r="P26" s="137" t="str">
        <f>IFERROR(INDEX(EQA.CAP_Dados!P$2:P$5000,MATCH(ROW()-4,EQA.CAP_Dados!$S$2:$S$5000,0)),"")</f>
        <v/>
      </c>
      <c r="Q26" s="126" t="str">
        <f>IFERROR(INDEX(EQA.CAP_Dados!Q$2:Q$5000,MATCH(ROW()-4,EQA.CAP_Dados!$S$2:$S$5000,0)),"")</f>
        <v/>
      </c>
      <c r="R26" t="str">
        <f>IFERROR(INDEX(EQA.CAP_Dados!R$2:R$5000,MATCH(ROW()-4,EQA.CAP_Dados!$S$2:$S$5000,0)),"")</f>
        <v/>
      </c>
    </row>
    <row r="27" spans="1:18" x14ac:dyDescent="0.3">
      <c r="A27" t="str">
        <f>IFERROR(INDEX(EQA.CAP_Dados!A$2:A$5000,MATCH(ROW()-4,EQA.CAP_Dados!$S$2:$S$5000,0)),"")</f>
        <v/>
      </c>
      <c r="B27" t="str">
        <f>IFERROR(INDEX(EQA.CAP_Dados!B$2:B$5000,MATCH(ROW()-4,EQA.CAP_Dados!$S$2:$S$5000,0)),"")</f>
        <v/>
      </c>
      <c r="C27" s="126" t="str">
        <f>IFERROR(INDEX(EQA.CAP_Dados!C$2:C$5000,MATCH(ROW()-4,EQA.CAP_Dados!$S$2:$S$5000,0)),"")</f>
        <v/>
      </c>
      <c r="D27" t="str">
        <f>IFERROR(INDEX(EQA.CAP_Dados!D$2:D$5000,MATCH(ROW()-4,EQA.CAP_Dados!$S$2:$S$5000,0)),"")</f>
        <v/>
      </c>
      <c r="E27" t="str">
        <f>IFERROR(INDEX(EQA.CAP_Dados!E$2:E$5000,MATCH(ROW()-4,EQA.CAP_Dados!$S$2:$S$5000,0)),"")</f>
        <v/>
      </c>
      <c r="F27" s="137" t="str">
        <f>IFERROR(INDEX(EQA.CAP_Dados!F$2:F$5000,MATCH(ROW()-4,EQA.CAP_Dados!$S$2:$S$5000,0)),"")</f>
        <v/>
      </c>
      <c r="G27" s="138" t="str">
        <f>IFERROR(INDEX(EQA.CAP_Dados!G$2:G$5000,MATCH(ROW()-4,EQA.CAP_Dados!$S$2:$S$5000,0)),"")</f>
        <v/>
      </c>
      <c r="H27" s="138" t="str">
        <f>IFERROR(INDEX(EQA.CAP_Dados!H$2:H$5000,MATCH(ROW()-4,EQA.CAP_Dados!$S$2:$S$5000,0)),"")</f>
        <v/>
      </c>
      <c r="I27" s="139" t="str">
        <f>IFERROR(INDEX(EQA.CAP_Dados!I$2:I$5000,MATCH(ROW()-4,EQA.CAP_Dados!$S$2:$S$5000,0)),"")</f>
        <v/>
      </c>
      <c r="J27" s="137" t="str">
        <f>IFERROR(INDEX(EQA.CAP_Dados!J$2:J$5000,MATCH(ROW()-4,EQA.CAP_Dados!$S$2:$S$5000,0)),"")</f>
        <v/>
      </c>
      <c r="K27" s="137" t="str">
        <f>IFERROR(INDEX(EQA.CAP_Dados!K$2:K$5000,MATCH(ROW()-4,EQA.CAP_Dados!$S$2:$S$5000,0)),"")</f>
        <v/>
      </c>
      <c r="L27" t="str">
        <f>IFERROR(INDEX(EQA.CAP_Dados!L$2:L$5000,MATCH(ROW()-4,EQA.CAP_Dados!$S$2:$S$5000,0)),"")</f>
        <v/>
      </c>
      <c r="M27" s="126" t="str">
        <f>IFERROR(INDEX(EQA.CAP_Dados!M$2:M$5000,MATCH(ROW()-4,EQA.CAP_Dados!$S$2:$S$5000,0)),"")</f>
        <v/>
      </c>
      <c r="N27" t="str">
        <f>IFERROR(INDEX(EQA.CAP_Dados!N$2:N$5000,MATCH(ROW()-4,EQA.CAP_Dados!$S$2:$S$5000,0)),"")</f>
        <v/>
      </c>
      <c r="O27" s="137" t="str">
        <f>IFERROR(INDEX(EQA.CAP_Dados!O$2:O$5000,MATCH(ROW()-4,EQA.CAP_Dados!$S$2:$S$5000,0)),"")</f>
        <v/>
      </c>
      <c r="P27" s="137" t="str">
        <f>IFERROR(INDEX(EQA.CAP_Dados!P$2:P$5000,MATCH(ROW()-4,EQA.CAP_Dados!$S$2:$S$5000,0)),"")</f>
        <v/>
      </c>
      <c r="Q27" s="126" t="str">
        <f>IFERROR(INDEX(EQA.CAP_Dados!Q$2:Q$5000,MATCH(ROW()-4,EQA.CAP_Dados!$S$2:$S$5000,0)),"")</f>
        <v/>
      </c>
      <c r="R27" t="str">
        <f>IFERROR(INDEX(EQA.CAP_Dados!R$2:R$5000,MATCH(ROW()-4,EQA.CAP_Dados!$S$2:$S$5000,0)),"")</f>
        <v/>
      </c>
    </row>
    <row r="28" spans="1:18" x14ac:dyDescent="0.3">
      <c r="A28" t="str">
        <f>IFERROR(INDEX(EQA.CAP_Dados!A$2:A$5000,MATCH(ROW()-4,EQA.CAP_Dados!$S$2:$S$5000,0)),"")</f>
        <v/>
      </c>
      <c r="B28" t="str">
        <f>IFERROR(INDEX(EQA.CAP_Dados!B$2:B$5000,MATCH(ROW()-4,EQA.CAP_Dados!$S$2:$S$5000,0)),"")</f>
        <v/>
      </c>
      <c r="C28" s="126" t="str">
        <f>IFERROR(INDEX(EQA.CAP_Dados!C$2:C$5000,MATCH(ROW()-4,EQA.CAP_Dados!$S$2:$S$5000,0)),"")</f>
        <v/>
      </c>
      <c r="D28" t="str">
        <f>IFERROR(INDEX(EQA.CAP_Dados!D$2:D$5000,MATCH(ROW()-4,EQA.CAP_Dados!$S$2:$S$5000,0)),"")</f>
        <v/>
      </c>
      <c r="E28" t="str">
        <f>IFERROR(INDEX(EQA.CAP_Dados!E$2:E$5000,MATCH(ROW()-4,EQA.CAP_Dados!$S$2:$S$5000,0)),"")</f>
        <v/>
      </c>
      <c r="F28" s="137" t="str">
        <f>IFERROR(INDEX(EQA.CAP_Dados!F$2:F$5000,MATCH(ROW()-4,EQA.CAP_Dados!$S$2:$S$5000,0)),"")</f>
        <v/>
      </c>
      <c r="G28" s="138" t="str">
        <f>IFERROR(INDEX(EQA.CAP_Dados!G$2:G$5000,MATCH(ROW()-4,EQA.CAP_Dados!$S$2:$S$5000,0)),"")</f>
        <v/>
      </c>
      <c r="H28" s="138" t="str">
        <f>IFERROR(INDEX(EQA.CAP_Dados!H$2:H$5000,MATCH(ROW()-4,EQA.CAP_Dados!$S$2:$S$5000,0)),"")</f>
        <v/>
      </c>
      <c r="I28" s="139" t="str">
        <f>IFERROR(INDEX(EQA.CAP_Dados!I$2:I$5000,MATCH(ROW()-4,EQA.CAP_Dados!$S$2:$S$5000,0)),"")</f>
        <v/>
      </c>
      <c r="J28" s="137" t="str">
        <f>IFERROR(INDEX(EQA.CAP_Dados!J$2:J$5000,MATCH(ROW()-4,EQA.CAP_Dados!$S$2:$S$5000,0)),"")</f>
        <v/>
      </c>
      <c r="K28" s="137" t="str">
        <f>IFERROR(INDEX(EQA.CAP_Dados!K$2:K$5000,MATCH(ROW()-4,EQA.CAP_Dados!$S$2:$S$5000,0)),"")</f>
        <v/>
      </c>
      <c r="L28" t="str">
        <f>IFERROR(INDEX(EQA.CAP_Dados!L$2:L$5000,MATCH(ROW()-4,EQA.CAP_Dados!$S$2:$S$5000,0)),"")</f>
        <v/>
      </c>
      <c r="M28" s="126" t="str">
        <f>IFERROR(INDEX(EQA.CAP_Dados!M$2:M$5000,MATCH(ROW()-4,EQA.CAP_Dados!$S$2:$S$5000,0)),"")</f>
        <v/>
      </c>
      <c r="N28" t="str">
        <f>IFERROR(INDEX(EQA.CAP_Dados!N$2:N$5000,MATCH(ROW()-4,EQA.CAP_Dados!$S$2:$S$5000,0)),"")</f>
        <v/>
      </c>
      <c r="O28" s="137" t="str">
        <f>IFERROR(INDEX(EQA.CAP_Dados!O$2:O$5000,MATCH(ROW()-4,EQA.CAP_Dados!$S$2:$S$5000,0)),"")</f>
        <v/>
      </c>
      <c r="P28" s="137" t="str">
        <f>IFERROR(INDEX(EQA.CAP_Dados!P$2:P$5000,MATCH(ROW()-4,EQA.CAP_Dados!$S$2:$S$5000,0)),"")</f>
        <v/>
      </c>
      <c r="Q28" s="126" t="str">
        <f>IFERROR(INDEX(EQA.CAP_Dados!Q$2:Q$5000,MATCH(ROW()-4,EQA.CAP_Dados!$S$2:$S$5000,0)),"")</f>
        <v/>
      </c>
      <c r="R28" t="str">
        <f>IFERROR(INDEX(EQA.CAP_Dados!R$2:R$5000,MATCH(ROW()-4,EQA.CAP_Dados!$S$2:$S$5000,0)),"")</f>
        <v/>
      </c>
    </row>
    <row r="29" spans="1:18" x14ac:dyDescent="0.3">
      <c r="A29" t="str">
        <f>IFERROR(INDEX(EQA.CAP_Dados!A$2:A$5000,MATCH(ROW()-4,EQA.CAP_Dados!$S$2:$S$5000,0)),"")</f>
        <v/>
      </c>
      <c r="B29" t="str">
        <f>IFERROR(INDEX(EQA.CAP_Dados!B$2:B$5000,MATCH(ROW()-4,EQA.CAP_Dados!$S$2:$S$5000,0)),"")</f>
        <v/>
      </c>
      <c r="C29" s="126" t="str">
        <f>IFERROR(INDEX(EQA.CAP_Dados!C$2:C$5000,MATCH(ROW()-4,EQA.CAP_Dados!$S$2:$S$5000,0)),"")</f>
        <v/>
      </c>
      <c r="D29" t="str">
        <f>IFERROR(INDEX(EQA.CAP_Dados!D$2:D$5000,MATCH(ROW()-4,EQA.CAP_Dados!$S$2:$S$5000,0)),"")</f>
        <v/>
      </c>
      <c r="E29" t="str">
        <f>IFERROR(INDEX(EQA.CAP_Dados!E$2:E$5000,MATCH(ROW()-4,EQA.CAP_Dados!$S$2:$S$5000,0)),"")</f>
        <v/>
      </c>
      <c r="F29" s="137" t="str">
        <f>IFERROR(INDEX(EQA.CAP_Dados!F$2:F$5000,MATCH(ROW()-4,EQA.CAP_Dados!$S$2:$S$5000,0)),"")</f>
        <v/>
      </c>
      <c r="G29" s="138" t="str">
        <f>IFERROR(INDEX(EQA.CAP_Dados!G$2:G$5000,MATCH(ROW()-4,EQA.CAP_Dados!$S$2:$S$5000,0)),"")</f>
        <v/>
      </c>
      <c r="H29" s="138" t="str">
        <f>IFERROR(INDEX(EQA.CAP_Dados!H$2:H$5000,MATCH(ROW()-4,EQA.CAP_Dados!$S$2:$S$5000,0)),"")</f>
        <v/>
      </c>
      <c r="I29" s="139" t="str">
        <f>IFERROR(INDEX(EQA.CAP_Dados!I$2:I$5000,MATCH(ROW()-4,EQA.CAP_Dados!$S$2:$S$5000,0)),"")</f>
        <v/>
      </c>
      <c r="J29" s="137" t="str">
        <f>IFERROR(INDEX(EQA.CAP_Dados!J$2:J$5000,MATCH(ROW()-4,EQA.CAP_Dados!$S$2:$S$5000,0)),"")</f>
        <v/>
      </c>
      <c r="K29" s="137" t="str">
        <f>IFERROR(INDEX(EQA.CAP_Dados!K$2:K$5000,MATCH(ROW()-4,EQA.CAP_Dados!$S$2:$S$5000,0)),"")</f>
        <v/>
      </c>
      <c r="L29" t="str">
        <f>IFERROR(INDEX(EQA.CAP_Dados!L$2:L$5000,MATCH(ROW()-4,EQA.CAP_Dados!$S$2:$S$5000,0)),"")</f>
        <v/>
      </c>
      <c r="M29" s="126" t="str">
        <f>IFERROR(INDEX(EQA.CAP_Dados!M$2:M$5000,MATCH(ROW()-4,EQA.CAP_Dados!$S$2:$S$5000,0)),"")</f>
        <v/>
      </c>
      <c r="N29" t="str">
        <f>IFERROR(INDEX(EQA.CAP_Dados!N$2:N$5000,MATCH(ROW()-4,EQA.CAP_Dados!$S$2:$S$5000,0)),"")</f>
        <v/>
      </c>
      <c r="O29" s="137" t="str">
        <f>IFERROR(INDEX(EQA.CAP_Dados!O$2:O$5000,MATCH(ROW()-4,EQA.CAP_Dados!$S$2:$S$5000,0)),"")</f>
        <v/>
      </c>
      <c r="P29" s="137" t="str">
        <f>IFERROR(INDEX(EQA.CAP_Dados!P$2:P$5000,MATCH(ROW()-4,EQA.CAP_Dados!$S$2:$S$5000,0)),"")</f>
        <v/>
      </c>
      <c r="Q29" s="126" t="str">
        <f>IFERROR(INDEX(EQA.CAP_Dados!Q$2:Q$5000,MATCH(ROW()-4,EQA.CAP_Dados!$S$2:$S$5000,0)),"")</f>
        <v/>
      </c>
      <c r="R29" t="str">
        <f>IFERROR(INDEX(EQA.CAP_Dados!R$2:R$5000,MATCH(ROW()-4,EQA.CAP_Dados!$S$2:$S$5000,0)),"")</f>
        <v/>
      </c>
    </row>
    <row r="30" spans="1:18" x14ac:dyDescent="0.3">
      <c r="A30" t="str">
        <f>IFERROR(INDEX(EQA.CAP_Dados!A$2:A$5000,MATCH(ROW()-4,EQA.CAP_Dados!$S$2:$S$5000,0)),"")</f>
        <v/>
      </c>
      <c r="B30" t="str">
        <f>IFERROR(INDEX(EQA.CAP_Dados!B$2:B$5000,MATCH(ROW()-4,EQA.CAP_Dados!$S$2:$S$5000,0)),"")</f>
        <v/>
      </c>
      <c r="C30" s="126" t="str">
        <f>IFERROR(INDEX(EQA.CAP_Dados!C$2:C$5000,MATCH(ROW()-4,EQA.CAP_Dados!$S$2:$S$5000,0)),"")</f>
        <v/>
      </c>
      <c r="D30" t="str">
        <f>IFERROR(INDEX(EQA.CAP_Dados!D$2:D$5000,MATCH(ROW()-4,EQA.CAP_Dados!$S$2:$S$5000,0)),"")</f>
        <v/>
      </c>
      <c r="E30" t="str">
        <f>IFERROR(INDEX(EQA.CAP_Dados!E$2:E$5000,MATCH(ROW()-4,EQA.CAP_Dados!$S$2:$S$5000,0)),"")</f>
        <v/>
      </c>
      <c r="F30" s="137" t="str">
        <f>IFERROR(INDEX(EQA.CAP_Dados!F$2:F$5000,MATCH(ROW()-4,EQA.CAP_Dados!$S$2:$S$5000,0)),"")</f>
        <v/>
      </c>
      <c r="G30" s="138" t="str">
        <f>IFERROR(INDEX(EQA.CAP_Dados!G$2:G$5000,MATCH(ROW()-4,EQA.CAP_Dados!$S$2:$S$5000,0)),"")</f>
        <v/>
      </c>
      <c r="H30" s="138" t="str">
        <f>IFERROR(INDEX(EQA.CAP_Dados!H$2:H$5000,MATCH(ROW()-4,EQA.CAP_Dados!$S$2:$S$5000,0)),"")</f>
        <v/>
      </c>
      <c r="I30" s="139" t="str">
        <f>IFERROR(INDEX(EQA.CAP_Dados!I$2:I$5000,MATCH(ROW()-4,EQA.CAP_Dados!$S$2:$S$5000,0)),"")</f>
        <v/>
      </c>
      <c r="J30" s="137" t="str">
        <f>IFERROR(INDEX(EQA.CAP_Dados!J$2:J$5000,MATCH(ROW()-4,EQA.CAP_Dados!$S$2:$S$5000,0)),"")</f>
        <v/>
      </c>
      <c r="K30" s="137" t="str">
        <f>IFERROR(INDEX(EQA.CAP_Dados!K$2:K$5000,MATCH(ROW()-4,EQA.CAP_Dados!$S$2:$S$5000,0)),"")</f>
        <v/>
      </c>
      <c r="L30" t="str">
        <f>IFERROR(INDEX(EQA.CAP_Dados!L$2:L$5000,MATCH(ROW()-4,EQA.CAP_Dados!$S$2:$S$5000,0)),"")</f>
        <v/>
      </c>
      <c r="M30" s="126" t="str">
        <f>IFERROR(INDEX(EQA.CAP_Dados!M$2:M$5000,MATCH(ROW()-4,EQA.CAP_Dados!$S$2:$S$5000,0)),"")</f>
        <v/>
      </c>
      <c r="N30" t="str">
        <f>IFERROR(INDEX(EQA.CAP_Dados!N$2:N$5000,MATCH(ROW()-4,EQA.CAP_Dados!$S$2:$S$5000,0)),"")</f>
        <v/>
      </c>
      <c r="O30" s="137" t="str">
        <f>IFERROR(INDEX(EQA.CAP_Dados!O$2:O$5000,MATCH(ROW()-4,EQA.CAP_Dados!$S$2:$S$5000,0)),"")</f>
        <v/>
      </c>
      <c r="P30" s="137" t="str">
        <f>IFERROR(INDEX(EQA.CAP_Dados!P$2:P$5000,MATCH(ROW()-4,EQA.CAP_Dados!$S$2:$S$5000,0)),"")</f>
        <v/>
      </c>
      <c r="Q30" s="126" t="str">
        <f>IFERROR(INDEX(EQA.CAP_Dados!Q$2:Q$5000,MATCH(ROW()-4,EQA.CAP_Dados!$S$2:$S$5000,0)),"")</f>
        <v/>
      </c>
      <c r="R30" t="str">
        <f>IFERROR(INDEX(EQA.CAP_Dados!R$2:R$5000,MATCH(ROW()-4,EQA.CAP_Dados!$S$2:$S$5000,0)),"")</f>
        <v/>
      </c>
    </row>
    <row r="31" spans="1:18" x14ac:dyDescent="0.3">
      <c r="A31" t="str">
        <f>IFERROR(INDEX(EQA.CAP_Dados!A$2:A$5000,MATCH(ROW()-4,EQA.CAP_Dados!$S$2:$S$5000,0)),"")</f>
        <v/>
      </c>
      <c r="B31" t="str">
        <f>IFERROR(INDEX(EQA.CAP_Dados!B$2:B$5000,MATCH(ROW()-4,EQA.CAP_Dados!$S$2:$S$5000,0)),"")</f>
        <v/>
      </c>
      <c r="C31" s="126" t="str">
        <f>IFERROR(INDEX(EQA.CAP_Dados!C$2:C$5000,MATCH(ROW()-4,EQA.CAP_Dados!$S$2:$S$5000,0)),"")</f>
        <v/>
      </c>
      <c r="D31" t="str">
        <f>IFERROR(INDEX(EQA.CAP_Dados!D$2:D$5000,MATCH(ROW()-4,EQA.CAP_Dados!$S$2:$S$5000,0)),"")</f>
        <v/>
      </c>
      <c r="E31" t="str">
        <f>IFERROR(INDEX(EQA.CAP_Dados!E$2:E$5000,MATCH(ROW()-4,EQA.CAP_Dados!$S$2:$S$5000,0)),"")</f>
        <v/>
      </c>
      <c r="F31" s="137" t="str">
        <f>IFERROR(INDEX(EQA.CAP_Dados!F$2:F$5000,MATCH(ROW()-4,EQA.CAP_Dados!$S$2:$S$5000,0)),"")</f>
        <v/>
      </c>
      <c r="G31" s="138" t="str">
        <f>IFERROR(INDEX(EQA.CAP_Dados!G$2:G$5000,MATCH(ROW()-4,EQA.CAP_Dados!$S$2:$S$5000,0)),"")</f>
        <v/>
      </c>
      <c r="H31" s="138" t="str">
        <f>IFERROR(INDEX(EQA.CAP_Dados!H$2:H$5000,MATCH(ROW()-4,EQA.CAP_Dados!$S$2:$S$5000,0)),"")</f>
        <v/>
      </c>
      <c r="I31" s="139" t="str">
        <f>IFERROR(INDEX(EQA.CAP_Dados!I$2:I$5000,MATCH(ROW()-4,EQA.CAP_Dados!$S$2:$S$5000,0)),"")</f>
        <v/>
      </c>
      <c r="J31" s="137" t="str">
        <f>IFERROR(INDEX(EQA.CAP_Dados!J$2:J$5000,MATCH(ROW()-4,EQA.CAP_Dados!$S$2:$S$5000,0)),"")</f>
        <v/>
      </c>
      <c r="K31" s="137" t="str">
        <f>IFERROR(INDEX(EQA.CAP_Dados!K$2:K$5000,MATCH(ROW()-4,EQA.CAP_Dados!$S$2:$S$5000,0)),"")</f>
        <v/>
      </c>
      <c r="L31" t="str">
        <f>IFERROR(INDEX(EQA.CAP_Dados!L$2:L$5000,MATCH(ROW()-4,EQA.CAP_Dados!$S$2:$S$5000,0)),"")</f>
        <v/>
      </c>
      <c r="M31" s="126" t="str">
        <f>IFERROR(INDEX(EQA.CAP_Dados!M$2:M$5000,MATCH(ROW()-4,EQA.CAP_Dados!$S$2:$S$5000,0)),"")</f>
        <v/>
      </c>
      <c r="N31" t="str">
        <f>IFERROR(INDEX(EQA.CAP_Dados!N$2:N$5000,MATCH(ROW()-4,EQA.CAP_Dados!$S$2:$S$5000,0)),"")</f>
        <v/>
      </c>
      <c r="O31" s="137" t="str">
        <f>IFERROR(INDEX(EQA.CAP_Dados!O$2:O$5000,MATCH(ROW()-4,EQA.CAP_Dados!$S$2:$S$5000,0)),"")</f>
        <v/>
      </c>
      <c r="P31" s="137" t="str">
        <f>IFERROR(INDEX(EQA.CAP_Dados!P$2:P$5000,MATCH(ROW()-4,EQA.CAP_Dados!$S$2:$S$5000,0)),"")</f>
        <v/>
      </c>
      <c r="Q31" s="126" t="str">
        <f>IFERROR(INDEX(EQA.CAP_Dados!Q$2:Q$5000,MATCH(ROW()-4,EQA.CAP_Dados!$S$2:$S$5000,0)),"")</f>
        <v/>
      </c>
      <c r="R31" t="str">
        <f>IFERROR(INDEX(EQA.CAP_Dados!R$2:R$5000,MATCH(ROW()-4,EQA.CAP_Dados!$S$2:$S$5000,0)),"")</f>
        <v/>
      </c>
    </row>
    <row r="32" spans="1:18" x14ac:dyDescent="0.3">
      <c r="A32" t="str">
        <f>IFERROR(INDEX(EQA.CAP_Dados!A$2:A$5000,MATCH(ROW()-4,EQA.CAP_Dados!$S$2:$S$5000,0)),"")</f>
        <v/>
      </c>
      <c r="B32" t="str">
        <f>IFERROR(INDEX(EQA.CAP_Dados!B$2:B$5000,MATCH(ROW()-4,EQA.CAP_Dados!$S$2:$S$5000,0)),"")</f>
        <v/>
      </c>
      <c r="C32" s="126" t="str">
        <f>IFERROR(INDEX(EQA.CAP_Dados!C$2:C$5000,MATCH(ROW()-4,EQA.CAP_Dados!$S$2:$S$5000,0)),"")</f>
        <v/>
      </c>
      <c r="D32" t="str">
        <f>IFERROR(INDEX(EQA.CAP_Dados!D$2:D$5000,MATCH(ROW()-4,EQA.CAP_Dados!$S$2:$S$5000,0)),"")</f>
        <v/>
      </c>
      <c r="E32" t="str">
        <f>IFERROR(INDEX(EQA.CAP_Dados!E$2:E$5000,MATCH(ROW()-4,EQA.CAP_Dados!$S$2:$S$5000,0)),"")</f>
        <v/>
      </c>
      <c r="F32" s="137" t="str">
        <f>IFERROR(INDEX(EQA.CAP_Dados!F$2:F$5000,MATCH(ROW()-4,EQA.CAP_Dados!$S$2:$S$5000,0)),"")</f>
        <v/>
      </c>
      <c r="G32" s="138" t="str">
        <f>IFERROR(INDEX(EQA.CAP_Dados!G$2:G$5000,MATCH(ROW()-4,EQA.CAP_Dados!$S$2:$S$5000,0)),"")</f>
        <v/>
      </c>
      <c r="H32" s="138" t="str">
        <f>IFERROR(INDEX(EQA.CAP_Dados!H$2:H$5000,MATCH(ROW()-4,EQA.CAP_Dados!$S$2:$S$5000,0)),"")</f>
        <v/>
      </c>
      <c r="I32" s="139" t="str">
        <f>IFERROR(INDEX(EQA.CAP_Dados!I$2:I$5000,MATCH(ROW()-4,EQA.CAP_Dados!$S$2:$S$5000,0)),"")</f>
        <v/>
      </c>
      <c r="J32" s="137" t="str">
        <f>IFERROR(INDEX(EQA.CAP_Dados!J$2:J$5000,MATCH(ROW()-4,EQA.CAP_Dados!$S$2:$S$5000,0)),"")</f>
        <v/>
      </c>
      <c r="K32" s="137" t="str">
        <f>IFERROR(INDEX(EQA.CAP_Dados!K$2:K$5000,MATCH(ROW()-4,EQA.CAP_Dados!$S$2:$S$5000,0)),"")</f>
        <v/>
      </c>
      <c r="L32" t="str">
        <f>IFERROR(INDEX(EQA.CAP_Dados!L$2:L$5000,MATCH(ROW()-4,EQA.CAP_Dados!$S$2:$S$5000,0)),"")</f>
        <v/>
      </c>
      <c r="M32" s="126" t="str">
        <f>IFERROR(INDEX(EQA.CAP_Dados!M$2:M$5000,MATCH(ROW()-4,EQA.CAP_Dados!$S$2:$S$5000,0)),"")</f>
        <v/>
      </c>
      <c r="N32" t="str">
        <f>IFERROR(INDEX(EQA.CAP_Dados!N$2:N$5000,MATCH(ROW()-4,EQA.CAP_Dados!$S$2:$S$5000,0)),"")</f>
        <v/>
      </c>
      <c r="O32" s="137" t="str">
        <f>IFERROR(INDEX(EQA.CAP_Dados!O$2:O$5000,MATCH(ROW()-4,EQA.CAP_Dados!$S$2:$S$5000,0)),"")</f>
        <v/>
      </c>
      <c r="P32" s="137" t="str">
        <f>IFERROR(INDEX(EQA.CAP_Dados!P$2:P$5000,MATCH(ROW()-4,EQA.CAP_Dados!$S$2:$S$5000,0)),"")</f>
        <v/>
      </c>
      <c r="Q32" s="126" t="str">
        <f>IFERROR(INDEX(EQA.CAP_Dados!Q$2:Q$5000,MATCH(ROW()-4,EQA.CAP_Dados!$S$2:$S$5000,0)),"")</f>
        <v/>
      </c>
      <c r="R32" t="str">
        <f>IFERROR(INDEX(EQA.CAP_Dados!R$2:R$5000,MATCH(ROW()-4,EQA.CAP_Dados!$S$2:$S$5000,0)),"")</f>
        <v/>
      </c>
    </row>
    <row r="33" spans="1:18" x14ac:dyDescent="0.3">
      <c r="A33" t="str">
        <f>IFERROR(INDEX(EQA.CAP_Dados!A$2:A$5000,MATCH(ROW()-4,EQA.CAP_Dados!$S$2:$S$5000,0)),"")</f>
        <v/>
      </c>
      <c r="B33" t="str">
        <f>IFERROR(INDEX(EQA.CAP_Dados!B$2:B$5000,MATCH(ROW()-4,EQA.CAP_Dados!$S$2:$S$5000,0)),"")</f>
        <v/>
      </c>
      <c r="C33" s="126" t="str">
        <f>IFERROR(INDEX(EQA.CAP_Dados!C$2:C$5000,MATCH(ROW()-4,EQA.CAP_Dados!$S$2:$S$5000,0)),"")</f>
        <v/>
      </c>
      <c r="D33" t="str">
        <f>IFERROR(INDEX(EQA.CAP_Dados!D$2:D$5000,MATCH(ROW()-4,EQA.CAP_Dados!$S$2:$S$5000,0)),"")</f>
        <v/>
      </c>
      <c r="E33" t="str">
        <f>IFERROR(INDEX(EQA.CAP_Dados!E$2:E$5000,MATCH(ROW()-4,EQA.CAP_Dados!$S$2:$S$5000,0)),"")</f>
        <v/>
      </c>
      <c r="F33" s="137" t="str">
        <f>IFERROR(INDEX(EQA.CAP_Dados!F$2:F$5000,MATCH(ROW()-4,EQA.CAP_Dados!$S$2:$S$5000,0)),"")</f>
        <v/>
      </c>
      <c r="G33" s="138" t="str">
        <f>IFERROR(INDEX(EQA.CAP_Dados!G$2:G$5000,MATCH(ROW()-4,EQA.CAP_Dados!$S$2:$S$5000,0)),"")</f>
        <v/>
      </c>
      <c r="H33" s="138" t="str">
        <f>IFERROR(INDEX(EQA.CAP_Dados!H$2:H$5000,MATCH(ROW()-4,EQA.CAP_Dados!$S$2:$S$5000,0)),"")</f>
        <v/>
      </c>
      <c r="I33" s="139" t="str">
        <f>IFERROR(INDEX(EQA.CAP_Dados!I$2:I$5000,MATCH(ROW()-4,EQA.CAP_Dados!$S$2:$S$5000,0)),"")</f>
        <v/>
      </c>
      <c r="J33" s="137" t="str">
        <f>IFERROR(INDEX(EQA.CAP_Dados!J$2:J$5000,MATCH(ROW()-4,EQA.CAP_Dados!$S$2:$S$5000,0)),"")</f>
        <v/>
      </c>
      <c r="K33" s="137" t="str">
        <f>IFERROR(INDEX(EQA.CAP_Dados!K$2:K$5000,MATCH(ROW()-4,EQA.CAP_Dados!$S$2:$S$5000,0)),"")</f>
        <v/>
      </c>
      <c r="L33" t="str">
        <f>IFERROR(INDEX(EQA.CAP_Dados!L$2:L$5000,MATCH(ROW()-4,EQA.CAP_Dados!$S$2:$S$5000,0)),"")</f>
        <v/>
      </c>
      <c r="M33" s="126" t="str">
        <f>IFERROR(INDEX(EQA.CAP_Dados!M$2:M$5000,MATCH(ROW()-4,EQA.CAP_Dados!$S$2:$S$5000,0)),"")</f>
        <v/>
      </c>
      <c r="N33" t="str">
        <f>IFERROR(INDEX(EQA.CAP_Dados!N$2:N$5000,MATCH(ROW()-4,EQA.CAP_Dados!$S$2:$S$5000,0)),"")</f>
        <v/>
      </c>
      <c r="O33" s="137" t="str">
        <f>IFERROR(INDEX(EQA.CAP_Dados!O$2:O$5000,MATCH(ROW()-4,EQA.CAP_Dados!$S$2:$S$5000,0)),"")</f>
        <v/>
      </c>
      <c r="P33" s="137" t="str">
        <f>IFERROR(INDEX(EQA.CAP_Dados!P$2:P$5000,MATCH(ROW()-4,EQA.CAP_Dados!$S$2:$S$5000,0)),"")</f>
        <v/>
      </c>
      <c r="Q33" s="126" t="str">
        <f>IFERROR(INDEX(EQA.CAP_Dados!Q$2:Q$5000,MATCH(ROW()-4,EQA.CAP_Dados!$S$2:$S$5000,0)),"")</f>
        <v/>
      </c>
      <c r="R33" t="str">
        <f>IFERROR(INDEX(EQA.CAP_Dados!R$2:R$5000,MATCH(ROW()-4,EQA.CAP_Dados!$S$2:$S$5000,0)),"")</f>
        <v/>
      </c>
    </row>
    <row r="34" spans="1:18" x14ac:dyDescent="0.3">
      <c r="A34" t="str">
        <f>IFERROR(INDEX(EQA.CAP_Dados!A$2:A$5000,MATCH(ROW()-4,EQA.CAP_Dados!$S$2:$S$5000,0)),"")</f>
        <v/>
      </c>
      <c r="B34" t="str">
        <f>IFERROR(INDEX(EQA.CAP_Dados!B$2:B$5000,MATCH(ROW()-4,EQA.CAP_Dados!$S$2:$S$5000,0)),"")</f>
        <v/>
      </c>
      <c r="C34" s="126" t="str">
        <f>IFERROR(INDEX(EQA.CAP_Dados!C$2:C$5000,MATCH(ROW()-4,EQA.CAP_Dados!$S$2:$S$5000,0)),"")</f>
        <v/>
      </c>
      <c r="D34" t="str">
        <f>IFERROR(INDEX(EQA.CAP_Dados!D$2:D$5000,MATCH(ROW()-4,EQA.CAP_Dados!$S$2:$S$5000,0)),"")</f>
        <v/>
      </c>
      <c r="E34" t="str">
        <f>IFERROR(INDEX(EQA.CAP_Dados!E$2:E$5000,MATCH(ROW()-4,EQA.CAP_Dados!$S$2:$S$5000,0)),"")</f>
        <v/>
      </c>
      <c r="F34" s="137" t="str">
        <f>IFERROR(INDEX(EQA.CAP_Dados!F$2:F$5000,MATCH(ROW()-4,EQA.CAP_Dados!$S$2:$S$5000,0)),"")</f>
        <v/>
      </c>
      <c r="G34" s="138" t="str">
        <f>IFERROR(INDEX(EQA.CAP_Dados!G$2:G$5000,MATCH(ROW()-4,EQA.CAP_Dados!$S$2:$S$5000,0)),"")</f>
        <v/>
      </c>
      <c r="H34" s="138" t="str">
        <f>IFERROR(INDEX(EQA.CAP_Dados!H$2:H$5000,MATCH(ROW()-4,EQA.CAP_Dados!$S$2:$S$5000,0)),"")</f>
        <v/>
      </c>
      <c r="I34" s="139" t="str">
        <f>IFERROR(INDEX(EQA.CAP_Dados!I$2:I$5000,MATCH(ROW()-4,EQA.CAP_Dados!$S$2:$S$5000,0)),"")</f>
        <v/>
      </c>
      <c r="J34" s="137" t="str">
        <f>IFERROR(INDEX(EQA.CAP_Dados!J$2:J$5000,MATCH(ROW()-4,EQA.CAP_Dados!$S$2:$S$5000,0)),"")</f>
        <v/>
      </c>
      <c r="K34" s="137" t="str">
        <f>IFERROR(INDEX(EQA.CAP_Dados!K$2:K$5000,MATCH(ROW()-4,EQA.CAP_Dados!$S$2:$S$5000,0)),"")</f>
        <v/>
      </c>
      <c r="L34" t="str">
        <f>IFERROR(INDEX(EQA.CAP_Dados!L$2:L$5000,MATCH(ROW()-4,EQA.CAP_Dados!$S$2:$S$5000,0)),"")</f>
        <v/>
      </c>
      <c r="M34" s="126" t="str">
        <f>IFERROR(INDEX(EQA.CAP_Dados!M$2:M$5000,MATCH(ROW()-4,EQA.CAP_Dados!$S$2:$S$5000,0)),"")</f>
        <v/>
      </c>
      <c r="N34" t="str">
        <f>IFERROR(INDEX(EQA.CAP_Dados!N$2:N$5000,MATCH(ROW()-4,EQA.CAP_Dados!$S$2:$S$5000,0)),"")</f>
        <v/>
      </c>
      <c r="O34" s="137" t="str">
        <f>IFERROR(INDEX(EQA.CAP_Dados!O$2:O$5000,MATCH(ROW()-4,EQA.CAP_Dados!$S$2:$S$5000,0)),"")</f>
        <v/>
      </c>
      <c r="P34" s="137" t="str">
        <f>IFERROR(INDEX(EQA.CAP_Dados!P$2:P$5000,MATCH(ROW()-4,EQA.CAP_Dados!$S$2:$S$5000,0)),"")</f>
        <v/>
      </c>
      <c r="Q34" s="126" t="str">
        <f>IFERROR(INDEX(EQA.CAP_Dados!Q$2:Q$5000,MATCH(ROW()-4,EQA.CAP_Dados!$S$2:$S$5000,0)),"")</f>
        <v/>
      </c>
      <c r="R34" t="str">
        <f>IFERROR(INDEX(EQA.CAP_Dados!R$2:R$5000,MATCH(ROW()-4,EQA.CAP_Dados!$S$2:$S$5000,0)),"")</f>
        <v/>
      </c>
    </row>
    <row r="35" spans="1:18" x14ac:dyDescent="0.3">
      <c r="A35" t="str">
        <f>IFERROR(INDEX(EQA.CAP_Dados!A$2:A$5000,MATCH(ROW()-4,EQA.CAP_Dados!$S$2:$S$5000,0)),"")</f>
        <v/>
      </c>
      <c r="B35" t="str">
        <f>IFERROR(INDEX(EQA.CAP_Dados!B$2:B$5000,MATCH(ROW()-4,EQA.CAP_Dados!$S$2:$S$5000,0)),"")</f>
        <v/>
      </c>
      <c r="C35" s="126" t="str">
        <f>IFERROR(INDEX(EQA.CAP_Dados!C$2:C$5000,MATCH(ROW()-4,EQA.CAP_Dados!$S$2:$S$5000,0)),"")</f>
        <v/>
      </c>
      <c r="D35" t="str">
        <f>IFERROR(INDEX(EQA.CAP_Dados!D$2:D$5000,MATCH(ROW()-4,EQA.CAP_Dados!$S$2:$S$5000,0)),"")</f>
        <v/>
      </c>
      <c r="E35" t="str">
        <f>IFERROR(INDEX(EQA.CAP_Dados!E$2:E$5000,MATCH(ROW()-4,EQA.CAP_Dados!$S$2:$S$5000,0)),"")</f>
        <v/>
      </c>
      <c r="F35" s="137" t="str">
        <f>IFERROR(INDEX(EQA.CAP_Dados!F$2:F$5000,MATCH(ROW()-4,EQA.CAP_Dados!$S$2:$S$5000,0)),"")</f>
        <v/>
      </c>
      <c r="G35" s="138" t="str">
        <f>IFERROR(INDEX(EQA.CAP_Dados!G$2:G$5000,MATCH(ROW()-4,EQA.CAP_Dados!$S$2:$S$5000,0)),"")</f>
        <v/>
      </c>
      <c r="H35" s="138" t="str">
        <f>IFERROR(INDEX(EQA.CAP_Dados!H$2:H$5000,MATCH(ROW()-4,EQA.CAP_Dados!$S$2:$S$5000,0)),"")</f>
        <v/>
      </c>
      <c r="I35" s="139" t="str">
        <f>IFERROR(INDEX(EQA.CAP_Dados!I$2:I$5000,MATCH(ROW()-4,EQA.CAP_Dados!$S$2:$S$5000,0)),"")</f>
        <v/>
      </c>
      <c r="J35" s="137" t="str">
        <f>IFERROR(INDEX(EQA.CAP_Dados!J$2:J$5000,MATCH(ROW()-4,EQA.CAP_Dados!$S$2:$S$5000,0)),"")</f>
        <v/>
      </c>
      <c r="K35" s="137" t="str">
        <f>IFERROR(INDEX(EQA.CAP_Dados!K$2:K$5000,MATCH(ROW()-4,EQA.CAP_Dados!$S$2:$S$5000,0)),"")</f>
        <v/>
      </c>
      <c r="L35" t="str">
        <f>IFERROR(INDEX(EQA.CAP_Dados!L$2:L$5000,MATCH(ROW()-4,EQA.CAP_Dados!$S$2:$S$5000,0)),"")</f>
        <v/>
      </c>
      <c r="M35" s="126" t="str">
        <f>IFERROR(INDEX(EQA.CAP_Dados!M$2:M$5000,MATCH(ROW()-4,EQA.CAP_Dados!$S$2:$S$5000,0)),"")</f>
        <v/>
      </c>
      <c r="N35" t="str">
        <f>IFERROR(INDEX(EQA.CAP_Dados!N$2:N$5000,MATCH(ROW()-4,EQA.CAP_Dados!$S$2:$S$5000,0)),"")</f>
        <v/>
      </c>
      <c r="O35" s="137" t="str">
        <f>IFERROR(INDEX(EQA.CAP_Dados!O$2:O$5000,MATCH(ROW()-4,EQA.CAP_Dados!$S$2:$S$5000,0)),"")</f>
        <v/>
      </c>
      <c r="P35" s="137" t="str">
        <f>IFERROR(INDEX(EQA.CAP_Dados!P$2:P$5000,MATCH(ROW()-4,EQA.CAP_Dados!$S$2:$S$5000,0)),"")</f>
        <v/>
      </c>
      <c r="Q35" s="126" t="str">
        <f>IFERROR(INDEX(EQA.CAP_Dados!Q$2:Q$5000,MATCH(ROW()-4,EQA.CAP_Dados!$S$2:$S$5000,0)),"")</f>
        <v/>
      </c>
      <c r="R35" t="str">
        <f>IFERROR(INDEX(EQA.CAP_Dados!R$2:R$5000,MATCH(ROW()-4,EQA.CAP_Dados!$S$2:$S$5000,0)),"")</f>
        <v/>
      </c>
    </row>
    <row r="36" spans="1:18" x14ac:dyDescent="0.3">
      <c r="A36" t="str">
        <f>IFERROR(INDEX(EQA.CAP_Dados!A$2:A$5000,MATCH(ROW()-4,EQA.CAP_Dados!$S$2:$S$5000,0)),"")</f>
        <v/>
      </c>
      <c r="B36" t="str">
        <f>IFERROR(INDEX(EQA.CAP_Dados!B$2:B$5000,MATCH(ROW()-4,EQA.CAP_Dados!$S$2:$S$5000,0)),"")</f>
        <v/>
      </c>
      <c r="C36" s="126" t="str">
        <f>IFERROR(INDEX(EQA.CAP_Dados!C$2:C$5000,MATCH(ROW()-4,EQA.CAP_Dados!$S$2:$S$5000,0)),"")</f>
        <v/>
      </c>
      <c r="D36" t="str">
        <f>IFERROR(INDEX(EQA.CAP_Dados!D$2:D$5000,MATCH(ROW()-4,EQA.CAP_Dados!$S$2:$S$5000,0)),"")</f>
        <v/>
      </c>
      <c r="E36" t="str">
        <f>IFERROR(INDEX(EQA.CAP_Dados!E$2:E$5000,MATCH(ROW()-4,EQA.CAP_Dados!$S$2:$S$5000,0)),"")</f>
        <v/>
      </c>
      <c r="F36" s="137" t="str">
        <f>IFERROR(INDEX(EQA.CAP_Dados!F$2:F$5000,MATCH(ROW()-4,EQA.CAP_Dados!$S$2:$S$5000,0)),"")</f>
        <v/>
      </c>
      <c r="G36" s="138" t="str">
        <f>IFERROR(INDEX(EQA.CAP_Dados!G$2:G$5000,MATCH(ROW()-4,EQA.CAP_Dados!$S$2:$S$5000,0)),"")</f>
        <v/>
      </c>
      <c r="H36" s="138" t="str">
        <f>IFERROR(INDEX(EQA.CAP_Dados!H$2:H$5000,MATCH(ROW()-4,EQA.CAP_Dados!$S$2:$S$5000,0)),"")</f>
        <v/>
      </c>
      <c r="I36" s="139" t="str">
        <f>IFERROR(INDEX(EQA.CAP_Dados!I$2:I$5000,MATCH(ROW()-4,EQA.CAP_Dados!$S$2:$S$5000,0)),"")</f>
        <v/>
      </c>
      <c r="J36" s="137" t="str">
        <f>IFERROR(INDEX(EQA.CAP_Dados!J$2:J$5000,MATCH(ROW()-4,EQA.CAP_Dados!$S$2:$S$5000,0)),"")</f>
        <v/>
      </c>
      <c r="K36" s="137" t="str">
        <f>IFERROR(INDEX(EQA.CAP_Dados!K$2:K$5000,MATCH(ROW()-4,EQA.CAP_Dados!$S$2:$S$5000,0)),"")</f>
        <v/>
      </c>
      <c r="L36" t="str">
        <f>IFERROR(INDEX(EQA.CAP_Dados!L$2:L$5000,MATCH(ROW()-4,EQA.CAP_Dados!$S$2:$S$5000,0)),"")</f>
        <v/>
      </c>
      <c r="M36" s="126" t="str">
        <f>IFERROR(INDEX(EQA.CAP_Dados!M$2:M$5000,MATCH(ROW()-4,EQA.CAP_Dados!$S$2:$S$5000,0)),"")</f>
        <v/>
      </c>
      <c r="N36" t="str">
        <f>IFERROR(INDEX(EQA.CAP_Dados!N$2:N$5000,MATCH(ROW()-4,EQA.CAP_Dados!$S$2:$S$5000,0)),"")</f>
        <v/>
      </c>
      <c r="O36" s="137" t="str">
        <f>IFERROR(INDEX(EQA.CAP_Dados!O$2:O$5000,MATCH(ROW()-4,EQA.CAP_Dados!$S$2:$S$5000,0)),"")</f>
        <v/>
      </c>
      <c r="P36" s="137" t="str">
        <f>IFERROR(INDEX(EQA.CAP_Dados!P$2:P$5000,MATCH(ROW()-4,EQA.CAP_Dados!$S$2:$S$5000,0)),"")</f>
        <v/>
      </c>
      <c r="Q36" s="126" t="str">
        <f>IFERROR(INDEX(EQA.CAP_Dados!Q$2:Q$5000,MATCH(ROW()-4,EQA.CAP_Dados!$S$2:$S$5000,0)),"")</f>
        <v/>
      </c>
      <c r="R36" t="str">
        <f>IFERROR(INDEX(EQA.CAP_Dados!R$2:R$5000,MATCH(ROW()-4,EQA.CAP_Dados!$S$2:$S$5000,0)),"")</f>
        <v/>
      </c>
    </row>
    <row r="37" spans="1:18" x14ac:dyDescent="0.3">
      <c r="A37" t="str">
        <f>IFERROR(INDEX(EQA.CAP_Dados!A$2:A$5000,MATCH(ROW()-4,EQA.CAP_Dados!$S$2:$S$5000,0)),"")</f>
        <v/>
      </c>
      <c r="B37" t="str">
        <f>IFERROR(INDEX(EQA.CAP_Dados!B$2:B$5000,MATCH(ROW()-4,EQA.CAP_Dados!$S$2:$S$5000,0)),"")</f>
        <v/>
      </c>
      <c r="C37" s="126" t="str">
        <f>IFERROR(INDEX(EQA.CAP_Dados!C$2:C$5000,MATCH(ROW()-4,EQA.CAP_Dados!$S$2:$S$5000,0)),"")</f>
        <v/>
      </c>
      <c r="D37" t="str">
        <f>IFERROR(INDEX(EQA.CAP_Dados!D$2:D$5000,MATCH(ROW()-4,EQA.CAP_Dados!$S$2:$S$5000,0)),"")</f>
        <v/>
      </c>
      <c r="E37" t="str">
        <f>IFERROR(INDEX(EQA.CAP_Dados!E$2:E$5000,MATCH(ROW()-4,EQA.CAP_Dados!$S$2:$S$5000,0)),"")</f>
        <v/>
      </c>
      <c r="F37" s="137" t="str">
        <f>IFERROR(INDEX(EQA.CAP_Dados!F$2:F$5000,MATCH(ROW()-4,EQA.CAP_Dados!$S$2:$S$5000,0)),"")</f>
        <v/>
      </c>
      <c r="G37" s="138" t="str">
        <f>IFERROR(INDEX(EQA.CAP_Dados!G$2:G$5000,MATCH(ROW()-4,EQA.CAP_Dados!$S$2:$S$5000,0)),"")</f>
        <v/>
      </c>
      <c r="H37" s="138" t="str">
        <f>IFERROR(INDEX(EQA.CAP_Dados!H$2:H$5000,MATCH(ROW()-4,EQA.CAP_Dados!$S$2:$S$5000,0)),"")</f>
        <v/>
      </c>
      <c r="I37" s="139" t="str">
        <f>IFERROR(INDEX(EQA.CAP_Dados!I$2:I$5000,MATCH(ROW()-4,EQA.CAP_Dados!$S$2:$S$5000,0)),"")</f>
        <v/>
      </c>
      <c r="J37" s="137" t="str">
        <f>IFERROR(INDEX(EQA.CAP_Dados!J$2:J$5000,MATCH(ROW()-4,EQA.CAP_Dados!$S$2:$S$5000,0)),"")</f>
        <v/>
      </c>
      <c r="K37" s="137" t="str">
        <f>IFERROR(INDEX(EQA.CAP_Dados!K$2:K$5000,MATCH(ROW()-4,EQA.CAP_Dados!$S$2:$S$5000,0)),"")</f>
        <v/>
      </c>
      <c r="L37" t="str">
        <f>IFERROR(INDEX(EQA.CAP_Dados!L$2:L$5000,MATCH(ROW()-4,EQA.CAP_Dados!$S$2:$S$5000,0)),"")</f>
        <v/>
      </c>
      <c r="M37" s="126" t="str">
        <f>IFERROR(INDEX(EQA.CAP_Dados!M$2:M$5000,MATCH(ROW()-4,EQA.CAP_Dados!$S$2:$S$5000,0)),"")</f>
        <v/>
      </c>
      <c r="N37" t="str">
        <f>IFERROR(INDEX(EQA.CAP_Dados!N$2:N$5000,MATCH(ROW()-4,EQA.CAP_Dados!$S$2:$S$5000,0)),"")</f>
        <v/>
      </c>
      <c r="O37" s="137" t="str">
        <f>IFERROR(INDEX(EQA.CAP_Dados!O$2:O$5000,MATCH(ROW()-4,EQA.CAP_Dados!$S$2:$S$5000,0)),"")</f>
        <v/>
      </c>
      <c r="P37" s="137" t="str">
        <f>IFERROR(INDEX(EQA.CAP_Dados!P$2:P$5000,MATCH(ROW()-4,EQA.CAP_Dados!$S$2:$S$5000,0)),"")</f>
        <v/>
      </c>
      <c r="Q37" s="126" t="str">
        <f>IFERROR(INDEX(EQA.CAP_Dados!Q$2:Q$5000,MATCH(ROW()-4,EQA.CAP_Dados!$S$2:$S$5000,0)),"")</f>
        <v/>
      </c>
      <c r="R37" t="str">
        <f>IFERROR(INDEX(EQA.CAP_Dados!R$2:R$5000,MATCH(ROW()-4,EQA.CAP_Dados!$S$2:$S$5000,0)),"")</f>
        <v/>
      </c>
    </row>
    <row r="38" spans="1:18" x14ac:dyDescent="0.3">
      <c r="A38" t="str">
        <f>IFERROR(INDEX(EQA.CAP_Dados!A$2:A$5000,MATCH(ROW()-4,EQA.CAP_Dados!$S$2:$S$5000,0)),"")</f>
        <v/>
      </c>
      <c r="B38" t="str">
        <f>IFERROR(INDEX(EQA.CAP_Dados!B$2:B$5000,MATCH(ROW()-4,EQA.CAP_Dados!$S$2:$S$5000,0)),"")</f>
        <v/>
      </c>
      <c r="C38" s="126" t="str">
        <f>IFERROR(INDEX(EQA.CAP_Dados!C$2:C$5000,MATCH(ROW()-4,EQA.CAP_Dados!$S$2:$S$5000,0)),"")</f>
        <v/>
      </c>
      <c r="D38" t="str">
        <f>IFERROR(INDEX(EQA.CAP_Dados!D$2:D$5000,MATCH(ROW()-4,EQA.CAP_Dados!$S$2:$S$5000,0)),"")</f>
        <v/>
      </c>
      <c r="E38" t="str">
        <f>IFERROR(INDEX(EQA.CAP_Dados!E$2:E$5000,MATCH(ROW()-4,EQA.CAP_Dados!$S$2:$S$5000,0)),"")</f>
        <v/>
      </c>
      <c r="F38" s="137" t="str">
        <f>IFERROR(INDEX(EQA.CAP_Dados!F$2:F$5000,MATCH(ROW()-4,EQA.CAP_Dados!$S$2:$S$5000,0)),"")</f>
        <v/>
      </c>
      <c r="G38" s="138" t="str">
        <f>IFERROR(INDEX(EQA.CAP_Dados!G$2:G$5000,MATCH(ROW()-4,EQA.CAP_Dados!$S$2:$S$5000,0)),"")</f>
        <v/>
      </c>
      <c r="H38" s="138" t="str">
        <f>IFERROR(INDEX(EQA.CAP_Dados!H$2:H$5000,MATCH(ROW()-4,EQA.CAP_Dados!$S$2:$S$5000,0)),"")</f>
        <v/>
      </c>
      <c r="I38" s="139" t="str">
        <f>IFERROR(INDEX(EQA.CAP_Dados!I$2:I$5000,MATCH(ROW()-4,EQA.CAP_Dados!$S$2:$S$5000,0)),"")</f>
        <v/>
      </c>
      <c r="J38" s="137" t="str">
        <f>IFERROR(INDEX(EQA.CAP_Dados!J$2:J$5000,MATCH(ROW()-4,EQA.CAP_Dados!$S$2:$S$5000,0)),"")</f>
        <v/>
      </c>
      <c r="K38" s="137" t="str">
        <f>IFERROR(INDEX(EQA.CAP_Dados!K$2:K$5000,MATCH(ROW()-4,EQA.CAP_Dados!$S$2:$S$5000,0)),"")</f>
        <v/>
      </c>
      <c r="L38" t="str">
        <f>IFERROR(INDEX(EQA.CAP_Dados!L$2:L$5000,MATCH(ROW()-4,EQA.CAP_Dados!$S$2:$S$5000,0)),"")</f>
        <v/>
      </c>
      <c r="M38" s="126" t="str">
        <f>IFERROR(INDEX(EQA.CAP_Dados!M$2:M$5000,MATCH(ROW()-4,EQA.CAP_Dados!$S$2:$S$5000,0)),"")</f>
        <v/>
      </c>
      <c r="N38" t="str">
        <f>IFERROR(INDEX(EQA.CAP_Dados!N$2:N$5000,MATCH(ROW()-4,EQA.CAP_Dados!$S$2:$S$5000,0)),"")</f>
        <v/>
      </c>
      <c r="O38" s="137" t="str">
        <f>IFERROR(INDEX(EQA.CAP_Dados!O$2:O$5000,MATCH(ROW()-4,EQA.CAP_Dados!$S$2:$S$5000,0)),"")</f>
        <v/>
      </c>
      <c r="P38" s="137" t="str">
        <f>IFERROR(INDEX(EQA.CAP_Dados!P$2:P$5000,MATCH(ROW()-4,EQA.CAP_Dados!$S$2:$S$5000,0)),"")</f>
        <v/>
      </c>
      <c r="Q38" s="126" t="str">
        <f>IFERROR(INDEX(EQA.CAP_Dados!Q$2:Q$5000,MATCH(ROW()-4,EQA.CAP_Dados!$S$2:$S$5000,0)),"")</f>
        <v/>
      </c>
      <c r="R38" t="str">
        <f>IFERROR(INDEX(EQA.CAP_Dados!R$2:R$5000,MATCH(ROW()-4,EQA.CAP_Dados!$S$2:$S$5000,0)),"")</f>
        <v/>
      </c>
    </row>
    <row r="39" spans="1:18" x14ac:dyDescent="0.3">
      <c r="A39" t="str">
        <f>IFERROR(INDEX(EQA.CAP_Dados!A$2:A$5000,MATCH(ROW()-4,EQA.CAP_Dados!$S$2:$S$5000,0)),"")</f>
        <v/>
      </c>
      <c r="B39" t="str">
        <f>IFERROR(INDEX(EQA.CAP_Dados!B$2:B$5000,MATCH(ROW()-4,EQA.CAP_Dados!$S$2:$S$5000,0)),"")</f>
        <v/>
      </c>
      <c r="C39" s="126" t="str">
        <f>IFERROR(INDEX(EQA.CAP_Dados!C$2:C$5000,MATCH(ROW()-4,EQA.CAP_Dados!$S$2:$S$5000,0)),"")</f>
        <v/>
      </c>
      <c r="D39" t="str">
        <f>IFERROR(INDEX(EQA.CAP_Dados!D$2:D$5000,MATCH(ROW()-4,EQA.CAP_Dados!$S$2:$S$5000,0)),"")</f>
        <v/>
      </c>
      <c r="E39" t="str">
        <f>IFERROR(INDEX(EQA.CAP_Dados!E$2:E$5000,MATCH(ROW()-4,EQA.CAP_Dados!$S$2:$S$5000,0)),"")</f>
        <v/>
      </c>
      <c r="F39" s="137" t="str">
        <f>IFERROR(INDEX(EQA.CAP_Dados!F$2:F$5000,MATCH(ROW()-4,EQA.CAP_Dados!$S$2:$S$5000,0)),"")</f>
        <v/>
      </c>
      <c r="G39" s="138" t="str">
        <f>IFERROR(INDEX(EQA.CAP_Dados!G$2:G$5000,MATCH(ROW()-4,EQA.CAP_Dados!$S$2:$S$5000,0)),"")</f>
        <v/>
      </c>
      <c r="H39" s="138" t="str">
        <f>IFERROR(INDEX(EQA.CAP_Dados!H$2:H$5000,MATCH(ROW()-4,EQA.CAP_Dados!$S$2:$S$5000,0)),"")</f>
        <v/>
      </c>
      <c r="I39" s="139" t="str">
        <f>IFERROR(INDEX(EQA.CAP_Dados!I$2:I$5000,MATCH(ROW()-4,EQA.CAP_Dados!$S$2:$S$5000,0)),"")</f>
        <v/>
      </c>
      <c r="J39" s="137" t="str">
        <f>IFERROR(INDEX(EQA.CAP_Dados!J$2:J$5000,MATCH(ROW()-4,EQA.CAP_Dados!$S$2:$S$5000,0)),"")</f>
        <v/>
      </c>
      <c r="K39" s="137" t="str">
        <f>IFERROR(INDEX(EQA.CAP_Dados!K$2:K$5000,MATCH(ROW()-4,EQA.CAP_Dados!$S$2:$S$5000,0)),"")</f>
        <v/>
      </c>
      <c r="L39" t="str">
        <f>IFERROR(INDEX(EQA.CAP_Dados!L$2:L$5000,MATCH(ROW()-4,EQA.CAP_Dados!$S$2:$S$5000,0)),"")</f>
        <v/>
      </c>
      <c r="M39" s="126" t="str">
        <f>IFERROR(INDEX(EQA.CAP_Dados!M$2:M$5000,MATCH(ROW()-4,EQA.CAP_Dados!$S$2:$S$5000,0)),"")</f>
        <v/>
      </c>
      <c r="N39" t="str">
        <f>IFERROR(INDEX(EQA.CAP_Dados!N$2:N$5000,MATCH(ROW()-4,EQA.CAP_Dados!$S$2:$S$5000,0)),"")</f>
        <v/>
      </c>
      <c r="O39" s="137" t="str">
        <f>IFERROR(INDEX(EQA.CAP_Dados!O$2:O$5000,MATCH(ROW()-4,EQA.CAP_Dados!$S$2:$S$5000,0)),"")</f>
        <v/>
      </c>
      <c r="P39" s="137" t="str">
        <f>IFERROR(INDEX(EQA.CAP_Dados!P$2:P$5000,MATCH(ROW()-4,EQA.CAP_Dados!$S$2:$S$5000,0)),"")</f>
        <v/>
      </c>
      <c r="Q39" s="126" t="str">
        <f>IFERROR(INDEX(EQA.CAP_Dados!Q$2:Q$5000,MATCH(ROW()-4,EQA.CAP_Dados!$S$2:$S$5000,0)),"")</f>
        <v/>
      </c>
      <c r="R39" t="str">
        <f>IFERROR(INDEX(EQA.CAP_Dados!R$2:R$5000,MATCH(ROW()-4,EQA.CAP_Dados!$S$2:$S$5000,0)),"")</f>
        <v/>
      </c>
    </row>
    <row r="40" spans="1:18" x14ac:dyDescent="0.3">
      <c r="A40" t="str">
        <f>IFERROR(INDEX(EQA.CAP_Dados!A$2:A$5000,MATCH(ROW()-4,EQA.CAP_Dados!$S$2:$S$5000,0)),"")</f>
        <v/>
      </c>
      <c r="B40" t="str">
        <f>IFERROR(INDEX(EQA.CAP_Dados!B$2:B$5000,MATCH(ROW()-4,EQA.CAP_Dados!$S$2:$S$5000,0)),"")</f>
        <v/>
      </c>
      <c r="C40" s="126" t="str">
        <f>IFERROR(INDEX(EQA.CAP_Dados!C$2:C$5000,MATCH(ROW()-4,EQA.CAP_Dados!$S$2:$S$5000,0)),"")</f>
        <v/>
      </c>
      <c r="D40" t="str">
        <f>IFERROR(INDEX(EQA.CAP_Dados!D$2:D$5000,MATCH(ROW()-4,EQA.CAP_Dados!$S$2:$S$5000,0)),"")</f>
        <v/>
      </c>
      <c r="E40" t="str">
        <f>IFERROR(INDEX(EQA.CAP_Dados!E$2:E$5000,MATCH(ROW()-4,EQA.CAP_Dados!$S$2:$S$5000,0)),"")</f>
        <v/>
      </c>
      <c r="F40" s="137" t="str">
        <f>IFERROR(INDEX(EQA.CAP_Dados!F$2:F$5000,MATCH(ROW()-4,EQA.CAP_Dados!$S$2:$S$5000,0)),"")</f>
        <v/>
      </c>
      <c r="G40" s="138" t="str">
        <f>IFERROR(INDEX(EQA.CAP_Dados!G$2:G$5000,MATCH(ROW()-4,EQA.CAP_Dados!$S$2:$S$5000,0)),"")</f>
        <v/>
      </c>
      <c r="H40" s="138" t="str">
        <f>IFERROR(INDEX(EQA.CAP_Dados!H$2:H$5000,MATCH(ROW()-4,EQA.CAP_Dados!$S$2:$S$5000,0)),"")</f>
        <v/>
      </c>
      <c r="I40" s="139" t="str">
        <f>IFERROR(INDEX(EQA.CAP_Dados!I$2:I$5000,MATCH(ROW()-4,EQA.CAP_Dados!$S$2:$S$5000,0)),"")</f>
        <v/>
      </c>
      <c r="J40" s="137" t="str">
        <f>IFERROR(INDEX(EQA.CAP_Dados!J$2:J$5000,MATCH(ROW()-4,EQA.CAP_Dados!$S$2:$S$5000,0)),"")</f>
        <v/>
      </c>
      <c r="K40" s="137" t="str">
        <f>IFERROR(INDEX(EQA.CAP_Dados!K$2:K$5000,MATCH(ROW()-4,EQA.CAP_Dados!$S$2:$S$5000,0)),"")</f>
        <v/>
      </c>
      <c r="L40" t="str">
        <f>IFERROR(INDEX(EQA.CAP_Dados!L$2:L$5000,MATCH(ROW()-4,EQA.CAP_Dados!$S$2:$S$5000,0)),"")</f>
        <v/>
      </c>
      <c r="M40" s="126" t="str">
        <f>IFERROR(INDEX(EQA.CAP_Dados!M$2:M$5000,MATCH(ROW()-4,EQA.CAP_Dados!$S$2:$S$5000,0)),"")</f>
        <v/>
      </c>
      <c r="N40" t="str">
        <f>IFERROR(INDEX(EQA.CAP_Dados!N$2:N$5000,MATCH(ROW()-4,EQA.CAP_Dados!$S$2:$S$5000,0)),"")</f>
        <v/>
      </c>
      <c r="O40" s="137" t="str">
        <f>IFERROR(INDEX(EQA.CAP_Dados!O$2:O$5000,MATCH(ROW()-4,EQA.CAP_Dados!$S$2:$S$5000,0)),"")</f>
        <v/>
      </c>
      <c r="P40" s="137" t="str">
        <f>IFERROR(INDEX(EQA.CAP_Dados!P$2:P$5000,MATCH(ROW()-4,EQA.CAP_Dados!$S$2:$S$5000,0)),"")</f>
        <v/>
      </c>
      <c r="Q40" s="126" t="str">
        <f>IFERROR(INDEX(EQA.CAP_Dados!Q$2:Q$5000,MATCH(ROW()-4,EQA.CAP_Dados!$S$2:$S$5000,0)),"")</f>
        <v/>
      </c>
      <c r="R40" t="str">
        <f>IFERROR(INDEX(EQA.CAP_Dados!R$2:R$5000,MATCH(ROW()-4,EQA.CAP_Dados!$S$2:$S$5000,0)),"")</f>
        <v/>
      </c>
    </row>
    <row r="41" spans="1:18" x14ac:dyDescent="0.3">
      <c r="A41" t="str">
        <f>IFERROR(INDEX(EQA.CAP_Dados!A$2:A$5000,MATCH(ROW()-4,EQA.CAP_Dados!$S$2:$S$5000,0)),"")</f>
        <v/>
      </c>
      <c r="B41" t="str">
        <f>IFERROR(INDEX(EQA.CAP_Dados!B$2:B$5000,MATCH(ROW()-4,EQA.CAP_Dados!$S$2:$S$5000,0)),"")</f>
        <v/>
      </c>
      <c r="C41" s="126" t="str">
        <f>IFERROR(INDEX(EQA.CAP_Dados!C$2:C$5000,MATCH(ROW()-4,EQA.CAP_Dados!$S$2:$S$5000,0)),"")</f>
        <v/>
      </c>
      <c r="D41" t="str">
        <f>IFERROR(INDEX(EQA.CAP_Dados!D$2:D$5000,MATCH(ROW()-4,EQA.CAP_Dados!$S$2:$S$5000,0)),"")</f>
        <v/>
      </c>
      <c r="E41" t="str">
        <f>IFERROR(INDEX(EQA.CAP_Dados!E$2:E$5000,MATCH(ROW()-4,EQA.CAP_Dados!$S$2:$S$5000,0)),"")</f>
        <v/>
      </c>
      <c r="F41" s="137" t="str">
        <f>IFERROR(INDEX(EQA.CAP_Dados!F$2:F$5000,MATCH(ROW()-4,EQA.CAP_Dados!$S$2:$S$5000,0)),"")</f>
        <v/>
      </c>
      <c r="G41" s="138" t="str">
        <f>IFERROR(INDEX(EQA.CAP_Dados!G$2:G$5000,MATCH(ROW()-4,EQA.CAP_Dados!$S$2:$S$5000,0)),"")</f>
        <v/>
      </c>
      <c r="H41" s="138" t="str">
        <f>IFERROR(INDEX(EQA.CAP_Dados!H$2:H$5000,MATCH(ROW()-4,EQA.CAP_Dados!$S$2:$S$5000,0)),"")</f>
        <v/>
      </c>
      <c r="I41" s="139" t="str">
        <f>IFERROR(INDEX(EQA.CAP_Dados!I$2:I$5000,MATCH(ROW()-4,EQA.CAP_Dados!$S$2:$S$5000,0)),"")</f>
        <v/>
      </c>
      <c r="J41" s="137" t="str">
        <f>IFERROR(INDEX(EQA.CAP_Dados!J$2:J$5000,MATCH(ROW()-4,EQA.CAP_Dados!$S$2:$S$5000,0)),"")</f>
        <v/>
      </c>
      <c r="K41" s="137" t="str">
        <f>IFERROR(INDEX(EQA.CAP_Dados!K$2:K$5000,MATCH(ROW()-4,EQA.CAP_Dados!$S$2:$S$5000,0)),"")</f>
        <v/>
      </c>
      <c r="L41" t="str">
        <f>IFERROR(INDEX(EQA.CAP_Dados!L$2:L$5000,MATCH(ROW()-4,EQA.CAP_Dados!$S$2:$S$5000,0)),"")</f>
        <v/>
      </c>
      <c r="M41" s="126" t="str">
        <f>IFERROR(INDEX(EQA.CAP_Dados!M$2:M$5000,MATCH(ROW()-4,EQA.CAP_Dados!$S$2:$S$5000,0)),"")</f>
        <v/>
      </c>
      <c r="N41" t="str">
        <f>IFERROR(INDEX(EQA.CAP_Dados!N$2:N$5000,MATCH(ROW()-4,EQA.CAP_Dados!$S$2:$S$5000,0)),"")</f>
        <v/>
      </c>
      <c r="O41" s="137" t="str">
        <f>IFERROR(INDEX(EQA.CAP_Dados!O$2:O$5000,MATCH(ROW()-4,EQA.CAP_Dados!$S$2:$S$5000,0)),"")</f>
        <v/>
      </c>
      <c r="P41" s="137" t="str">
        <f>IFERROR(INDEX(EQA.CAP_Dados!P$2:P$5000,MATCH(ROW()-4,EQA.CAP_Dados!$S$2:$S$5000,0)),"")</f>
        <v/>
      </c>
      <c r="Q41" s="126" t="str">
        <f>IFERROR(INDEX(EQA.CAP_Dados!Q$2:Q$5000,MATCH(ROW()-4,EQA.CAP_Dados!$S$2:$S$5000,0)),"")</f>
        <v/>
      </c>
      <c r="R41" t="str">
        <f>IFERROR(INDEX(EQA.CAP_Dados!R$2:R$5000,MATCH(ROW()-4,EQA.CAP_Dados!$S$2:$S$5000,0)),"")</f>
        <v/>
      </c>
    </row>
    <row r="42" spans="1:18" x14ac:dyDescent="0.3">
      <c r="A42" t="str">
        <f>IFERROR(INDEX(EQA.CAP_Dados!A$2:A$5000,MATCH(ROW()-4,EQA.CAP_Dados!$S$2:$S$5000,0)),"")</f>
        <v/>
      </c>
      <c r="B42" t="str">
        <f>IFERROR(INDEX(EQA.CAP_Dados!B$2:B$5000,MATCH(ROW()-4,EQA.CAP_Dados!$S$2:$S$5000,0)),"")</f>
        <v/>
      </c>
      <c r="C42" s="126" t="str">
        <f>IFERROR(INDEX(EQA.CAP_Dados!C$2:C$5000,MATCH(ROW()-4,EQA.CAP_Dados!$S$2:$S$5000,0)),"")</f>
        <v/>
      </c>
      <c r="D42" t="str">
        <f>IFERROR(INDEX(EQA.CAP_Dados!D$2:D$5000,MATCH(ROW()-4,EQA.CAP_Dados!$S$2:$S$5000,0)),"")</f>
        <v/>
      </c>
      <c r="E42" t="str">
        <f>IFERROR(INDEX(EQA.CAP_Dados!E$2:E$5000,MATCH(ROW()-4,EQA.CAP_Dados!$S$2:$S$5000,0)),"")</f>
        <v/>
      </c>
      <c r="F42" s="137" t="str">
        <f>IFERROR(INDEX(EQA.CAP_Dados!F$2:F$5000,MATCH(ROW()-4,EQA.CAP_Dados!$S$2:$S$5000,0)),"")</f>
        <v/>
      </c>
      <c r="G42" s="138" t="str">
        <f>IFERROR(INDEX(EQA.CAP_Dados!G$2:G$5000,MATCH(ROW()-4,EQA.CAP_Dados!$S$2:$S$5000,0)),"")</f>
        <v/>
      </c>
      <c r="H42" s="138" t="str">
        <f>IFERROR(INDEX(EQA.CAP_Dados!H$2:H$5000,MATCH(ROW()-4,EQA.CAP_Dados!$S$2:$S$5000,0)),"")</f>
        <v/>
      </c>
      <c r="I42" s="139" t="str">
        <f>IFERROR(INDEX(EQA.CAP_Dados!I$2:I$5000,MATCH(ROW()-4,EQA.CAP_Dados!$S$2:$S$5000,0)),"")</f>
        <v/>
      </c>
      <c r="J42" s="137" t="str">
        <f>IFERROR(INDEX(EQA.CAP_Dados!J$2:J$5000,MATCH(ROW()-4,EQA.CAP_Dados!$S$2:$S$5000,0)),"")</f>
        <v/>
      </c>
      <c r="K42" s="137" t="str">
        <f>IFERROR(INDEX(EQA.CAP_Dados!K$2:K$5000,MATCH(ROW()-4,EQA.CAP_Dados!$S$2:$S$5000,0)),"")</f>
        <v/>
      </c>
      <c r="L42" t="str">
        <f>IFERROR(INDEX(EQA.CAP_Dados!L$2:L$5000,MATCH(ROW()-4,EQA.CAP_Dados!$S$2:$S$5000,0)),"")</f>
        <v/>
      </c>
      <c r="M42" s="126" t="str">
        <f>IFERROR(INDEX(EQA.CAP_Dados!M$2:M$5000,MATCH(ROW()-4,EQA.CAP_Dados!$S$2:$S$5000,0)),"")</f>
        <v/>
      </c>
      <c r="N42" t="str">
        <f>IFERROR(INDEX(EQA.CAP_Dados!N$2:N$5000,MATCH(ROW()-4,EQA.CAP_Dados!$S$2:$S$5000,0)),"")</f>
        <v/>
      </c>
      <c r="O42" s="137" t="str">
        <f>IFERROR(INDEX(EQA.CAP_Dados!O$2:O$5000,MATCH(ROW()-4,EQA.CAP_Dados!$S$2:$S$5000,0)),"")</f>
        <v/>
      </c>
      <c r="P42" s="137" t="str">
        <f>IFERROR(INDEX(EQA.CAP_Dados!P$2:P$5000,MATCH(ROW()-4,EQA.CAP_Dados!$S$2:$S$5000,0)),"")</f>
        <v/>
      </c>
      <c r="Q42" s="126" t="str">
        <f>IFERROR(INDEX(EQA.CAP_Dados!Q$2:Q$5000,MATCH(ROW()-4,EQA.CAP_Dados!$S$2:$S$5000,0)),"")</f>
        <v/>
      </c>
      <c r="R42" t="str">
        <f>IFERROR(INDEX(EQA.CAP_Dados!R$2:R$5000,MATCH(ROW()-4,EQA.CAP_Dados!$S$2:$S$5000,0)),"")</f>
        <v/>
      </c>
    </row>
    <row r="43" spans="1:18" x14ac:dyDescent="0.3">
      <c r="A43" t="str">
        <f>IFERROR(INDEX(EQA.CAP_Dados!A$2:A$5000,MATCH(ROW()-4,EQA.CAP_Dados!$S$2:$S$5000,0)),"")</f>
        <v/>
      </c>
      <c r="B43" t="str">
        <f>IFERROR(INDEX(EQA.CAP_Dados!B$2:B$5000,MATCH(ROW()-4,EQA.CAP_Dados!$S$2:$S$5000,0)),"")</f>
        <v/>
      </c>
      <c r="C43" s="126" t="str">
        <f>IFERROR(INDEX(EQA.CAP_Dados!C$2:C$5000,MATCH(ROW()-4,EQA.CAP_Dados!$S$2:$S$5000,0)),"")</f>
        <v/>
      </c>
      <c r="D43" t="str">
        <f>IFERROR(INDEX(EQA.CAP_Dados!D$2:D$5000,MATCH(ROW()-4,EQA.CAP_Dados!$S$2:$S$5000,0)),"")</f>
        <v/>
      </c>
      <c r="E43" t="str">
        <f>IFERROR(INDEX(EQA.CAP_Dados!E$2:E$5000,MATCH(ROW()-4,EQA.CAP_Dados!$S$2:$S$5000,0)),"")</f>
        <v/>
      </c>
      <c r="F43" s="137" t="str">
        <f>IFERROR(INDEX(EQA.CAP_Dados!F$2:F$5000,MATCH(ROW()-4,EQA.CAP_Dados!$S$2:$S$5000,0)),"")</f>
        <v/>
      </c>
      <c r="G43" s="138" t="str">
        <f>IFERROR(INDEX(EQA.CAP_Dados!G$2:G$5000,MATCH(ROW()-4,EQA.CAP_Dados!$S$2:$S$5000,0)),"")</f>
        <v/>
      </c>
      <c r="H43" s="138" t="str">
        <f>IFERROR(INDEX(EQA.CAP_Dados!H$2:H$5000,MATCH(ROW()-4,EQA.CAP_Dados!$S$2:$S$5000,0)),"")</f>
        <v/>
      </c>
      <c r="I43" s="139" t="str">
        <f>IFERROR(INDEX(EQA.CAP_Dados!I$2:I$5000,MATCH(ROW()-4,EQA.CAP_Dados!$S$2:$S$5000,0)),"")</f>
        <v/>
      </c>
      <c r="J43" s="137" t="str">
        <f>IFERROR(INDEX(EQA.CAP_Dados!J$2:J$5000,MATCH(ROW()-4,EQA.CAP_Dados!$S$2:$S$5000,0)),"")</f>
        <v/>
      </c>
      <c r="K43" s="137" t="str">
        <f>IFERROR(INDEX(EQA.CAP_Dados!K$2:K$5000,MATCH(ROW()-4,EQA.CAP_Dados!$S$2:$S$5000,0)),"")</f>
        <v/>
      </c>
      <c r="L43" t="str">
        <f>IFERROR(INDEX(EQA.CAP_Dados!L$2:L$5000,MATCH(ROW()-4,EQA.CAP_Dados!$S$2:$S$5000,0)),"")</f>
        <v/>
      </c>
      <c r="M43" s="126" t="str">
        <f>IFERROR(INDEX(EQA.CAP_Dados!M$2:M$5000,MATCH(ROW()-4,EQA.CAP_Dados!$S$2:$S$5000,0)),"")</f>
        <v/>
      </c>
      <c r="N43" t="str">
        <f>IFERROR(INDEX(EQA.CAP_Dados!N$2:N$5000,MATCH(ROW()-4,EQA.CAP_Dados!$S$2:$S$5000,0)),"")</f>
        <v/>
      </c>
      <c r="O43" s="137" t="str">
        <f>IFERROR(INDEX(EQA.CAP_Dados!O$2:O$5000,MATCH(ROW()-4,EQA.CAP_Dados!$S$2:$S$5000,0)),"")</f>
        <v/>
      </c>
      <c r="P43" s="137" t="str">
        <f>IFERROR(INDEX(EQA.CAP_Dados!P$2:P$5000,MATCH(ROW()-4,EQA.CAP_Dados!$S$2:$S$5000,0)),"")</f>
        <v/>
      </c>
      <c r="Q43" s="126" t="str">
        <f>IFERROR(INDEX(EQA.CAP_Dados!Q$2:Q$5000,MATCH(ROW()-4,EQA.CAP_Dados!$S$2:$S$5000,0)),"")</f>
        <v/>
      </c>
      <c r="R43" t="str">
        <f>IFERROR(INDEX(EQA.CAP_Dados!R$2:R$5000,MATCH(ROW()-4,EQA.CAP_Dados!$S$2:$S$5000,0)),"")</f>
        <v/>
      </c>
    </row>
    <row r="44" spans="1:18" x14ac:dyDescent="0.3">
      <c r="A44" t="str">
        <f>IFERROR(INDEX(EQA.CAP_Dados!A$2:A$5000,MATCH(ROW()-4,EQA.CAP_Dados!$S$2:$S$5000,0)),"")</f>
        <v/>
      </c>
      <c r="B44" t="str">
        <f>IFERROR(INDEX(EQA.CAP_Dados!B$2:B$5000,MATCH(ROW()-4,EQA.CAP_Dados!$S$2:$S$5000,0)),"")</f>
        <v/>
      </c>
      <c r="C44" s="126" t="str">
        <f>IFERROR(INDEX(EQA.CAP_Dados!C$2:C$5000,MATCH(ROW()-4,EQA.CAP_Dados!$S$2:$S$5000,0)),"")</f>
        <v/>
      </c>
      <c r="D44" t="str">
        <f>IFERROR(INDEX(EQA.CAP_Dados!D$2:D$5000,MATCH(ROW()-4,EQA.CAP_Dados!$S$2:$S$5000,0)),"")</f>
        <v/>
      </c>
      <c r="E44" t="str">
        <f>IFERROR(INDEX(EQA.CAP_Dados!E$2:E$5000,MATCH(ROW()-4,EQA.CAP_Dados!$S$2:$S$5000,0)),"")</f>
        <v/>
      </c>
      <c r="F44" s="137" t="str">
        <f>IFERROR(INDEX(EQA.CAP_Dados!F$2:F$5000,MATCH(ROW()-4,EQA.CAP_Dados!$S$2:$S$5000,0)),"")</f>
        <v/>
      </c>
      <c r="G44" s="138" t="str">
        <f>IFERROR(INDEX(EQA.CAP_Dados!G$2:G$5000,MATCH(ROW()-4,EQA.CAP_Dados!$S$2:$S$5000,0)),"")</f>
        <v/>
      </c>
      <c r="H44" s="138" t="str">
        <f>IFERROR(INDEX(EQA.CAP_Dados!H$2:H$5000,MATCH(ROW()-4,EQA.CAP_Dados!$S$2:$S$5000,0)),"")</f>
        <v/>
      </c>
      <c r="I44" s="139" t="str">
        <f>IFERROR(INDEX(EQA.CAP_Dados!I$2:I$5000,MATCH(ROW()-4,EQA.CAP_Dados!$S$2:$S$5000,0)),"")</f>
        <v/>
      </c>
      <c r="J44" s="137" t="str">
        <f>IFERROR(INDEX(EQA.CAP_Dados!J$2:J$5000,MATCH(ROW()-4,EQA.CAP_Dados!$S$2:$S$5000,0)),"")</f>
        <v/>
      </c>
      <c r="K44" s="137" t="str">
        <f>IFERROR(INDEX(EQA.CAP_Dados!K$2:K$5000,MATCH(ROW()-4,EQA.CAP_Dados!$S$2:$S$5000,0)),"")</f>
        <v/>
      </c>
      <c r="L44" t="str">
        <f>IFERROR(INDEX(EQA.CAP_Dados!L$2:L$5000,MATCH(ROW()-4,EQA.CAP_Dados!$S$2:$S$5000,0)),"")</f>
        <v/>
      </c>
      <c r="M44" s="126" t="str">
        <f>IFERROR(INDEX(EQA.CAP_Dados!M$2:M$5000,MATCH(ROW()-4,EQA.CAP_Dados!$S$2:$S$5000,0)),"")</f>
        <v/>
      </c>
      <c r="N44" t="str">
        <f>IFERROR(INDEX(EQA.CAP_Dados!N$2:N$5000,MATCH(ROW()-4,EQA.CAP_Dados!$S$2:$S$5000,0)),"")</f>
        <v/>
      </c>
      <c r="O44" s="137" t="str">
        <f>IFERROR(INDEX(EQA.CAP_Dados!O$2:O$5000,MATCH(ROW()-4,EQA.CAP_Dados!$S$2:$S$5000,0)),"")</f>
        <v/>
      </c>
      <c r="P44" s="137" t="str">
        <f>IFERROR(INDEX(EQA.CAP_Dados!P$2:P$5000,MATCH(ROW()-4,EQA.CAP_Dados!$S$2:$S$5000,0)),"")</f>
        <v/>
      </c>
      <c r="Q44" s="126" t="str">
        <f>IFERROR(INDEX(EQA.CAP_Dados!Q$2:Q$5000,MATCH(ROW()-4,EQA.CAP_Dados!$S$2:$S$5000,0)),"")</f>
        <v/>
      </c>
      <c r="R44" t="str">
        <f>IFERROR(INDEX(EQA.CAP_Dados!R$2:R$5000,MATCH(ROW()-4,EQA.CAP_Dados!$S$2:$S$5000,0)),"")</f>
        <v/>
      </c>
    </row>
    <row r="45" spans="1:18" x14ac:dyDescent="0.3">
      <c r="A45" t="str">
        <f>IFERROR(INDEX(EQA.CAP_Dados!A$2:A$5000,MATCH(ROW()-4,EQA.CAP_Dados!$S$2:$S$5000,0)),"")</f>
        <v/>
      </c>
      <c r="B45" t="str">
        <f>IFERROR(INDEX(EQA.CAP_Dados!B$2:B$5000,MATCH(ROW()-4,EQA.CAP_Dados!$S$2:$S$5000,0)),"")</f>
        <v/>
      </c>
      <c r="C45" s="126" t="str">
        <f>IFERROR(INDEX(EQA.CAP_Dados!C$2:C$5000,MATCH(ROW()-4,EQA.CAP_Dados!$S$2:$S$5000,0)),"")</f>
        <v/>
      </c>
      <c r="D45" t="str">
        <f>IFERROR(INDEX(EQA.CAP_Dados!D$2:D$5000,MATCH(ROW()-4,EQA.CAP_Dados!$S$2:$S$5000,0)),"")</f>
        <v/>
      </c>
      <c r="E45" t="str">
        <f>IFERROR(INDEX(EQA.CAP_Dados!E$2:E$5000,MATCH(ROW()-4,EQA.CAP_Dados!$S$2:$S$5000,0)),"")</f>
        <v/>
      </c>
      <c r="F45" s="137" t="str">
        <f>IFERROR(INDEX(EQA.CAP_Dados!F$2:F$5000,MATCH(ROW()-4,EQA.CAP_Dados!$S$2:$S$5000,0)),"")</f>
        <v/>
      </c>
      <c r="G45" s="138" t="str">
        <f>IFERROR(INDEX(EQA.CAP_Dados!G$2:G$5000,MATCH(ROW()-4,EQA.CAP_Dados!$S$2:$S$5000,0)),"")</f>
        <v/>
      </c>
      <c r="H45" s="138" t="str">
        <f>IFERROR(INDEX(EQA.CAP_Dados!H$2:H$5000,MATCH(ROW()-4,EQA.CAP_Dados!$S$2:$S$5000,0)),"")</f>
        <v/>
      </c>
      <c r="I45" s="139" t="str">
        <f>IFERROR(INDEX(EQA.CAP_Dados!I$2:I$5000,MATCH(ROW()-4,EQA.CAP_Dados!$S$2:$S$5000,0)),"")</f>
        <v/>
      </c>
      <c r="J45" s="137" t="str">
        <f>IFERROR(INDEX(EQA.CAP_Dados!J$2:J$5000,MATCH(ROW()-4,EQA.CAP_Dados!$S$2:$S$5000,0)),"")</f>
        <v/>
      </c>
      <c r="K45" s="137" t="str">
        <f>IFERROR(INDEX(EQA.CAP_Dados!K$2:K$5000,MATCH(ROW()-4,EQA.CAP_Dados!$S$2:$S$5000,0)),"")</f>
        <v/>
      </c>
      <c r="L45" t="str">
        <f>IFERROR(INDEX(EQA.CAP_Dados!L$2:L$5000,MATCH(ROW()-4,EQA.CAP_Dados!$S$2:$S$5000,0)),"")</f>
        <v/>
      </c>
      <c r="M45" s="126" t="str">
        <f>IFERROR(INDEX(EQA.CAP_Dados!M$2:M$5000,MATCH(ROW()-4,EQA.CAP_Dados!$S$2:$S$5000,0)),"")</f>
        <v/>
      </c>
      <c r="N45" t="str">
        <f>IFERROR(INDEX(EQA.CAP_Dados!N$2:N$5000,MATCH(ROW()-4,EQA.CAP_Dados!$S$2:$S$5000,0)),"")</f>
        <v/>
      </c>
      <c r="O45" s="137" t="str">
        <f>IFERROR(INDEX(EQA.CAP_Dados!O$2:O$5000,MATCH(ROW()-4,EQA.CAP_Dados!$S$2:$S$5000,0)),"")</f>
        <v/>
      </c>
      <c r="P45" s="137" t="str">
        <f>IFERROR(INDEX(EQA.CAP_Dados!P$2:P$5000,MATCH(ROW()-4,EQA.CAP_Dados!$S$2:$S$5000,0)),"")</f>
        <v/>
      </c>
      <c r="Q45" s="126" t="str">
        <f>IFERROR(INDEX(EQA.CAP_Dados!Q$2:Q$5000,MATCH(ROW()-4,EQA.CAP_Dados!$S$2:$S$5000,0)),"")</f>
        <v/>
      </c>
      <c r="R45" t="str">
        <f>IFERROR(INDEX(EQA.CAP_Dados!R$2:R$5000,MATCH(ROW()-4,EQA.CAP_Dados!$S$2:$S$5000,0)),"")</f>
        <v/>
      </c>
    </row>
    <row r="46" spans="1:18" x14ac:dyDescent="0.3">
      <c r="A46" t="str">
        <f>IFERROR(INDEX(EQA.CAP_Dados!A$2:A$5000,MATCH(ROW()-4,EQA.CAP_Dados!$S$2:$S$5000,0)),"")</f>
        <v/>
      </c>
      <c r="B46" t="str">
        <f>IFERROR(INDEX(EQA.CAP_Dados!B$2:B$5000,MATCH(ROW()-4,EQA.CAP_Dados!$S$2:$S$5000,0)),"")</f>
        <v/>
      </c>
      <c r="C46" s="126" t="str">
        <f>IFERROR(INDEX(EQA.CAP_Dados!C$2:C$5000,MATCH(ROW()-4,EQA.CAP_Dados!$S$2:$S$5000,0)),"")</f>
        <v/>
      </c>
      <c r="D46" t="str">
        <f>IFERROR(INDEX(EQA.CAP_Dados!D$2:D$5000,MATCH(ROW()-4,EQA.CAP_Dados!$S$2:$S$5000,0)),"")</f>
        <v/>
      </c>
      <c r="E46" t="str">
        <f>IFERROR(INDEX(EQA.CAP_Dados!E$2:E$5000,MATCH(ROW()-4,EQA.CAP_Dados!$S$2:$S$5000,0)),"")</f>
        <v/>
      </c>
      <c r="F46" s="137" t="str">
        <f>IFERROR(INDEX(EQA.CAP_Dados!F$2:F$5000,MATCH(ROW()-4,EQA.CAP_Dados!$S$2:$S$5000,0)),"")</f>
        <v/>
      </c>
      <c r="G46" s="138" t="str">
        <f>IFERROR(INDEX(EQA.CAP_Dados!G$2:G$5000,MATCH(ROW()-4,EQA.CAP_Dados!$S$2:$S$5000,0)),"")</f>
        <v/>
      </c>
      <c r="H46" s="138" t="str">
        <f>IFERROR(INDEX(EQA.CAP_Dados!H$2:H$5000,MATCH(ROW()-4,EQA.CAP_Dados!$S$2:$S$5000,0)),"")</f>
        <v/>
      </c>
      <c r="I46" s="139" t="str">
        <f>IFERROR(INDEX(EQA.CAP_Dados!I$2:I$5000,MATCH(ROW()-4,EQA.CAP_Dados!$S$2:$S$5000,0)),"")</f>
        <v/>
      </c>
      <c r="J46" s="137" t="str">
        <f>IFERROR(INDEX(EQA.CAP_Dados!J$2:J$5000,MATCH(ROW()-4,EQA.CAP_Dados!$S$2:$S$5000,0)),"")</f>
        <v/>
      </c>
      <c r="K46" s="137" t="str">
        <f>IFERROR(INDEX(EQA.CAP_Dados!K$2:K$5000,MATCH(ROW()-4,EQA.CAP_Dados!$S$2:$S$5000,0)),"")</f>
        <v/>
      </c>
      <c r="L46" t="str">
        <f>IFERROR(INDEX(EQA.CAP_Dados!L$2:L$5000,MATCH(ROW()-4,EQA.CAP_Dados!$S$2:$S$5000,0)),"")</f>
        <v/>
      </c>
      <c r="M46" s="126" t="str">
        <f>IFERROR(INDEX(EQA.CAP_Dados!M$2:M$5000,MATCH(ROW()-4,EQA.CAP_Dados!$S$2:$S$5000,0)),"")</f>
        <v/>
      </c>
      <c r="N46" t="str">
        <f>IFERROR(INDEX(EQA.CAP_Dados!N$2:N$5000,MATCH(ROW()-4,EQA.CAP_Dados!$S$2:$S$5000,0)),"")</f>
        <v/>
      </c>
      <c r="O46" s="137" t="str">
        <f>IFERROR(INDEX(EQA.CAP_Dados!O$2:O$5000,MATCH(ROW()-4,EQA.CAP_Dados!$S$2:$S$5000,0)),"")</f>
        <v/>
      </c>
      <c r="P46" s="137" t="str">
        <f>IFERROR(INDEX(EQA.CAP_Dados!P$2:P$5000,MATCH(ROW()-4,EQA.CAP_Dados!$S$2:$S$5000,0)),"")</f>
        <v/>
      </c>
      <c r="Q46" s="126" t="str">
        <f>IFERROR(INDEX(EQA.CAP_Dados!Q$2:Q$5000,MATCH(ROW()-4,EQA.CAP_Dados!$S$2:$S$5000,0)),"")</f>
        <v/>
      </c>
      <c r="R46" t="str">
        <f>IFERROR(INDEX(EQA.CAP_Dados!R$2:R$5000,MATCH(ROW()-4,EQA.CAP_Dados!$S$2:$S$5000,0)),"")</f>
        <v/>
      </c>
    </row>
    <row r="47" spans="1:18" x14ac:dyDescent="0.3">
      <c r="A47" t="str">
        <f>IFERROR(INDEX(EQA.CAP_Dados!A$2:A$5000,MATCH(ROW()-4,EQA.CAP_Dados!$S$2:$S$5000,0)),"")</f>
        <v/>
      </c>
      <c r="B47" t="str">
        <f>IFERROR(INDEX(EQA.CAP_Dados!B$2:B$5000,MATCH(ROW()-4,EQA.CAP_Dados!$S$2:$S$5000,0)),"")</f>
        <v/>
      </c>
      <c r="C47" s="126" t="str">
        <f>IFERROR(INDEX(EQA.CAP_Dados!C$2:C$5000,MATCH(ROW()-4,EQA.CAP_Dados!$S$2:$S$5000,0)),"")</f>
        <v/>
      </c>
      <c r="D47" t="str">
        <f>IFERROR(INDEX(EQA.CAP_Dados!D$2:D$5000,MATCH(ROW()-4,EQA.CAP_Dados!$S$2:$S$5000,0)),"")</f>
        <v/>
      </c>
      <c r="E47" t="str">
        <f>IFERROR(INDEX(EQA.CAP_Dados!E$2:E$5000,MATCH(ROW()-4,EQA.CAP_Dados!$S$2:$S$5000,0)),"")</f>
        <v/>
      </c>
      <c r="F47" s="137" t="str">
        <f>IFERROR(INDEX(EQA.CAP_Dados!F$2:F$5000,MATCH(ROW()-4,EQA.CAP_Dados!$S$2:$S$5000,0)),"")</f>
        <v/>
      </c>
      <c r="G47" s="138" t="str">
        <f>IFERROR(INDEX(EQA.CAP_Dados!G$2:G$5000,MATCH(ROW()-4,EQA.CAP_Dados!$S$2:$S$5000,0)),"")</f>
        <v/>
      </c>
      <c r="H47" s="138" t="str">
        <f>IFERROR(INDEX(EQA.CAP_Dados!H$2:H$5000,MATCH(ROW()-4,EQA.CAP_Dados!$S$2:$S$5000,0)),"")</f>
        <v/>
      </c>
      <c r="I47" s="139" t="str">
        <f>IFERROR(INDEX(EQA.CAP_Dados!I$2:I$5000,MATCH(ROW()-4,EQA.CAP_Dados!$S$2:$S$5000,0)),"")</f>
        <v/>
      </c>
      <c r="J47" s="137" t="str">
        <f>IFERROR(INDEX(EQA.CAP_Dados!J$2:J$5000,MATCH(ROW()-4,EQA.CAP_Dados!$S$2:$S$5000,0)),"")</f>
        <v/>
      </c>
      <c r="K47" s="137" t="str">
        <f>IFERROR(INDEX(EQA.CAP_Dados!K$2:K$5000,MATCH(ROW()-4,EQA.CAP_Dados!$S$2:$S$5000,0)),"")</f>
        <v/>
      </c>
      <c r="L47" t="str">
        <f>IFERROR(INDEX(EQA.CAP_Dados!L$2:L$5000,MATCH(ROW()-4,EQA.CAP_Dados!$S$2:$S$5000,0)),"")</f>
        <v/>
      </c>
      <c r="M47" s="126" t="str">
        <f>IFERROR(INDEX(EQA.CAP_Dados!M$2:M$5000,MATCH(ROW()-4,EQA.CAP_Dados!$S$2:$S$5000,0)),"")</f>
        <v/>
      </c>
      <c r="N47" t="str">
        <f>IFERROR(INDEX(EQA.CAP_Dados!N$2:N$5000,MATCH(ROW()-4,EQA.CAP_Dados!$S$2:$S$5000,0)),"")</f>
        <v/>
      </c>
      <c r="O47" s="137" t="str">
        <f>IFERROR(INDEX(EQA.CAP_Dados!O$2:O$5000,MATCH(ROW()-4,EQA.CAP_Dados!$S$2:$S$5000,0)),"")</f>
        <v/>
      </c>
      <c r="P47" s="137" t="str">
        <f>IFERROR(INDEX(EQA.CAP_Dados!P$2:P$5000,MATCH(ROW()-4,EQA.CAP_Dados!$S$2:$S$5000,0)),"")</f>
        <v/>
      </c>
      <c r="Q47" s="126" t="str">
        <f>IFERROR(INDEX(EQA.CAP_Dados!Q$2:Q$5000,MATCH(ROW()-4,EQA.CAP_Dados!$S$2:$S$5000,0)),"")</f>
        <v/>
      </c>
      <c r="R47" t="str">
        <f>IFERROR(INDEX(EQA.CAP_Dados!R$2:R$5000,MATCH(ROW()-4,EQA.CAP_Dados!$S$2:$S$5000,0)),"")</f>
        <v/>
      </c>
    </row>
    <row r="48" spans="1:18" x14ac:dyDescent="0.3">
      <c r="A48" t="str">
        <f>IFERROR(INDEX(EQA.CAP_Dados!A$2:A$5000,MATCH(ROW()-4,EQA.CAP_Dados!$S$2:$S$5000,0)),"")</f>
        <v/>
      </c>
      <c r="B48" t="str">
        <f>IFERROR(INDEX(EQA.CAP_Dados!B$2:B$5000,MATCH(ROW()-4,EQA.CAP_Dados!$S$2:$S$5000,0)),"")</f>
        <v/>
      </c>
      <c r="C48" s="126" t="str">
        <f>IFERROR(INDEX(EQA.CAP_Dados!C$2:C$5000,MATCH(ROW()-4,EQA.CAP_Dados!$S$2:$S$5000,0)),"")</f>
        <v/>
      </c>
      <c r="D48" t="str">
        <f>IFERROR(INDEX(EQA.CAP_Dados!D$2:D$5000,MATCH(ROW()-4,EQA.CAP_Dados!$S$2:$S$5000,0)),"")</f>
        <v/>
      </c>
      <c r="E48" t="str">
        <f>IFERROR(INDEX(EQA.CAP_Dados!E$2:E$5000,MATCH(ROW()-4,EQA.CAP_Dados!$S$2:$S$5000,0)),"")</f>
        <v/>
      </c>
      <c r="F48" s="137" t="str">
        <f>IFERROR(INDEX(EQA.CAP_Dados!F$2:F$5000,MATCH(ROW()-4,EQA.CAP_Dados!$S$2:$S$5000,0)),"")</f>
        <v/>
      </c>
      <c r="G48" s="138" t="str">
        <f>IFERROR(INDEX(EQA.CAP_Dados!G$2:G$5000,MATCH(ROW()-4,EQA.CAP_Dados!$S$2:$S$5000,0)),"")</f>
        <v/>
      </c>
      <c r="H48" s="138" t="str">
        <f>IFERROR(INDEX(EQA.CAP_Dados!H$2:H$5000,MATCH(ROW()-4,EQA.CAP_Dados!$S$2:$S$5000,0)),"")</f>
        <v/>
      </c>
      <c r="I48" s="139" t="str">
        <f>IFERROR(INDEX(EQA.CAP_Dados!I$2:I$5000,MATCH(ROW()-4,EQA.CAP_Dados!$S$2:$S$5000,0)),"")</f>
        <v/>
      </c>
      <c r="J48" s="137" t="str">
        <f>IFERROR(INDEX(EQA.CAP_Dados!J$2:J$5000,MATCH(ROW()-4,EQA.CAP_Dados!$S$2:$S$5000,0)),"")</f>
        <v/>
      </c>
      <c r="K48" s="137" t="str">
        <f>IFERROR(INDEX(EQA.CAP_Dados!K$2:K$5000,MATCH(ROW()-4,EQA.CAP_Dados!$S$2:$S$5000,0)),"")</f>
        <v/>
      </c>
      <c r="L48" t="str">
        <f>IFERROR(INDEX(EQA.CAP_Dados!L$2:L$5000,MATCH(ROW()-4,EQA.CAP_Dados!$S$2:$S$5000,0)),"")</f>
        <v/>
      </c>
      <c r="M48" s="126" t="str">
        <f>IFERROR(INDEX(EQA.CAP_Dados!M$2:M$5000,MATCH(ROW()-4,EQA.CAP_Dados!$S$2:$S$5000,0)),"")</f>
        <v/>
      </c>
      <c r="N48" t="str">
        <f>IFERROR(INDEX(EQA.CAP_Dados!N$2:N$5000,MATCH(ROW()-4,EQA.CAP_Dados!$S$2:$S$5000,0)),"")</f>
        <v/>
      </c>
      <c r="O48" s="137" t="str">
        <f>IFERROR(INDEX(EQA.CAP_Dados!O$2:O$5000,MATCH(ROW()-4,EQA.CAP_Dados!$S$2:$S$5000,0)),"")</f>
        <v/>
      </c>
      <c r="P48" s="137" t="str">
        <f>IFERROR(INDEX(EQA.CAP_Dados!P$2:P$5000,MATCH(ROW()-4,EQA.CAP_Dados!$S$2:$S$5000,0)),"")</f>
        <v/>
      </c>
      <c r="Q48" s="126" t="str">
        <f>IFERROR(INDEX(EQA.CAP_Dados!Q$2:Q$5000,MATCH(ROW()-4,EQA.CAP_Dados!$S$2:$S$5000,0)),"")</f>
        <v/>
      </c>
      <c r="R48" t="str">
        <f>IFERROR(INDEX(EQA.CAP_Dados!R$2:R$5000,MATCH(ROW()-4,EQA.CAP_Dados!$S$2:$S$5000,0)),"")</f>
        <v/>
      </c>
    </row>
    <row r="49" spans="1:18" x14ac:dyDescent="0.3">
      <c r="A49" t="str">
        <f>IFERROR(INDEX(EQA.CAP_Dados!A$2:A$5000,MATCH(ROW()-4,EQA.CAP_Dados!$S$2:$S$5000,0)),"")</f>
        <v/>
      </c>
      <c r="B49" t="str">
        <f>IFERROR(INDEX(EQA.CAP_Dados!B$2:B$5000,MATCH(ROW()-4,EQA.CAP_Dados!$S$2:$S$5000,0)),"")</f>
        <v/>
      </c>
      <c r="C49" s="126" t="str">
        <f>IFERROR(INDEX(EQA.CAP_Dados!C$2:C$5000,MATCH(ROW()-4,EQA.CAP_Dados!$S$2:$S$5000,0)),"")</f>
        <v/>
      </c>
      <c r="D49" t="str">
        <f>IFERROR(INDEX(EQA.CAP_Dados!D$2:D$5000,MATCH(ROW()-4,EQA.CAP_Dados!$S$2:$S$5000,0)),"")</f>
        <v/>
      </c>
      <c r="E49" t="str">
        <f>IFERROR(INDEX(EQA.CAP_Dados!E$2:E$5000,MATCH(ROW()-4,EQA.CAP_Dados!$S$2:$S$5000,0)),"")</f>
        <v/>
      </c>
      <c r="F49" s="137" t="str">
        <f>IFERROR(INDEX(EQA.CAP_Dados!F$2:F$5000,MATCH(ROW()-4,EQA.CAP_Dados!$S$2:$S$5000,0)),"")</f>
        <v/>
      </c>
      <c r="G49" s="138" t="str">
        <f>IFERROR(INDEX(EQA.CAP_Dados!G$2:G$5000,MATCH(ROW()-4,EQA.CAP_Dados!$S$2:$S$5000,0)),"")</f>
        <v/>
      </c>
      <c r="H49" s="138" t="str">
        <f>IFERROR(INDEX(EQA.CAP_Dados!H$2:H$5000,MATCH(ROW()-4,EQA.CAP_Dados!$S$2:$S$5000,0)),"")</f>
        <v/>
      </c>
      <c r="I49" s="139" t="str">
        <f>IFERROR(INDEX(EQA.CAP_Dados!I$2:I$5000,MATCH(ROW()-4,EQA.CAP_Dados!$S$2:$S$5000,0)),"")</f>
        <v/>
      </c>
      <c r="J49" s="137" t="str">
        <f>IFERROR(INDEX(EQA.CAP_Dados!J$2:J$5000,MATCH(ROW()-4,EQA.CAP_Dados!$S$2:$S$5000,0)),"")</f>
        <v/>
      </c>
      <c r="K49" s="137" t="str">
        <f>IFERROR(INDEX(EQA.CAP_Dados!K$2:K$5000,MATCH(ROW()-4,EQA.CAP_Dados!$S$2:$S$5000,0)),"")</f>
        <v/>
      </c>
      <c r="L49" t="str">
        <f>IFERROR(INDEX(EQA.CAP_Dados!L$2:L$5000,MATCH(ROW()-4,EQA.CAP_Dados!$S$2:$S$5000,0)),"")</f>
        <v/>
      </c>
      <c r="M49" s="126" t="str">
        <f>IFERROR(INDEX(EQA.CAP_Dados!M$2:M$5000,MATCH(ROW()-4,EQA.CAP_Dados!$S$2:$S$5000,0)),"")</f>
        <v/>
      </c>
      <c r="N49" t="str">
        <f>IFERROR(INDEX(EQA.CAP_Dados!N$2:N$5000,MATCH(ROW()-4,EQA.CAP_Dados!$S$2:$S$5000,0)),"")</f>
        <v/>
      </c>
      <c r="O49" s="137" t="str">
        <f>IFERROR(INDEX(EQA.CAP_Dados!O$2:O$5000,MATCH(ROW()-4,EQA.CAP_Dados!$S$2:$S$5000,0)),"")</f>
        <v/>
      </c>
      <c r="P49" s="137" t="str">
        <f>IFERROR(INDEX(EQA.CAP_Dados!P$2:P$5000,MATCH(ROW()-4,EQA.CAP_Dados!$S$2:$S$5000,0)),"")</f>
        <v/>
      </c>
      <c r="Q49" s="126" t="str">
        <f>IFERROR(INDEX(EQA.CAP_Dados!Q$2:Q$5000,MATCH(ROW()-4,EQA.CAP_Dados!$S$2:$S$5000,0)),"")</f>
        <v/>
      </c>
      <c r="R49" t="str">
        <f>IFERROR(INDEX(EQA.CAP_Dados!R$2:R$5000,MATCH(ROW()-4,EQA.CAP_Dados!$S$2:$S$5000,0)),"")</f>
        <v/>
      </c>
    </row>
    <row r="50" spans="1:18" x14ac:dyDescent="0.3">
      <c r="A50" t="str">
        <f>IFERROR(INDEX(EQA.CAP_Dados!A$2:A$5000,MATCH(ROW()-4,EQA.CAP_Dados!$S$2:$S$5000,0)),"")</f>
        <v/>
      </c>
      <c r="B50" t="str">
        <f>IFERROR(INDEX(EQA.CAP_Dados!B$2:B$5000,MATCH(ROW()-4,EQA.CAP_Dados!$S$2:$S$5000,0)),"")</f>
        <v/>
      </c>
      <c r="C50" s="126" t="str">
        <f>IFERROR(INDEX(EQA.CAP_Dados!C$2:C$5000,MATCH(ROW()-4,EQA.CAP_Dados!$S$2:$S$5000,0)),"")</f>
        <v/>
      </c>
      <c r="D50" t="str">
        <f>IFERROR(INDEX(EQA.CAP_Dados!D$2:D$5000,MATCH(ROW()-4,EQA.CAP_Dados!$S$2:$S$5000,0)),"")</f>
        <v/>
      </c>
      <c r="E50" t="str">
        <f>IFERROR(INDEX(EQA.CAP_Dados!E$2:E$5000,MATCH(ROW()-4,EQA.CAP_Dados!$S$2:$S$5000,0)),"")</f>
        <v/>
      </c>
      <c r="F50" s="137" t="str">
        <f>IFERROR(INDEX(EQA.CAP_Dados!F$2:F$5000,MATCH(ROW()-4,EQA.CAP_Dados!$S$2:$S$5000,0)),"")</f>
        <v/>
      </c>
      <c r="G50" s="138" t="str">
        <f>IFERROR(INDEX(EQA.CAP_Dados!G$2:G$5000,MATCH(ROW()-4,EQA.CAP_Dados!$S$2:$S$5000,0)),"")</f>
        <v/>
      </c>
      <c r="H50" s="138" t="str">
        <f>IFERROR(INDEX(EQA.CAP_Dados!H$2:H$5000,MATCH(ROW()-4,EQA.CAP_Dados!$S$2:$S$5000,0)),"")</f>
        <v/>
      </c>
      <c r="I50" s="139" t="str">
        <f>IFERROR(INDEX(EQA.CAP_Dados!I$2:I$5000,MATCH(ROW()-4,EQA.CAP_Dados!$S$2:$S$5000,0)),"")</f>
        <v/>
      </c>
      <c r="J50" s="137" t="str">
        <f>IFERROR(INDEX(EQA.CAP_Dados!J$2:J$5000,MATCH(ROW()-4,EQA.CAP_Dados!$S$2:$S$5000,0)),"")</f>
        <v/>
      </c>
      <c r="K50" s="137" t="str">
        <f>IFERROR(INDEX(EQA.CAP_Dados!K$2:K$5000,MATCH(ROW()-4,EQA.CAP_Dados!$S$2:$S$5000,0)),"")</f>
        <v/>
      </c>
      <c r="L50" t="str">
        <f>IFERROR(INDEX(EQA.CAP_Dados!L$2:L$5000,MATCH(ROW()-4,EQA.CAP_Dados!$S$2:$S$5000,0)),"")</f>
        <v/>
      </c>
      <c r="M50" s="126" t="str">
        <f>IFERROR(INDEX(EQA.CAP_Dados!M$2:M$5000,MATCH(ROW()-4,EQA.CAP_Dados!$S$2:$S$5000,0)),"")</f>
        <v/>
      </c>
      <c r="N50" t="str">
        <f>IFERROR(INDEX(EQA.CAP_Dados!N$2:N$5000,MATCH(ROW()-4,EQA.CAP_Dados!$S$2:$S$5000,0)),"")</f>
        <v/>
      </c>
      <c r="O50" s="137" t="str">
        <f>IFERROR(INDEX(EQA.CAP_Dados!O$2:O$5000,MATCH(ROW()-4,EQA.CAP_Dados!$S$2:$S$5000,0)),"")</f>
        <v/>
      </c>
      <c r="P50" s="137" t="str">
        <f>IFERROR(INDEX(EQA.CAP_Dados!P$2:P$5000,MATCH(ROW()-4,EQA.CAP_Dados!$S$2:$S$5000,0)),"")</f>
        <v/>
      </c>
      <c r="Q50" s="126" t="str">
        <f>IFERROR(INDEX(EQA.CAP_Dados!Q$2:Q$5000,MATCH(ROW()-4,EQA.CAP_Dados!$S$2:$S$5000,0)),"")</f>
        <v/>
      </c>
      <c r="R50" t="str">
        <f>IFERROR(INDEX(EQA.CAP_Dados!R$2:R$5000,MATCH(ROW()-4,EQA.CAP_Dados!$S$2:$S$5000,0)),"")</f>
        <v/>
      </c>
    </row>
    <row r="51" spans="1:18" x14ac:dyDescent="0.3">
      <c r="A51" t="str">
        <f>IFERROR(INDEX(EQA.CAP_Dados!A$2:A$5000,MATCH(ROW()-4,EQA.CAP_Dados!$S$2:$S$5000,0)),"")</f>
        <v/>
      </c>
      <c r="B51" t="str">
        <f>IFERROR(INDEX(EQA.CAP_Dados!B$2:B$5000,MATCH(ROW()-4,EQA.CAP_Dados!$S$2:$S$5000,0)),"")</f>
        <v/>
      </c>
      <c r="C51" s="126" t="str">
        <f>IFERROR(INDEX(EQA.CAP_Dados!C$2:C$5000,MATCH(ROW()-4,EQA.CAP_Dados!$S$2:$S$5000,0)),"")</f>
        <v/>
      </c>
      <c r="D51" t="str">
        <f>IFERROR(INDEX(EQA.CAP_Dados!D$2:D$5000,MATCH(ROW()-4,EQA.CAP_Dados!$S$2:$S$5000,0)),"")</f>
        <v/>
      </c>
      <c r="E51" t="str">
        <f>IFERROR(INDEX(EQA.CAP_Dados!E$2:E$5000,MATCH(ROW()-4,EQA.CAP_Dados!$S$2:$S$5000,0)),"")</f>
        <v/>
      </c>
      <c r="F51" s="137" t="str">
        <f>IFERROR(INDEX(EQA.CAP_Dados!F$2:F$5000,MATCH(ROW()-4,EQA.CAP_Dados!$S$2:$S$5000,0)),"")</f>
        <v/>
      </c>
      <c r="G51" s="138" t="str">
        <f>IFERROR(INDEX(EQA.CAP_Dados!G$2:G$5000,MATCH(ROW()-4,EQA.CAP_Dados!$S$2:$S$5000,0)),"")</f>
        <v/>
      </c>
      <c r="H51" s="138" t="str">
        <f>IFERROR(INDEX(EQA.CAP_Dados!H$2:H$5000,MATCH(ROW()-4,EQA.CAP_Dados!$S$2:$S$5000,0)),"")</f>
        <v/>
      </c>
      <c r="I51" s="139" t="str">
        <f>IFERROR(INDEX(EQA.CAP_Dados!I$2:I$5000,MATCH(ROW()-4,EQA.CAP_Dados!$S$2:$S$5000,0)),"")</f>
        <v/>
      </c>
      <c r="J51" s="137" t="str">
        <f>IFERROR(INDEX(EQA.CAP_Dados!J$2:J$5000,MATCH(ROW()-4,EQA.CAP_Dados!$S$2:$S$5000,0)),"")</f>
        <v/>
      </c>
      <c r="K51" s="137" t="str">
        <f>IFERROR(INDEX(EQA.CAP_Dados!K$2:K$5000,MATCH(ROW()-4,EQA.CAP_Dados!$S$2:$S$5000,0)),"")</f>
        <v/>
      </c>
      <c r="L51" t="str">
        <f>IFERROR(INDEX(EQA.CAP_Dados!L$2:L$5000,MATCH(ROW()-4,EQA.CAP_Dados!$S$2:$S$5000,0)),"")</f>
        <v/>
      </c>
      <c r="M51" s="126" t="str">
        <f>IFERROR(INDEX(EQA.CAP_Dados!M$2:M$5000,MATCH(ROW()-4,EQA.CAP_Dados!$S$2:$S$5000,0)),"")</f>
        <v/>
      </c>
      <c r="N51" t="str">
        <f>IFERROR(INDEX(EQA.CAP_Dados!N$2:N$5000,MATCH(ROW()-4,EQA.CAP_Dados!$S$2:$S$5000,0)),"")</f>
        <v/>
      </c>
      <c r="O51" s="137" t="str">
        <f>IFERROR(INDEX(EQA.CAP_Dados!O$2:O$5000,MATCH(ROW()-4,EQA.CAP_Dados!$S$2:$S$5000,0)),"")</f>
        <v/>
      </c>
      <c r="P51" s="137" t="str">
        <f>IFERROR(INDEX(EQA.CAP_Dados!P$2:P$5000,MATCH(ROW()-4,EQA.CAP_Dados!$S$2:$S$5000,0)),"")</f>
        <v/>
      </c>
      <c r="Q51" s="126" t="str">
        <f>IFERROR(INDEX(EQA.CAP_Dados!Q$2:Q$5000,MATCH(ROW()-4,EQA.CAP_Dados!$S$2:$S$5000,0)),"")</f>
        <v/>
      </c>
      <c r="R51" t="str">
        <f>IFERROR(INDEX(EQA.CAP_Dados!R$2:R$5000,MATCH(ROW()-4,EQA.CAP_Dados!$S$2:$S$5000,0)),"")</f>
        <v/>
      </c>
    </row>
    <row r="52" spans="1:18" x14ac:dyDescent="0.3">
      <c r="A52" t="str">
        <f>IFERROR(INDEX(EQA.CAP_Dados!A$2:A$5000,MATCH(ROW()-4,EQA.CAP_Dados!$S$2:$S$5000,0)),"")</f>
        <v/>
      </c>
      <c r="B52" t="str">
        <f>IFERROR(INDEX(EQA.CAP_Dados!B$2:B$5000,MATCH(ROW()-4,EQA.CAP_Dados!$S$2:$S$5000,0)),"")</f>
        <v/>
      </c>
      <c r="C52" s="126" t="str">
        <f>IFERROR(INDEX(EQA.CAP_Dados!C$2:C$5000,MATCH(ROW()-4,EQA.CAP_Dados!$S$2:$S$5000,0)),"")</f>
        <v/>
      </c>
      <c r="D52" t="str">
        <f>IFERROR(INDEX(EQA.CAP_Dados!D$2:D$5000,MATCH(ROW()-4,EQA.CAP_Dados!$S$2:$S$5000,0)),"")</f>
        <v/>
      </c>
      <c r="E52" t="str">
        <f>IFERROR(INDEX(EQA.CAP_Dados!E$2:E$5000,MATCH(ROW()-4,EQA.CAP_Dados!$S$2:$S$5000,0)),"")</f>
        <v/>
      </c>
      <c r="F52" s="137" t="str">
        <f>IFERROR(INDEX(EQA.CAP_Dados!F$2:F$5000,MATCH(ROW()-4,EQA.CAP_Dados!$S$2:$S$5000,0)),"")</f>
        <v/>
      </c>
      <c r="G52" s="138" t="str">
        <f>IFERROR(INDEX(EQA.CAP_Dados!G$2:G$5000,MATCH(ROW()-4,EQA.CAP_Dados!$S$2:$S$5000,0)),"")</f>
        <v/>
      </c>
      <c r="H52" s="138" t="str">
        <f>IFERROR(INDEX(EQA.CAP_Dados!H$2:H$5000,MATCH(ROW()-4,EQA.CAP_Dados!$S$2:$S$5000,0)),"")</f>
        <v/>
      </c>
      <c r="I52" s="139" t="str">
        <f>IFERROR(INDEX(EQA.CAP_Dados!I$2:I$5000,MATCH(ROW()-4,EQA.CAP_Dados!$S$2:$S$5000,0)),"")</f>
        <v/>
      </c>
      <c r="J52" s="137" t="str">
        <f>IFERROR(INDEX(EQA.CAP_Dados!J$2:J$5000,MATCH(ROW()-4,EQA.CAP_Dados!$S$2:$S$5000,0)),"")</f>
        <v/>
      </c>
      <c r="K52" s="137" t="str">
        <f>IFERROR(INDEX(EQA.CAP_Dados!K$2:K$5000,MATCH(ROW()-4,EQA.CAP_Dados!$S$2:$S$5000,0)),"")</f>
        <v/>
      </c>
      <c r="L52" t="str">
        <f>IFERROR(INDEX(EQA.CAP_Dados!L$2:L$5000,MATCH(ROW()-4,EQA.CAP_Dados!$S$2:$S$5000,0)),"")</f>
        <v/>
      </c>
      <c r="M52" s="126" t="str">
        <f>IFERROR(INDEX(EQA.CAP_Dados!M$2:M$5000,MATCH(ROW()-4,EQA.CAP_Dados!$S$2:$S$5000,0)),"")</f>
        <v/>
      </c>
      <c r="N52" t="str">
        <f>IFERROR(INDEX(EQA.CAP_Dados!N$2:N$5000,MATCH(ROW()-4,EQA.CAP_Dados!$S$2:$S$5000,0)),"")</f>
        <v/>
      </c>
      <c r="O52" s="137" t="str">
        <f>IFERROR(INDEX(EQA.CAP_Dados!O$2:O$5000,MATCH(ROW()-4,EQA.CAP_Dados!$S$2:$S$5000,0)),"")</f>
        <v/>
      </c>
      <c r="P52" s="137" t="str">
        <f>IFERROR(INDEX(EQA.CAP_Dados!P$2:P$5000,MATCH(ROW()-4,EQA.CAP_Dados!$S$2:$S$5000,0)),"")</f>
        <v/>
      </c>
      <c r="Q52" s="126" t="str">
        <f>IFERROR(INDEX(EQA.CAP_Dados!Q$2:Q$5000,MATCH(ROW()-4,EQA.CAP_Dados!$S$2:$S$5000,0)),"")</f>
        <v/>
      </c>
      <c r="R52" t="str">
        <f>IFERROR(INDEX(EQA.CAP_Dados!R$2:R$5000,MATCH(ROW()-4,EQA.CAP_Dados!$S$2:$S$5000,0)),"")</f>
        <v/>
      </c>
    </row>
    <row r="53" spans="1:18" x14ac:dyDescent="0.3">
      <c r="A53" t="str">
        <f>IFERROR(INDEX(EQA.CAP_Dados!A$2:A$5000,MATCH(ROW()-4,EQA.CAP_Dados!$S$2:$S$5000,0)),"")</f>
        <v/>
      </c>
      <c r="B53" t="str">
        <f>IFERROR(INDEX(EQA.CAP_Dados!B$2:B$5000,MATCH(ROW()-4,EQA.CAP_Dados!$S$2:$S$5000,0)),"")</f>
        <v/>
      </c>
      <c r="C53" s="126" t="str">
        <f>IFERROR(INDEX(EQA.CAP_Dados!C$2:C$5000,MATCH(ROW()-4,EQA.CAP_Dados!$S$2:$S$5000,0)),"")</f>
        <v/>
      </c>
      <c r="D53" t="str">
        <f>IFERROR(INDEX(EQA.CAP_Dados!D$2:D$5000,MATCH(ROW()-4,EQA.CAP_Dados!$S$2:$S$5000,0)),"")</f>
        <v/>
      </c>
      <c r="E53" t="str">
        <f>IFERROR(INDEX(EQA.CAP_Dados!E$2:E$5000,MATCH(ROW()-4,EQA.CAP_Dados!$S$2:$S$5000,0)),"")</f>
        <v/>
      </c>
      <c r="F53" s="137" t="str">
        <f>IFERROR(INDEX(EQA.CAP_Dados!F$2:F$5000,MATCH(ROW()-4,EQA.CAP_Dados!$S$2:$S$5000,0)),"")</f>
        <v/>
      </c>
      <c r="G53" s="138" t="str">
        <f>IFERROR(INDEX(EQA.CAP_Dados!G$2:G$5000,MATCH(ROW()-4,EQA.CAP_Dados!$S$2:$S$5000,0)),"")</f>
        <v/>
      </c>
      <c r="H53" s="138" t="str">
        <f>IFERROR(INDEX(EQA.CAP_Dados!H$2:H$5000,MATCH(ROW()-4,EQA.CAP_Dados!$S$2:$S$5000,0)),"")</f>
        <v/>
      </c>
      <c r="I53" s="139" t="str">
        <f>IFERROR(INDEX(EQA.CAP_Dados!I$2:I$5000,MATCH(ROW()-4,EQA.CAP_Dados!$S$2:$S$5000,0)),"")</f>
        <v/>
      </c>
      <c r="J53" s="137" t="str">
        <f>IFERROR(INDEX(EQA.CAP_Dados!J$2:J$5000,MATCH(ROW()-4,EQA.CAP_Dados!$S$2:$S$5000,0)),"")</f>
        <v/>
      </c>
      <c r="K53" s="137" t="str">
        <f>IFERROR(INDEX(EQA.CAP_Dados!K$2:K$5000,MATCH(ROW()-4,EQA.CAP_Dados!$S$2:$S$5000,0)),"")</f>
        <v/>
      </c>
      <c r="L53" t="str">
        <f>IFERROR(INDEX(EQA.CAP_Dados!L$2:L$5000,MATCH(ROW()-4,EQA.CAP_Dados!$S$2:$S$5000,0)),"")</f>
        <v/>
      </c>
      <c r="M53" s="126" t="str">
        <f>IFERROR(INDEX(EQA.CAP_Dados!M$2:M$5000,MATCH(ROW()-4,EQA.CAP_Dados!$S$2:$S$5000,0)),"")</f>
        <v/>
      </c>
      <c r="N53" t="str">
        <f>IFERROR(INDEX(EQA.CAP_Dados!N$2:N$5000,MATCH(ROW()-4,EQA.CAP_Dados!$S$2:$S$5000,0)),"")</f>
        <v/>
      </c>
      <c r="O53" s="137" t="str">
        <f>IFERROR(INDEX(EQA.CAP_Dados!O$2:O$5000,MATCH(ROW()-4,EQA.CAP_Dados!$S$2:$S$5000,0)),"")</f>
        <v/>
      </c>
      <c r="P53" s="137" t="str">
        <f>IFERROR(INDEX(EQA.CAP_Dados!P$2:P$5000,MATCH(ROW()-4,EQA.CAP_Dados!$S$2:$S$5000,0)),"")</f>
        <v/>
      </c>
      <c r="Q53" s="126" t="str">
        <f>IFERROR(INDEX(EQA.CAP_Dados!Q$2:Q$5000,MATCH(ROW()-4,EQA.CAP_Dados!$S$2:$S$5000,0)),"")</f>
        <v/>
      </c>
      <c r="R53" t="str">
        <f>IFERROR(INDEX(EQA.CAP_Dados!R$2:R$5000,MATCH(ROW()-4,EQA.CAP_Dados!$S$2:$S$5000,0)),"")</f>
        <v/>
      </c>
    </row>
    <row r="54" spans="1:18" x14ac:dyDescent="0.3">
      <c r="A54" t="str">
        <f>IFERROR(INDEX(EQA.CAP_Dados!A$2:A$5000,MATCH(ROW()-4,EQA.CAP_Dados!$S$2:$S$5000,0)),"")</f>
        <v/>
      </c>
      <c r="B54" t="str">
        <f>IFERROR(INDEX(EQA.CAP_Dados!B$2:B$5000,MATCH(ROW()-4,EQA.CAP_Dados!$S$2:$S$5000,0)),"")</f>
        <v/>
      </c>
      <c r="C54" s="126" t="str">
        <f>IFERROR(INDEX(EQA.CAP_Dados!C$2:C$5000,MATCH(ROW()-4,EQA.CAP_Dados!$S$2:$S$5000,0)),"")</f>
        <v/>
      </c>
      <c r="D54" t="str">
        <f>IFERROR(INDEX(EQA.CAP_Dados!D$2:D$5000,MATCH(ROW()-4,EQA.CAP_Dados!$S$2:$S$5000,0)),"")</f>
        <v/>
      </c>
      <c r="E54" t="str">
        <f>IFERROR(INDEX(EQA.CAP_Dados!E$2:E$5000,MATCH(ROW()-4,EQA.CAP_Dados!$S$2:$S$5000,0)),"")</f>
        <v/>
      </c>
      <c r="F54" s="137" t="str">
        <f>IFERROR(INDEX(EQA.CAP_Dados!F$2:F$5000,MATCH(ROW()-4,EQA.CAP_Dados!$S$2:$S$5000,0)),"")</f>
        <v/>
      </c>
      <c r="G54" s="138" t="str">
        <f>IFERROR(INDEX(EQA.CAP_Dados!G$2:G$5000,MATCH(ROW()-4,EQA.CAP_Dados!$S$2:$S$5000,0)),"")</f>
        <v/>
      </c>
      <c r="H54" s="138" t="str">
        <f>IFERROR(INDEX(EQA.CAP_Dados!H$2:H$5000,MATCH(ROW()-4,EQA.CAP_Dados!$S$2:$S$5000,0)),"")</f>
        <v/>
      </c>
      <c r="I54" s="139" t="str">
        <f>IFERROR(INDEX(EQA.CAP_Dados!I$2:I$5000,MATCH(ROW()-4,EQA.CAP_Dados!$S$2:$S$5000,0)),"")</f>
        <v/>
      </c>
      <c r="J54" s="137" t="str">
        <f>IFERROR(INDEX(EQA.CAP_Dados!J$2:J$5000,MATCH(ROW()-4,EQA.CAP_Dados!$S$2:$S$5000,0)),"")</f>
        <v/>
      </c>
      <c r="K54" s="137" t="str">
        <f>IFERROR(INDEX(EQA.CAP_Dados!K$2:K$5000,MATCH(ROW()-4,EQA.CAP_Dados!$S$2:$S$5000,0)),"")</f>
        <v/>
      </c>
      <c r="L54" t="str">
        <f>IFERROR(INDEX(EQA.CAP_Dados!L$2:L$5000,MATCH(ROW()-4,EQA.CAP_Dados!$S$2:$S$5000,0)),"")</f>
        <v/>
      </c>
      <c r="M54" s="126" t="str">
        <f>IFERROR(INDEX(EQA.CAP_Dados!M$2:M$5000,MATCH(ROW()-4,EQA.CAP_Dados!$S$2:$S$5000,0)),"")</f>
        <v/>
      </c>
      <c r="N54" t="str">
        <f>IFERROR(INDEX(EQA.CAP_Dados!N$2:N$5000,MATCH(ROW()-4,EQA.CAP_Dados!$S$2:$S$5000,0)),"")</f>
        <v/>
      </c>
      <c r="O54" s="137" t="str">
        <f>IFERROR(INDEX(EQA.CAP_Dados!O$2:O$5000,MATCH(ROW()-4,EQA.CAP_Dados!$S$2:$S$5000,0)),"")</f>
        <v/>
      </c>
      <c r="P54" s="137" t="str">
        <f>IFERROR(INDEX(EQA.CAP_Dados!P$2:P$5000,MATCH(ROW()-4,EQA.CAP_Dados!$S$2:$S$5000,0)),"")</f>
        <v/>
      </c>
      <c r="Q54" s="126" t="str">
        <f>IFERROR(INDEX(EQA.CAP_Dados!Q$2:Q$5000,MATCH(ROW()-4,EQA.CAP_Dados!$S$2:$S$5000,0)),"")</f>
        <v/>
      </c>
      <c r="R54" t="str">
        <f>IFERROR(INDEX(EQA.CAP_Dados!R$2:R$5000,MATCH(ROW()-4,EQA.CAP_Dados!$S$2:$S$5000,0)),"")</f>
        <v/>
      </c>
    </row>
    <row r="55" spans="1:18" x14ac:dyDescent="0.3">
      <c r="A55" t="str">
        <f>IFERROR(INDEX(EQA.CAP_Dados!A$2:A$5000,MATCH(ROW()-4,EQA.CAP_Dados!$S$2:$S$5000,0)),"")</f>
        <v/>
      </c>
      <c r="B55" t="str">
        <f>IFERROR(INDEX(EQA.CAP_Dados!B$2:B$5000,MATCH(ROW()-4,EQA.CAP_Dados!$S$2:$S$5000,0)),"")</f>
        <v/>
      </c>
      <c r="C55" s="126" t="str">
        <f>IFERROR(INDEX(EQA.CAP_Dados!C$2:C$5000,MATCH(ROW()-4,EQA.CAP_Dados!$S$2:$S$5000,0)),"")</f>
        <v/>
      </c>
      <c r="D55" t="str">
        <f>IFERROR(INDEX(EQA.CAP_Dados!D$2:D$5000,MATCH(ROW()-4,EQA.CAP_Dados!$S$2:$S$5000,0)),"")</f>
        <v/>
      </c>
      <c r="E55" t="str">
        <f>IFERROR(INDEX(EQA.CAP_Dados!E$2:E$5000,MATCH(ROW()-4,EQA.CAP_Dados!$S$2:$S$5000,0)),"")</f>
        <v/>
      </c>
      <c r="F55" s="137" t="str">
        <f>IFERROR(INDEX(EQA.CAP_Dados!F$2:F$5000,MATCH(ROW()-4,EQA.CAP_Dados!$S$2:$S$5000,0)),"")</f>
        <v/>
      </c>
      <c r="G55" s="138" t="str">
        <f>IFERROR(INDEX(EQA.CAP_Dados!G$2:G$5000,MATCH(ROW()-4,EQA.CAP_Dados!$S$2:$S$5000,0)),"")</f>
        <v/>
      </c>
      <c r="H55" s="138" t="str">
        <f>IFERROR(INDEX(EQA.CAP_Dados!H$2:H$5000,MATCH(ROW()-4,EQA.CAP_Dados!$S$2:$S$5000,0)),"")</f>
        <v/>
      </c>
      <c r="I55" s="139" t="str">
        <f>IFERROR(INDEX(EQA.CAP_Dados!I$2:I$5000,MATCH(ROW()-4,EQA.CAP_Dados!$S$2:$S$5000,0)),"")</f>
        <v/>
      </c>
      <c r="J55" s="137" t="str">
        <f>IFERROR(INDEX(EQA.CAP_Dados!J$2:J$5000,MATCH(ROW()-4,EQA.CAP_Dados!$S$2:$S$5000,0)),"")</f>
        <v/>
      </c>
      <c r="K55" s="137" t="str">
        <f>IFERROR(INDEX(EQA.CAP_Dados!K$2:K$5000,MATCH(ROW()-4,EQA.CAP_Dados!$S$2:$S$5000,0)),"")</f>
        <v/>
      </c>
      <c r="L55" t="str">
        <f>IFERROR(INDEX(EQA.CAP_Dados!L$2:L$5000,MATCH(ROW()-4,EQA.CAP_Dados!$S$2:$S$5000,0)),"")</f>
        <v/>
      </c>
      <c r="M55" s="126" t="str">
        <f>IFERROR(INDEX(EQA.CAP_Dados!M$2:M$5000,MATCH(ROW()-4,EQA.CAP_Dados!$S$2:$S$5000,0)),"")</f>
        <v/>
      </c>
      <c r="N55" t="str">
        <f>IFERROR(INDEX(EQA.CAP_Dados!N$2:N$5000,MATCH(ROW()-4,EQA.CAP_Dados!$S$2:$S$5000,0)),"")</f>
        <v/>
      </c>
      <c r="O55" s="137" t="str">
        <f>IFERROR(INDEX(EQA.CAP_Dados!O$2:O$5000,MATCH(ROW()-4,EQA.CAP_Dados!$S$2:$S$5000,0)),"")</f>
        <v/>
      </c>
      <c r="P55" s="137" t="str">
        <f>IFERROR(INDEX(EQA.CAP_Dados!P$2:P$5000,MATCH(ROW()-4,EQA.CAP_Dados!$S$2:$S$5000,0)),"")</f>
        <v/>
      </c>
      <c r="Q55" s="126" t="str">
        <f>IFERROR(INDEX(EQA.CAP_Dados!Q$2:Q$5000,MATCH(ROW()-4,EQA.CAP_Dados!$S$2:$S$5000,0)),"")</f>
        <v/>
      </c>
      <c r="R55" t="str">
        <f>IFERROR(INDEX(EQA.CAP_Dados!R$2:R$5000,MATCH(ROW()-4,EQA.CAP_Dados!$S$2:$S$5000,0)),"")</f>
        <v/>
      </c>
    </row>
    <row r="56" spans="1:18" x14ac:dyDescent="0.3">
      <c r="A56" t="str">
        <f>IFERROR(INDEX(EQA.CAP_Dados!A$2:A$5000,MATCH(ROW()-4,EQA.CAP_Dados!$S$2:$S$5000,0)),"")</f>
        <v/>
      </c>
      <c r="B56" t="str">
        <f>IFERROR(INDEX(EQA.CAP_Dados!B$2:B$5000,MATCH(ROW()-4,EQA.CAP_Dados!$S$2:$S$5000,0)),"")</f>
        <v/>
      </c>
      <c r="C56" s="126" t="str">
        <f>IFERROR(INDEX(EQA.CAP_Dados!C$2:C$5000,MATCH(ROW()-4,EQA.CAP_Dados!$S$2:$S$5000,0)),"")</f>
        <v/>
      </c>
      <c r="D56" t="str">
        <f>IFERROR(INDEX(EQA.CAP_Dados!D$2:D$5000,MATCH(ROW()-4,EQA.CAP_Dados!$S$2:$S$5000,0)),"")</f>
        <v/>
      </c>
      <c r="E56" t="str">
        <f>IFERROR(INDEX(EQA.CAP_Dados!E$2:E$5000,MATCH(ROW()-4,EQA.CAP_Dados!$S$2:$S$5000,0)),"")</f>
        <v/>
      </c>
      <c r="F56" s="137" t="str">
        <f>IFERROR(INDEX(EQA.CAP_Dados!F$2:F$5000,MATCH(ROW()-4,EQA.CAP_Dados!$S$2:$S$5000,0)),"")</f>
        <v/>
      </c>
      <c r="G56" s="138" t="str">
        <f>IFERROR(INDEX(EQA.CAP_Dados!G$2:G$5000,MATCH(ROW()-4,EQA.CAP_Dados!$S$2:$S$5000,0)),"")</f>
        <v/>
      </c>
      <c r="H56" s="138" t="str">
        <f>IFERROR(INDEX(EQA.CAP_Dados!H$2:H$5000,MATCH(ROW()-4,EQA.CAP_Dados!$S$2:$S$5000,0)),"")</f>
        <v/>
      </c>
      <c r="I56" s="139" t="str">
        <f>IFERROR(INDEX(EQA.CAP_Dados!I$2:I$5000,MATCH(ROW()-4,EQA.CAP_Dados!$S$2:$S$5000,0)),"")</f>
        <v/>
      </c>
      <c r="J56" s="137" t="str">
        <f>IFERROR(INDEX(EQA.CAP_Dados!J$2:J$5000,MATCH(ROW()-4,EQA.CAP_Dados!$S$2:$S$5000,0)),"")</f>
        <v/>
      </c>
      <c r="K56" s="137" t="str">
        <f>IFERROR(INDEX(EQA.CAP_Dados!K$2:K$5000,MATCH(ROW()-4,EQA.CAP_Dados!$S$2:$S$5000,0)),"")</f>
        <v/>
      </c>
      <c r="L56" t="str">
        <f>IFERROR(INDEX(EQA.CAP_Dados!L$2:L$5000,MATCH(ROW()-4,EQA.CAP_Dados!$S$2:$S$5000,0)),"")</f>
        <v/>
      </c>
      <c r="M56" s="126" t="str">
        <f>IFERROR(INDEX(EQA.CAP_Dados!M$2:M$5000,MATCH(ROW()-4,EQA.CAP_Dados!$S$2:$S$5000,0)),"")</f>
        <v/>
      </c>
      <c r="N56" t="str">
        <f>IFERROR(INDEX(EQA.CAP_Dados!N$2:N$5000,MATCH(ROW()-4,EQA.CAP_Dados!$S$2:$S$5000,0)),"")</f>
        <v/>
      </c>
      <c r="O56" s="137" t="str">
        <f>IFERROR(INDEX(EQA.CAP_Dados!O$2:O$5000,MATCH(ROW()-4,EQA.CAP_Dados!$S$2:$S$5000,0)),"")</f>
        <v/>
      </c>
      <c r="P56" s="137" t="str">
        <f>IFERROR(INDEX(EQA.CAP_Dados!P$2:P$5000,MATCH(ROW()-4,EQA.CAP_Dados!$S$2:$S$5000,0)),"")</f>
        <v/>
      </c>
      <c r="Q56" s="126" t="str">
        <f>IFERROR(INDEX(EQA.CAP_Dados!Q$2:Q$5000,MATCH(ROW()-4,EQA.CAP_Dados!$S$2:$S$5000,0)),"")</f>
        <v/>
      </c>
      <c r="R56" t="str">
        <f>IFERROR(INDEX(EQA.CAP_Dados!R$2:R$5000,MATCH(ROW()-4,EQA.CAP_Dados!$S$2:$S$5000,0)),"")</f>
        <v/>
      </c>
    </row>
    <row r="57" spans="1:18" x14ac:dyDescent="0.3">
      <c r="A57" t="str">
        <f>IFERROR(INDEX(EQA.CAP_Dados!A$2:A$5000,MATCH(ROW()-4,EQA.CAP_Dados!$S$2:$S$5000,0)),"")</f>
        <v/>
      </c>
      <c r="B57" t="str">
        <f>IFERROR(INDEX(EQA.CAP_Dados!B$2:B$5000,MATCH(ROW()-4,EQA.CAP_Dados!$S$2:$S$5000,0)),"")</f>
        <v/>
      </c>
      <c r="C57" s="126" t="str">
        <f>IFERROR(INDEX(EQA.CAP_Dados!C$2:C$5000,MATCH(ROW()-4,EQA.CAP_Dados!$S$2:$S$5000,0)),"")</f>
        <v/>
      </c>
      <c r="D57" t="str">
        <f>IFERROR(INDEX(EQA.CAP_Dados!D$2:D$5000,MATCH(ROW()-4,EQA.CAP_Dados!$S$2:$S$5000,0)),"")</f>
        <v/>
      </c>
      <c r="E57" t="str">
        <f>IFERROR(INDEX(EQA.CAP_Dados!E$2:E$5000,MATCH(ROW()-4,EQA.CAP_Dados!$S$2:$S$5000,0)),"")</f>
        <v/>
      </c>
      <c r="F57" s="137" t="str">
        <f>IFERROR(INDEX(EQA.CAP_Dados!F$2:F$5000,MATCH(ROW()-4,EQA.CAP_Dados!$S$2:$S$5000,0)),"")</f>
        <v/>
      </c>
      <c r="G57" s="138" t="str">
        <f>IFERROR(INDEX(EQA.CAP_Dados!G$2:G$5000,MATCH(ROW()-4,EQA.CAP_Dados!$S$2:$S$5000,0)),"")</f>
        <v/>
      </c>
      <c r="H57" s="138" t="str">
        <f>IFERROR(INDEX(EQA.CAP_Dados!H$2:H$5000,MATCH(ROW()-4,EQA.CAP_Dados!$S$2:$S$5000,0)),"")</f>
        <v/>
      </c>
      <c r="I57" s="139" t="str">
        <f>IFERROR(INDEX(EQA.CAP_Dados!I$2:I$5000,MATCH(ROW()-4,EQA.CAP_Dados!$S$2:$S$5000,0)),"")</f>
        <v/>
      </c>
      <c r="J57" s="137" t="str">
        <f>IFERROR(INDEX(EQA.CAP_Dados!J$2:J$5000,MATCH(ROW()-4,EQA.CAP_Dados!$S$2:$S$5000,0)),"")</f>
        <v/>
      </c>
      <c r="K57" s="137" t="str">
        <f>IFERROR(INDEX(EQA.CAP_Dados!K$2:K$5000,MATCH(ROW()-4,EQA.CAP_Dados!$S$2:$S$5000,0)),"")</f>
        <v/>
      </c>
      <c r="L57" t="str">
        <f>IFERROR(INDEX(EQA.CAP_Dados!L$2:L$5000,MATCH(ROW()-4,EQA.CAP_Dados!$S$2:$S$5000,0)),"")</f>
        <v/>
      </c>
      <c r="M57" s="126" t="str">
        <f>IFERROR(INDEX(EQA.CAP_Dados!M$2:M$5000,MATCH(ROW()-4,EQA.CAP_Dados!$S$2:$S$5000,0)),"")</f>
        <v/>
      </c>
      <c r="N57" t="str">
        <f>IFERROR(INDEX(EQA.CAP_Dados!N$2:N$5000,MATCH(ROW()-4,EQA.CAP_Dados!$S$2:$S$5000,0)),"")</f>
        <v/>
      </c>
      <c r="O57" s="137" t="str">
        <f>IFERROR(INDEX(EQA.CAP_Dados!O$2:O$5000,MATCH(ROW()-4,EQA.CAP_Dados!$S$2:$S$5000,0)),"")</f>
        <v/>
      </c>
      <c r="P57" s="137" t="str">
        <f>IFERROR(INDEX(EQA.CAP_Dados!P$2:P$5000,MATCH(ROW()-4,EQA.CAP_Dados!$S$2:$S$5000,0)),"")</f>
        <v/>
      </c>
      <c r="Q57" s="126" t="str">
        <f>IFERROR(INDEX(EQA.CAP_Dados!Q$2:Q$5000,MATCH(ROW()-4,EQA.CAP_Dados!$S$2:$S$5000,0)),"")</f>
        <v/>
      </c>
      <c r="R57" t="str">
        <f>IFERROR(INDEX(EQA.CAP_Dados!R$2:R$5000,MATCH(ROW()-4,EQA.CAP_Dados!$S$2:$S$5000,0)),"")</f>
        <v/>
      </c>
    </row>
    <row r="58" spans="1:18" x14ac:dyDescent="0.3">
      <c r="A58" t="str">
        <f>IFERROR(INDEX(EQA.CAP_Dados!A$2:A$5000,MATCH(ROW()-4,EQA.CAP_Dados!$S$2:$S$5000,0)),"")</f>
        <v/>
      </c>
      <c r="B58" t="str">
        <f>IFERROR(INDEX(EQA.CAP_Dados!B$2:B$5000,MATCH(ROW()-4,EQA.CAP_Dados!$S$2:$S$5000,0)),"")</f>
        <v/>
      </c>
      <c r="C58" s="126" t="str">
        <f>IFERROR(INDEX(EQA.CAP_Dados!C$2:C$5000,MATCH(ROW()-4,EQA.CAP_Dados!$S$2:$S$5000,0)),"")</f>
        <v/>
      </c>
      <c r="D58" t="str">
        <f>IFERROR(INDEX(EQA.CAP_Dados!D$2:D$5000,MATCH(ROW()-4,EQA.CAP_Dados!$S$2:$S$5000,0)),"")</f>
        <v/>
      </c>
      <c r="E58" t="str">
        <f>IFERROR(INDEX(EQA.CAP_Dados!E$2:E$5000,MATCH(ROW()-4,EQA.CAP_Dados!$S$2:$S$5000,0)),"")</f>
        <v/>
      </c>
      <c r="F58" s="137" t="str">
        <f>IFERROR(INDEX(EQA.CAP_Dados!F$2:F$5000,MATCH(ROW()-4,EQA.CAP_Dados!$S$2:$S$5000,0)),"")</f>
        <v/>
      </c>
      <c r="G58" s="138" t="str">
        <f>IFERROR(INDEX(EQA.CAP_Dados!G$2:G$5000,MATCH(ROW()-4,EQA.CAP_Dados!$S$2:$S$5000,0)),"")</f>
        <v/>
      </c>
      <c r="H58" s="138" t="str">
        <f>IFERROR(INDEX(EQA.CAP_Dados!H$2:H$5000,MATCH(ROW()-4,EQA.CAP_Dados!$S$2:$S$5000,0)),"")</f>
        <v/>
      </c>
      <c r="I58" s="139" t="str">
        <f>IFERROR(INDEX(EQA.CAP_Dados!I$2:I$5000,MATCH(ROW()-4,EQA.CAP_Dados!$S$2:$S$5000,0)),"")</f>
        <v/>
      </c>
      <c r="J58" s="137" t="str">
        <f>IFERROR(INDEX(EQA.CAP_Dados!J$2:J$5000,MATCH(ROW()-4,EQA.CAP_Dados!$S$2:$S$5000,0)),"")</f>
        <v/>
      </c>
      <c r="K58" s="137" t="str">
        <f>IFERROR(INDEX(EQA.CAP_Dados!K$2:K$5000,MATCH(ROW()-4,EQA.CAP_Dados!$S$2:$S$5000,0)),"")</f>
        <v/>
      </c>
      <c r="L58" t="str">
        <f>IFERROR(INDEX(EQA.CAP_Dados!L$2:L$5000,MATCH(ROW()-4,EQA.CAP_Dados!$S$2:$S$5000,0)),"")</f>
        <v/>
      </c>
      <c r="M58" s="126" t="str">
        <f>IFERROR(INDEX(EQA.CAP_Dados!M$2:M$5000,MATCH(ROW()-4,EQA.CAP_Dados!$S$2:$S$5000,0)),"")</f>
        <v/>
      </c>
      <c r="N58" t="str">
        <f>IFERROR(INDEX(EQA.CAP_Dados!N$2:N$5000,MATCH(ROW()-4,EQA.CAP_Dados!$S$2:$S$5000,0)),"")</f>
        <v/>
      </c>
      <c r="O58" s="137" t="str">
        <f>IFERROR(INDEX(EQA.CAP_Dados!O$2:O$5000,MATCH(ROW()-4,EQA.CAP_Dados!$S$2:$S$5000,0)),"")</f>
        <v/>
      </c>
      <c r="P58" s="137" t="str">
        <f>IFERROR(INDEX(EQA.CAP_Dados!P$2:P$5000,MATCH(ROW()-4,EQA.CAP_Dados!$S$2:$S$5000,0)),"")</f>
        <v/>
      </c>
      <c r="Q58" s="126" t="str">
        <f>IFERROR(INDEX(EQA.CAP_Dados!Q$2:Q$5000,MATCH(ROW()-4,EQA.CAP_Dados!$S$2:$S$5000,0)),"")</f>
        <v/>
      </c>
      <c r="R58" t="str">
        <f>IFERROR(INDEX(EQA.CAP_Dados!R$2:R$5000,MATCH(ROW()-4,EQA.CAP_Dados!$S$2:$S$5000,0)),"")</f>
        <v/>
      </c>
    </row>
    <row r="59" spans="1:18" x14ac:dyDescent="0.3">
      <c r="A59" t="str">
        <f>IFERROR(INDEX(EQA.CAP_Dados!A$2:A$5000,MATCH(ROW()-4,EQA.CAP_Dados!$S$2:$S$5000,0)),"")</f>
        <v/>
      </c>
      <c r="B59" t="str">
        <f>IFERROR(INDEX(EQA.CAP_Dados!B$2:B$5000,MATCH(ROW()-4,EQA.CAP_Dados!$S$2:$S$5000,0)),"")</f>
        <v/>
      </c>
      <c r="C59" s="126" t="str">
        <f>IFERROR(INDEX(EQA.CAP_Dados!C$2:C$5000,MATCH(ROW()-4,EQA.CAP_Dados!$S$2:$S$5000,0)),"")</f>
        <v/>
      </c>
      <c r="D59" t="str">
        <f>IFERROR(INDEX(EQA.CAP_Dados!D$2:D$5000,MATCH(ROW()-4,EQA.CAP_Dados!$S$2:$S$5000,0)),"")</f>
        <v/>
      </c>
      <c r="E59" t="str">
        <f>IFERROR(INDEX(EQA.CAP_Dados!E$2:E$5000,MATCH(ROW()-4,EQA.CAP_Dados!$S$2:$S$5000,0)),"")</f>
        <v/>
      </c>
      <c r="F59" s="137" t="str">
        <f>IFERROR(INDEX(EQA.CAP_Dados!F$2:F$5000,MATCH(ROW()-4,EQA.CAP_Dados!$S$2:$S$5000,0)),"")</f>
        <v/>
      </c>
      <c r="G59" s="138" t="str">
        <f>IFERROR(INDEX(EQA.CAP_Dados!G$2:G$5000,MATCH(ROW()-4,EQA.CAP_Dados!$S$2:$S$5000,0)),"")</f>
        <v/>
      </c>
      <c r="H59" s="138" t="str">
        <f>IFERROR(INDEX(EQA.CAP_Dados!H$2:H$5000,MATCH(ROW()-4,EQA.CAP_Dados!$S$2:$S$5000,0)),"")</f>
        <v/>
      </c>
      <c r="I59" s="139" t="str">
        <f>IFERROR(INDEX(EQA.CAP_Dados!I$2:I$5000,MATCH(ROW()-4,EQA.CAP_Dados!$S$2:$S$5000,0)),"")</f>
        <v/>
      </c>
      <c r="J59" s="137" t="str">
        <f>IFERROR(INDEX(EQA.CAP_Dados!J$2:J$5000,MATCH(ROW()-4,EQA.CAP_Dados!$S$2:$S$5000,0)),"")</f>
        <v/>
      </c>
      <c r="K59" s="137" t="str">
        <f>IFERROR(INDEX(EQA.CAP_Dados!K$2:K$5000,MATCH(ROW()-4,EQA.CAP_Dados!$S$2:$S$5000,0)),"")</f>
        <v/>
      </c>
      <c r="L59" t="str">
        <f>IFERROR(INDEX(EQA.CAP_Dados!L$2:L$5000,MATCH(ROW()-4,EQA.CAP_Dados!$S$2:$S$5000,0)),"")</f>
        <v/>
      </c>
      <c r="M59" s="126" t="str">
        <f>IFERROR(INDEX(EQA.CAP_Dados!M$2:M$5000,MATCH(ROW()-4,EQA.CAP_Dados!$S$2:$S$5000,0)),"")</f>
        <v/>
      </c>
      <c r="N59" t="str">
        <f>IFERROR(INDEX(EQA.CAP_Dados!N$2:N$5000,MATCH(ROW()-4,EQA.CAP_Dados!$S$2:$S$5000,0)),"")</f>
        <v/>
      </c>
      <c r="O59" s="137" t="str">
        <f>IFERROR(INDEX(EQA.CAP_Dados!O$2:O$5000,MATCH(ROW()-4,EQA.CAP_Dados!$S$2:$S$5000,0)),"")</f>
        <v/>
      </c>
      <c r="P59" s="137" t="str">
        <f>IFERROR(INDEX(EQA.CAP_Dados!P$2:P$5000,MATCH(ROW()-4,EQA.CAP_Dados!$S$2:$S$5000,0)),"")</f>
        <v/>
      </c>
      <c r="Q59" s="126" t="str">
        <f>IFERROR(INDEX(EQA.CAP_Dados!Q$2:Q$5000,MATCH(ROW()-4,EQA.CAP_Dados!$S$2:$S$5000,0)),"")</f>
        <v/>
      </c>
      <c r="R59" t="str">
        <f>IFERROR(INDEX(EQA.CAP_Dados!R$2:R$5000,MATCH(ROW()-4,EQA.CAP_Dados!$S$2:$S$5000,0)),"")</f>
        <v/>
      </c>
    </row>
    <row r="60" spans="1:18" x14ac:dyDescent="0.3">
      <c r="A60" t="str">
        <f>IFERROR(INDEX(EQA.CAP_Dados!A$2:A$5000,MATCH(ROW()-4,EQA.CAP_Dados!$S$2:$S$5000,0)),"")</f>
        <v/>
      </c>
      <c r="B60" t="str">
        <f>IFERROR(INDEX(EQA.CAP_Dados!B$2:B$5000,MATCH(ROW()-4,EQA.CAP_Dados!$S$2:$S$5000,0)),"")</f>
        <v/>
      </c>
      <c r="C60" s="126" t="str">
        <f>IFERROR(INDEX(EQA.CAP_Dados!C$2:C$5000,MATCH(ROW()-4,EQA.CAP_Dados!$S$2:$S$5000,0)),"")</f>
        <v/>
      </c>
      <c r="D60" t="str">
        <f>IFERROR(INDEX(EQA.CAP_Dados!D$2:D$5000,MATCH(ROW()-4,EQA.CAP_Dados!$S$2:$S$5000,0)),"")</f>
        <v/>
      </c>
      <c r="E60" t="str">
        <f>IFERROR(INDEX(EQA.CAP_Dados!E$2:E$5000,MATCH(ROW()-4,EQA.CAP_Dados!$S$2:$S$5000,0)),"")</f>
        <v/>
      </c>
      <c r="F60" s="137" t="str">
        <f>IFERROR(INDEX(EQA.CAP_Dados!F$2:F$5000,MATCH(ROW()-4,EQA.CAP_Dados!$S$2:$S$5000,0)),"")</f>
        <v/>
      </c>
      <c r="G60" s="138" t="str">
        <f>IFERROR(INDEX(EQA.CAP_Dados!G$2:G$5000,MATCH(ROW()-4,EQA.CAP_Dados!$S$2:$S$5000,0)),"")</f>
        <v/>
      </c>
      <c r="H60" s="138" t="str">
        <f>IFERROR(INDEX(EQA.CAP_Dados!H$2:H$5000,MATCH(ROW()-4,EQA.CAP_Dados!$S$2:$S$5000,0)),"")</f>
        <v/>
      </c>
      <c r="I60" s="139" t="str">
        <f>IFERROR(INDEX(EQA.CAP_Dados!I$2:I$5000,MATCH(ROW()-4,EQA.CAP_Dados!$S$2:$S$5000,0)),"")</f>
        <v/>
      </c>
      <c r="J60" s="137" t="str">
        <f>IFERROR(INDEX(EQA.CAP_Dados!J$2:J$5000,MATCH(ROW()-4,EQA.CAP_Dados!$S$2:$S$5000,0)),"")</f>
        <v/>
      </c>
      <c r="K60" s="137" t="str">
        <f>IFERROR(INDEX(EQA.CAP_Dados!K$2:K$5000,MATCH(ROW()-4,EQA.CAP_Dados!$S$2:$S$5000,0)),"")</f>
        <v/>
      </c>
      <c r="L60" t="str">
        <f>IFERROR(INDEX(EQA.CAP_Dados!L$2:L$5000,MATCH(ROW()-4,EQA.CAP_Dados!$S$2:$S$5000,0)),"")</f>
        <v/>
      </c>
      <c r="M60" s="126" t="str">
        <f>IFERROR(INDEX(EQA.CAP_Dados!M$2:M$5000,MATCH(ROW()-4,EQA.CAP_Dados!$S$2:$S$5000,0)),"")</f>
        <v/>
      </c>
      <c r="N60" t="str">
        <f>IFERROR(INDEX(EQA.CAP_Dados!N$2:N$5000,MATCH(ROW()-4,EQA.CAP_Dados!$S$2:$S$5000,0)),"")</f>
        <v/>
      </c>
      <c r="O60" s="137" t="str">
        <f>IFERROR(INDEX(EQA.CAP_Dados!O$2:O$5000,MATCH(ROW()-4,EQA.CAP_Dados!$S$2:$S$5000,0)),"")</f>
        <v/>
      </c>
      <c r="P60" s="137" t="str">
        <f>IFERROR(INDEX(EQA.CAP_Dados!P$2:P$5000,MATCH(ROW()-4,EQA.CAP_Dados!$S$2:$S$5000,0)),"")</f>
        <v/>
      </c>
      <c r="Q60" s="126" t="str">
        <f>IFERROR(INDEX(EQA.CAP_Dados!Q$2:Q$5000,MATCH(ROW()-4,EQA.CAP_Dados!$S$2:$S$5000,0)),"")</f>
        <v/>
      </c>
      <c r="R60" t="str">
        <f>IFERROR(INDEX(EQA.CAP_Dados!R$2:R$5000,MATCH(ROW()-4,EQA.CAP_Dados!$S$2:$S$5000,0)),"")</f>
        <v/>
      </c>
    </row>
    <row r="61" spans="1:18" x14ac:dyDescent="0.3">
      <c r="A61" t="str">
        <f>IFERROR(INDEX(EQA.CAP_Dados!A$2:A$5000,MATCH(ROW()-4,EQA.CAP_Dados!$S$2:$S$5000,0)),"")</f>
        <v/>
      </c>
      <c r="B61" t="str">
        <f>IFERROR(INDEX(EQA.CAP_Dados!B$2:B$5000,MATCH(ROW()-4,EQA.CAP_Dados!$S$2:$S$5000,0)),"")</f>
        <v/>
      </c>
      <c r="C61" s="126" t="str">
        <f>IFERROR(INDEX(EQA.CAP_Dados!C$2:C$5000,MATCH(ROW()-4,EQA.CAP_Dados!$S$2:$S$5000,0)),"")</f>
        <v/>
      </c>
      <c r="D61" t="str">
        <f>IFERROR(INDEX(EQA.CAP_Dados!D$2:D$5000,MATCH(ROW()-4,EQA.CAP_Dados!$S$2:$S$5000,0)),"")</f>
        <v/>
      </c>
      <c r="E61" t="str">
        <f>IFERROR(INDEX(EQA.CAP_Dados!E$2:E$5000,MATCH(ROW()-4,EQA.CAP_Dados!$S$2:$S$5000,0)),"")</f>
        <v/>
      </c>
      <c r="F61" s="137" t="str">
        <f>IFERROR(INDEX(EQA.CAP_Dados!F$2:F$5000,MATCH(ROW()-4,EQA.CAP_Dados!$S$2:$S$5000,0)),"")</f>
        <v/>
      </c>
      <c r="G61" s="138" t="str">
        <f>IFERROR(INDEX(EQA.CAP_Dados!G$2:G$5000,MATCH(ROW()-4,EQA.CAP_Dados!$S$2:$S$5000,0)),"")</f>
        <v/>
      </c>
      <c r="H61" s="138" t="str">
        <f>IFERROR(INDEX(EQA.CAP_Dados!H$2:H$5000,MATCH(ROW()-4,EQA.CAP_Dados!$S$2:$S$5000,0)),"")</f>
        <v/>
      </c>
      <c r="I61" s="139" t="str">
        <f>IFERROR(INDEX(EQA.CAP_Dados!I$2:I$5000,MATCH(ROW()-4,EQA.CAP_Dados!$S$2:$S$5000,0)),"")</f>
        <v/>
      </c>
      <c r="J61" s="137" t="str">
        <f>IFERROR(INDEX(EQA.CAP_Dados!J$2:J$5000,MATCH(ROW()-4,EQA.CAP_Dados!$S$2:$S$5000,0)),"")</f>
        <v/>
      </c>
      <c r="K61" s="137" t="str">
        <f>IFERROR(INDEX(EQA.CAP_Dados!K$2:K$5000,MATCH(ROW()-4,EQA.CAP_Dados!$S$2:$S$5000,0)),"")</f>
        <v/>
      </c>
      <c r="L61" t="str">
        <f>IFERROR(INDEX(EQA.CAP_Dados!L$2:L$5000,MATCH(ROW()-4,EQA.CAP_Dados!$S$2:$S$5000,0)),"")</f>
        <v/>
      </c>
      <c r="M61" s="126" t="str">
        <f>IFERROR(INDEX(EQA.CAP_Dados!M$2:M$5000,MATCH(ROW()-4,EQA.CAP_Dados!$S$2:$S$5000,0)),"")</f>
        <v/>
      </c>
      <c r="N61" t="str">
        <f>IFERROR(INDEX(EQA.CAP_Dados!N$2:N$5000,MATCH(ROW()-4,EQA.CAP_Dados!$S$2:$S$5000,0)),"")</f>
        <v/>
      </c>
      <c r="O61" s="137" t="str">
        <f>IFERROR(INDEX(EQA.CAP_Dados!O$2:O$5000,MATCH(ROW()-4,EQA.CAP_Dados!$S$2:$S$5000,0)),"")</f>
        <v/>
      </c>
      <c r="P61" s="137" t="str">
        <f>IFERROR(INDEX(EQA.CAP_Dados!P$2:P$5000,MATCH(ROW()-4,EQA.CAP_Dados!$S$2:$S$5000,0)),"")</f>
        <v/>
      </c>
      <c r="Q61" s="126" t="str">
        <f>IFERROR(INDEX(EQA.CAP_Dados!Q$2:Q$5000,MATCH(ROW()-4,EQA.CAP_Dados!$S$2:$S$5000,0)),"")</f>
        <v/>
      </c>
      <c r="R61" t="str">
        <f>IFERROR(INDEX(EQA.CAP_Dados!R$2:R$5000,MATCH(ROW()-4,EQA.CAP_Dados!$S$2:$S$5000,0)),"")</f>
        <v/>
      </c>
    </row>
    <row r="62" spans="1:18" x14ac:dyDescent="0.3">
      <c r="A62" t="str">
        <f>IFERROR(INDEX(EQA.CAP_Dados!A$2:A$5000,MATCH(ROW()-4,EQA.CAP_Dados!$S$2:$S$5000,0)),"")</f>
        <v/>
      </c>
      <c r="B62" t="str">
        <f>IFERROR(INDEX(EQA.CAP_Dados!B$2:B$5000,MATCH(ROW()-4,EQA.CAP_Dados!$S$2:$S$5000,0)),"")</f>
        <v/>
      </c>
      <c r="C62" s="126" t="str">
        <f>IFERROR(INDEX(EQA.CAP_Dados!C$2:C$5000,MATCH(ROW()-4,EQA.CAP_Dados!$S$2:$S$5000,0)),"")</f>
        <v/>
      </c>
      <c r="D62" t="str">
        <f>IFERROR(INDEX(EQA.CAP_Dados!D$2:D$5000,MATCH(ROW()-4,EQA.CAP_Dados!$S$2:$S$5000,0)),"")</f>
        <v/>
      </c>
      <c r="E62" t="str">
        <f>IFERROR(INDEX(EQA.CAP_Dados!E$2:E$5000,MATCH(ROW()-4,EQA.CAP_Dados!$S$2:$S$5000,0)),"")</f>
        <v/>
      </c>
      <c r="F62" s="137" t="str">
        <f>IFERROR(INDEX(EQA.CAP_Dados!F$2:F$5000,MATCH(ROW()-4,EQA.CAP_Dados!$S$2:$S$5000,0)),"")</f>
        <v/>
      </c>
      <c r="G62" s="138" t="str">
        <f>IFERROR(INDEX(EQA.CAP_Dados!G$2:G$5000,MATCH(ROW()-4,EQA.CAP_Dados!$S$2:$S$5000,0)),"")</f>
        <v/>
      </c>
      <c r="H62" s="138" t="str">
        <f>IFERROR(INDEX(EQA.CAP_Dados!H$2:H$5000,MATCH(ROW()-4,EQA.CAP_Dados!$S$2:$S$5000,0)),"")</f>
        <v/>
      </c>
      <c r="I62" s="139" t="str">
        <f>IFERROR(INDEX(EQA.CAP_Dados!I$2:I$5000,MATCH(ROW()-4,EQA.CAP_Dados!$S$2:$S$5000,0)),"")</f>
        <v/>
      </c>
      <c r="J62" s="137" t="str">
        <f>IFERROR(INDEX(EQA.CAP_Dados!J$2:J$5000,MATCH(ROW()-4,EQA.CAP_Dados!$S$2:$S$5000,0)),"")</f>
        <v/>
      </c>
      <c r="K62" s="137" t="str">
        <f>IFERROR(INDEX(EQA.CAP_Dados!K$2:K$5000,MATCH(ROW()-4,EQA.CAP_Dados!$S$2:$S$5000,0)),"")</f>
        <v/>
      </c>
      <c r="L62" t="str">
        <f>IFERROR(INDEX(EQA.CAP_Dados!L$2:L$5000,MATCH(ROW()-4,EQA.CAP_Dados!$S$2:$S$5000,0)),"")</f>
        <v/>
      </c>
      <c r="M62" s="126" t="str">
        <f>IFERROR(INDEX(EQA.CAP_Dados!M$2:M$5000,MATCH(ROW()-4,EQA.CAP_Dados!$S$2:$S$5000,0)),"")</f>
        <v/>
      </c>
      <c r="N62" t="str">
        <f>IFERROR(INDEX(EQA.CAP_Dados!N$2:N$5000,MATCH(ROW()-4,EQA.CAP_Dados!$S$2:$S$5000,0)),"")</f>
        <v/>
      </c>
      <c r="O62" s="137" t="str">
        <f>IFERROR(INDEX(EQA.CAP_Dados!O$2:O$5000,MATCH(ROW()-4,EQA.CAP_Dados!$S$2:$S$5000,0)),"")</f>
        <v/>
      </c>
      <c r="P62" s="137" t="str">
        <f>IFERROR(INDEX(EQA.CAP_Dados!P$2:P$5000,MATCH(ROW()-4,EQA.CAP_Dados!$S$2:$S$5000,0)),"")</f>
        <v/>
      </c>
      <c r="Q62" s="126" t="str">
        <f>IFERROR(INDEX(EQA.CAP_Dados!Q$2:Q$5000,MATCH(ROW()-4,EQA.CAP_Dados!$S$2:$S$5000,0)),"")</f>
        <v/>
      </c>
      <c r="R62" t="str">
        <f>IFERROR(INDEX(EQA.CAP_Dados!R$2:R$5000,MATCH(ROW()-4,EQA.CAP_Dados!$S$2:$S$5000,0)),"")</f>
        <v/>
      </c>
    </row>
    <row r="63" spans="1:18" x14ac:dyDescent="0.3">
      <c r="A63" t="str">
        <f>IFERROR(INDEX(EQA.CAP_Dados!A$2:A$5000,MATCH(ROW()-4,EQA.CAP_Dados!$S$2:$S$5000,0)),"")</f>
        <v/>
      </c>
      <c r="B63" t="str">
        <f>IFERROR(INDEX(EQA.CAP_Dados!B$2:B$5000,MATCH(ROW()-4,EQA.CAP_Dados!$S$2:$S$5000,0)),"")</f>
        <v/>
      </c>
      <c r="C63" s="126" t="str">
        <f>IFERROR(INDEX(EQA.CAP_Dados!C$2:C$5000,MATCH(ROW()-4,EQA.CAP_Dados!$S$2:$S$5000,0)),"")</f>
        <v/>
      </c>
      <c r="D63" t="str">
        <f>IFERROR(INDEX(EQA.CAP_Dados!D$2:D$5000,MATCH(ROW()-4,EQA.CAP_Dados!$S$2:$S$5000,0)),"")</f>
        <v/>
      </c>
      <c r="E63" t="str">
        <f>IFERROR(INDEX(EQA.CAP_Dados!E$2:E$5000,MATCH(ROW()-4,EQA.CAP_Dados!$S$2:$S$5000,0)),"")</f>
        <v/>
      </c>
      <c r="F63" s="137" t="str">
        <f>IFERROR(INDEX(EQA.CAP_Dados!F$2:F$5000,MATCH(ROW()-4,EQA.CAP_Dados!$S$2:$S$5000,0)),"")</f>
        <v/>
      </c>
      <c r="G63" s="138" t="str">
        <f>IFERROR(INDEX(EQA.CAP_Dados!G$2:G$5000,MATCH(ROW()-4,EQA.CAP_Dados!$S$2:$S$5000,0)),"")</f>
        <v/>
      </c>
      <c r="H63" s="138" t="str">
        <f>IFERROR(INDEX(EQA.CAP_Dados!H$2:H$5000,MATCH(ROW()-4,EQA.CAP_Dados!$S$2:$S$5000,0)),"")</f>
        <v/>
      </c>
      <c r="I63" s="139" t="str">
        <f>IFERROR(INDEX(EQA.CAP_Dados!I$2:I$5000,MATCH(ROW()-4,EQA.CAP_Dados!$S$2:$S$5000,0)),"")</f>
        <v/>
      </c>
      <c r="J63" s="137" t="str">
        <f>IFERROR(INDEX(EQA.CAP_Dados!J$2:J$5000,MATCH(ROW()-4,EQA.CAP_Dados!$S$2:$S$5000,0)),"")</f>
        <v/>
      </c>
      <c r="K63" s="137" t="str">
        <f>IFERROR(INDEX(EQA.CAP_Dados!K$2:K$5000,MATCH(ROW()-4,EQA.CAP_Dados!$S$2:$S$5000,0)),"")</f>
        <v/>
      </c>
      <c r="L63" t="str">
        <f>IFERROR(INDEX(EQA.CAP_Dados!L$2:L$5000,MATCH(ROW()-4,EQA.CAP_Dados!$S$2:$S$5000,0)),"")</f>
        <v/>
      </c>
      <c r="M63" s="126" t="str">
        <f>IFERROR(INDEX(EQA.CAP_Dados!M$2:M$5000,MATCH(ROW()-4,EQA.CAP_Dados!$S$2:$S$5000,0)),"")</f>
        <v/>
      </c>
      <c r="N63" t="str">
        <f>IFERROR(INDEX(EQA.CAP_Dados!N$2:N$5000,MATCH(ROW()-4,EQA.CAP_Dados!$S$2:$S$5000,0)),"")</f>
        <v/>
      </c>
      <c r="O63" s="137" t="str">
        <f>IFERROR(INDEX(EQA.CAP_Dados!O$2:O$5000,MATCH(ROW()-4,EQA.CAP_Dados!$S$2:$S$5000,0)),"")</f>
        <v/>
      </c>
      <c r="P63" s="137" t="str">
        <f>IFERROR(INDEX(EQA.CAP_Dados!P$2:P$5000,MATCH(ROW()-4,EQA.CAP_Dados!$S$2:$S$5000,0)),"")</f>
        <v/>
      </c>
      <c r="Q63" s="126" t="str">
        <f>IFERROR(INDEX(EQA.CAP_Dados!Q$2:Q$5000,MATCH(ROW()-4,EQA.CAP_Dados!$S$2:$S$5000,0)),"")</f>
        <v/>
      </c>
      <c r="R63" t="str">
        <f>IFERROR(INDEX(EQA.CAP_Dados!R$2:R$5000,MATCH(ROW()-4,EQA.CAP_Dados!$S$2:$S$5000,0)),"")</f>
        <v/>
      </c>
    </row>
    <row r="64" spans="1:18" x14ac:dyDescent="0.3">
      <c r="A64" t="str">
        <f>IFERROR(INDEX(EQA.CAP_Dados!A$2:A$5000,MATCH(ROW()-4,EQA.CAP_Dados!$S$2:$S$5000,0)),"")</f>
        <v/>
      </c>
      <c r="B64" t="str">
        <f>IFERROR(INDEX(EQA.CAP_Dados!B$2:B$5000,MATCH(ROW()-4,EQA.CAP_Dados!$S$2:$S$5000,0)),"")</f>
        <v/>
      </c>
      <c r="C64" s="126" t="str">
        <f>IFERROR(INDEX(EQA.CAP_Dados!C$2:C$5000,MATCH(ROW()-4,EQA.CAP_Dados!$S$2:$S$5000,0)),"")</f>
        <v/>
      </c>
      <c r="D64" t="str">
        <f>IFERROR(INDEX(EQA.CAP_Dados!D$2:D$5000,MATCH(ROW()-4,EQA.CAP_Dados!$S$2:$S$5000,0)),"")</f>
        <v/>
      </c>
      <c r="E64" t="str">
        <f>IFERROR(INDEX(EQA.CAP_Dados!E$2:E$5000,MATCH(ROW()-4,EQA.CAP_Dados!$S$2:$S$5000,0)),"")</f>
        <v/>
      </c>
      <c r="F64" s="137" t="str">
        <f>IFERROR(INDEX(EQA.CAP_Dados!F$2:F$5000,MATCH(ROW()-4,EQA.CAP_Dados!$S$2:$S$5000,0)),"")</f>
        <v/>
      </c>
      <c r="G64" s="138" t="str">
        <f>IFERROR(INDEX(EQA.CAP_Dados!G$2:G$5000,MATCH(ROW()-4,EQA.CAP_Dados!$S$2:$S$5000,0)),"")</f>
        <v/>
      </c>
      <c r="H64" s="138" t="str">
        <f>IFERROR(INDEX(EQA.CAP_Dados!H$2:H$5000,MATCH(ROW()-4,EQA.CAP_Dados!$S$2:$S$5000,0)),"")</f>
        <v/>
      </c>
      <c r="I64" s="139" t="str">
        <f>IFERROR(INDEX(EQA.CAP_Dados!I$2:I$5000,MATCH(ROW()-4,EQA.CAP_Dados!$S$2:$S$5000,0)),"")</f>
        <v/>
      </c>
      <c r="J64" s="137" t="str">
        <f>IFERROR(INDEX(EQA.CAP_Dados!J$2:J$5000,MATCH(ROW()-4,EQA.CAP_Dados!$S$2:$S$5000,0)),"")</f>
        <v/>
      </c>
      <c r="K64" s="137" t="str">
        <f>IFERROR(INDEX(EQA.CAP_Dados!K$2:K$5000,MATCH(ROW()-4,EQA.CAP_Dados!$S$2:$S$5000,0)),"")</f>
        <v/>
      </c>
      <c r="L64" t="str">
        <f>IFERROR(INDEX(EQA.CAP_Dados!L$2:L$5000,MATCH(ROW()-4,EQA.CAP_Dados!$S$2:$S$5000,0)),"")</f>
        <v/>
      </c>
      <c r="M64" s="126" t="str">
        <f>IFERROR(INDEX(EQA.CAP_Dados!M$2:M$5000,MATCH(ROW()-4,EQA.CAP_Dados!$S$2:$S$5000,0)),"")</f>
        <v/>
      </c>
      <c r="N64" t="str">
        <f>IFERROR(INDEX(EQA.CAP_Dados!N$2:N$5000,MATCH(ROW()-4,EQA.CAP_Dados!$S$2:$S$5000,0)),"")</f>
        <v/>
      </c>
      <c r="O64" s="137" t="str">
        <f>IFERROR(INDEX(EQA.CAP_Dados!O$2:O$5000,MATCH(ROW()-4,EQA.CAP_Dados!$S$2:$S$5000,0)),"")</f>
        <v/>
      </c>
      <c r="P64" s="137" t="str">
        <f>IFERROR(INDEX(EQA.CAP_Dados!P$2:P$5000,MATCH(ROW()-4,EQA.CAP_Dados!$S$2:$S$5000,0)),"")</f>
        <v/>
      </c>
      <c r="Q64" s="126" t="str">
        <f>IFERROR(INDEX(EQA.CAP_Dados!Q$2:Q$5000,MATCH(ROW()-4,EQA.CAP_Dados!$S$2:$S$5000,0)),"")</f>
        <v/>
      </c>
      <c r="R64" t="str">
        <f>IFERROR(INDEX(EQA.CAP_Dados!R$2:R$5000,MATCH(ROW()-4,EQA.CAP_Dados!$S$2:$S$5000,0)),"")</f>
        <v/>
      </c>
    </row>
    <row r="65" spans="1:18" x14ac:dyDescent="0.3">
      <c r="A65" t="str">
        <f>IFERROR(INDEX(EQA.CAP_Dados!A$2:A$5000,MATCH(ROW()-4,EQA.CAP_Dados!$S$2:$S$5000,0)),"")</f>
        <v/>
      </c>
      <c r="B65" t="str">
        <f>IFERROR(INDEX(EQA.CAP_Dados!B$2:B$5000,MATCH(ROW()-4,EQA.CAP_Dados!$S$2:$S$5000,0)),"")</f>
        <v/>
      </c>
      <c r="C65" s="126" t="str">
        <f>IFERROR(INDEX(EQA.CAP_Dados!C$2:C$5000,MATCH(ROW()-4,EQA.CAP_Dados!$S$2:$S$5000,0)),"")</f>
        <v/>
      </c>
      <c r="D65" t="str">
        <f>IFERROR(INDEX(EQA.CAP_Dados!D$2:D$5000,MATCH(ROW()-4,EQA.CAP_Dados!$S$2:$S$5000,0)),"")</f>
        <v/>
      </c>
      <c r="E65" t="str">
        <f>IFERROR(INDEX(EQA.CAP_Dados!E$2:E$5000,MATCH(ROW()-4,EQA.CAP_Dados!$S$2:$S$5000,0)),"")</f>
        <v/>
      </c>
      <c r="F65" s="137" t="str">
        <f>IFERROR(INDEX(EQA.CAP_Dados!F$2:F$5000,MATCH(ROW()-4,EQA.CAP_Dados!$S$2:$S$5000,0)),"")</f>
        <v/>
      </c>
      <c r="G65" s="138" t="str">
        <f>IFERROR(INDEX(EQA.CAP_Dados!G$2:G$5000,MATCH(ROW()-4,EQA.CAP_Dados!$S$2:$S$5000,0)),"")</f>
        <v/>
      </c>
      <c r="H65" s="138" t="str">
        <f>IFERROR(INDEX(EQA.CAP_Dados!H$2:H$5000,MATCH(ROW()-4,EQA.CAP_Dados!$S$2:$S$5000,0)),"")</f>
        <v/>
      </c>
      <c r="I65" s="139" t="str">
        <f>IFERROR(INDEX(EQA.CAP_Dados!I$2:I$5000,MATCH(ROW()-4,EQA.CAP_Dados!$S$2:$S$5000,0)),"")</f>
        <v/>
      </c>
      <c r="J65" s="137" t="str">
        <f>IFERROR(INDEX(EQA.CAP_Dados!J$2:J$5000,MATCH(ROW()-4,EQA.CAP_Dados!$S$2:$S$5000,0)),"")</f>
        <v/>
      </c>
      <c r="K65" s="137" t="str">
        <f>IFERROR(INDEX(EQA.CAP_Dados!K$2:K$5000,MATCH(ROW()-4,EQA.CAP_Dados!$S$2:$S$5000,0)),"")</f>
        <v/>
      </c>
      <c r="L65" t="str">
        <f>IFERROR(INDEX(EQA.CAP_Dados!L$2:L$5000,MATCH(ROW()-4,EQA.CAP_Dados!$S$2:$S$5000,0)),"")</f>
        <v/>
      </c>
      <c r="M65" s="126" t="str">
        <f>IFERROR(INDEX(EQA.CAP_Dados!M$2:M$5000,MATCH(ROW()-4,EQA.CAP_Dados!$S$2:$S$5000,0)),"")</f>
        <v/>
      </c>
      <c r="N65" t="str">
        <f>IFERROR(INDEX(EQA.CAP_Dados!N$2:N$5000,MATCH(ROW()-4,EQA.CAP_Dados!$S$2:$S$5000,0)),"")</f>
        <v/>
      </c>
      <c r="O65" s="137" t="str">
        <f>IFERROR(INDEX(EQA.CAP_Dados!O$2:O$5000,MATCH(ROW()-4,EQA.CAP_Dados!$S$2:$S$5000,0)),"")</f>
        <v/>
      </c>
      <c r="P65" s="137" t="str">
        <f>IFERROR(INDEX(EQA.CAP_Dados!P$2:P$5000,MATCH(ROW()-4,EQA.CAP_Dados!$S$2:$S$5000,0)),"")</f>
        <v/>
      </c>
      <c r="Q65" s="126" t="str">
        <f>IFERROR(INDEX(EQA.CAP_Dados!Q$2:Q$5000,MATCH(ROW()-4,EQA.CAP_Dados!$S$2:$S$5000,0)),"")</f>
        <v/>
      </c>
      <c r="R65" t="str">
        <f>IFERROR(INDEX(EQA.CAP_Dados!R$2:R$5000,MATCH(ROW()-4,EQA.CAP_Dados!$S$2:$S$5000,0)),"")</f>
        <v/>
      </c>
    </row>
    <row r="66" spans="1:18" x14ac:dyDescent="0.3">
      <c r="A66" t="str">
        <f>IFERROR(INDEX(EQA.CAP_Dados!A$2:A$5000,MATCH(ROW()-4,EQA.CAP_Dados!$S$2:$S$5000,0)),"")</f>
        <v/>
      </c>
      <c r="B66" t="str">
        <f>IFERROR(INDEX(EQA.CAP_Dados!B$2:B$5000,MATCH(ROW()-4,EQA.CAP_Dados!$S$2:$S$5000,0)),"")</f>
        <v/>
      </c>
      <c r="C66" s="126" t="str">
        <f>IFERROR(INDEX(EQA.CAP_Dados!C$2:C$5000,MATCH(ROW()-4,EQA.CAP_Dados!$S$2:$S$5000,0)),"")</f>
        <v/>
      </c>
      <c r="D66" t="str">
        <f>IFERROR(INDEX(EQA.CAP_Dados!D$2:D$5000,MATCH(ROW()-4,EQA.CAP_Dados!$S$2:$S$5000,0)),"")</f>
        <v/>
      </c>
      <c r="E66" t="str">
        <f>IFERROR(INDEX(EQA.CAP_Dados!E$2:E$5000,MATCH(ROW()-4,EQA.CAP_Dados!$S$2:$S$5000,0)),"")</f>
        <v/>
      </c>
      <c r="F66" s="137" t="str">
        <f>IFERROR(INDEX(EQA.CAP_Dados!F$2:F$5000,MATCH(ROW()-4,EQA.CAP_Dados!$S$2:$S$5000,0)),"")</f>
        <v/>
      </c>
      <c r="G66" s="138" t="str">
        <f>IFERROR(INDEX(EQA.CAP_Dados!G$2:G$5000,MATCH(ROW()-4,EQA.CAP_Dados!$S$2:$S$5000,0)),"")</f>
        <v/>
      </c>
      <c r="H66" s="138" t="str">
        <f>IFERROR(INDEX(EQA.CAP_Dados!H$2:H$5000,MATCH(ROW()-4,EQA.CAP_Dados!$S$2:$S$5000,0)),"")</f>
        <v/>
      </c>
      <c r="I66" s="139" t="str">
        <f>IFERROR(INDEX(EQA.CAP_Dados!I$2:I$5000,MATCH(ROW()-4,EQA.CAP_Dados!$S$2:$S$5000,0)),"")</f>
        <v/>
      </c>
      <c r="J66" s="137" t="str">
        <f>IFERROR(INDEX(EQA.CAP_Dados!J$2:J$5000,MATCH(ROW()-4,EQA.CAP_Dados!$S$2:$S$5000,0)),"")</f>
        <v/>
      </c>
      <c r="K66" s="137" t="str">
        <f>IFERROR(INDEX(EQA.CAP_Dados!K$2:K$5000,MATCH(ROW()-4,EQA.CAP_Dados!$S$2:$S$5000,0)),"")</f>
        <v/>
      </c>
      <c r="L66" t="str">
        <f>IFERROR(INDEX(EQA.CAP_Dados!L$2:L$5000,MATCH(ROW()-4,EQA.CAP_Dados!$S$2:$S$5000,0)),"")</f>
        <v/>
      </c>
      <c r="M66" s="126" t="str">
        <f>IFERROR(INDEX(EQA.CAP_Dados!M$2:M$5000,MATCH(ROW()-4,EQA.CAP_Dados!$S$2:$S$5000,0)),"")</f>
        <v/>
      </c>
      <c r="N66" t="str">
        <f>IFERROR(INDEX(EQA.CAP_Dados!N$2:N$5000,MATCH(ROW()-4,EQA.CAP_Dados!$S$2:$S$5000,0)),"")</f>
        <v/>
      </c>
      <c r="O66" s="137" t="str">
        <f>IFERROR(INDEX(EQA.CAP_Dados!O$2:O$5000,MATCH(ROW()-4,EQA.CAP_Dados!$S$2:$S$5000,0)),"")</f>
        <v/>
      </c>
      <c r="P66" s="137" t="str">
        <f>IFERROR(INDEX(EQA.CAP_Dados!P$2:P$5000,MATCH(ROW()-4,EQA.CAP_Dados!$S$2:$S$5000,0)),"")</f>
        <v/>
      </c>
      <c r="Q66" s="126" t="str">
        <f>IFERROR(INDEX(EQA.CAP_Dados!Q$2:Q$5000,MATCH(ROW()-4,EQA.CAP_Dados!$S$2:$S$5000,0)),"")</f>
        <v/>
      </c>
      <c r="R66" t="str">
        <f>IFERROR(INDEX(EQA.CAP_Dados!R$2:R$5000,MATCH(ROW()-4,EQA.CAP_Dados!$S$2:$S$5000,0)),"")</f>
        <v/>
      </c>
    </row>
    <row r="67" spans="1:18" x14ac:dyDescent="0.3">
      <c r="A67" t="str">
        <f>IFERROR(INDEX(EQA.CAP_Dados!A$2:A$5000,MATCH(ROW()-4,EQA.CAP_Dados!$S$2:$S$5000,0)),"")</f>
        <v/>
      </c>
      <c r="B67" t="str">
        <f>IFERROR(INDEX(EQA.CAP_Dados!B$2:B$5000,MATCH(ROW()-4,EQA.CAP_Dados!$S$2:$S$5000,0)),"")</f>
        <v/>
      </c>
      <c r="C67" s="126" t="str">
        <f>IFERROR(INDEX(EQA.CAP_Dados!C$2:C$5000,MATCH(ROW()-4,EQA.CAP_Dados!$S$2:$S$5000,0)),"")</f>
        <v/>
      </c>
      <c r="D67" t="str">
        <f>IFERROR(INDEX(EQA.CAP_Dados!D$2:D$5000,MATCH(ROW()-4,EQA.CAP_Dados!$S$2:$S$5000,0)),"")</f>
        <v/>
      </c>
      <c r="E67" t="str">
        <f>IFERROR(INDEX(EQA.CAP_Dados!E$2:E$5000,MATCH(ROW()-4,EQA.CAP_Dados!$S$2:$S$5000,0)),"")</f>
        <v/>
      </c>
      <c r="F67" s="137" t="str">
        <f>IFERROR(INDEX(EQA.CAP_Dados!F$2:F$5000,MATCH(ROW()-4,EQA.CAP_Dados!$S$2:$S$5000,0)),"")</f>
        <v/>
      </c>
      <c r="G67" s="138" t="str">
        <f>IFERROR(INDEX(EQA.CAP_Dados!G$2:G$5000,MATCH(ROW()-4,EQA.CAP_Dados!$S$2:$S$5000,0)),"")</f>
        <v/>
      </c>
      <c r="H67" s="138" t="str">
        <f>IFERROR(INDEX(EQA.CAP_Dados!H$2:H$5000,MATCH(ROW()-4,EQA.CAP_Dados!$S$2:$S$5000,0)),"")</f>
        <v/>
      </c>
      <c r="I67" s="139" t="str">
        <f>IFERROR(INDEX(EQA.CAP_Dados!I$2:I$5000,MATCH(ROW()-4,EQA.CAP_Dados!$S$2:$S$5000,0)),"")</f>
        <v/>
      </c>
      <c r="J67" s="137" t="str">
        <f>IFERROR(INDEX(EQA.CAP_Dados!J$2:J$5000,MATCH(ROW()-4,EQA.CAP_Dados!$S$2:$S$5000,0)),"")</f>
        <v/>
      </c>
      <c r="K67" s="137" t="str">
        <f>IFERROR(INDEX(EQA.CAP_Dados!K$2:K$5000,MATCH(ROW()-4,EQA.CAP_Dados!$S$2:$S$5000,0)),"")</f>
        <v/>
      </c>
      <c r="L67" t="str">
        <f>IFERROR(INDEX(EQA.CAP_Dados!L$2:L$5000,MATCH(ROW()-4,EQA.CAP_Dados!$S$2:$S$5000,0)),"")</f>
        <v/>
      </c>
      <c r="M67" s="126" t="str">
        <f>IFERROR(INDEX(EQA.CAP_Dados!M$2:M$5000,MATCH(ROW()-4,EQA.CAP_Dados!$S$2:$S$5000,0)),"")</f>
        <v/>
      </c>
      <c r="N67" t="str">
        <f>IFERROR(INDEX(EQA.CAP_Dados!N$2:N$5000,MATCH(ROW()-4,EQA.CAP_Dados!$S$2:$S$5000,0)),"")</f>
        <v/>
      </c>
      <c r="O67" s="137" t="str">
        <f>IFERROR(INDEX(EQA.CAP_Dados!O$2:O$5000,MATCH(ROW()-4,EQA.CAP_Dados!$S$2:$S$5000,0)),"")</f>
        <v/>
      </c>
      <c r="P67" s="137" t="str">
        <f>IFERROR(INDEX(EQA.CAP_Dados!P$2:P$5000,MATCH(ROW()-4,EQA.CAP_Dados!$S$2:$S$5000,0)),"")</f>
        <v/>
      </c>
      <c r="Q67" s="126" t="str">
        <f>IFERROR(INDEX(EQA.CAP_Dados!Q$2:Q$5000,MATCH(ROW()-4,EQA.CAP_Dados!$S$2:$S$5000,0)),"")</f>
        <v/>
      </c>
      <c r="R67" t="str">
        <f>IFERROR(INDEX(EQA.CAP_Dados!R$2:R$5000,MATCH(ROW()-4,EQA.CAP_Dados!$S$2:$S$5000,0)),"")</f>
        <v/>
      </c>
    </row>
    <row r="68" spans="1:18" x14ac:dyDescent="0.3">
      <c r="A68" t="str">
        <f>IFERROR(INDEX(EQA.CAP_Dados!A$2:A$5000,MATCH(ROW()-4,EQA.CAP_Dados!$S$2:$S$5000,0)),"")</f>
        <v/>
      </c>
      <c r="B68" t="str">
        <f>IFERROR(INDEX(EQA.CAP_Dados!B$2:B$5000,MATCH(ROW()-4,EQA.CAP_Dados!$S$2:$S$5000,0)),"")</f>
        <v/>
      </c>
      <c r="C68" s="126" t="str">
        <f>IFERROR(INDEX(EQA.CAP_Dados!C$2:C$5000,MATCH(ROW()-4,EQA.CAP_Dados!$S$2:$S$5000,0)),"")</f>
        <v/>
      </c>
      <c r="D68" t="str">
        <f>IFERROR(INDEX(EQA.CAP_Dados!D$2:D$5000,MATCH(ROW()-4,EQA.CAP_Dados!$S$2:$S$5000,0)),"")</f>
        <v/>
      </c>
      <c r="E68" t="str">
        <f>IFERROR(INDEX(EQA.CAP_Dados!E$2:E$5000,MATCH(ROW()-4,EQA.CAP_Dados!$S$2:$S$5000,0)),"")</f>
        <v/>
      </c>
      <c r="F68" s="137" t="str">
        <f>IFERROR(INDEX(EQA.CAP_Dados!F$2:F$5000,MATCH(ROW()-4,EQA.CAP_Dados!$S$2:$S$5000,0)),"")</f>
        <v/>
      </c>
      <c r="G68" s="138" t="str">
        <f>IFERROR(INDEX(EQA.CAP_Dados!G$2:G$5000,MATCH(ROW()-4,EQA.CAP_Dados!$S$2:$S$5000,0)),"")</f>
        <v/>
      </c>
      <c r="H68" s="138" t="str">
        <f>IFERROR(INDEX(EQA.CAP_Dados!H$2:H$5000,MATCH(ROW()-4,EQA.CAP_Dados!$S$2:$S$5000,0)),"")</f>
        <v/>
      </c>
      <c r="I68" s="139" t="str">
        <f>IFERROR(INDEX(EQA.CAP_Dados!I$2:I$5000,MATCH(ROW()-4,EQA.CAP_Dados!$S$2:$S$5000,0)),"")</f>
        <v/>
      </c>
      <c r="J68" s="137" t="str">
        <f>IFERROR(INDEX(EQA.CAP_Dados!J$2:J$5000,MATCH(ROW()-4,EQA.CAP_Dados!$S$2:$S$5000,0)),"")</f>
        <v/>
      </c>
      <c r="K68" s="137" t="str">
        <f>IFERROR(INDEX(EQA.CAP_Dados!K$2:K$5000,MATCH(ROW()-4,EQA.CAP_Dados!$S$2:$S$5000,0)),"")</f>
        <v/>
      </c>
      <c r="L68" t="str">
        <f>IFERROR(INDEX(EQA.CAP_Dados!L$2:L$5000,MATCH(ROW()-4,EQA.CAP_Dados!$S$2:$S$5000,0)),"")</f>
        <v/>
      </c>
      <c r="M68" s="126" t="str">
        <f>IFERROR(INDEX(EQA.CAP_Dados!M$2:M$5000,MATCH(ROW()-4,EQA.CAP_Dados!$S$2:$S$5000,0)),"")</f>
        <v/>
      </c>
      <c r="N68" t="str">
        <f>IFERROR(INDEX(EQA.CAP_Dados!N$2:N$5000,MATCH(ROW()-4,EQA.CAP_Dados!$S$2:$S$5000,0)),"")</f>
        <v/>
      </c>
      <c r="O68" s="137" t="str">
        <f>IFERROR(INDEX(EQA.CAP_Dados!O$2:O$5000,MATCH(ROW()-4,EQA.CAP_Dados!$S$2:$S$5000,0)),"")</f>
        <v/>
      </c>
      <c r="P68" s="137" t="str">
        <f>IFERROR(INDEX(EQA.CAP_Dados!P$2:P$5000,MATCH(ROW()-4,EQA.CAP_Dados!$S$2:$S$5000,0)),"")</f>
        <v/>
      </c>
      <c r="Q68" s="126" t="str">
        <f>IFERROR(INDEX(EQA.CAP_Dados!Q$2:Q$5000,MATCH(ROW()-4,EQA.CAP_Dados!$S$2:$S$5000,0)),"")</f>
        <v/>
      </c>
      <c r="R68" t="str">
        <f>IFERROR(INDEX(EQA.CAP_Dados!R$2:R$5000,MATCH(ROW()-4,EQA.CAP_Dados!$S$2:$S$5000,0)),"")</f>
        <v/>
      </c>
    </row>
    <row r="69" spans="1:18" x14ac:dyDescent="0.3">
      <c r="A69" t="str">
        <f>IFERROR(INDEX(EQA.CAP_Dados!A$2:A$5000,MATCH(ROW()-4,EQA.CAP_Dados!$S$2:$S$5000,0)),"")</f>
        <v/>
      </c>
      <c r="B69" t="str">
        <f>IFERROR(INDEX(EQA.CAP_Dados!B$2:B$5000,MATCH(ROW()-4,EQA.CAP_Dados!$S$2:$S$5000,0)),"")</f>
        <v/>
      </c>
      <c r="C69" s="126" t="str">
        <f>IFERROR(INDEX(EQA.CAP_Dados!C$2:C$5000,MATCH(ROW()-4,EQA.CAP_Dados!$S$2:$S$5000,0)),"")</f>
        <v/>
      </c>
      <c r="D69" t="str">
        <f>IFERROR(INDEX(EQA.CAP_Dados!D$2:D$5000,MATCH(ROW()-4,EQA.CAP_Dados!$S$2:$S$5000,0)),"")</f>
        <v/>
      </c>
      <c r="E69" t="str">
        <f>IFERROR(INDEX(EQA.CAP_Dados!E$2:E$5000,MATCH(ROW()-4,EQA.CAP_Dados!$S$2:$S$5000,0)),"")</f>
        <v/>
      </c>
      <c r="F69" s="137" t="str">
        <f>IFERROR(INDEX(EQA.CAP_Dados!F$2:F$5000,MATCH(ROW()-4,EQA.CAP_Dados!$S$2:$S$5000,0)),"")</f>
        <v/>
      </c>
      <c r="G69" s="138" t="str">
        <f>IFERROR(INDEX(EQA.CAP_Dados!G$2:G$5000,MATCH(ROW()-4,EQA.CAP_Dados!$S$2:$S$5000,0)),"")</f>
        <v/>
      </c>
      <c r="H69" s="138" t="str">
        <f>IFERROR(INDEX(EQA.CAP_Dados!H$2:H$5000,MATCH(ROW()-4,EQA.CAP_Dados!$S$2:$S$5000,0)),"")</f>
        <v/>
      </c>
      <c r="I69" s="139" t="str">
        <f>IFERROR(INDEX(EQA.CAP_Dados!I$2:I$5000,MATCH(ROW()-4,EQA.CAP_Dados!$S$2:$S$5000,0)),"")</f>
        <v/>
      </c>
      <c r="J69" s="137" t="str">
        <f>IFERROR(INDEX(EQA.CAP_Dados!J$2:J$5000,MATCH(ROW()-4,EQA.CAP_Dados!$S$2:$S$5000,0)),"")</f>
        <v/>
      </c>
      <c r="K69" s="137" t="str">
        <f>IFERROR(INDEX(EQA.CAP_Dados!K$2:K$5000,MATCH(ROW()-4,EQA.CAP_Dados!$S$2:$S$5000,0)),"")</f>
        <v/>
      </c>
      <c r="L69" t="str">
        <f>IFERROR(INDEX(EQA.CAP_Dados!L$2:L$5000,MATCH(ROW()-4,EQA.CAP_Dados!$S$2:$S$5000,0)),"")</f>
        <v/>
      </c>
      <c r="M69" s="126" t="str">
        <f>IFERROR(INDEX(EQA.CAP_Dados!M$2:M$5000,MATCH(ROW()-4,EQA.CAP_Dados!$S$2:$S$5000,0)),"")</f>
        <v/>
      </c>
      <c r="N69" t="str">
        <f>IFERROR(INDEX(EQA.CAP_Dados!N$2:N$5000,MATCH(ROW()-4,EQA.CAP_Dados!$S$2:$S$5000,0)),"")</f>
        <v/>
      </c>
      <c r="O69" s="137" t="str">
        <f>IFERROR(INDEX(EQA.CAP_Dados!O$2:O$5000,MATCH(ROW()-4,EQA.CAP_Dados!$S$2:$S$5000,0)),"")</f>
        <v/>
      </c>
      <c r="P69" s="137" t="str">
        <f>IFERROR(INDEX(EQA.CAP_Dados!P$2:P$5000,MATCH(ROW()-4,EQA.CAP_Dados!$S$2:$S$5000,0)),"")</f>
        <v/>
      </c>
      <c r="Q69" s="126" t="str">
        <f>IFERROR(INDEX(EQA.CAP_Dados!Q$2:Q$5000,MATCH(ROW()-4,EQA.CAP_Dados!$S$2:$S$5000,0)),"")</f>
        <v/>
      </c>
      <c r="R69" t="str">
        <f>IFERROR(INDEX(EQA.CAP_Dados!R$2:R$5000,MATCH(ROW()-4,EQA.CAP_Dados!$S$2:$S$5000,0)),"")</f>
        <v/>
      </c>
    </row>
    <row r="70" spans="1:18" x14ac:dyDescent="0.3">
      <c r="A70" t="str">
        <f>IFERROR(INDEX(EQA.CAP_Dados!A$2:A$5000,MATCH(ROW()-4,EQA.CAP_Dados!$S$2:$S$5000,0)),"")</f>
        <v/>
      </c>
      <c r="B70" t="str">
        <f>IFERROR(INDEX(EQA.CAP_Dados!B$2:B$5000,MATCH(ROW()-4,EQA.CAP_Dados!$S$2:$S$5000,0)),"")</f>
        <v/>
      </c>
      <c r="C70" s="126" t="str">
        <f>IFERROR(INDEX(EQA.CAP_Dados!C$2:C$5000,MATCH(ROW()-4,EQA.CAP_Dados!$S$2:$S$5000,0)),"")</f>
        <v/>
      </c>
      <c r="D70" t="str">
        <f>IFERROR(INDEX(EQA.CAP_Dados!D$2:D$5000,MATCH(ROW()-4,EQA.CAP_Dados!$S$2:$S$5000,0)),"")</f>
        <v/>
      </c>
      <c r="E70" t="str">
        <f>IFERROR(INDEX(EQA.CAP_Dados!E$2:E$5000,MATCH(ROW()-4,EQA.CAP_Dados!$S$2:$S$5000,0)),"")</f>
        <v/>
      </c>
      <c r="F70" s="137" t="str">
        <f>IFERROR(INDEX(EQA.CAP_Dados!F$2:F$5000,MATCH(ROW()-4,EQA.CAP_Dados!$S$2:$S$5000,0)),"")</f>
        <v/>
      </c>
      <c r="G70" s="138" t="str">
        <f>IFERROR(INDEX(EQA.CAP_Dados!G$2:G$5000,MATCH(ROW()-4,EQA.CAP_Dados!$S$2:$S$5000,0)),"")</f>
        <v/>
      </c>
      <c r="H70" s="138" t="str">
        <f>IFERROR(INDEX(EQA.CAP_Dados!H$2:H$5000,MATCH(ROW()-4,EQA.CAP_Dados!$S$2:$S$5000,0)),"")</f>
        <v/>
      </c>
      <c r="I70" s="139" t="str">
        <f>IFERROR(INDEX(EQA.CAP_Dados!I$2:I$5000,MATCH(ROW()-4,EQA.CAP_Dados!$S$2:$S$5000,0)),"")</f>
        <v/>
      </c>
      <c r="J70" s="137" t="str">
        <f>IFERROR(INDEX(EQA.CAP_Dados!J$2:J$5000,MATCH(ROW()-4,EQA.CAP_Dados!$S$2:$S$5000,0)),"")</f>
        <v/>
      </c>
      <c r="K70" s="137" t="str">
        <f>IFERROR(INDEX(EQA.CAP_Dados!K$2:K$5000,MATCH(ROW()-4,EQA.CAP_Dados!$S$2:$S$5000,0)),"")</f>
        <v/>
      </c>
      <c r="L70" t="str">
        <f>IFERROR(INDEX(EQA.CAP_Dados!L$2:L$5000,MATCH(ROW()-4,EQA.CAP_Dados!$S$2:$S$5000,0)),"")</f>
        <v/>
      </c>
      <c r="M70" s="126" t="str">
        <f>IFERROR(INDEX(EQA.CAP_Dados!M$2:M$5000,MATCH(ROW()-4,EQA.CAP_Dados!$S$2:$S$5000,0)),"")</f>
        <v/>
      </c>
      <c r="N70" t="str">
        <f>IFERROR(INDEX(EQA.CAP_Dados!N$2:N$5000,MATCH(ROW()-4,EQA.CAP_Dados!$S$2:$S$5000,0)),"")</f>
        <v/>
      </c>
      <c r="O70" s="137" t="str">
        <f>IFERROR(INDEX(EQA.CAP_Dados!O$2:O$5000,MATCH(ROW()-4,EQA.CAP_Dados!$S$2:$S$5000,0)),"")</f>
        <v/>
      </c>
      <c r="P70" s="137" t="str">
        <f>IFERROR(INDEX(EQA.CAP_Dados!P$2:P$5000,MATCH(ROW()-4,EQA.CAP_Dados!$S$2:$S$5000,0)),"")</f>
        <v/>
      </c>
      <c r="Q70" s="126" t="str">
        <f>IFERROR(INDEX(EQA.CAP_Dados!Q$2:Q$5000,MATCH(ROW()-4,EQA.CAP_Dados!$S$2:$S$5000,0)),"")</f>
        <v/>
      </c>
      <c r="R70" t="str">
        <f>IFERROR(INDEX(EQA.CAP_Dados!R$2:R$5000,MATCH(ROW()-4,EQA.CAP_Dados!$S$2:$S$5000,0)),"")</f>
        <v/>
      </c>
    </row>
    <row r="71" spans="1:18" x14ac:dyDescent="0.3">
      <c r="A71" t="str">
        <f>IFERROR(INDEX(EQA.CAP_Dados!A$2:A$5000,MATCH(ROW()-4,EQA.CAP_Dados!$S$2:$S$5000,0)),"")</f>
        <v/>
      </c>
      <c r="B71" t="str">
        <f>IFERROR(INDEX(EQA.CAP_Dados!B$2:B$5000,MATCH(ROW()-4,EQA.CAP_Dados!$S$2:$S$5000,0)),"")</f>
        <v/>
      </c>
      <c r="C71" s="126" t="str">
        <f>IFERROR(INDEX(EQA.CAP_Dados!C$2:C$5000,MATCH(ROW()-4,EQA.CAP_Dados!$S$2:$S$5000,0)),"")</f>
        <v/>
      </c>
      <c r="D71" t="str">
        <f>IFERROR(INDEX(EQA.CAP_Dados!D$2:D$5000,MATCH(ROW()-4,EQA.CAP_Dados!$S$2:$S$5000,0)),"")</f>
        <v/>
      </c>
      <c r="E71" t="str">
        <f>IFERROR(INDEX(EQA.CAP_Dados!E$2:E$5000,MATCH(ROW()-4,EQA.CAP_Dados!$S$2:$S$5000,0)),"")</f>
        <v/>
      </c>
      <c r="F71" s="137" t="str">
        <f>IFERROR(INDEX(EQA.CAP_Dados!F$2:F$5000,MATCH(ROW()-4,EQA.CAP_Dados!$S$2:$S$5000,0)),"")</f>
        <v/>
      </c>
      <c r="G71" s="138" t="str">
        <f>IFERROR(INDEX(EQA.CAP_Dados!G$2:G$5000,MATCH(ROW()-4,EQA.CAP_Dados!$S$2:$S$5000,0)),"")</f>
        <v/>
      </c>
      <c r="H71" s="138" t="str">
        <f>IFERROR(INDEX(EQA.CAP_Dados!H$2:H$5000,MATCH(ROW()-4,EQA.CAP_Dados!$S$2:$S$5000,0)),"")</f>
        <v/>
      </c>
      <c r="I71" s="139" t="str">
        <f>IFERROR(INDEX(EQA.CAP_Dados!I$2:I$5000,MATCH(ROW()-4,EQA.CAP_Dados!$S$2:$S$5000,0)),"")</f>
        <v/>
      </c>
      <c r="J71" s="137" t="str">
        <f>IFERROR(INDEX(EQA.CAP_Dados!J$2:J$5000,MATCH(ROW()-4,EQA.CAP_Dados!$S$2:$S$5000,0)),"")</f>
        <v/>
      </c>
      <c r="K71" s="137" t="str">
        <f>IFERROR(INDEX(EQA.CAP_Dados!K$2:K$5000,MATCH(ROW()-4,EQA.CAP_Dados!$S$2:$S$5000,0)),"")</f>
        <v/>
      </c>
      <c r="L71" t="str">
        <f>IFERROR(INDEX(EQA.CAP_Dados!L$2:L$5000,MATCH(ROW()-4,EQA.CAP_Dados!$S$2:$S$5000,0)),"")</f>
        <v/>
      </c>
      <c r="M71" s="126" t="str">
        <f>IFERROR(INDEX(EQA.CAP_Dados!M$2:M$5000,MATCH(ROW()-4,EQA.CAP_Dados!$S$2:$S$5000,0)),"")</f>
        <v/>
      </c>
      <c r="N71" t="str">
        <f>IFERROR(INDEX(EQA.CAP_Dados!N$2:N$5000,MATCH(ROW()-4,EQA.CAP_Dados!$S$2:$S$5000,0)),"")</f>
        <v/>
      </c>
      <c r="O71" s="137" t="str">
        <f>IFERROR(INDEX(EQA.CAP_Dados!O$2:O$5000,MATCH(ROW()-4,EQA.CAP_Dados!$S$2:$S$5000,0)),"")</f>
        <v/>
      </c>
      <c r="P71" s="137" t="str">
        <f>IFERROR(INDEX(EQA.CAP_Dados!P$2:P$5000,MATCH(ROW()-4,EQA.CAP_Dados!$S$2:$S$5000,0)),"")</f>
        <v/>
      </c>
      <c r="Q71" s="126" t="str">
        <f>IFERROR(INDEX(EQA.CAP_Dados!Q$2:Q$5000,MATCH(ROW()-4,EQA.CAP_Dados!$S$2:$S$5000,0)),"")</f>
        <v/>
      </c>
      <c r="R71" t="str">
        <f>IFERROR(INDEX(EQA.CAP_Dados!R$2:R$5000,MATCH(ROW()-4,EQA.CAP_Dados!$S$2:$S$5000,0)),"")</f>
        <v/>
      </c>
    </row>
    <row r="72" spans="1:18" x14ac:dyDescent="0.3">
      <c r="A72" t="str">
        <f>IFERROR(INDEX(EQA.CAP_Dados!A$2:A$5000,MATCH(ROW()-4,EQA.CAP_Dados!$S$2:$S$5000,0)),"")</f>
        <v/>
      </c>
      <c r="B72" t="str">
        <f>IFERROR(INDEX(EQA.CAP_Dados!B$2:B$5000,MATCH(ROW()-4,EQA.CAP_Dados!$S$2:$S$5000,0)),"")</f>
        <v/>
      </c>
      <c r="C72" s="126" t="str">
        <f>IFERROR(INDEX(EQA.CAP_Dados!C$2:C$5000,MATCH(ROW()-4,EQA.CAP_Dados!$S$2:$S$5000,0)),"")</f>
        <v/>
      </c>
      <c r="D72" t="str">
        <f>IFERROR(INDEX(EQA.CAP_Dados!D$2:D$5000,MATCH(ROW()-4,EQA.CAP_Dados!$S$2:$S$5000,0)),"")</f>
        <v/>
      </c>
      <c r="E72" t="str">
        <f>IFERROR(INDEX(EQA.CAP_Dados!E$2:E$5000,MATCH(ROW()-4,EQA.CAP_Dados!$S$2:$S$5000,0)),"")</f>
        <v/>
      </c>
      <c r="F72" s="137" t="str">
        <f>IFERROR(INDEX(EQA.CAP_Dados!F$2:F$5000,MATCH(ROW()-4,EQA.CAP_Dados!$S$2:$S$5000,0)),"")</f>
        <v/>
      </c>
      <c r="G72" s="138" t="str">
        <f>IFERROR(INDEX(EQA.CAP_Dados!G$2:G$5000,MATCH(ROW()-4,EQA.CAP_Dados!$S$2:$S$5000,0)),"")</f>
        <v/>
      </c>
      <c r="H72" s="138" t="str">
        <f>IFERROR(INDEX(EQA.CAP_Dados!H$2:H$5000,MATCH(ROW()-4,EQA.CAP_Dados!$S$2:$S$5000,0)),"")</f>
        <v/>
      </c>
      <c r="I72" s="139" t="str">
        <f>IFERROR(INDEX(EQA.CAP_Dados!I$2:I$5000,MATCH(ROW()-4,EQA.CAP_Dados!$S$2:$S$5000,0)),"")</f>
        <v/>
      </c>
      <c r="J72" s="137" t="str">
        <f>IFERROR(INDEX(EQA.CAP_Dados!J$2:J$5000,MATCH(ROW()-4,EQA.CAP_Dados!$S$2:$S$5000,0)),"")</f>
        <v/>
      </c>
      <c r="K72" s="137" t="str">
        <f>IFERROR(INDEX(EQA.CAP_Dados!K$2:K$5000,MATCH(ROW()-4,EQA.CAP_Dados!$S$2:$S$5000,0)),"")</f>
        <v/>
      </c>
      <c r="L72" t="str">
        <f>IFERROR(INDEX(EQA.CAP_Dados!L$2:L$5000,MATCH(ROW()-4,EQA.CAP_Dados!$S$2:$S$5000,0)),"")</f>
        <v/>
      </c>
      <c r="M72" s="126" t="str">
        <f>IFERROR(INDEX(EQA.CAP_Dados!M$2:M$5000,MATCH(ROW()-4,EQA.CAP_Dados!$S$2:$S$5000,0)),"")</f>
        <v/>
      </c>
      <c r="N72" t="str">
        <f>IFERROR(INDEX(EQA.CAP_Dados!N$2:N$5000,MATCH(ROW()-4,EQA.CAP_Dados!$S$2:$S$5000,0)),"")</f>
        <v/>
      </c>
      <c r="O72" s="137" t="str">
        <f>IFERROR(INDEX(EQA.CAP_Dados!O$2:O$5000,MATCH(ROW()-4,EQA.CAP_Dados!$S$2:$S$5000,0)),"")</f>
        <v/>
      </c>
      <c r="P72" s="137" t="str">
        <f>IFERROR(INDEX(EQA.CAP_Dados!P$2:P$5000,MATCH(ROW()-4,EQA.CAP_Dados!$S$2:$S$5000,0)),"")</f>
        <v/>
      </c>
      <c r="Q72" s="126" t="str">
        <f>IFERROR(INDEX(EQA.CAP_Dados!Q$2:Q$5000,MATCH(ROW()-4,EQA.CAP_Dados!$S$2:$S$5000,0)),"")</f>
        <v/>
      </c>
      <c r="R72" t="str">
        <f>IFERROR(INDEX(EQA.CAP_Dados!R$2:R$5000,MATCH(ROW()-4,EQA.CAP_Dados!$S$2:$S$5000,0)),"")</f>
        <v/>
      </c>
    </row>
    <row r="73" spans="1:18" x14ac:dyDescent="0.3">
      <c r="A73" t="str">
        <f>IFERROR(INDEX(EQA.CAP_Dados!A$2:A$5000,MATCH(ROW()-4,EQA.CAP_Dados!$S$2:$S$5000,0)),"")</f>
        <v/>
      </c>
      <c r="B73" t="str">
        <f>IFERROR(INDEX(EQA.CAP_Dados!B$2:B$5000,MATCH(ROW()-4,EQA.CAP_Dados!$S$2:$S$5000,0)),"")</f>
        <v/>
      </c>
      <c r="C73" s="126" t="str">
        <f>IFERROR(INDEX(EQA.CAP_Dados!C$2:C$5000,MATCH(ROW()-4,EQA.CAP_Dados!$S$2:$S$5000,0)),"")</f>
        <v/>
      </c>
      <c r="D73" t="str">
        <f>IFERROR(INDEX(EQA.CAP_Dados!D$2:D$5000,MATCH(ROW()-4,EQA.CAP_Dados!$S$2:$S$5000,0)),"")</f>
        <v/>
      </c>
      <c r="E73" t="str">
        <f>IFERROR(INDEX(EQA.CAP_Dados!E$2:E$5000,MATCH(ROW()-4,EQA.CAP_Dados!$S$2:$S$5000,0)),"")</f>
        <v/>
      </c>
      <c r="F73" s="137" t="str">
        <f>IFERROR(INDEX(EQA.CAP_Dados!F$2:F$5000,MATCH(ROW()-4,EQA.CAP_Dados!$S$2:$S$5000,0)),"")</f>
        <v/>
      </c>
      <c r="G73" s="138" t="str">
        <f>IFERROR(INDEX(EQA.CAP_Dados!G$2:G$5000,MATCH(ROW()-4,EQA.CAP_Dados!$S$2:$S$5000,0)),"")</f>
        <v/>
      </c>
      <c r="H73" s="138" t="str">
        <f>IFERROR(INDEX(EQA.CAP_Dados!H$2:H$5000,MATCH(ROW()-4,EQA.CAP_Dados!$S$2:$S$5000,0)),"")</f>
        <v/>
      </c>
      <c r="I73" s="139" t="str">
        <f>IFERROR(INDEX(EQA.CAP_Dados!I$2:I$5000,MATCH(ROW()-4,EQA.CAP_Dados!$S$2:$S$5000,0)),"")</f>
        <v/>
      </c>
      <c r="J73" s="137" t="str">
        <f>IFERROR(INDEX(EQA.CAP_Dados!J$2:J$5000,MATCH(ROW()-4,EQA.CAP_Dados!$S$2:$S$5000,0)),"")</f>
        <v/>
      </c>
      <c r="K73" s="137" t="str">
        <f>IFERROR(INDEX(EQA.CAP_Dados!K$2:K$5000,MATCH(ROW()-4,EQA.CAP_Dados!$S$2:$S$5000,0)),"")</f>
        <v/>
      </c>
      <c r="L73" t="str">
        <f>IFERROR(INDEX(EQA.CAP_Dados!L$2:L$5000,MATCH(ROW()-4,EQA.CAP_Dados!$S$2:$S$5000,0)),"")</f>
        <v/>
      </c>
      <c r="M73" s="126" t="str">
        <f>IFERROR(INDEX(EQA.CAP_Dados!M$2:M$5000,MATCH(ROW()-4,EQA.CAP_Dados!$S$2:$S$5000,0)),"")</f>
        <v/>
      </c>
      <c r="N73" t="str">
        <f>IFERROR(INDEX(EQA.CAP_Dados!N$2:N$5000,MATCH(ROW()-4,EQA.CAP_Dados!$S$2:$S$5000,0)),"")</f>
        <v/>
      </c>
      <c r="O73" s="137" t="str">
        <f>IFERROR(INDEX(EQA.CAP_Dados!O$2:O$5000,MATCH(ROW()-4,EQA.CAP_Dados!$S$2:$S$5000,0)),"")</f>
        <v/>
      </c>
      <c r="P73" s="137" t="str">
        <f>IFERROR(INDEX(EQA.CAP_Dados!P$2:P$5000,MATCH(ROW()-4,EQA.CAP_Dados!$S$2:$S$5000,0)),"")</f>
        <v/>
      </c>
      <c r="Q73" s="126" t="str">
        <f>IFERROR(INDEX(EQA.CAP_Dados!Q$2:Q$5000,MATCH(ROW()-4,EQA.CAP_Dados!$S$2:$S$5000,0)),"")</f>
        <v/>
      </c>
      <c r="R73" t="str">
        <f>IFERROR(INDEX(EQA.CAP_Dados!R$2:R$5000,MATCH(ROW()-4,EQA.CAP_Dados!$S$2:$S$5000,0)),"")</f>
        <v/>
      </c>
    </row>
    <row r="74" spans="1:18" x14ac:dyDescent="0.3">
      <c r="A74" t="str">
        <f>IFERROR(INDEX(EQA.CAP_Dados!A$2:A$5000,MATCH(ROW()-4,EQA.CAP_Dados!$S$2:$S$5000,0)),"")</f>
        <v/>
      </c>
      <c r="B74" t="str">
        <f>IFERROR(INDEX(EQA.CAP_Dados!B$2:B$5000,MATCH(ROW()-4,EQA.CAP_Dados!$S$2:$S$5000,0)),"")</f>
        <v/>
      </c>
      <c r="C74" s="126" t="str">
        <f>IFERROR(INDEX(EQA.CAP_Dados!C$2:C$5000,MATCH(ROW()-4,EQA.CAP_Dados!$S$2:$S$5000,0)),"")</f>
        <v/>
      </c>
      <c r="D74" t="str">
        <f>IFERROR(INDEX(EQA.CAP_Dados!D$2:D$5000,MATCH(ROW()-4,EQA.CAP_Dados!$S$2:$S$5000,0)),"")</f>
        <v/>
      </c>
      <c r="E74" t="str">
        <f>IFERROR(INDEX(EQA.CAP_Dados!E$2:E$5000,MATCH(ROW()-4,EQA.CAP_Dados!$S$2:$S$5000,0)),"")</f>
        <v/>
      </c>
      <c r="F74" s="137" t="str">
        <f>IFERROR(INDEX(EQA.CAP_Dados!F$2:F$5000,MATCH(ROW()-4,EQA.CAP_Dados!$S$2:$S$5000,0)),"")</f>
        <v/>
      </c>
      <c r="G74" s="138" t="str">
        <f>IFERROR(INDEX(EQA.CAP_Dados!G$2:G$5000,MATCH(ROW()-4,EQA.CAP_Dados!$S$2:$S$5000,0)),"")</f>
        <v/>
      </c>
      <c r="H74" s="138" t="str">
        <f>IFERROR(INDEX(EQA.CAP_Dados!H$2:H$5000,MATCH(ROW()-4,EQA.CAP_Dados!$S$2:$S$5000,0)),"")</f>
        <v/>
      </c>
      <c r="I74" s="139" t="str">
        <f>IFERROR(INDEX(EQA.CAP_Dados!I$2:I$5000,MATCH(ROW()-4,EQA.CAP_Dados!$S$2:$S$5000,0)),"")</f>
        <v/>
      </c>
      <c r="J74" s="137" t="str">
        <f>IFERROR(INDEX(EQA.CAP_Dados!J$2:J$5000,MATCH(ROW()-4,EQA.CAP_Dados!$S$2:$S$5000,0)),"")</f>
        <v/>
      </c>
      <c r="K74" s="137" t="str">
        <f>IFERROR(INDEX(EQA.CAP_Dados!K$2:K$5000,MATCH(ROW()-4,EQA.CAP_Dados!$S$2:$S$5000,0)),"")</f>
        <v/>
      </c>
      <c r="L74" t="str">
        <f>IFERROR(INDEX(EQA.CAP_Dados!L$2:L$5000,MATCH(ROW()-4,EQA.CAP_Dados!$S$2:$S$5000,0)),"")</f>
        <v/>
      </c>
      <c r="M74" s="126" t="str">
        <f>IFERROR(INDEX(EQA.CAP_Dados!M$2:M$5000,MATCH(ROW()-4,EQA.CAP_Dados!$S$2:$S$5000,0)),"")</f>
        <v/>
      </c>
      <c r="N74" t="str">
        <f>IFERROR(INDEX(EQA.CAP_Dados!N$2:N$5000,MATCH(ROW()-4,EQA.CAP_Dados!$S$2:$S$5000,0)),"")</f>
        <v/>
      </c>
      <c r="O74" s="137" t="str">
        <f>IFERROR(INDEX(EQA.CAP_Dados!O$2:O$5000,MATCH(ROW()-4,EQA.CAP_Dados!$S$2:$S$5000,0)),"")</f>
        <v/>
      </c>
      <c r="P74" s="137" t="str">
        <f>IFERROR(INDEX(EQA.CAP_Dados!P$2:P$5000,MATCH(ROW()-4,EQA.CAP_Dados!$S$2:$S$5000,0)),"")</f>
        <v/>
      </c>
      <c r="Q74" s="126" t="str">
        <f>IFERROR(INDEX(EQA.CAP_Dados!Q$2:Q$5000,MATCH(ROW()-4,EQA.CAP_Dados!$S$2:$S$5000,0)),"")</f>
        <v/>
      </c>
      <c r="R74" t="str">
        <f>IFERROR(INDEX(EQA.CAP_Dados!R$2:R$5000,MATCH(ROW()-4,EQA.CAP_Dados!$S$2:$S$5000,0)),"")</f>
        <v/>
      </c>
    </row>
    <row r="75" spans="1:18" x14ac:dyDescent="0.3">
      <c r="A75" t="str">
        <f>IFERROR(INDEX(EQA.CAP_Dados!A$2:A$5000,MATCH(ROW()-4,EQA.CAP_Dados!$S$2:$S$5000,0)),"")</f>
        <v/>
      </c>
      <c r="B75" t="str">
        <f>IFERROR(INDEX(EQA.CAP_Dados!B$2:B$5000,MATCH(ROW()-4,EQA.CAP_Dados!$S$2:$S$5000,0)),"")</f>
        <v/>
      </c>
      <c r="C75" s="126" t="str">
        <f>IFERROR(INDEX(EQA.CAP_Dados!C$2:C$5000,MATCH(ROW()-4,EQA.CAP_Dados!$S$2:$S$5000,0)),"")</f>
        <v/>
      </c>
      <c r="D75" t="str">
        <f>IFERROR(INDEX(EQA.CAP_Dados!D$2:D$5000,MATCH(ROW()-4,EQA.CAP_Dados!$S$2:$S$5000,0)),"")</f>
        <v/>
      </c>
      <c r="E75" t="str">
        <f>IFERROR(INDEX(EQA.CAP_Dados!E$2:E$5000,MATCH(ROW()-4,EQA.CAP_Dados!$S$2:$S$5000,0)),"")</f>
        <v/>
      </c>
      <c r="F75" s="137" t="str">
        <f>IFERROR(INDEX(EQA.CAP_Dados!F$2:F$5000,MATCH(ROW()-4,EQA.CAP_Dados!$S$2:$S$5000,0)),"")</f>
        <v/>
      </c>
      <c r="G75" s="138" t="str">
        <f>IFERROR(INDEX(EQA.CAP_Dados!G$2:G$5000,MATCH(ROW()-4,EQA.CAP_Dados!$S$2:$S$5000,0)),"")</f>
        <v/>
      </c>
      <c r="H75" s="138" t="str">
        <f>IFERROR(INDEX(EQA.CAP_Dados!H$2:H$5000,MATCH(ROW()-4,EQA.CAP_Dados!$S$2:$S$5000,0)),"")</f>
        <v/>
      </c>
      <c r="I75" s="139" t="str">
        <f>IFERROR(INDEX(EQA.CAP_Dados!I$2:I$5000,MATCH(ROW()-4,EQA.CAP_Dados!$S$2:$S$5000,0)),"")</f>
        <v/>
      </c>
      <c r="J75" s="137" t="str">
        <f>IFERROR(INDEX(EQA.CAP_Dados!J$2:J$5000,MATCH(ROW()-4,EQA.CAP_Dados!$S$2:$S$5000,0)),"")</f>
        <v/>
      </c>
      <c r="K75" s="137" t="str">
        <f>IFERROR(INDEX(EQA.CAP_Dados!K$2:K$5000,MATCH(ROW()-4,EQA.CAP_Dados!$S$2:$S$5000,0)),"")</f>
        <v/>
      </c>
      <c r="L75" t="str">
        <f>IFERROR(INDEX(EQA.CAP_Dados!L$2:L$5000,MATCH(ROW()-4,EQA.CAP_Dados!$S$2:$S$5000,0)),"")</f>
        <v/>
      </c>
      <c r="M75" s="126" t="str">
        <f>IFERROR(INDEX(EQA.CAP_Dados!M$2:M$5000,MATCH(ROW()-4,EQA.CAP_Dados!$S$2:$S$5000,0)),"")</f>
        <v/>
      </c>
      <c r="N75" t="str">
        <f>IFERROR(INDEX(EQA.CAP_Dados!N$2:N$5000,MATCH(ROW()-4,EQA.CAP_Dados!$S$2:$S$5000,0)),"")</f>
        <v/>
      </c>
      <c r="O75" s="137" t="str">
        <f>IFERROR(INDEX(EQA.CAP_Dados!O$2:O$5000,MATCH(ROW()-4,EQA.CAP_Dados!$S$2:$S$5000,0)),"")</f>
        <v/>
      </c>
      <c r="P75" s="137" t="str">
        <f>IFERROR(INDEX(EQA.CAP_Dados!P$2:P$5000,MATCH(ROW()-4,EQA.CAP_Dados!$S$2:$S$5000,0)),"")</f>
        <v/>
      </c>
      <c r="Q75" s="126" t="str">
        <f>IFERROR(INDEX(EQA.CAP_Dados!Q$2:Q$5000,MATCH(ROW()-4,EQA.CAP_Dados!$S$2:$S$5000,0)),"")</f>
        <v/>
      </c>
      <c r="R75" t="str">
        <f>IFERROR(INDEX(EQA.CAP_Dados!R$2:R$5000,MATCH(ROW()-4,EQA.CAP_Dados!$S$2:$S$5000,0)),"")</f>
        <v/>
      </c>
    </row>
    <row r="76" spans="1:18" x14ac:dyDescent="0.3">
      <c r="A76" t="str">
        <f>IFERROR(INDEX(EQA.CAP_Dados!A$2:A$5000,MATCH(ROW()-4,EQA.CAP_Dados!$S$2:$S$5000,0)),"")</f>
        <v/>
      </c>
      <c r="B76" t="str">
        <f>IFERROR(INDEX(EQA.CAP_Dados!B$2:B$5000,MATCH(ROW()-4,EQA.CAP_Dados!$S$2:$S$5000,0)),"")</f>
        <v/>
      </c>
      <c r="C76" s="126" t="str">
        <f>IFERROR(INDEX(EQA.CAP_Dados!C$2:C$5000,MATCH(ROW()-4,EQA.CAP_Dados!$S$2:$S$5000,0)),"")</f>
        <v/>
      </c>
      <c r="D76" t="str">
        <f>IFERROR(INDEX(EQA.CAP_Dados!D$2:D$5000,MATCH(ROW()-4,EQA.CAP_Dados!$S$2:$S$5000,0)),"")</f>
        <v/>
      </c>
      <c r="E76" t="str">
        <f>IFERROR(INDEX(EQA.CAP_Dados!E$2:E$5000,MATCH(ROW()-4,EQA.CAP_Dados!$S$2:$S$5000,0)),"")</f>
        <v/>
      </c>
      <c r="F76" s="137" t="str">
        <f>IFERROR(INDEX(EQA.CAP_Dados!F$2:F$5000,MATCH(ROW()-4,EQA.CAP_Dados!$S$2:$S$5000,0)),"")</f>
        <v/>
      </c>
      <c r="G76" s="138" t="str">
        <f>IFERROR(INDEX(EQA.CAP_Dados!G$2:G$5000,MATCH(ROW()-4,EQA.CAP_Dados!$S$2:$S$5000,0)),"")</f>
        <v/>
      </c>
      <c r="H76" s="138" t="str">
        <f>IFERROR(INDEX(EQA.CAP_Dados!H$2:H$5000,MATCH(ROW()-4,EQA.CAP_Dados!$S$2:$S$5000,0)),"")</f>
        <v/>
      </c>
      <c r="I76" s="139" t="str">
        <f>IFERROR(INDEX(EQA.CAP_Dados!I$2:I$5000,MATCH(ROW()-4,EQA.CAP_Dados!$S$2:$S$5000,0)),"")</f>
        <v/>
      </c>
      <c r="J76" s="137" t="str">
        <f>IFERROR(INDEX(EQA.CAP_Dados!J$2:J$5000,MATCH(ROW()-4,EQA.CAP_Dados!$S$2:$S$5000,0)),"")</f>
        <v/>
      </c>
      <c r="K76" s="137" t="str">
        <f>IFERROR(INDEX(EQA.CAP_Dados!K$2:K$5000,MATCH(ROW()-4,EQA.CAP_Dados!$S$2:$S$5000,0)),"")</f>
        <v/>
      </c>
      <c r="L76" t="str">
        <f>IFERROR(INDEX(EQA.CAP_Dados!L$2:L$5000,MATCH(ROW()-4,EQA.CAP_Dados!$S$2:$S$5000,0)),"")</f>
        <v/>
      </c>
      <c r="M76" s="126" t="str">
        <f>IFERROR(INDEX(EQA.CAP_Dados!M$2:M$5000,MATCH(ROW()-4,EQA.CAP_Dados!$S$2:$S$5000,0)),"")</f>
        <v/>
      </c>
      <c r="N76" t="str">
        <f>IFERROR(INDEX(EQA.CAP_Dados!N$2:N$5000,MATCH(ROW()-4,EQA.CAP_Dados!$S$2:$S$5000,0)),"")</f>
        <v/>
      </c>
      <c r="O76" s="137" t="str">
        <f>IFERROR(INDEX(EQA.CAP_Dados!O$2:O$5000,MATCH(ROW()-4,EQA.CAP_Dados!$S$2:$S$5000,0)),"")</f>
        <v/>
      </c>
      <c r="P76" s="137" t="str">
        <f>IFERROR(INDEX(EQA.CAP_Dados!P$2:P$5000,MATCH(ROW()-4,EQA.CAP_Dados!$S$2:$S$5000,0)),"")</f>
        <v/>
      </c>
      <c r="Q76" s="126" t="str">
        <f>IFERROR(INDEX(EQA.CAP_Dados!Q$2:Q$5000,MATCH(ROW()-4,EQA.CAP_Dados!$S$2:$S$5000,0)),"")</f>
        <v/>
      </c>
      <c r="R76" t="str">
        <f>IFERROR(INDEX(EQA.CAP_Dados!R$2:R$5000,MATCH(ROW()-4,EQA.CAP_Dados!$S$2:$S$5000,0)),"")</f>
        <v/>
      </c>
    </row>
    <row r="77" spans="1:18" x14ac:dyDescent="0.3">
      <c r="A77" t="str">
        <f>IFERROR(INDEX(EQA.CAP_Dados!A$2:A$5000,MATCH(ROW()-4,EQA.CAP_Dados!$S$2:$S$5000,0)),"")</f>
        <v/>
      </c>
      <c r="B77" t="str">
        <f>IFERROR(INDEX(EQA.CAP_Dados!B$2:B$5000,MATCH(ROW()-4,EQA.CAP_Dados!$S$2:$S$5000,0)),"")</f>
        <v/>
      </c>
      <c r="C77" s="126" t="str">
        <f>IFERROR(INDEX(EQA.CAP_Dados!C$2:C$5000,MATCH(ROW()-4,EQA.CAP_Dados!$S$2:$S$5000,0)),"")</f>
        <v/>
      </c>
      <c r="D77" t="str">
        <f>IFERROR(INDEX(EQA.CAP_Dados!D$2:D$5000,MATCH(ROW()-4,EQA.CAP_Dados!$S$2:$S$5000,0)),"")</f>
        <v/>
      </c>
      <c r="E77" t="str">
        <f>IFERROR(INDEX(EQA.CAP_Dados!E$2:E$5000,MATCH(ROW()-4,EQA.CAP_Dados!$S$2:$S$5000,0)),"")</f>
        <v/>
      </c>
      <c r="F77" s="137" t="str">
        <f>IFERROR(INDEX(EQA.CAP_Dados!F$2:F$5000,MATCH(ROW()-4,EQA.CAP_Dados!$S$2:$S$5000,0)),"")</f>
        <v/>
      </c>
      <c r="G77" s="138" t="str">
        <f>IFERROR(INDEX(EQA.CAP_Dados!G$2:G$5000,MATCH(ROW()-4,EQA.CAP_Dados!$S$2:$S$5000,0)),"")</f>
        <v/>
      </c>
      <c r="H77" s="138" t="str">
        <f>IFERROR(INDEX(EQA.CAP_Dados!H$2:H$5000,MATCH(ROW()-4,EQA.CAP_Dados!$S$2:$S$5000,0)),"")</f>
        <v/>
      </c>
      <c r="I77" s="139" t="str">
        <f>IFERROR(INDEX(EQA.CAP_Dados!I$2:I$5000,MATCH(ROW()-4,EQA.CAP_Dados!$S$2:$S$5000,0)),"")</f>
        <v/>
      </c>
      <c r="J77" s="137" t="str">
        <f>IFERROR(INDEX(EQA.CAP_Dados!J$2:J$5000,MATCH(ROW()-4,EQA.CAP_Dados!$S$2:$S$5000,0)),"")</f>
        <v/>
      </c>
      <c r="K77" s="137" t="str">
        <f>IFERROR(INDEX(EQA.CAP_Dados!K$2:K$5000,MATCH(ROW()-4,EQA.CAP_Dados!$S$2:$S$5000,0)),"")</f>
        <v/>
      </c>
      <c r="L77" t="str">
        <f>IFERROR(INDEX(EQA.CAP_Dados!L$2:L$5000,MATCH(ROW()-4,EQA.CAP_Dados!$S$2:$S$5000,0)),"")</f>
        <v/>
      </c>
      <c r="M77" s="126" t="str">
        <f>IFERROR(INDEX(EQA.CAP_Dados!M$2:M$5000,MATCH(ROW()-4,EQA.CAP_Dados!$S$2:$S$5000,0)),"")</f>
        <v/>
      </c>
      <c r="N77" t="str">
        <f>IFERROR(INDEX(EQA.CAP_Dados!N$2:N$5000,MATCH(ROW()-4,EQA.CAP_Dados!$S$2:$S$5000,0)),"")</f>
        <v/>
      </c>
      <c r="O77" s="137" t="str">
        <f>IFERROR(INDEX(EQA.CAP_Dados!O$2:O$5000,MATCH(ROW()-4,EQA.CAP_Dados!$S$2:$S$5000,0)),"")</f>
        <v/>
      </c>
      <c r="P77" s="137" t="str">
        <f>IFERROR(INDEX(EQA.CAP_Dados!P$2:P$5000,MATCH(ROW()-4,EQA.CAP_Dados!$S$2:$S$5000,0)),"")</f>
        <v/>
      </c>
      <c r="Q77" s="126" t="str">
        <f>IFERROR(INDEX(EQA.CAP_Dados!Q$2:Q$5000,MATCH(ROW()-4,EQA.CAP_Dados!$S$2:$S$5000,0)),"")</f>
        <v/>
      </c>
      <c r="R77" t="str">
        <f>IFERROR(INDEX(EQA.CAP_Dados!R$2:R$5000,MATCH(ROW()-4,EQA.CAP_Dados!$S$2:$S$5000,0)),"")</f>
        <v/>
      </c>
    </row>
    <row r="78" spans="1:18" x14ac:dyDescent="0.3">
      <c r="A78" t="str">
        <f>IFERROR(INDEX(EQA.CAP_Dados!A$2:A$5000,MATCH(ROW()-4,EQA.CAP_Dados!$S$2:$S$5000,0)),"")</f>
        <v/>
      </c>
      <c r="B78" t="str">
        <f>IFERROR(INDEX(EQA.CAP_Dados!B$2:B$5000,MATCH(ROW()-4,EQA.CAP_Dados!$S$2:$S$5000,0)),"")</f>
        <v/>
      </c>
      <c r="C78" s="126" t="str">
        <f>IFERROR(INDEX(EQA.CAP_Dados!C$2:C$5000,MATCH(ROW()-4,EQA.CAP_Dados!$S$2:$S$5000,0)),"")</f>
        <v/>
      </c>
      <c r="D78" t="str">
        <f>IFERROR(INDEX(EQA.CAP_Dados!D$2:D$5000,MATCH(ROW()-4,EQA.CAP_Dados!$S$2:$S$5000,0)),"")</f>
        <v/>
      </c>
      <c r="E78" t="str">
        <f>IFERROR(INDEX(EQA.CAP_Dados!E$2:E$5000,MATCH(ROW()-4,EQA.CAP_Dados!$S$2:$S$5000,0)),"")</f>
        <v/>
      </c>
      <c r="F78" s="137" t="str">
        <f>IFERROR(INDEX(EQA.CAP_Dados!F$2:F$5000,MATCH(ROW()-4,EQA.CAP_Dados!$S$2:$S$5000,0)),"")</f>
        <v/>
      </c>
      <c r="G78" s="138" t="str">
        <f>IFERROR(INDEX(EQA.CAP_Dados!G$2:G$5000,MATCH(ROW()-4,EQA.CAP_Dados!$S$2:$S$5000,0)),"")</f>
        <v/>
      </c>
      <c r="H78" s="138" t="str">
        <f>IFERROR(INDEX(EQA.CAP_Dados!H$2:H$5000,MATCH(ROW()-4,EQA.CAP_Dados!$S$2:$S$5000,0)),"")</f>
        <v/>
      </c>
      <c r="I78" s="139" t="str">
        <f>IFERROR(INDEX(EQA.CAP_Dados!I$2:I$5000,MATCH(ROW()-4,EQA.CAP_Dados!$S$2:$S$5000,0)),"")</f>
        <v/>
      </c>
      <c r="J78" s="137" t="str">
        <f>IFERROR(INDEX(EQA.CAP_Dados!J$2:J$5000,MATCH(ROW()-4,EQA.CAP_Dados!$S$2:$S$5000,0)),"")</f>
        <v/>
      </c>
      <c r="K78" s="137" t="str">
        <f>IFERROR(INDEX(EQA.CAP_Dados!K$2:K$5000,MATCH(ROW()-4,EQA.CAP_Dados!$S$2:$S$5000,0)),"")</f>
        <v/>
      </c>
      <c r="L78" t="str">
        <f>IFERROR(INDEX(EQA.CAP_Dados!L$2:L$5000,MATCH(ROW()-4,EQA.CAP_Dados!$S$2:$S$5000,0)),"")</f>
        <v/>
      </c>
      <c r="M78" s="126" t="str">
        <f>IFERROR(INDEX(EQA.CAP_Dados!M$2:M$5000,MATCH(ROW()-4,EQA.CAP_Dados!$S$2:$S$5000,0)),"")</f>
        <v/>
      </c>
      <c r="N78" t="str">
        <f>IFERROR(INDEX(EQA.CAP_Dados!N$2:N$5000,MATCH(ROW()-4,EQA.CAP_Dados!$S$2:$S$5000,0)),"")</f>
        <v/>
      </c>
      <c r="O78" s="137" t="str">
        <f>IFERROR(INDEX(EQA.CAP_Dados!O$2:O$5000,MATCH(ROW()-4,EQA.CAP_Dados!$S$2:$S$5000,0)),"")</f>
        <v/>
      </c>
      <c r="P78" s="137" t="str">
        <f>IFERROR(INDEX(EQA.CAP_Dados!P$2:P$5000,MATCH(ROW()-4,EQA.CAP_Dados!$S$2:$S$5000,0)),"")</f>
        <v/>
      </c>
      <c r="Q78" s="126" t="str">
        <f>IFERROR(INDEX(EQA.CAP_Dados!Q$2:Q$5000,MATCH(ROW()-4,EQA.CAP_Dados!$S$2:$S$5000,0)),"")</f>
        <v/>
      </c>
      <c r="R78" t="str">
        <f>IFERROR(INDEX(EQA.CAP_Dados!R$2:R$5000,MATCH(ROW()-4,EQA.CAP_Dados!$S$2:$S$5000,0)),"")</f>
        <v/>
      </c>
    </row>
    <row r="79" spans="1:18" x14ac:dyDescent="0.3">
      <c r="A79" t="str">
        <f>IFERROR(INDEX(EQA.CAP_Dados!A$2:A$5000,MATCH(ROW()-4,EQA.CAP_Dados!$S$2:$S$5000,0)),"")</f>
        <v/>
      </c>
      <c r="B79" t="str">
        <f>IFERROR(INDEX(EQA.CAP_Dados!B$2:B$5000,MATCH(ROW()-4,EQA.CAP_Dados!$S$2:$S$5000,0)),"")</f>
        <v/>
      </c>
      <c r="C79" s="126" t="str">
        <f>IFERROR(INDEX(EQA.CAP_Dados!C$2:C$5000,MATCH(ROW()-4,EQA.CAP_Dados!$S$2:$S$5000,0)),"")</f>
        <v/>
      </c>
      <c r="D79" t="str">
        <f>IFERROR(INDEX(EQA.CAP_Dados!D$2:D$5000,MATCH(ROW()-4,EQA.CAP_Dados!$S$2:$S$5000,0)),"")</f>
        <v/>
      </c>
      <c r="E79" t="str">
        <f>IFERROR(INDEX(EQA.CAP_Dados!E$2:E$5000,MATCH(ROW()-4,EQA.CAP_Dados!$S$2:$S$5000,0)),"")</f>
        <v/>
      </c>
      <c r="F79" s="137" t="str">
        <f>IFERROR(INDEX(EQA.CAP_Dados!F$2:F$5000,MATCH(ROW()-4,EQA.CAP_Dados!$S$2:$S$5000,0)),"")</f>
        <v/>
      </c>
      <c r="G79" s="138" t="str">
        <f>IFERROR(INDEX(EQA.CAP_Dados!G$2:G$5000,MATCH(ROW()-4,EQA.CAP_Dados!$S$2:$S$5000,0)),"")</f>
        <v/>
      </c>
      <c r="H79" s="138" t="str">
        <f>IFERROR(INDEX(EQA.CAP_Dados!H$2:H$5000,MATCH(ROW()-4,EQA.CAP_Dados!$S$2:$S$5000,0)),"")</f>
        <v/>
      </c>
      <c r="I79" s="139" t="str">
        <f>IFERROR(INDEX(EQA.CAP_Dados!I$2:I$5000,MATCH(ROW()-4,EQA.CAP_Dados!$S$2:$S$5000,0)),"")</f>
        <v/>
      </c>
      <c r="J79" s="137" t="str">
        <f>IFERROR(INDEX(EQA.CAP_Dados!J$2:J$5000,MATCH(ROW()-4,EQA.CAP_Dados!$S$2:$S$5000,0)),"")</f>
        <v/>
      </c>
      <c r="K79" s="137" t="str">
        <f>IFERROR(INDEX(EQA.CAP_Dados!K$2:K$5000,MATCH(ROW()-4,EQA.CAP_Dados!$S$2:$S$5000,0)),"")</f>
        <v/>
      </c>
      <c r="L79" t="str">
        <f>IFERROR(INDEX(EQA.CAP_Dados!L$2:L$5000,MATCH(ROW()-4,EQA.CAP_Dados!$S$2:$S$5000,0)),"")</f>
        <v/>
      </c>
      <c r="M79" s="126" t="str">
        <f>IFERROR(INDEX(EQA.CAP_Dados!M$2:M$5000,MATCH(ROW()-4,EQA.CAP_Dados!$S$2:$S$5000,0)),"")</f>
        <v/>
      </c>
      <c r="N79" t="str">
        <f>IFERROR(INDEX(EQA.CAP_Dados!N$2:N$5000,MATCH(ROW()-4,EQA.CAP_Dados!$S$2:$S$5000,0)),"")</f>
        <v/>
      </c>
      <c r="O79" s="137" t="str">
        <f>IFERROR(INDEX(EQA.CAP_Dados!O$2:O$5000,MATCH(ROW()-4,EQA.CAP_Dados!$S$2:$S$5000,0)),"")</f>
        <v/>
      </c>
      <c r="P79" s="137" t="str">
        <f>IFERROR(INDEX(EQA.CAP_Dados!P$2:P$5000,MATCH(ROW()-4,EQA.CAP_Dados!$S$2:$S$5000,0)),"")</f>
        <v/>
      </c>
      <c r="Q79" s="126" t="str">
        <f>IFERROR(INDEX(EQA.CAP_Dados!Q$2:Q$5000,MATCH(ROW()-4,EQA.CAP_Dados!$S$2:$S$5000,0)),"")</f>
        <v/>
      </c>
      <c r="R79" t="str">
        <f>IFERROR(INDEX(EQA.CAP_Dados!R$2:R$5000,MATCH(ROW()-4,EQA.CAP_Dados!$S$2:$S$5000,0)),"")</f>
        <v/>
      </c>
    </row>
    <row r="80" spans="1:18" x14ac:dyDescent="0.3">
      <c r="A80" t="str">
        <f>IFERROR(INDEX(EQA.CAP_Dados!A$2:A$5000,MATCH(ROW()-4,EQA.CAP_Dados!$S$2:$S$5000,0)),"")</f>
        <v/>
      </c>
      <c r="B80" t="str">
        <f>IFERROR(INDEX(EQA.CAP_Dados!B$2:B$5000,MATCH(ROW()-4,EQA.CAP_Dados!$S$2:$S$5000,0)),"")</f>
        <v/>
      </c>
      <c r="C80" s="126" t="str">
        <f>IFERROR(INDEX(EQA.CAP_Dados!C$2:C$5000,MATCH(ROW()-4,EQA.CAP_Dados!$S$2:$S$5000,0)),"")</f>
        <v/>
      </c>
      <c r="D80" t="str">
        <f>IFERROR(INDEX(EQA.CAP_Dados!D$2:D$5000,MATCH(ROW()-4,EQA.CAP_Dados!$S$2:$S$5000,0)),"")</f>
        <v/>
      </c>
      <c r="E80" t="str">
        <f>IFERROR(INDEX(EQA.CAP_Dados!E$2:E$5000,MATCH(ROW()-4,EQA.CAP_Dados!$S$2:$S$5000,0)),"")</f>
        <v/>
      </c>
      <c r="F80" s="137" t="str">
        <f>IFERROR(INDEX(EQA.CAP_Dados!F$2:F$5000,MATCH(ROW()-4,EQA.CAP_Dados!$S$2:$S$5000,0)),"")</f>
        <v/>
      </c>
      <c r="G80" s="138" t="str">
        <f>IFERROR(INDEX(EQA.CAP_Dados!G$2:G$5000,MATCH(ROW()-4,EQA.CAP_Dados!$S$2:$S$5000,0)),"")</f>
        <v/>
      </c>
      <c r="H80" s="138" t="str">
        <f>IFERROR(INDEX(EQA.CAP_Dados!H$2:H$5000,MATCH(ROW()-4,EQA.CAP_Dados!$S$2:$S$5000,0)),"")</f>
        <v/>
      </c>
      <c r="I80" s="139" t="str">
        <f>IFERROR(INDEX(EQA.CAP_Dados!I$2:I$5000,MATCH(ROW()-4,EQA.CAP_Dados!$S$2:$S$5000,0)),"")</f>
        <v/>
      </c>
      <c r="J80" s="137" t="str">
        <f>IFERROR(INDEX(EQA.CAP_Dados!J$2:J$5000,MATCH(ROW()-4,EQA.CAP_Dados!$S$2:$S$5000,0)),"")</f>
        <v/>
      </c>
      <c r="K80" s="137" t="str">
        <f>IFERROR(INDEX(EQA.CAP_Dados!K$2:K$5000,MATCH(ROW()-4,EQA.CAP_Dados!$S$2:$S$5000,0)),"")</f>
        <v/>
      </c>
      <c r="L80" t="str">
        <f>IFERROR(INDEX(EQA.CAP_Dados!L$2:L$5000,MATCH(ROW()-4,EQA.CAP_Dados!$S$2:$S$5000,0)),"")</f>
        <v/>
      </c>
      <c r="M80" s="126" t="str">
        <f>IFERROR(INDEX(EQA.CAP_Dados!M$2:M$5000,MATCH(ROW()-4,EQA.CAP_Dados!$S$2:$S$5000,0)),"")</f>
        <v/>
      </c>
      <c r="N80" t="str">
        <f>IFERROR(INDEX(EQA.CAP_Dados!N$2:N$5000,MATCH(ROW()-4,EQA.CAP_Dados!$S$2:$S$5000,0)),"")</f>
        <v/>
      </c>
      <c r="O80" s="137" t="str">
        <f>IFERROR(INDEX(EQA.CAP_Dados!O$2:O$5000,MATCH(ROW()-4,EQA.CAP_Dados!$S$2:$S$5000,0)),"")</f>
        <v/>
      </c>
      <c r="P80" s="137" t="str">
        <f>IFERROR(INDEX(EQA.CAP_Dados!P$2:P$5000,MATCH(ROW()-4,EQA.CAP_Dados!$S$2:$S$5000,0)),"")</f>
        <v/>
      </c>
      <c r="Q80" s="126" t="str">
        <f>IFERROR(INDEX(EQA.CAP_Dados!Q$2:Q$5000,MATCH(ROW()-4,EQA.CAP_Dados!$S$2:$S$5000,0)),"")</f>
        <v/>
      </c>
      <c r="R80" t="str">
        <f>IFERROR(INDEX(EQA.CAP_Dados!R$2:R$5000,MATCH(ROW()-4,EQA.CAP_Dados!$S$2:$S$5000,0)),"")</f>
        <v/>
      </c>
    </row>
    <row r="81" spans="1:18" x14ac:dyDescent="0.3">
      <c r="A81" t="str">
        <f>IFERROR(INDEX(EQA.CAP_Dados!A$2:A$5000,MATCH(ROW()-4,EQA.CAP_Dados!$S$2:$S$5000,0)),"")</f>
        <v/>
      </c>
      <c r="B81" t="str">
        <f>IFERROR(INDEX(EQA.CAP_Dados!B$2:B$5000,MATCH(ROW()-4,EQA.CAP_Dados!$S$2:$S$5000,0)),"")</f>
        <v/>
      </c>
      <c r="C81" s="126" t="str">
        <f>IFERROR(INDEX(EQA.CAP_Dados!C$2:C$5000,MATCH(ROW()-4,EQA.CAP_Dados!$S$2:$S$5000,0)),"")</f>
        <v/>
      </c>
      <c r="D81" t="str">
        <f>IFERROR(INDEX(EQA.CAP_Dados!D$2:D$5000,MATCH(ROW()-4,EQA.CAP_Dados!$S$2:$S$5000,0)),"")</f>
        <v/>
      </c>
      <c r="E81" t="str">
        <f>IFERROR(INDEX(EQA.CAP_Dados!E$2:E$5000,MATCH(ROW()-4,EQA.CAP_Dados!$S$2:$S$5000,0)),"")</f>
        <v/>
      </c>
      <c r="F81" s="137" t="str">
        <f>IFERROR(INDEX(EQA.CAP_Dados!F$2:F$5000,MATCH(ROW()-4,EQA.CAP_Dados!$S$2:$S$5000,0)),"")</f>
        <v/>
      </c>
      <c r="G81" s="138" t="str">
        <f>IFERROR(INDEX(EQA.CAP_Dados!G$2:G$5000,MATCH(ROW()-4,EQA.CAP_Dados!$S$2:$S$5000,0)),"")</f>
        <v/>
      </c>
      <c r="H81" s="138" t="str">
        <f>IFERROR(INDEX(EQA.CAP_Dados!H$2:H$5000,MATCH(ROW()-4,EQA.CAP_Dados!$S$2:$S$5000,0)),"")</f>
        <v/>
      </c>
      <c r="I81" s="139" t="str">
        <f>IFERROR(INDEX(EQA.CAP_Dados!I$2:I$5000,MATCH(ROW()-4,EQA.CAP_Dados!$S$2:$S$5000,0)),"")</f>
        <v/>
      </c>
      <c r="J81" s="137" t="str">
        <f>IFERROR(INDEX(EQA.CAP_Dados!J$2:J$5000,MATCH(ROW()-4,EQA.CAP_Dados!$S$2:$S$5000,0)),"")</f>
        <v/>
      </c>
      <c r="K81" s="137" t="str">
        <f>IFERROR(INDEX(EQA.CAP_Dados!K$2:K$5000,MATCH(ROW()-4,EQA.CAP_Dados!$S$2:$S$5000,0)),"")</f>
        <v/>
      </c>
      <c r="L81" t="str">
        <f>IFERROR(INDEX(EQA.CAP_Dados!L$2:L$5000,MATCH(ROW()-4,EQA.CAP_Dados!$S$2:$S$5000,0)),"")</f>
        <v/>
      </c>
      <c r="M81" s="126" t="str">
        <f>IFERROR(INDEX(EQA.CAP_Dados!M$2:M$5000,MATCH(ROW()-4,EQA.CAP_Dados!$S$2:$S$5000,0)),"")</f>
        <v/>
      </c>
      <c r="N81" t="str">
        <f>IFERROR(INDEX(EQA.CAP_Dados!N$2:N$5000,MATCH(ROW()-4,EQA.CAP_Dados!$S$2:$S$5000,0)),"")</f>
        <v/>
      </c>
      <c r="O81" s="137" t="str">
        <f>IFERROR(INDEX(EQA.CAP_Dados!O$2:O$5000,MATCH(ROW()-4,EQA.CAP_Dados!$S$2:$S$5000,0)),"")</f>
        <v/>
      </c>
      <c r="P81" s="137" t="str">
        <f>IFERROR(INDEX(EQA.CAP_Dados!P$2:P$5000,MATCH(ROW()-4,EQA.CAP_Dados!$S$2:$S$5000,0)),"")</f>
        <v/>
      </c>
      <c r="Q81" s="126" t="str">
        <f>IFERROR(INDEX(EQA.CAP_Dados!Q$2:Q$5000,MATCH(ROW()-4,EQA.CAP_Dados!$S$2:$S$5000,0)),"")</f>
        <v/>
      </c>
      <c r="R81" t="str">
        <f>IFERROR(INDEX(EQA.CAP_Dados!R$2:R$5000,MATCH(ROW()-4,EQA.CAP_Dados!$S$2:$S$5000,0)),"")</f>
        <v/>
      </c>
    </row>
    <row r="82" spans="1:18" x14ac:dyDescent="0.3">
      <c r="A82" t="str">
        <f>IFERROR(INDEX(EQA.CAP_Dados!A$2:A$5000,MATCH(ROW()-4,EQA.CAP_Dados!$S$2:$S$5000,0)),"")</f>
        <v/>
      </c>
      <c r="B82" t="str">
        <f>IFERROR(INDEX(EQA.CAP_Dados!B$2:B$5000,MATCH(ROW()-4,EQA.CAP_Dados!$S$2:$S$5000,0)),"")</f>
        <v/>
      </c>
      <c r="C82" s="126" t="str">
        <f>IFERROR(INDEX(EQA.CAP_Dados!C$2:C$5000,MATCH(ROW()-4,EQA.CAP_Dados!$S$2:$S$5000,0)),"")</f>
        <v/>
      </c>
      <c r="D82" t="str">
        <f>IFERROR(INDEX(EQA.CAP_Dados!D$2:D$5000,MATCH(ROW()-4,EQA.CAP_Dados!$S$2:$S$5000,0)),"")</f>
        <v/>
      </c>
      <c r="E82" t="str">
        <f>IFERROR(INDEX(EQA.CAP_Dados!E$2:E$5000,MATCH(ROW()-4,EQA.CAP_Dados!$S$2:$S$5000,0)),"")</f>
        <v/>
      </c>
      <c r="F82" s="137" t="str">
        <f>IFERROR(INDEX(EQA.CAP_Dados!F$2:F$5000,MATCH(ROW()-4,EQA.CAP_Dados!$S$2:$S$5000,0)),"")</f>
        <v/>
      </c>
      <c r="G82" s="138" t="str">
        <f>IFERROR(INDEX(EQA.CAP_Dados!G$2:G$5000,MATCH(ROW()-4,EQA.CAP_Dados!$S$2:$S$5000,0)),"")</f>
        <v/>
      </c>
      <c r="H82" s="138" t="str">
        <f>IFERROR(INDEX(EQA.CAP_Dados!H$2:H$5000,MATCH(ROW()-4,EQA.CAP_Dados!$S$2:$S$5000,0)),"")</f>
        <v/>
      </c>
      <c r="I82" s="139" t="str">
        <f>IFERROR(INDEX(EQA.CAP_Dados!I$2:I$5000,MATCH(ROW()-4,EQA.CAP_Dados!$S$2:$S$5000,0)),"")</f>
        <v/>
      </c>
      <c r="J82" s="137" t="str">
        <f>IFERROR(INDEX(EQA.CAP_Dados!J$2:J$5000,MATCH(ROW()-4,EQA.CAP_Dados!$S$2:$S$5000,0)),"")</f>
        <v/>
      </c>
      <c r="K82" s="137" t="str">
        <f>IFERROR(INDEX(EQA.CAP_Dados!K$2:K$5000,MATCH(ROW()-4,EQA.CAP_Dados!$S$2:$S$5000,0)),"")</f>
        <v/>
      </c>
      <c r="L82" t="str">
        <f>IFERROR(INDEX(EQA.CAP_Dados!L$2:L$5000,MATCH(ROW()-4,EQA.CAP_Dados!$S$2:$S$5000,0)),"")</f>
        <v/>
      </c>
      <c r="M82" s="126" t="str">
        <f>IFERROR(INDEX(EQA.CAP_Dados!M$2:M$5000,MATCH(ROW()-4,EQA.CAP_Dados!$S$2:$S$5000,0)),"")</f>
        <v/>
      </c>
      <c r="N82" t="str">
        <f>IFERROR(INDEX(EQA.CAP_Dados!N$2:N$5000,MATCH(ROW()-4,EQA.CAP_Dados!$S$2:$S$5000,0)),"")</f>
        <v/>
      </c>
      <c r="O82" s="137" t="str">
        <f>IFERROR(INDEX(EQA.CAP_Dados!O$2:O$5000,MATCH(ROW()-4,EQA.CAP_Dados!$S$2:$S$5000,0)),"")</f>
        <v/>
      </c>
      <c r="P82" s="137" t="str">
        <f>IFERROR(INDEX(EQA.CAP_Dados!P$2:P$5000,MATCH(ROW()-4,EQA.CAP_Dados!$S$2:$S$5000,0)),"")</f>
        <v/>
      </c>
      <c r="Q82" s="126" t="str">
        <f>IFERROR(INDEX(EQA.CAP_Dados!Q$2:Q$5000,MATCH(ROW()-4,EQA.CAP_Dados!$S$2:$S$5000,0)),"")</f>
        <v/>
      </c>
      <c r="R82" t="str">
        <f>IFERROR(INDEX(EQA.CAP_Dados!R$2:R$5000,MATCH(ROW()-4,EQA.CAP_Dados!$S$2:$S$5000,0)),"")</f>
        <v/>
      </c>
    </row>
    <row r="83" spans="1:18" x14ac:dyDescent="0.3">
      <c r="A83" t="str">
        <f>IFERROR(INDEX(EQA.CAP_Dados!A$2:A$5000,MATCH(ROW()-4,EQA.CAP_Dados!$S$2:$S$5000,0)),"")</f>
        <v/>
      </c>
      <c r="B83" t="str">
        <f>IFERROR(INDEX(EQA.CAP_Dados!B$2:B$5000,MATCH(ROW()-4,EQA.CAP_Dados!$S$2:$S$5000,0)),"")</f>
        <v/>
      </c>
      <c r="C83" s="126" t="str">
        <f>IFERROR(INDEX(EQA.CAP_Dados!C$2:C$5000,MATCH(ROW()-4,EQA.CAP_Dados!$S$2:$S$5000,0)),"")</f>
        <v/>
      </c>
      <c r="D83" t="str">
        <f>IFERROR(INDEX(EQA.CAP_Dados!D$2:D$5000,MATCH(ROW()-4,EQA.CAP_Dados!$S$2:$S$5000,0)),"")</f>
        <v/>
      </c>
      <c r="E83" t="str">
        <f>IFERROR(INDEX(EQA.CAP_Dados!E$2:E$5000,MATCH(ROW()-4,EQA.CAP_Dados!$S$2:$S$5000,0)),"")</f>
        <v/>
      </c>
      <c r="F83" s="137" t="str">
        <f>IFERROR(INDEX(EQA.CAP_Dados!F$2:F$5000,MATCH(ROW()-4,EQA.CAP_Dados!$S$2:$S$5000,0)),"")</f>
        <v/>
      </c>
      <c r="G83" s="138" t="str">
        <f>IFERROR(INDEX(EQA.CAP_Dados!G$2:G$5000,MATCH(ROW()-4,EQA.CAP_Dados!$S$2:$S$5000,0)),"")</f>
        <v/>
      </c>
      <c r="H83" s="138" t="str">
        <f>IFERROR(INDEX(EQA.CAP_Dados!H$2:H$5000,MATCH(ROW()-4,EQA.CAP_Dados!$S$2:$S$5000,0)),"")</f>
        <v/>
      </c>
      <c r="I83" s="139" t="str">
        <f>IFERROR(INDEX(EQA.CAP_Dados!I$2:I$5000,MATCH(ROW()-4,EQA.CAP_Dados!$S$2:$S$5000,0)),"")</f>
        <v/>
      </c>
      <c r="J83" s="137" t="str">
        <f>IFERROR(INDEX(EQA.CAP_Dados!J$2:J$5000,MATCH(ROW()-4,EQA.CAP_Dados!$S$2:$S$5000,0)),"")</f>
        <v/>
      </c>
      <c r="K83" s="137" t="str">
        <f>IFERROR(INDEX(EQA.CAP_Dados!K$2:K$5000,MATCH(ROW()-4,EQA.CAP_Dados!$S$2:$S$5000,0)),"")</f>
        <v/>
      </c>
      <c r="L83" t="str">
        <f>IFERROR(INDEX(EQA.CAP_Dados!L$2:L$5000,MATCH(ROW()-4,EQA.CAP_Dados!$S$2:$S$5000,0)),"")</f>
        <v/>
      </c>
      <c r="M83" s="126" t="str">
        <f>IFERROR(INDEX(EQA.CAP_Dados!M$2:M$5000,MATCH(ROW()-4,EQA.CAP_Dados!$S$2:$S$5000,0)),"")</f>
        <v/>
      </c>
      <c r="N83" t="str">
        <f>IFERROR(INDEX(EQA.CAP_Dados!N$2:N$5000,MATCH(ROW()-4,EQA.CAP_Dados!$S$2:$S$5000,0)),"")</f>
        <v/>
      </c>
      <c r="O83" s="137" t="str">
        <f>IFERROR(INDEX(EQA.CAP_Dados!O$2:O$5000,MATCH(ROW()-4,EQA.CAP_Dados!$S$2:$S$5000,0)),"")</f>
        <v/>
      </c>
      <c r="P83" s="137" t="str">
        <f>IFERROR(INDEX(EQA.CAP_Dados!P$2:P$5000,MATCH(ROW()-4,EQA.CAP_Dados!$S$2:$S$5000,0)),"")</f>
        <v/>
      </c>
      <c r="Q83" s="126" t="str">
        <f>IFERROR(INDEX(EQA.CAP_Dados!Q$2:Q$5000,MATCH(ROW()-4,EQA.CAP_Dados!$S$2:$S$5000,0)),"")</f>
        <v/>
      </c>
      <c r="R83" t="str">
        <f>IFERROR(INDEX(EQA.CAP_Dados!R$2:R$5000,MATCH(ROW()-4,EQA.CAP_Dados!$S$2:$S$5000,0)),"")</f>
        <v/>
      </c>
    </row>
    <row r="84" spans="1:18" x14ac:dyDescent="0.3">
      <c r="A84" t="str">
        <f>IFERROR(INDEX(EQA.CAP_Dados!A$2:A$5000,MATCH(ROW()-4,EQA.CAP_Dados!$S$2:$S$5000,0)),"")</f>
        <v/>
      </c>
      <c r="B84" t="str">
        <f>IFERROR(INDEX(EQA.CAP_Dados!B$2:B$5000,MATCH(ROW()-4,EQA.CAP_Dados!$S$2:$S$5000,0)),"")</f>
        <v/>
      </c>
      <c r="C84" s="126" t="str">
        <f>IFERROR(INDEX(EQA.CAP_Dados!C$2:C$5000,MATCH(ROW()-4,EQA.CAP_Dados!$S$2:$S$5000,0)),"")</f>
        <v/>
      </c>
      <c r="D84" t="str">
        <f>IFERROR(INDEX(EQA.CAP_Dados!D$2:D$5000,MATCH(ROW()-4,EQA.CAP_Dados!$S$2:$S$5000,0)),"")</f>
        <v/>
      </c>
      <c r="E84" t="str">
        <f>IFERROR(INDEX(EQA.CAP_Dados!E$2:E$5000,MATCH(ROW()-4,EQA.CAP_Dados!$S$2:$S$5000,0)),"")</f>
        <v/>
      </c>
      <c r="F84" s="137" t="str">
        <f>IFERROR(INDEX(EQA.CAP_Dados!F$2:F$5000,MATCH(ROW()-4,EQA.CAP_Dados!$S$2:$S$5000,0)),"")</f>
        <v/>
      </c>
      <c r="G84" s="138" t="str">
        <f>IFERROR(INDEX(EQA.CAP_Dados!G$2:G$5000,MATCH(ROW()-4,EQA.CAP_Dados!$S$2:$S$5000,0)),"")</f>
        <v/>
      </c>
      <c r="H84" s="138" t="str">
        <f>IFERROR(INDEX(EQA.CAP_Dados!H$2:H$5000,MATCH(ROW()-4,EQA.CAP_Dados!$S$2:$S$5000,0)),"")</f>
        <v/>
      </c>
      <c r="I84" s="139" t="str">
        <f>IFERROR(INDEX(EQA.CAP_Dados!I$2:I$5000,MATCH(ROW()-4,EQA.CAP_Dados!$S$2:$S$5000,0)),"")</f>
        <v/>
      </c>
      <c r="J84" s="137" t="str">
        <f>IFERROR(INDEX(EQA.CAP_Dados!J$2:J$5000,MATCH(ROW()-4,EQA.CAP_Dados!$S$2:$S$5000,0)),"")</f>
        <v/>
      </c>
      <c r="K84" s="137" t="str">
        <f>IFERROR(INDEX(EQA.CAP_Dados!K$2:K$5000,MATCH(ROW()-4,EQA.CAP_Dados!$S$2:$S$5000,0)),"")</f>
        <v/>
      </c>
      <c r="L84" t="str">
        <f>IFERROR(INDEX(EQA.CAP_Dados!L$2:L$5000,MATCH(ROW()-4,EQA.CAP_Dados!$S$2:$S$5000,0)),"")</f>
        <v/>
      </c>
      <c r="M84" s="126" t="str">
        <f>IFERROR(INDEX(EQA.CAP_Dados!M$2:M$5000,MATCH(ROW()-4,EQA.CAP_Dados!$S$2:$S$5000,0)),"")</f>
        <v/>
      </c>
      <c r="N84" t="str">
        <f>IFERROR(INDEX(EQA.CAP_Dados!N$2:N$5000,MATCH(ROW()-4,EQA.CAP_Dados!$S$2:$S$5000,0)),"")</f>
        <v/>
      </c>
      <c r="O84" s="137" t="str">
        <f>IFERROR(INDEX(EQA.CAP_Dados!O$2:O$5000,MATCH(ROW()-4,EQA.CAP_Dados!$S$2:$S$5000,0)),"")</f>
        <v/>
      </c>
      <c r="P84" s="137" t="str">
        <f>IFERROR(INDEX(EQA.CAP_Dados!P$2:P$5000,MATCH(ROW()-4,EQA.CAP_Dados!$S$2:$S$5000,0)),"")</f>
        <v/>
      </c>
      <c r="Q84" s="126" t="str">
        <f>IFERROR(INDEX(EQA.CAP_Dados!Q$2:Q$5000,MATCH(ROW()-4,EQA.CAP_Dados!$S$2:$S$5000,0)),"")</f>
        <v/>
      </c>
      <c r="R84" t="str">
        <f>IFERROR(INDEX(EQA.CAP_Dados!R$2:R$5000,MATCH(ROW()-4,EQA.CAP_Dados!$S$2:$S$5000,0)),"")</f>
        <v/>
      </c>
    </row>
    <row r="85" spans="1:18" x14ac:dyDescent="0.3">
      <c r="A85" t="str">
        <f>IFERROR(INDEX(EQA.CAP_Dados!A$2:A$5000,MATCH(ROW()-4,EQA.CAP_Dados!$S$2:$S$5000,0)),"")</f>
        <v/>
      </c>
      <c r="B85" t="str">
        <f>IFERROR(INDEX(EQA.CAP_Dados!B$2:B$5000,MATCH(ROW()-4,EQA.CAP_Dados!$S$2:$S$5000,0)),"")</f>
        <v/>
      </c>
      <c r="C85" s="126" t="str">
        <f>IFERROR(INDEX(EQA.CAP_Dados!C$2:C$5000,MATCH(ROW()-4,EQA.CAP_Dados!$S$2:$S$5000,0)),"")</f>
        <v/>
      </c>
      <c r="D85" t="str">
        <f>IFERROR(INDEX(EQA.CAP_Dados!D$2:D$5000,MATCH(ROW()-4,EQA.CAP_Dados!$S$2:$S$5000,0)),"")</f>
        <v/>
      </c>
      <c r="E85" t="str">
        <f>IFERROR(INDEX(EQA.CAP_Dados!E$2:E$5000,MATCH(ROW()-4,EQA.CAP_Dados!$S$2:$S$5000,0)),"")</f>
        <v/>
      </c>
      <c r="F85" s="137" t="str">
        <f>IFERROR(INDEX(EQA.CAP_Dados!F$2:F$5000,MATCH(ROW()-4,EQA.CAP_Dados!$S$2:$S$5000,0)),"")</f>
        <v/>
      </c>
      <c r="G85" s="138" t="str">
        <f>IFERROR(INDEX(EQA.CAP_Dados!G$2:G$5000,MATCH(ROW()-4,EQA.CAP_Dados!$S$2:$S$5000,0)),"")</f>
        <v/>
      </c>
      <c r="H85" s="138" t="str">
        <f>IFERROR(INDEX(EQA.CAP_Dados!H$2:H$5000,MATCH(ROW()-4,EQA.CAP_Dados!$S$2:$S$5000,0)),"")</f>
        <v/>
      </c>
      <c r="I85" s="139" t="str">
        <f>IFERROR(INDEX(EQA.CAP_Dados!I$2:I$5000,MATCH(ROW()-4,EQA.CAP_Dados!$S$2:$S$5000,0)),"")</f>
        <v/>
      </c>
      <c r="J85" s="137" t="str">
        <f>IFERROR(INDEX(EQA.CAP_Dados!J$2:J$5000,MATCH(ROW()-4,EQA.CAP_Dados!$S$2:$S$5000,0)),"")</f>
        <v/>
      </c>
      <c r="K85" s="137" t="str">
        <f>IFERROR(INDEX(EQA.CAP_Dados!K$2:K$5000,MATCH(ROW()-4,EQA.CAP_Dados!$S$2:$S$5000,0)),"")</f>
        <v/>
      </c>
      <c r="L85" t="str">
        <f>IFERROR(INDEX(EQA.CAP_Dados!L$2:L$5000,MATCH(ROW()-4,EQA.CAP_Dados!$S$2:$S$5000,0)),"")</f>
        <v/>
      </c>
      <c r="M85" s="126" t="str">
        <f>IFERROR(INDEX(EQA.CAP_Dados!M$2:M$5000,MATCH(ROW()-4,EQA.CAP_Dados!$S$2:$S$5000,0)),"")</f>
        <v/>
      </c>
      <c r="N85" t="str">
        <f>IFERROR(INDEX(EQA.CAP_Dados!N$2:N$5000,MATCH(ROW()-4,EQA.CAP_Dados!$S$2:$S$5000,0)),"")</f>
        <v/>
      </c>
      <c r="O85" s="137" t="str">
        <f>IFERROR(INDEX(EQA.CAP_Dados!O$2:O$5000,MATCH(ROW()-4,EQA.CAP_Dados!$S$2:$S$5000,0)),"")</f>
        <v/>
      </c>
      <c r="P85" s="137" t="str">
        <f>IFERROR(INDEX(EQA.CAP_Dados!P$2:P$5000,MATCH(ROW()-4,EQA.CAP_Dados!$S$2:$S$5000,0)),"")</f>
        <v/>
      </c>
      <c r="Q85" s="126" t="str">
        <f>IFERROR(INDEX(EQA.CAP_Dados!Q$2:Q$5000,MATCH(ROW()-4,EQA.CAP_Dados!$S$2:$S$5000,0)),"")</f>
        <v/>
      </c>
      <c r="R85" t="str">
        <f>IFERROR(INDEX(EQA.CAP_Dados!R$2:R$5000,MATCH(ROW()-4,EQA.CAP_Dados!$S$2:$S$5000,0)),"")</f>
        <v/>
      </c>
    </row>
    <row r="86" spans="1:18" x14ac:dyDescent="0.3">
      <c r="A86" t="str">
        <f>IFERROR(INDEX(EQA.CAP_Dados!A$2:A$5000,MATCH(ROW()-4,EQA.CAP_Dados!$S$2:$S$5000,0)),"")</f>
        <v/>
      </c>
      <c r="B86" t="str">
        <f>IFERROR(INDEX(EQA.CAP_Dados!B$2:B$5000,MATCH(ROW()-4,EQA.CAP_Dados!$S$2:$S$5000,0)),"")</f>
        <v/>
      </c>
      <c r="C86" s="126" t="str">
        <f>IFERROR(INDEX(EQA.CAP_Dados!C$2:C$5000,MATCH(ROW()-4,EQA.CAP_Dados!$S$2:$S$5000,0)),"")</f>
        <v/>
      </c>
      <c r="D86" t="str">
        <f>IFERROR(INDEX(EQA.CAP_Dados!D$2:D$5000,MATCH(ROW()-4,EQA.CAP_Dados!$S$2:$S$5000,0)),"")</f>
        <v/>
      </c>
      <c r="E86" t="str">
        <f>IFERROR(INDEX(EQA.CAP_Dados!E$2:E$5000,MATCH(ROW()-4,EQA.CAP_Dados!$S$2:$S$5000,0)),"")</f>
        <v/>
      </c>
      <c r="F86" s="137" t="str">
        <f>IFERROR(INDEX(EQA.CAP_Dados!F$2:F$5000,MATCH(ROW()-4,EQA.CAP_Dados!$S$2:$S$5000,0)),"")</f>
        <v/>
      </c>
      <c r="G86" s="138" t="str">
        <f>IFERROR(INDEX(EQA.CAP_Dados!G$2:G$5000,MATCH(ROW()-4,EQA.CAP_Dados!$S$2:$S$5000,0)),"")</f>
        <v/>
      </c>
      <c r="H86" s="138" t="str">
        <f>IFERROR(INDEX(EQA.CAP_Dados!H$2:H$5000,MATCH(ROW()-4,EQA.CAP_Dados!$S$2:$S$5000,0)),"")</f>
        <v/>
      </c>
      <c r="I86" s="139" t="str">
        <f>IFERROR(INDEX(EQA.CAP_Dados!I$2:I$5000,MATCH(ROW()-4,EQA.CAP_Dados!$S$2:$S$5000,0)),"")</f>
        <v/>
      </c>
      <c r="J86" s="137" t="str">
        <f>IFERROR(INDEX(EQA.CAP_Dados!J$2:J$5000,MATCH(ROW()-4,EQA.CAP_Dados!$S$2:$S$5000,0)),"")</f>
        <v/>
      </c>
      <c r="K86" s="137" t="str">
        <f>IFERROR(INDEX(EQA.CAP_Dados!K$2:K$5000,MATCH(ROW()-4,EQA.CAP_Dados!$S$2:$S$5000,0)),"")</f>
        <v/>
      </c>
      <c r="L86" t="str">
        <f>IFERROR(INDEX(EQA.CAP_Dados!L$2:L$5000,MATCH(ROW()-4,EQA.CAP_Dados!$S$2:$S$5000,0)),"")</f>
        <v/>
      </c>
      <c r="M86" s="126" t="str">
        <f>IFERROR(INDEX(EQA.CAP_Dados!M$2:M$5000,MATCH(ROW()-4,EQA.CAP_Dados!$S$2:$S$5000,0)),"")</f>
        <v/>
      </c>
      <c r="N86" t="str">
        <f>IFERROR(INDEX(EQA.CAP_Dados!N$2:N$5000,MATCH(ROW()-4,EQA.CAP_Dados!$S$2:$S$5000,0)),"")</f>
        <v/>
      </c>
      <c r="O86" s="137" t="str">
        <f>IFERROR(INDEX(EQA.CAP_Dados!O$2:O$5000,MATCH(ROW()-4,EQA.CAP_Dados!$S$2:$S$5000,0)),"")</f>
        <v/>
      </c>
      <c r="P86" s="137" t="str">
        <f>IFERROR(INDEX(EQA.CAP_Dados!P$2:P$5000,MATCH(ROW()-4,EQA.CAP_Dados!$S$2:$S$5000,0)),"")</f>
        <v/>
      </c>
      <c r="Q86" s="126" t="str">
        <f>IFERROR(INDEX(EQA.CAP_Dados!Q$2:Q$5000,MATCH(ROW()-4,EQA.CAP_Dados!$S$2:$S$5000,0)),"")</f>
        <v/>
      </c>
      <c r="R86" t="str">
        <f>IFERROR(INDEX(EQA.CAP_Dados!R$2:R$5000,MATCH(ROW()-4,EQA.CAP_Dados!$S$2:$S$5000,0)),"")</f>
        <v/>
      </c>
    </row>
    <row r="87" spans="1:18" x14ac:dyDescent="0.3">
      <c r="A87" t="str">
        <f>IFERROR(INDEX(EQA.CAP_Dados!A$2:A$5000,MATCH(ROW()-4,EQA.CAP_Dados!$S$2:$S$5000,0)),"")</f>
        <v/>
      </c>
      <c r="B87" t="str">
        <f>IFERROR(INDEX(EQA.CAP_Dados!B$2:B$5000,MATCH(ROW()-4,EQA.CAP_Dados!$S$2:$S$5000,0)),"")</f>
        <v/>
      </c>
      <c r="C87" s="126" t="str">
        <f>IFERROR(INDEX(EQA.CAP_Dados!C$2:C$5000,MATCH(ROW()-4,EQA.CAP_Dados!$S$2:$S$5000,0)),"")</f>
        <v/>
      </c>
      <c r="D87" t="str">
        <f>IFERROR(INDEX(EQA.CAP_Dados!D$2:D$5000,MATCH(ROW()-4,EQA.CAP_Dados!$S$2:$S$5000,0)),"")</f>
        <v/>
      </c>
      <c r="E87" t="str">
        <f>IFERROR(INDEX(EQA.CAP_Dados!E$2:E$5000,MATCH(ROW()-4,EQA.CAP_Dados!$S$2:$S$5000,0)),"")</f>
        <v/>
      </c>
      <c r="F87" s="137" t="str">
        <f>IFERROR(INDEX(EQA.CAP_Dados!F$2:F$5000,MATCH(ROW()-4,EQA.CAP_Dados!$S$2:$S$5000,0)),"")</f>
        <v/>
      </c>
      <c r="G87" s="138" t="str">
        <f>IFERROR(INDEX(EQA.CAP_Dados!G$2:G$5000,MATCH(ROW()-4,EQA.CAP_Dados!$S$2:$S$5000,0)),"")</f>
        <v/>
      </c>
      <c r="H87" s="138" t="str">
        <f>IFERROR(INDEX(EQA.CAP_Dados!H$2:H$5000,MATCH(ROW()-4,EQA.CAP_Dados!$S$2:$S$5000,0)),"")</f>
        <v/>
      </c>
      <c r="I87" s="139" t="str">
        <f>IFERROR(INDEX(EQA.CAP_Dados!I$2:I$5000,MATCH(ROW()-4,EQA.CAP_Dados!$S$2:$S$5000,0)),"")</f>
        <v/>
      </c>
      <c r="J87" s="137" t="str">
        <f>IFERROR(INDEX(EQA.CAP_Dados!J$2:J$5000,MATCH(ROW()-4,EQA.CAP_Dados!$S$2:$S$5000,0)),"")</f>
        <v/>
      </c>
      <c r="K87" s="137" t="str">
        <f>IFERROR(INDEX(EQA.CAP_Dados!K$2:K$5000,MATCH(ROW()-4,EQA.CAP_Dados!$S$2:$S$5000,0)),"")</f>
        <v/>
      </c>
      <c r="L87" t="str">
        <f>IFERROR(INDEX(EQA.CAP_Dados!L$2:L$5000,MATCH(ROW()-4,EQA.CAP_Dados!$S$2:$S$5000,0)),"")</f>
        <v/>
      </c>
      <c r="M87" s="126" t="str">
        <f>IFERROR(INDEX(EQA.CAP_Dados!M$2:M$5000,MATCH(ROW()-4,EQA.CAP_Dados!$S$2:$S$5000,0)),"")</f>
        <v/>
      </c>
      <c r="N87" t="str">
        <f>IFERROR(INDEX(EQA.CAP_Dados!N$2:N$5000,MATCH(ROW()-4,EQA.CAP_Dados!$S$2:$S$5000,0)),"")</f>
        <v/>
      </c>
      <c r="O87" s="137" t="str">
        <f>IFERROR(INDEX(EQA.CAP_Dados!O$2:O$5000,MATCH(ROW()-4,EQA.CAP_Dados!$S$2:$S$5000,0)),"")</f>
        <v/>
      </c>
      <c r="P87" s="137" t="str">
        <f>IFERROR(INDEX(EQA.CAP_Dados!P$2:P$5000,MATCH(ROW()-4,EQA.CAP_Dados!$S$2:$S$5000,0)),"")</f>
        <v/>
      </c>
      <c r="Q87" s="126" t="str">
        <f>IFERROR(INDEX(EQA.CAP_Dados!Q$2:Q$5000,MATCH(ROW()-4,EQA.CAP_Dados!$S$2:$S$5000,0)),"")</f>
        <v/>
      </c>
      <c r="R87" t="str">
        <f>IFERROR(INDEX(EQA.CAP_Dados!R$2:R$5000,MATCH(ROW()-4,EQA.CAP_Dados!$S$2:$S$5000,0)),"")</f>
        <v/>
      </c>
    </row>
    <row r="88" spans="1:18" x14ac:dyDescent="0.3">
      <c r="A88" t="str">
        <f>IFERROR(INDEX(EQA.CAP_Dados!A$2:A$5000,MATCH(ROW()-4,EQA.CAP_Dados!$S$2:$S$5000,0)),"")</f>
        <v/>
      </c>
      <c r="B88" t="str">
        <f>IFERROR(INDEX(EQA.CAP_Dados!B$2:B$5000,MATCH(ROW()-4,EQA.CAP_Dados!$S$2:$S$5000,0)),"")</f>
        <v/>
      </c>
      <c r="C88" s="126" t="str">
        <f>IFERROR(INDEX(EQA.CAP_Dados!C$2:C$5000,MATCH(ROW()-4,EQA.CAP_Dados!$S$2:$S$5000,0)),"")</f>
        <v/>
      </c>
      <c r="D88" t="str">
        <f>IFERROR(INDEX(EQA.CAP_Dados!D$2:D$5000,MATCH(ROW()-4,EQA.CAP_Dados!$S$2:$S$5000,0)),"")</f>
        <v/>
      </c>
      <c r="E88" t="str">
        <f>IFERROR(INDEX(EQA.CAP_Dados!E$2:E$5000,MATCH(ROW()-4,EQA.CAP_Dados!$S$2:$S$5000,0)),"")</f>
        <v/>
      </c>
      <c r="F88" s="137" t="str">
        <f>IFERROR(INDEX(EQA.CAP_Dados!F$2:F$5000,MATCH(ROW()-4,EQA.CAP_Dados!$S$2:$S$5000,0)),"")</f>
        <v/>
      </c>
      <c r="G88" s="138" t="str">
        <f>IFERROR(INDEX(EQA.CAP_Dados!G$2:G$5000,MATCH(ROW()-4,EQA.CAP_Dados!$S$2:$S$5000,0)),"")</f>
        <v/>
      </c>
      <c r="H88" s="138" t="str">
        <f>IFERROR(INDEX(EQA.CAP_Dados!H$2:H$5000,MATCH(ROW()-4,EQA.CAP_Dados!$S$2:$S$5000,0)),"")</f>
        <v/>
      </c>
      <c r="I88" s="139" t="str">
        <f>IFERROR(INDEX(EQA.CAP_Dados!I$2:I$5000,MATCH(ROW()-4,EQA.CAP_Dados!$S$2:$S$5000,0)),"")</f>
        <v/>
      </c>
      <c r="J88" s="137" t="str">
        <f>IFERROR(INDEX(EQA.CAP_Dados!J$2:J$5000,MATCH(ROW()-4,EQA.CAP_Dados!$S$2:$S$5000,0)),"")</f>
        <v/>
      </c>
      <c r="K88" s="137" t="str">
        <f>IFERROR(INDEX(EQA.CAP_Dados!K$2:K$5000,MATCH(ROW()-4,EQA.CAP_Dados!$S$2:$S$5000,0)),"")</f>
        <v/>
      </c>
      <c r="L88" t="str">
        <f>IFERROR(INDEX(EQA.CAP_Dados!L$2:L$5000,MATCH(ROW()-4,EQA.CAP_Dados!$S$2:$S$5000,0)),"")</f>
        <v/>
      </c>
      <c r="M88" s="126" t="str">
        <f>IFERROR(INDEX(EQA.CAP_Dados!M$2:M$5000,MATCH(ROW()-4,EQA.CAP_Dados!$S$2:$S$5000,0)),"")</f>
        <v/>
      </c>
      <c r="N88" t="str">
        <f>IFERROR(INDEX(EQA.CAP_Dados!N$2:N$5000,MATCH(ROW()-4,EQA.CAP_Dados!$S$2:$S$5000,0)),"")</f>
        <v/>
      </c>
      <c r="O88" s="137" t="str">
        <f>IFERROR(INDEX(EQA.CAP_Dados!O$2:O$5000,MATCH(ROW()-4,EQA.CAP_Dados!$S$2:$S$5000,0)),"")</f>
        <v/>
      </c>
      <c r="P88" s="137" t="str">
        <f>IFERROR(INDEX(EQA.CAP_Dados!P$2:P$5000,MATCH(ROW()-4,EQA.CAP_Dados!$S$2:$S$5000,0)),"")</f>
        <v/>
      </c>
      <c r="Q88" s="126" t="str">
        <f>IFERROR(INDEX(EQA.CAP_Dados!Q$2:Q$5000,MATCH(ROW()-4,EQA.CAP_Dados!$S$2:$S$5000,0)),"")</f>
        <v/>
      </c>
      <c r="R88" t="str">
        <f>IFERROR(INDEX(EQA.CAP_Dados!R$2:R$5000,MATCH(ROW()-4,EQA.CAP_Dados!$S$2:$S$5000,0)),"")</f>
        <v/>
      </c>
    </row>
    <row r="89" spans="1:18" x14ac:dyDescent="0.3">
      <c r="A89" t="str">
        <f>IFERROR(INDEX(EQA.CAP_Dados!A$2:A$5000,MATCH(ROW()-4,EQA.CAP_Dados!$S$2:$S$5000,0)),"")</f>
        <v/>
      </c>
      <c r="B89" t="str">
        <f>IFERROR(INDEX(EQA.CAP_Dados!B$2:B$5000,MATCH(ROW()-4,EQA.CAP_Dados!$S$2:$S$5000,0)),"")</f>
        <v/>
      </c>
      <c r="C89" s="126" t="str">
        <f>IFERROR(INDEX(EQA.CAP_Dados!C$2:C$5000,MATCH(ROW()-4,EQA.CAP_Dados!$S$2:$S$5000,0)),"")</f>
        <v/>
      </c>
      <c r="D89" t="str">
        <f>IFERROR(INDEX(EQA.CAP_Dados!D$2:D$5000,MATCH(ROW()-4,EQA.CAP_Dados!$S$2:$S$5000,0)),"")</f>
        <v/>
      </c>
      <c r="E89" t="str">
        <f>IFERROR(INDEX(EQA.CAP_Dados!E$2:E$5000,MATCH(ROW()-4,EQA.CAP_Dados!$S$2:$S$5000,0)),"")</f>
        <v/>
      </c>
      <c r="F89" s="137" t="str">
        <f>IFERROR(INDEX(EQA.CAP_Dados!F$2:F$5000,MATCH(ROW()-4,EQA.CAP_Dados!$S$2:$S$5000,0)),"")</f>
        <v/>
      </c>
      <c r="G89" s="138" t="str">
        <f>IFERROR(INDEX(EQA.CAP_Dados!G$2:G$5000,MATCH(ROW()-4,EQA.CAP_Dados!$S$2:$S$5000,0)),"")</f>
        <v/>
      </c>
      <c r="H89" s="138" t="str">
        <f>IFERROR(INDEX(EQA.CAP_Dados!H$2:H$5000,MATCH(ROW()-4,EQA.CAP_Dados!$S$2:$S$5000,0)),"")</f>
        <v/>
      </c>
      <c r="I89" s="139" t="str">
        <f>IFERROR(INDEX(EQA.CAP_Dados!I$2:I$5000,MATCH(ROW()-4,EQA.CAP_Dados!$S$2:$S$5000,0)),"")</f>
        <v/>
      </c>
      <c r="J89" s="137" t="str">
        <f>IFERROR(INDEX(EQA.CAP_Dados!J$2:J$5000,MATCH(ROW()-4,EQA.CAP_Dados!$S$2:$S$5000,0)),"")</f>
        <v/>
      </c>
      <c r="K89" s="137" t="str">
        <f>IFERROR(INDEX(EQA.CAP_Dados!K$2:K$5000,MATCH(ROW()-4,EQA.CAP_Dados!$S$2:$S$5000,0)),"")</f>
        <v/>
      </c>
      <c r="L89" t="str">
        <f>IFERROR(INDEX(EQA.CAP_Dados!L$2:L$5000,MATCH(ROW()-4,EQA.CAP_Dados!$S$2:$S$5000,0)),"")</f>
        <v/>
      </c>
      <c r="M89" s="126" t="str">
        <f>IFERROR(INDEX(EQA.CAP_Dados!M$2:M$5000,MATCH(ROW()-4,EQA.CAP_Dados!$S$2:$S$5000,0)),"")</f>
        <v/>
      </c>
      <c r="N89" t="str">
        <f>IFERROR(INDEX(EQA.CAP_Dados!N$2:N$5000,MATCH(ROW()-4,EQA.CAP_Dados!$S$2:$S$5000,0)),"")</f>
        <v/>
      </c>
      <c r="O89" s="137" t="str">
        <f>IFERROR(INDEX(EQA.CAP_Dados!O$2:O$5000,MATCH(ROW()-4,EQA.CAP_Dados!$S$2:$S$5000,0)),"")</f>
        <v/>
      </c>
      <c r="P89" s="137" t="str">
        <f>IFERROR(INDEX(EQA.CAP_Dados!P$2:P$5000,MATCH(ROW()-4,EQA.CAP_Dados!$S$2:$S$5000,0)),"")</f>
        <v/>
      </c>
      <c r="Q89" s="126" t="str">
        <f>IFERROR(INDEX(EQA.CAP_Dados!Q$2:Q$5000,MATCH(ROW()-4,EQA.CAP_Dados!$S$2:$S$5000,0)),"")</f>
        <v/>
      </c>
      <c r="R89" t="str">
        <f>IFERROR(INDEX(EQA.CAP_Dados!R$2:R$5000,MATCH(ROW()-4,EQA.CAP_Dados!$S$2:$S$5000,0)),"")</f>
        <v/>
      </c>
    </row>
    <row r="90" spans="1:18" x14ac:dyDescent="0.3">
      <c r="A90" t="str">
        <f>IFERROR(INDEX(EQA.CAP_Dados!A$2:A$5000,MATCH(ROW()-4,EQA.CAP_Dados!$S$2:$S$5000,0)),"")</f>
        <v/>
      </c>
      <c r="B90" t="str">
        <f>IFERROR(INDEX(EQA.CAP_Dados!B$2:B$5000,MATCH(ROW()-4,EQA.CAP_Dados!$S$2:$S$5000,0)),"")</f>
        <v/>
      </c>
      <c r="C90" s="126" t="str">
        <f>IFERROR(INDEX(EQA.CAP_Dados!C$2:C$5000,MATCH(ROW()-4,EQA.CAP_Dados!$S$2:$S$5000,0)),"")</f>
        <v/>
      </c>
      <c r="D90" t="str">
        <f>IFERROR(INDEX(EQA.CAP_Dados!D$2:D$5000,MATCH(ROW()-4,EQA.CAP_Dados!$S$2:$S$5000,0)),"")</f>
        <v/>
      </c>
      <c r="E90" t="str">
        <f>IFERROR(INDEX(EQA.CAP_Dados!E$2:E$5000,MATCH(ROW()-4,EQA.CAP_Dados!$S$2:$S$5000,0)),"")</f>
        <v/>
      </c>
      <c r="F90" s="137" t="str">
        <f>IFERROR(INDEX(EQA.CAP_Dados!F$2:F$5000,MATCH(ROW()-4,EQA.CAP_Dados!$S$2:$S$5000,0)),"")</f>
        <v/>
      </c>
      <c r="G90" s="138" t="str">
        <f>IFERROR(INDEX(EQA.CAP_Dados!G$2:G$5000,MATCH(ROW()-4,EQA.CAP_Dados!$S$2:$S$5000,0)),"")</f>
        <v/>
      </c>
      <c r="H90" s="138" t="str">
        <f>IFERROR(INDEX(EQA.CAP_Dados!H$2:H$5000,MATCH(ROW()-4,EQA.CAP_Dados!$S$2:$S$5000,0)),"")</f>
        <v/>
      </c>
      <c r="I90" s="139" t="str">
        <f>IFERROR(INDEX(EQA.CAP_Dados!I$2:I$5000,MATCH(ROW()-4,EQA.CAP_Dados!$S$2:$S$5000,0)),"")</f>
        <v/>
      </c>
      <c r="J90" s="137" t="str">
        <f>IFERROR(INDEX(EQA.CAP_Dados!J$2:J$5000,MATCH(ROW()-4,EQA.CAP_Dados!$S$2:$S$5000,0)),"")</f>
        <v/>
      </c>
      <c r="K90" s="137" t="str">
        <f>IFERROR(INDEX(EQA.CAP_Dados!K$2:K$5000,MATCH(ROW()-4,EQA.CAP_Dados!$S$2:$S$5000,0)),"")</f>
        <v/>
      </c>
      <c r="L90" t="str">
        <f>IFERROR(INDEX(EQA.CAP_Dados!L$2:L$5000,MATCH(ROW()-4,EQA.CAP_Dados!$S$2:$S$5000,0)),"")</f>
        <v/>
      </c>
      <c r="M90" s="126" t="str">
        <f>IFERROR(INDEX(EQA.CAP_Dados!M$2:M$5000,MATCH(ROW()-4,EQA.CAP_Dados!$S$2:$S$5000,0)),"")</f>
        <v/>
      </c>
      <c r="N90" t="str">
        <f>IFERROR(INDEX(EQA.CAP_Dados!N$2:N$5000,MATCH(ROW()-4,EQA.CAP_Dados!$S$2:$S$5000,0)),"")</f>
        <v/>
      </c>
      <c r="O90" s="137" t="str">
        <f>IFERROR(INDEX(EQA.CAP_Dados!O$2:O$5000,MATCH(ROW()-4,EQA.CAP_Dados!$S$2:$S$5000,0)),"")</f>
        <v/>
      </c>
      <c r="P90" s="137" t="str">
        <f>IFERROR(INDEX(EQA.CAP_Dados!P$2:P$5000,MATCH(ROW()-4,EQA.CAP_Dados!$S$2:$S$5000,0)),"")</f>
        <v/>
      </c>
      <c r="Q90" s="126" t="str">
        <f>IFERROR(INDEX(EQA.CAP_Dados!Q$2:Q$5000,MATCH(ROW()-4,EQA.CAP_Dados!$S$2:$S$5000,0)),"")</f>
        <v/>
      </c>
      <c r="R90" t="str">
        <f>IFERROR(INDEX(EQA.CAP_Dados!R$2:R$5000,MATCH(ROW()-4,EQA.CAP_Dados!$S$2:$S$5000,0)),"")</f>
        <v/>
      </c>
    </row>
    <row r="91" spans="1:18" x14ac:dyDescent="0.3">
      <c r="A91" t="str">
        <f>IFERROR(INDEX(EQA.CAP_Dados!A$2:A$5000,MATCH(ROW()-4,EQA.CAP_Dados!$S$2:$S$5000,0)),"")</f>
        <v/>
      </c>
      <c r="B91" t="str">
        <f>IFERROR(INDEX(EQA.CAP_Dados!B$2:B$5000,MATCH(ROW()-4,EQA.CAP_Dados!$S$2:$S$5000,0)),"")</f>
        <v/>
      </c>
      <c r="C91" s="126" t="str">
        <f>IFERROR(INDEX(EQA.CAP_Dados!C$2:C$5000,MATCH(ROW()-4,EQA.CAP_Dados!$S$2:$S$5000,0)),"")</f>
        <v/>
      </c>
      <c r="D91" t="str">
        <f>IFERROR(INDEX(EQA.CAP_Dados!D$2:D$5000,MATCH(ROW()-4,EQA.CAP_Dados!$S$2:$S$5000,0)),"")</f>
        <v/>
      </c>
      <c r="E91" t="str">
        <f>IFERROR(INDEX(EQA.CAP_Dados!E$2:E$5000,MATCH(ROW()-4,EQA.CAP_Dados!$S$2:$S$5000,0)),"")</f>
        <v/>
      </c>
      <c r="F91" s="137" t="str">
        <f>IFERROR(INDEX(EQA.CAP_Dados!F$2:F$5000,MATCH(ROW()-4,EQA.CAP_Dados!$S$2:$S$5000,0)),"")</f>
        <v/>
      </c>
      <c r="G91" s="138" t="str">
        <f>IFERROR(INDEX(EQA.CAP_Dados!G$2:G$5000,MATCH(ROW()-4,EQA.CAP_Dados!$S$2:$S$5000,0)),"")</f>
        <v/>
      </c>
      <c r="H91" s="138" t="str">
        <f>IFERROR(INDEX(EQA.CAP_Dados!H$2:H$5000,MATCH(ROW()-4,EQA.CAP_Dados!$S$2:$S$5000,0)),"")</f>
        <v/>
      </c>
      <c r="I91" s="139" t="str">
        <f>IFERROR(INDEX(EQA.CAP_Dados!I$2:I$5000,MATCH(ROW()-4,EQA.CAP_Dados!$S$2:$S$5000,0)),"")</f>
        <v/>
      </c>
      <c r="J91" s="137" t="str">
        <f>IFERROR(INDEX(EQA.CAP_Dados!J$2:J$5000,MATCH(ROW()-4,EQA.CAP_Dados!$S$2:$S$5000,0)),"")</f>
        <v/>
      </c>
      <c r="K91" s="137" t="str">
        <f>IFERROR(INDEX(EQA.CAP_Dados!K$2:K$5000,MATCH(ROW()-4,EQA.CAP_Dados!$S$2:$S$5000,0)),"")</f>
        <v/>
      </c>
      <c r="L91" t="str">
        <f>IFERROR(INDEX(EQA.CAP_Dados!L$2:L$5000,MATCH(ROW()-4,EQA.CAP_Dados!$S$2:$S$5000,0)),"")</f>
        <v/>
      </c>
      <c r="M91" s="126" t="str">
        <f>IFERROR(INDEX(EQA.CAP_Dados!M$2:M$5000,MATCH(ROW()-4,EQA.CAP_Dados!$S$2:$S$5000,0)),"")</f>
        <v/>
      </c>
      <c r="N91" t="str">
        <f>IFERROR(INDEX(EQA.CAP_Dados!N$2:N$5000,MATCH(ROW()-4,EQA.CAP_Dados!$S$2:$S$5000,0)),"")</f>
        <v/>
      </c>
      <c r="O91" s="137" t="str">
        <f>IFERROR(INDEX(EQA.CAP_Dados!O$2:O$5000,MATCH(ROW()-4,EQA.CAP_Dados!$S$2:$S$5000,0)),"")</f>
        <v/>
      </c>
      <c r="P91" s="137" t="str">
        <f>IFERROR(INDEX(EQA.CAP_Dados!P$2:P$5000,MATCH(ROW()-4,EQA.CAP_Dados!$S$2:$S$5000,0)),"")</f>
        <v/>
      </c>
      <c r="Q91" s="126" t="str">
        <f>IFERROR(INDEX(EQA.CAP_Dados!Q$2:Q$5000,MATCH(ROW()-4,EQA.CAP_Dados!$S$2:$S$5000,0)),"")</f>
        <v/>
      </c>
      <c r="R91" t="str">
        <f>IFERROR(INDEX(EQA.CAP_Dados!R$2:R$5000,MATCH(ROW()-4,EQA.CAP_Dados!$S$2:$S$5000,0)),"")</f>
        <v/>
      </c>
    </row>
    <row r="92" spans="1:18" x14ac:dyDescent="0.3">
      <c r="A92" t="str">
        <f>IFERROR(INDEX(EQA.CAP_Dados!A$2:A$5000,MATCH(ROW()-4,EQA.CAP_Dados!$S$2:$S$5000,0)),"")</f>
        <v/>
      </c>
      <c r="B92" t="str">
        <f>IFERROR(INDEX(EQA.CAP_Dados!B$2:B$5000,MATCH(ROW()-4,EQA.CAP_Dados!$S$2:$S$5000,0)),"")</f>
        <v/>
      </c>
      <c r="C92" s="126" t="str">
        <f>IFERROR(INDEX(EQA.CAP_Dados!C$2:C$5000,MATCH(ROW()-4,EQA.CAP_Dados!$S$2:$S$5000,0)),"")</f>
        <v/>
      </c>
      <c r="D92" t="str">
        <f>IFERROR(INDEX(EQA.CAP_Dados!D$2:D$5000,MATCH(ROW()-4,EQA.CAP_Dados!$S$2:$S$5000,0)),"")</f>
        <v/>
      </c>
      <c r="E92" t="str">
        <f>IFERROR(INDEX(EQA.CAP_Dados!E$2:E$5000,MATCH(ROW()-4,EQA.CAP_Dados!$S$2:$S$5000,0)),"")</f>
        <v/>
      </c>
      <c r="F92" s="137" t="str">
        <f>IFERROR(INDEX(EQA.CAP_Dados!F$2:F$5000,MATCH(ROW()-4,EQA.CAP_Dados!$S$2:$S$5000,0)),"")</f>
        <v/>
      </c>
      <c r="G92" s="138" t="str">
        <f>IFERROR(INDEX(EQA.CAP_Dados!G$2:G$5000,MATCH(ROW()-4,EQA.CAP_Dados!$S$2:$S$5000,0)),"")</f>
        <v/>
      </c>
      <c r="H92" s="138" t="str">
        <f>IFERROR(INDEX(EQA.CAP_Dados!H$2:H$5000,MATCH(ROW()-4,EQA.CAP_Dados!$S$2:$S$5000,0)),"")</f>
        <v/>
      </c>
      <c r="I92" s="139" t="str">
        <f>IFERROR(INDEX(EQA.CAP_Dados!I$2:I$5000,MATCH(ROW()-4,EQA.CAP_Dados!$S$2:$S$5000,0)),"")</f>
        <v/>
      </c>
      <c r="J92" s="137" t="str">
        <f>IFERROR(INDEX(EQA.CAP_Dados!J$2:J$5000,MATCH(ROW()-4,EQA.CAP_Dados!$S$2:$S$5000,0)),"")</f>
        <v/>
      </c>
      <c r="K92" s="137" t="str">
        <f>IFERROR(INDEX(EQA.CAP_Dados!K$2:K$5000,MATCH(ROW()-4,EQA.CAP_Dados!$S$2:$S$5000,0)),"")</f>
        <v/>
      </c>
      <c r="L92" t="str">
        <f>IFERROR(INDEX(EQA.CAP_Dados!L$2:L$5000,MATCH(ROW()-4,EQA.CAP_Dados!$S$2:$S$5000,0)),"")</f>
        <v/>
      </c>
      <c r="M92" s="126" t="str">
        <f>IFERROR(INDEX(EQA.CAP_Dados!M$2:M$5000,MATCH(ROW()-4,EQA.CAP_Dados!$S$2:$S$5000,0)),"")</f>
        <v/>
      </c>
      <c r="N92" t="str">
        <f>IFERROR(INDEX(EQA.CAP_Dados!N$2:N$5000,MATCH(ROW()-4,EQA.CAP_Dados!$S$2:$S$5000,0)),"")</f>
        <v/>
      </c>
      <c r="O92" s="137" t="str">
        <f>IFERROR(INDEX(EQA.CAP_Dados!O$2:O$5000,MATCH(ROW()-4,EQA.CAP_Dados!$S$2:$S$5000,0)),"")</f>
        <v/>
      </c>
      <c r="P92" s="137" t="str">
        <f>IFERROR(INDEX(EQA.CAP_Dados!P$2:P$5000,MATCH(ROW()-4,EQA.CAP_Dados!$S$2:$S$5000,0)),"")</f>
        <v/>
      </c>
      <c r="Q92" s="126" t="str">
        <f>IFERROR(INDEX(EQA.CAP_Dados!Q$2:Q$5000,MATCH(ROW()-4,EQA.CAP_Dados!$S$2:$S$5000,0)),"")</f>
        <v/>
      </c>
      <c r="R92" t="str">
        <f>IFERROR(INDEX(EQA.CAP_Dados!R$2:R$5000,MATCH(ROW()-4,EQA.CAP_Dados!$S$2:$S$5000,0)),"")</f>
        <v/>
      </c>
    </row>
    <row r="93" spans="1:18" x14ac:dyDescent="0.3">
      <c r="A93" t="str">
        <f>IFERROR(INDEX(EQA.CAP_Dados!A$2:A$5000,MATCH(ROW()-4,EQA.CAP_Dados!$S$2:$S$5000,0)),"")</f>
        <v/>
      </c>
      <c r="B93" t="str">
        <f>IFERROR(INDEX(EQA.CAP_Dados!B$2:B$5000,MATCH(ROW()-4,EQA.CAP_Dados!$S$2:$S$5000,0)),"")</f>
        <v/>
      </c>
      <c r="C93" s="126" t="str">
        <f>IFERROR(INDEX(EQA.CAP_Dados!C$2:C$5000,MATCH(ROW()-4,EQA.CAP_Dados!$S$2:$S$5000,0)),"")</f>
        <v/>
      </c>
      <c r="D93" t="str">
        <f>IFERROR(INDEX(EQA.CAP_Dados!D$2:D$5000,MATCH(ROW()-4,EQA.CAP_Dados!$S$2:$S$5000,0)),"")</f>
        <v/>
      </c>
      <c r="E93" t="str">
        <f>IFERROR(INDEX(EQA.CAP_Dados!E$2:E$5000,MATCH(ROW()-4,EQA.CAP_Dados!$S$2:$S$5000,0)),"")</f>
        <v/>
      </c>
      <c r="F93" s="137" t="str">
        <f>IFERROR(INDEX(EQA.CAP_Dados!F$2:F$5000,MATCH(ROW()-4,EQA.CAP_Dados!$S$2:$S$5000,0)),"")</f>
        <v/>
      </c>
      <c r="G93" s="138" t="str">
        <f>IFERROR(INDEX(EQA.CAP_Dados!G$2:G$5000,MATCH(ROW()-4,EQA.CAP_Dados!$S$2:$S$5000,0)),"")</f>
        <v/>
      </c>
      <c r="H93" s="138" t="str">
        <f>IFERROR(INDEX(EQA.CAP_Dados!H$2:H$5000,MATCH(ROW()-4,EQA.CAP_Dados!$S$2:$S$5000,0)),"")</f>
        <v/>
      </c>
      <c r="I93" s="139" t="str">
        <f>IFERROR(INDEX(EQA.CAP_Dados!I$2:I$5000,MATCH(ROW()-4,EQA.CAP_Dados!$S$2:$S$5000,0)),"")</f>
        <v/>
      </c>
      <c r="J93" s="137" t="str">
        <f>IFERROR(INDEX(EQA.CAP_Dados!J$2:J$5000,MATCH(ROW()-4,EQA.CAP_Dados!$S$2:$S$5000,0)),"")</f>
        <v/>
      </c>
      <c r="K93" s="137" t="str">
        <f>IFERROR(INDEX(EQA.CAP_Dados!K$2:K$5000,MATCH(ROW()-4,EQA.CAP_Dados!$S$2:$S$5000,0)),"")</f>
        <v/>
      </c>
      <c r="L93" t="str">
        <f>IFERROR(INDEX(EQA.CAP_Dados!L$2:L$5000,MATCH(ROW()-4,EQA.CAP_Dados!$S$2:$S$5000,0)),"")</f>
        <v/>
      </c>
      <c r="M93" s="126" t="str">
        <f>IFERROR(INDEX(EQA.CAP_Dados!M$2:M$5000,MATCH(ROW()-4,EQA.CAP_Dados!$S$2:$S$5000,0)),"")</f>
        <v/>
      </c>
      <c r="N93" t="str">
        <f>IFERROR(INDEX(EQA.CAP_Dados!N$2:N$5000,MATCH(ROW()-4,EQA.CAP_Dados!$S$2:$S$5000,0)),"")</f>
        <v/>
      </c>
      <c r="O93" s="137" t="str">
        <f>IFERROR(INDEX(EQA.CAP_Dados!O$2:O$5000,MATCH(ROW()-4,EQA.CAP_Dados!$S$2:$S$5000,0)),"")</f>
        <v/>
      </c>
      <c r="P93" s="137" t="str">
        <f>IFERROR(INDEX(EQA.CAP_Dados!P$2:P$5000,MATCH(ROW()-4,EQA.CAP_Dados!$S$2:$S$5000,0)),"")</f>
        <v/>
      </c>
      <c r="Q93" s="126" t="str">
        <f>IFERROR(INDEX(EQA.CAP_Dados!Q$2:Q$5000,MATCH(ROW()-4,EQA.CAP_Dados!$S$2:$S$5000,0)),"")</f>
        <v/>
      </c>
      <c r="R93" t="str">
        <f>IFERROR(INDEX(EQA.CAP_Dados!R$2:R$5000,MATCH(ROW()-4,EQA.CAP_Dados!$S$2:$S$5000,0)),"")</f>
        <v/>
      </c>
    </row>
    <row r="94" spans="1:18" x14ac:dyDescent="0.3">
      <c r="A94" t="str">
        <f>IFERROR(INDEX(EQA.CAP_Dados!A$2:A$5000,MATCH(ROW()-4,EQA.CAP_Dados!$S$2:$S$5000,0)),"")</f>
        <v/>
      </c>
      <c r="B94" t="str">
        <f>IFERROR(INDEX(EQA.CAP_Dados!B$2:B$5000,MATCH(ROW()-4,EQA.CAP_Dados!$S$2:$S$5000,0)),"")</f>
        <v/>
      </c>
      <c r="C94" s="126" t="str">
        <f>IFERROR(INDEX(EQA.CAP_Dados!C$2:C$5000,MATCH(ROW()-4,EQA.CAP_Dados!$S$2:$S$5000,0)),"")</f>
        <v/>
      </c>
      <c r="D94" t="str">
        <f>IFERROR(INDEX(EQA.CAP_Dados!D$2:D$5000,MATCH(ROW()-4,EQA.CAP_Dados!$S$2:$S$5000,0)),"")</f>
        <v/>
      </c>
      <c r="E94" t="str">
        <f>IFERROR(INDEX(EQA.CAP_Dados!E$2:E$5000,MATCH(ROW()-4,EQA.CAP_Dados!$S$2:$S$5000,0)),"")</f>
        <v/>
      </c>
      <c r="F94" s="137" t="str">
        <f>IFERROR(INDEX(EQA.CAP_Dados!F$2:F$5000,MATCH(ROW()-4,EQA.CAP_Dados!$S$2:$S$5000,0)),"")</f>
        <v/>
      </c>
      <c r="G94" s="138" t="str">
        <f>IFERROR(INDEX(EQA.CAP_Dados!G$2:G$5000,MATCH(ROW()-4,EQA.CAP_Dados!$S$2:$S$5000,0)),"")</f>
        <v/>
      </c>
      <c r="H94" s="138" t="str">
        <f>IFERROR(INDEX(EQA.CAP_Dados!H$2:H$5000,MATCH(ROW()-4,EQA.CAP_Dados!$S$2:$S$5000,0)),"")</f>
        <v/>
      </c>
      <c r="I94" s="139" t="str">
        <f>IFERROR(INDEX(EQA.CAP_Dados!I$2:I$5000,MATCH(ROW()-4,EQA.CAP_Dados!$S$2:$S$5000,0)),"")</f>
        <v/>
      </c>
      <c r="J94" s="137" t="str">
        <f>IFERROR(INDEX(EQA.CAP_Dados!J$2:J$5000,MATCH(ROW()-4,EQA.CAP_Dados!$S$2:$S$5000,0)),"")</f>
        <v/>
      </c>
      <c r="K94" s="137" t="str">
        <f>IFERROR(INDEX(EQA.CAP_Dados!K$2:K$5000,MATCH(ROW()-4,EQA.CAP_Dados!$S$2:$S$5000,0)),"")</f>
        <v/>
      </c>
      <c r="L94" t="str">
        <f>IFERROR(INDEX(EQA.CAP_Dados!L$2:L$5000,MATCH(ROW()-4,EQA.CAP_Dados!$S$2:$S$5000,0)),"")</f>
        <v/>
      </c>
      <c r="M94" s="126" t="str">
        <f>IFERROR(INDEX(EQA.CAP_Dados!M$2:M$5000,MATCH(ROW()-4,EQA.CAP_Dados!$S$2:$S$5000,0)),"")</f>
        <v/>
      </c>
      <c r="N94" t="str">
        <f>IFERROR(INDEX(EQA.CAP_Dados!N$2:N$5000,MATCH(ROW()-4,EQA.CAP_Dados!$S$2:$S$5000,0)),"")</f>
        <v/>
      </c>
      <c r="O94" s="137" t="str">
        <f>IFERROR(INDEX(EQA.CAP_Dados!O$2:O$5000,MATCH(ROW()-4,EQA.CAP_Dados!$S$2:$S$5000,0)),"")</f>
        <v/>
      </c>
      <c r="P94" s="137" t="str">
        <f>IFERROR(INDEX(EQA.CAP_Dados!P$2:P$5000,MATCH(ROW()-4,EQA.CAP_Dados!$S$2:$S$5000,0)),"")</f>
        <v/>
      </c>
      <c r="Q94" s="126" t="str">
        <f>IFERROR(INDEX(EQA.CAP_Dados!Q$2:Q$5000,MATCH(ROW()-4,EQA.CAP_Dados!$S$2:$S$5000,0)),"")</f>
        <v/>
      </c>
      <c r="R94" t="str">
        <f>IFERROR(INDEX(EQA.CAP_Dados!R$2:R$5000,MATCH(ROW()-4,EQA.CAP_Dados!$S$2:$S$5000,0)),"")</f>
        <v/>
      </c>
    </row>
    <row r="95" spans="1:18" x14ac:dyDescent="0.3">
      <c r="A95" t="str">
        <f>IFERROR(INDEX(EQA.CAP_Dados!A$2:A$5000,MATCH(ROW()-4,EQA.CAP_Dados!$S$2:$S$5000,0)),"")</f>
        <v/>
      </c>
      <c r="B95" t="str">
        <f>IFERROR(INDEX(EQA.CAP_Dados!B$2:B$5000,MATCH(ROW()-4,EQA.CAP_Dados!$S$2:$S$5000,0)),"")</f>
        <v/>
      </c>
      <c r="C95" s="126" t="str">
        <f>IFERROR(INDEX(EQA.CAP_Dados!C$2:C$5000,MATCH(ROW()-4,EQA.CAP_Dados!$S$2:$S$5000,0)),"")</f>
        <v/>
      </c>
      <c r="D95" t="str">
        <f>IFERROR(INDEX(EQA.CAP_Dados!D$2:D$5000,MATCH(ROW()-4,EQA.CAP_Dados!$S$2:$S$5000,0)),"")</f>
        <v/>
      </c>
      <c r="E95" t="str">
        <f>IFERROR(INDEX(EQA.CAP_Dados!E$2:E$5000,MATCH(ROW()-4,EQA.CAP_Dados!$S$2:$S$5000,0)),"")</f>
        <v/>
      </c>
      <c r="F95" s="137" t="str">
        <f>IFERROR(INDEX(EQA.CAP_Dados!F$2:F$5000,MATCH(ROW()-4,EQA.CAP_Dados!$S$2:$S$5000,0)),"")</f>
        <v/>
      </c>
      <c r="G95" s="138" t="str">
        <f>IFERROR(INDEX(EQA.CAP_Dados!G$2:G$5000,MATCH(ROW()-4,EQA.CAP_Dados!$S$2:$S$5000,0)),"")</f>
        <v/>
      </c>
      <c r="H95" s="138" t="str">
        <f>IFERROR(INDEX(EQA.CAP_Dados!H$2:H$5000,MATCH(ROW()-4,EQA.CAP_Dados!$S$2:$S$5000,0)),"")</f>
        <v/>
      </c>
      <c r="I95" s="139" t="str">
        <f>IFERROR(INDEX(EQA.CAP_Dados!I$2:I$5000,MATCH(ROW()-4,EQA.CAP_Dados!$S$2:$S$5000,0)),"")</f>
        <v/>
      </c>
      <c r="J95" s="137" t="str">
        <f>IFERROR(INDEX(EQA.CAP_Dados!J$2:J$5000,MATCH(ROW()-4,EQA.CAP_Dados!$S$2:$S$5000,0)),"")</f>
        <v/>
      </c>
      <c r="K95" s="137" t="str">
        <f>IFERROR(INDEX(EQA.CAP_Dados!K$2:K$5000,MATCH(ROW()-4,EQA.CAP_Dados!$S$2:$S$5000,0)),"")</f>
        <v/>
      </c>
      <c r="L95" t="str">
        <f>IFERROR(INDEX(EQA.CAP_Dados!L$2:L$5000,MATCH(ROW()-4,EQA.CAP_Dados!$S$2:$S$5000,0)),"")</f>
        <v/>
      </c>
      <c r="M95" s="126" t="str">
        <f>IFERROR(INDEX(EQA.CAP_Dados!M$2:M$5000,MATCH(ROW()-4,EQA.CAP_Dados!$S$2:$S$5000,0)),"")</f>
        <v/>
      </c>
      <c r="N95" t="str">
        <f>IFERROR(INDEX(EQA.CAP_Dados!N$2:N$5000,MATCH(ROW()-4,EQA.CAP_Dados!$S$2:$S$5000,0)),"")</f>
        <v/>
      </c>
      <c r="O95" s="137" t="str">
        <f>IFERROR(INDEX(EQA.CAP_Dados!O$2:O$5000,MATCH(ROW()-4,EQA.CAP_Dados!$S$2:$S$5000,0)),"")</f>
        <v/>
      </c>
      <c r="P95" s="137" t="str">
        <f>IFERROR(INDEX(EQA.CAP_Dados!P$2:P$5000,MATCH(ROW()-4,EQA.CAP_Dados!$S$2:$S$5000,0)),"")</f>
        <v/>
      </c>
      <c r="Q95" s="126" t="str">
        <f>IFERROR(INDEX(EQA.CAP_Dados!Q$2:Q$5000,MATCH(ROW()-4,EQA.CAP_Dados!$S$2:$S$5000,0)),"")</f>
        <v/>
      </c>
      <c r="R95" t="str">
        <f>IFERROR(INDEX(EQA.CAP_Dados!R$2:R$5000,MATCH(ROW()-4,EQA.CAP_Dados!$S$2:$S$5000,0)),"")</f>
        <v/>
      </c>
    </row>
    <row r="96" spans="1:18" x14ac:dyDescent="0.3">
      <c r="A96" t="str">
        <f>IFERROR(INDEX(EQA.CAP_Dados!A$2:A$5000,MATCH(ROW()-4,EQA.CAP_Dados!$S$2:$S$5000,0)),"")</f>
        <v/>
      </c>
      <c r="B96" t="str">
        <f>IFERROR(INDEX(EQA.CAP_Dados!B$2:B$5000,MATCH(ROW()-4,EQA.CAP_Dados!$S$2:$S$5000,0)),"")</f>
        <v/>
      </c>
      <c r="C96" s="126" t="str">
        <f>IFERROR(INDEX(EQA.CAP_Dados!C$2:C$5000,MATCH(ROW()-4,EQA.CAP_Dados!$S$2:$S$5000,0)),"")</f>
        <v/>
      </c>
      <c r="D96" t="str">
        <f>IFERROR(INDEX(EQA.CAP_Dados!D$2:D$5000,MATCH(ROW()-4,EQA.CAP_Dados!$S$2:$S$5000,0)),"")</f>
        <v/>
      </c>
      <c r="E96" t="str">
        <f>IFERROR(INDEX(EQA.CAP_Dados!E$2:E$5000,MATCH(ROW()-4,EQA.CAP_Dados!$S$2:$S$5000,0)),"")</f>
        <v/>
      </c>
      <c r="F96" s="137" t="str">
        <f>IFERROR(INDEX(EQA.CAP_Dados!F$2:F$5000,MATCH(ROW()-4,EQA.CAP_Dados!$S$2:$S$5000,0)),"")</f>
        <v/>
      </c>
      <c r="G96" s="138" t="str">
        <f>IFERROR(INDEX(EQA.CAP_Dados!G$2:G$5000,MATCH(ROW()-4,EQA.CAP_Dados!$S$2:$S$5000,0)),"")</f>
        <v/>
      </c>
      <c r="H96" s="138" t="str">
        <f>IFERROR(INDEX(EQA.CAP_Dados!H$2:H$5000,MATCH(ROW()-4,EQA.CAP_Dados!$S$2:$S$5000,0)),"")</f>
        <v/>
      </c>
      <c r="I96" s="139" t="str">
        <f>IFERROR(INDEX(EQA.CAP_Dados!I$2:I$5000,MATCH(ROW()-4,EQA.CAP_Dados!$S$2:$S$5000,0)),"")</f>
        <v/>
      </c>
      <c r="J96" s="137" t="str">
        <f>IFERROR(INDEX(EQA.CAP_Dados!J$2:J$5000,MATCH(ROW()-4,EQA.CAP_Dados!$S$2:$S$5000,0)),"")</f>
        <v/>
      </c>
      <c r="K96" s="137" t="str">
        <f>IFERROR(INDEX(EQA.CAP_Dados!K$2:K$5000,MATCH(ROW()-4,EQA.CAP_Dados!$S$2:$S$5000,0)),"")</f>
        <v/>
      </c>
      <c r="L96" t="str">
        <f>IFERROR(INDEX(EQA.CAP_Dados!L$2:L$5000,MATCH(ROW()-4,EQA.CAP_Dados!$S$2:$S$5000,0)),"")</f>
        <v/>
      </c>
      <c r="M96" s="126" t="str">
        <f>IFERROR(INDEX(EQA.CAP_Dados!M$2:M$5000,MATCH(ROW()-4,EQA.CAP_Dados!$S$2:$S$5000,0)),"")</f>
        <v/>
      </c>
      <c r="N96" t="str">
        <f>IFERROR(INDEX(EQA.CAP_Dados!N$2:N$5000,MATCH(ROW()-4,EQA.CAP_Dados!$S$2:$S$5000,0)),"")</f>
        <v/>
      </c>
      <c r="O96" s="137" t="str">
        <f>IFERROR(INDEX(EQA.CAP_Dados!O$2:O$5000,MATCH(ROW()-4,EQA.CAP_Dados!$S$2:$S$5000,0)),"")</f>
        <v/>
      </c>
      <c r="P96" s="137" t="str">
        <f>IFERROR(INDEX(EQA.CAP_Dados!P$2:P$5000,MATCH(ROW()-4,EQA.CAP_Dados!$S$2:$S$5000,0)),"")</f>
        <v/>
      </c>
      <c r="Q96" s="126" t="str">
        <f>IFERROR(INDEX(EQA.CAP_Dados!Q$2:Q$5000,MATCH(ROW()-4,EQA.CAP_Dados!$S$2:$S$5000,0)),"")</f>
        <v/>
      </c>
      <c r="R96" t="str">
        <f>IFERROR(INDEX(EQA.CAP_Dados!R$2:R$5000,MATCH(ROW()-4,EQA.CAP_Dados!$S$2:$S$5000,0)),"")</f>
        <v/>
      </c>
    </row>
    <row r="97" spans="1:18" x14ac:dyDescent="0.3">
      <c r="A97" t="str">
        <f>IFERROR(INDEX(EQA.CAP_Dados!A$2:A$5000,MATCH(ROW()-4,EQA.CAP_Dados!$S$2:$S$5000,0)),"")</f>
        <v/>
      </c>
      <c r="B97" t="str">
        <f>IFERROR(INDEX(EQA.CAP_Dados!B$2:B$5000,MATCH(ROW()-4,EQA.CAP_Dados!$S$2:$S$5000,0)),"")</f>
        <v/>
      </c>
      <c r="C97" s="126" t="str">
        <f>IFERROR(INDEX(EQA.CAP_Dados!C$2:C$5000,MATCH(ROW()-4,EQA.CAP_Dados!$S$2:$S$5000,0)),"")</f>
        <v/>
      </c>
      <c r="D97" t="str">
        <f>IFERROR(INDEX(EQA.CAP_Dados!D$2:D$5000,MATCH(ROW()-4,EQA.CAP_Dados!$S$2:$S$5000,0)),"")</f>
        <v/>
      </c>
      <c r="E97" t="str">
        <f>IFERROR(INDEX(EQA.CAP_Dados!E$2:E$5000,MATCH(ROW()-4,EQA.CAP_Dados!$S$2:$S$5000,0)),"")</f>
        <v/>
      </c>
      <c r="F97" s="137" t="str">
        <f>IFERROR(INDEX(EQA.CAP_Dados!F$2:F$5000,MATCH(ROW()-4,EQA.CAP_Dados!$S$2:$S$5000,0)),"")</f>
        <v/>
      </c>
      <c r="G97" s="138" t="str">
        <f>IFERROR(INDEX(EQA.CAP_Dados!G$2:G$5000,MATCH(ROW()-4,EQA.CAP_Dados!$S$2:$S$5000,0)),"")</f>
        <v/>
      </c>
      <c r="H97" s="138" t="str">
        <f>IFERROR(INDEX(EQA.CAP_Dados!H$2:H$5000,MATCH(ROW()-4,EQA.CAP_Dados!$S$2:$S$5000,0)),"")</f>
        <v/>
      </c>
      <c r="I97" s="139" t="str">
        <f>IFERROR(INDEX(EQA.CAP_Dados!I$2:I$5000,MATCH(ROW()-4,EQA.CAP_Dados!$S$2:$S$5000,0)),"")</f>
        <v/>
      </c>
      <c r="J97" s="137" t="str">
        <f>IFERROR(INDEX(EQA.CAP_Dados!J$2:J$5000,MATCH(ROW()-4,EQA.CAP_Dados!$S$2:$S$5000,0)),"")</f>
        <v/>
      </c>
      <c r="K97" s="137" t="str">
        <f>IFERROR(INDEX(EQA.CAP_Dados!K$2:K$5000,MATCH(ROW()-4,EQA.CAP_Dados!$S$2:$S$5000,0)),"")</f>
        <v/>
      </c>
      <c r="L97" t="str">
        <f>IFERROR(INDEX(EQA.CAP_Dados!L$2:L$5000,MATCH(ROW()-4,EQA.CAP_Dados!$S$2:$S$5000,0)),"")</f>
        <v/>
      </c>
      <c r="M97" s="126" t="str">
        <f>IFERROR(INDEX(EQA.CAP_Dados!M$2:M$5000,MATCH(ROW()-4,EQA.CAP_Dados!$S$2:$S$5000,0)),"")</f>
        <v/>
      </c>
      <c r="N97" t="str">
        <f>IFERROR(INDEX(EQA.CAP_Dados!N$2:N$5000,MATCH(ROW()-4,EQA.CAP_Dados!$S$2:$S$5000,0)),"")</f>
        <v/>
      </c>
      <c r="O97" s="137" t="str">
        <f>IFERROR(INDEX(EQA.CAP_Dados!O$2:O$5000,MATCH(ROW()-4,EQA.CAP_Dados!$S$2:$S$5000,0)),"")</f>
        <v/>
      </c>
      <c r="P97" s="137" t="str">
        <f>IFERROR(INDEX(EQA.CAP_Dados!P$2:P$5000,MATCH(ROW()-4,EQA.CAP_Dados!$S$2:$S$5000,0)),"")</f>
        <v/>
      </c>
      <c r="Q97" s="126" t="str">
        <f>IFERROR(INDEX(EQA.CAP_Dados!Q$2:Q$5000,MATCH(ROW()-4,EQA.CAP_Dados!$S$2:$S$5000,0)),"")</f>
        <v/>
      </c>
      <c r="R97" t="str">
        <f>IFERROR(INDEX(EQA.CAP_Dados!R$2:R$5000,MATCH(ROW()-4,EQA.CAP_Dados!$S$2:$S$5000,0)),"")</f>
        <v/>
      </c>
    </row>
    <row r="98" spans="1:18" x14ac:dyDescent="0.3">
      <c r="A98" t="str">
        <f>IFERROR(INDEX(EQA.CAP_Dados!A$2:A$5000,MATCH(ROW()-4,EQA.CAP_Dados!$S$2:$S$5000,0)),"")</f>
        <v/>
      </c>
      <c r="B98" t="str">
        <f>IFERROR(INDEX(EQA.CAP_Dados!B$2:B$5000,MATCH(ROW()-4,EQA.CAP_Dados!$S$2:$S$5000,0)),"")</f>
        <v/>
      </c>
      <c r="C98" s="126" t="str">
        <f>IFERROR(INDEX(EQA.CAP_Dados!C$2:C$5000,MATCH(ROW()-4,EQA.CAP_Dados!$S$2:$S$5000,0)),"")</f>
        <v/>
      </c>
      <c r="D98" t="str">
        <f>IFERROR(INDEX(EQA.CAP_Dados!D$2:D$5000,MATCH(ROW()-4,EQA.CAP_Dados!$S$2:$S$5000,0)),"")</f>
        <v/>
      </c>
      <c r="E98" t="str">
        <f>IFERROR(INDEX(EQA.CAP_Dados!E$2:E$5000,MATCH(ROW()-4,EQA.CAP_Dados!$S$2:$S$5000,0)),"")</f>
        <v/>
      </c>
      <c r="F98" s="137" t="str">
        <f>IFERROR(INDEX(EQA.CAP_Dados!F$2:F$5000,MATCH(ROW()-4,EQA.CAP_Dados!$S$2:$S$5000,0)),"")</f>
        <v/>
      </c>
      <c r="G98" s="138" t="str">
        <f>IFERROR(INDEX(EQA.CAP_Dados!G$2:G$5000,MATCH(ROW()-4,EQA.CAP_Dados!$S$2:$S$5000,0)),"")</f>
        <v/>
      </c>
      <c r="H98" s="138" t="str">
        <f>IFERROR(INDEX(EQA.CAP_Dados!H$2:H$5000,MATCH(ROW()-4,EQA.CAP_Dados!$S$2:$S$5000,0)),"")</f>
        <v/>
      </c>
      <c r="I98" s="139" t="str">
        <f>IFERROR(INDEX(EQA.CAP_Dados!I$2:I$5000,MATCH(ROW()-4,EQA.CAP_Dados!$S$2:$S$5000,0)),"")</f>
        <v/>
      </c>
      <c r="J98" s="137" t="str">
        <f>IFERROR(INDEX(EQA.CAP_Dados!J$2:J$5000,MATCH(ROW()-4,EQA.CAP_Dados!$S$2:$S$5000,0)),"")</f>
        <v/>
      </c>
      <c r="K98" s="137" t="str">
        <f>IFERROR(INDEX(EQA.CAP_Dados!K$2:K$5000,MATCH(ROW()-4,EQA.CAP_Dados!$S$2:$S$5000,0)),"")</f>
        <v/>
      </c>
      <c r="L98" t="str">
        <f>IFERROR(INDEX(EQA.CAP_Dados!L$2:L$5000,MATCH(ROW()-4,EQA.CAP_Dados!$S$2:$S$5000,0)),"")</f>
        <v/>
      </c>
      <c r="M98" s="126" t="str">
        <f>IFERROR(INDEX(EQA.CAP_Dados!M$2:M$5000,MATCH(ROW()-4,EQA.CAP_Dados!$S$2:$S$5000,0)),"")</f>
        <v/>
      </c>
      <c r="N98" t="str">
        <f>IFERROR(INDEX(EQA.CAP_Dados!N$2:N$5000,MATCH(ROW()-4,EQA.CAP_Dados!$S$2:$S$5000,0)),"")</f>
        <v/>
      </c>
      <c r="O98" s="137" t="str">
        <f>IFERROR(INDEX(EQA.CAP_Dados!O$2:O$5000,MATCH(ROW()-4,EQA.CAP_Dados!$S$2:$S$5000,0)),"")</f>
        <v/>
      </c>
      <c r="P98" s="137" t="str">
        <f>IFERROR(INDEX(EQA.CAP_Dados!P$2:P$5000,MATCH(ROW()-4,EQA.CAP_Dados!$S$2:$S$5000,0)),"")</f>
        <v/>
      </c>
      <c r="Q98" s="126" t="str">
        <f>IFERROR(INDEX(EQA.CAP_Dados!Q$2:Q$5000,MATCH(ROW()-4,EQA.CAP_Dados!$S$2:$S$5000,0)),"")</f>
        <v/>
      </c>
      <c r="R98" t="str">
        <f>IFERROR(INDEX(EQA.CAP_Dados!R$2:R$5000,MATCH(ROW()-4,EQA.CAP_Dados!$S$2:$S$5000,0)),"")</f>
        <v/>
      </c>
    </row>
    <row r="99" spans="1:18" x14ac:dyDescent="0.3">
      <c r="A99" t="str">
        <f>IFERROR(INDEX(EQA.CAP_Dados!A$2:A$5000,MATCH(ROW()-4,EQA.CAP_Dados!$S$2:$S$5000,0)),"")</f>
        <v/>
      </c>
      <c r="B99" t="str">
        <f>IFERROR(INDEX(EQA.CAP_Dados!B$2:B$5000,MATCH(ROW()-4,EQA.CAP_Dados!$S$2:$S$5000,0)),"")</f>
        <v/>
      </c>
      <c r="C99" s="126" t="str">
        <f>IFERROR(INDEX(EQA.CAP_Dados!C$2:C$5000,MATCH(ROW()-4,EQA.CAP_Dados!$S$2:$S$5000,0)),"")</f>
        <v/>
      </c>
      <c r="D99" t="str">
        <f>IFERROR(INDEX(EQA.CAP_Dados!D$2:D$5000,MATCH(ROW()-4,EQA.CAP_Dados!$S$2:$S$5000,0)),"")</f>
        <v/>
      </c>
      <c r="E99" t="str">
        <f>IFERROR(INDEX(EQA.CAP_Dados!E$2:E$5000,MATCH(ROW()-4,EQA.CAP_Dados!$S$2:$S$5000,0)),"")</f>
        <v/>
      </c>
      <c r="F99" s="137" t="str">
        <f>IFERROR(INDEX(EQA.CAP_Dados!F$2:F$5000,MATCH(ROW()-4,EQA.CAP_Dados!$S$2:$S$5000,0)),"")</f>
        <v/>
      </c>
      <c r="G99" s="138" t="str">
        <f>IFERROR(INDEX(EQA.CAP_Dados!G$2:G$5000,MATCH(ROW()-4,EQA.CAP_Dados!$S$2:$S$5000,0)),"")</f>
        <v/>
      </c>
      <c r="H99" s="138" t="str">
        <f>IFERROR(INDEX(EQA.CAP_Dados!H$2:H$5000,MATCH(ROW()-4,EQA.CAP_Dados!$S$2:$S$5000,0)),"")</f>
        <v/>
      </c>
      <c r="I99" s="139" t="str">
        <f>IFERROR(INDEX(EQA.CAP_Dados!I$2:I$5000,MATCH(ROW()-4,EQA.CAP_Dados!$S$2:$S$5000,0)),"")</f>
        <v/>
      </c>
      <c r="J99" s="137" t="str">
        <f>IFERROR(INDEX(EQA.CAP_Dados!J$2:J$5000,MATCH(ROW()-4,EQA.CAP_Dados!$S$2:$S$5000,0)),"")</f>
        <v/>
      </c>
      <c r="K99" s="137" t="str">
        <f>IFERROR(INDEX(EQA.CAP_Dados!K$2:K$5000,MATCH(ROW()-4,EQA.CAP_Dados!$S$2:$S$5000,0)),"")</f>
        <v/>
      </c>
      <c r="L99" t="str">
        <f>IFERROR(INDEX(EQA.CAP_Dados!L$2:L$5000,MATCH(ROW()-4,EQA.CAP_Dados!$S$2:$S$5000,0)),"")</f>
        <v/>
      </c>
      <c r="M99" s="126" t="str">
        <f>IFERROR(INDEX(EQA.CAP_Dados!M$2:M$5000,MATCH(ROW()-4,EQA.CAP_Dados!$S$2:$S$5000,0)),"")</f>
        <v/>
      </c>
      <c r="N99" t="str">
        <f>IFERROR(INDEX(EQA.CAP_Dados!N$2:N$5000,MATCH(ROW()-4,EQA.CAP_Dados!$S$2:$S$5000,0)),"")</f>
        <v/>
      </c>
      <c r="O99" s="137" t="str">
        <f>IFERROR(INDEX(EQA.CAP_Dados!O$2:O$5000,MATCH(ROW()-4,EQA.CAP_Dados!$S$2:$S$5000,0)),"")</f>
        <v/>
      </c>
      <c r="P99" s="137" t="str">
        <f>IFERROR(INDEX(EQA.CAP_Dados!P$2:P$5000,MATCH(ROW()-4,EQA.CAP_Dados!$S$2:$S$5000,0)),"")</f>
        <v/>
      </c>
      <c r="Q99" s="126" t="str">
        <f>IFERROR(INDEX(EQA.CAP_Dados!Q$2:Q$5000,MATCH(ROW()-4,EQA.CAP_Dados!$S$2:$S$5000,0)),"")</f>
        <v/>
      </c>
      <c r="R99" t="str">
        <f>IFERROR(INDEX(EQA.CAP_Dados!R$2:R$5000,MATCH(ROW()-4,EQA.CAP_Dados!$S$2:$S$5000,0)),"")</f>
        <v/>
      </c>
    </row>
    <row r="100" spans="1:18" x14ac:dyDescent="0.3">
      <c r="A100" t="str">
        <f>IFERROR(INDEX(EQA.CAP_Dados!A$2:A$5000,MATCH(ROW()-4,EQA.CAP_Dados!$S$2:$S$5000,0)),"")</f>
        <v/>
      </c>
      <c r="B100" t="str">
        <f>IFERROR(INDEX(EQA.CAP_Dados!B$2:B$5000,MATCH(ROW()-4,EQA.CAP_Dados!$S$2:$S$5000,0)),"")</f>
        <v/>
      </c>
      <c r="C100" s="126" t="str">
        <f>IFERROR(INDEX(EQA.CAP_Dados!C$2:C$5000,MATCH(ROW()-4,EQA.CAP_Dados!$S$2:$S$5000,0)),"")</f>
        <v/>
      </c>
      <c r="D100" t="str">
        <f>IFERROR(INDEX(EQA.CAP_Dados!D$2:D$5000,MATCH(ROW()-4,EQA.CAP_Dados!$S$2:$S$5000,0)),"")</f>
        <v/>
      </c>
      <c r="E100" t="str">
        <f>IFERROR(INDEX(EQA.CAP_Dados!E$2:E$5000,MATCH(ROW()-4,EQA.CAP_Dados!$S$2:$S$5000,0)),"")</f>
        <v/>
      </c>
      <c r="F100" s="137" t="str">
        <f>IFERROR(INDEX(EQA.CAP_Dados!F$2:F$5000,MATCH(ROW()-4,EQA.CAP_Dados!$S$2:$S$5000,0)),"")</f>
        <v/>
      </c>
      <c r="G100" s="138" t="str">
        <f>IFERROR(INDEX(EQA.CAP_Dados!G$2:G$5000,MATCH(ROW()-4,EQA.CAP_Dados!$S$2:$S$5000,0)),"")</f>
        <v/>
      </c>
      <c r="H100" s="138" t="str">
        <f>IFERROR(INDEX(EQA.CAP_Dados!H$2:H$5000,MATCH(ROW()-4,EQA.CAP_Dados!$S$2:$S$5000,0)),"")</f>
        <v/>
      </c>
      <c r="I100" s="139" t="str">
        <f>IFERROR(INDEX(EQA.CAP_Dados!I$2:I$5000,MATCH(ROW()-4,EQA.CAP_Dados!$S$2:$S$5000,0)),"")</f>
        <v/>
      </c>
      <c r="J100" s="137" t="str">
        <f>IFERROR(INDEX(EQA.CAP_Dados!J$2:J$5000,MATCH(ROW()-4,EQA.CAP_Dados!$S$2:$S$5000,0)),"")</f>
        <v/>
      </c>
      <c r="K100" s="137" t="str">
        <f>IFERROR(INDEX(EQA.CAP_Dados!K$2:K$5000,MATCH(ROW()-4,EQA.CAP_Dados!$S$2:$S$5000,0)),"")</f>
        <v/>
      </c>
      <c r="L100" t="str">
        <f>IFERROR(INDEX(EQA.CAP_Dados!L$2:L$5000,MATCH(ROW()-4,EQA.CAP_Dados!$S$2:$S$5000,0)),"")</f>
        <v/>
      </c>
      <c r="M100" s="126" t="str">
        <f>IFERROR(INDEX(EQA.CAP_Dados!M$2:M$5000,MATCH(ROW()-4,EQA.CAP_Dados!$S$2:$S$5000,0)),"")</f>
        <v/>
      </c>
      <c r="N100" t="str">
        <f>IFERROR(INDEX(EQA.CAP_Dados!N$2:N$5000,MATCH(ROW()-4,EQA.CAP_Dados!$S$2:$S$5000,0)),"")</f>
        <v/>
      </c>
      <c r="O100" s="137" t="str">
        <f>IFERROR(INDEX(EQA.CAP_Dados!O$2:O$5000,MATCH(ROW()-4,EQA.CAP_Dados!$S$2:$S$5000,0)),"")</f>
        <v/>
      </c>
      <c r="P100" s="137" t="str">
        <f>IFERROR(INDEX(EQA.CAP_Dados!P$2:P$5000,MATCH(ROW()-4,EQA.CAP_Dados!$S$2:$S$5000,0)),"")</f>
        <v/>
      </c>
      <c r="Q100" s="126" t="str">
        <f>IFERROR(INDEX(EQA.CAP_Dados!Q$2:Q$5000,MATCH(ROW()-4,EQA.CAP_Dados!$S$2:$S$5000,0)),"")</f>
        <v/>
      </c>
      <c r="R100" t="str">
        <f>IFERROR(INDEX(EQA.CAP_Dados!R$2:R$5000,MATCH(ROW()-4,EQA.CAP_Dados!$S$2:$S$5000,0)),"")</f>
        <v/>
      </c>
    </row>
    <row r="101" spans="1:18" x14ac:dyDescent="0.3">
      <c r="A101" t="str">
        <f>IFERROR(INDEX(EQA.CAP_Dados!A$2:A$5000,MATCH(ROW()-4,EQA.CAP_Dados!$S$2:$S$5000,0)),"")</f>
        <v/>
      </c>
      <c r="B101" t="str">
        <f>IFERROR(INDEX(EQA.CAP_Dados!B$2:B$5000,MATCH(ROW()-4,EQA.CAP_Dados!$S$2:$S$5000,0)),"")</f>
        <v/>
      </c>
      <c r="C101" s="126" t="str">
        <f>IFERROR(INDEX(EQA.CAP_Dados!C$2:C$5000,MATCH(ROW()-4,EQA.CAP_Dados!$S$2:$S$5000,0)),"")</f>
        <v/>
      </c>
      <c r="D101" t="str">
        <f>IFERROR(INDEX(EQA.CAP_Dados!D$2:D$5000,MATCH(ROW()-4,EQA.CAP_Dados!$S$2:$S$5000,0)),"")</f>
        <v/>
      </c>
      <c r="E101" t="str">
        <f>IFERROR(INDEX(EQA.CAP_Dados!E$2:E$5000,MATCH(ROW()-4,EQA.CAP_Dados!$S$2:$S$5000,0)),"")</f>
        <v/>
      </c>
      <c r="F101" s="137" t="str">
        <f>IFERROR(INDEX(EQA.CAP_Dados!F$2:F$5000,MATCH(ROW()-4,EQA.CAP_Dados!$S$2:$S$5000,0)),"")</f>
        <v/>
      </c>
      <c r="G101" s="138" t="str">
        <f>IFERROR(INDEX(EQA.CAP_Dados!G$2:G$5000,MATCH(ROW()-4,EQA.CAP_Dados!$S$2:$S$5000,0)),"")</f>
        <v/>
      </c>
      <c r="H101" s="138" t="str">
        <f>IFERROR(INDEX(EQA.CAP_Dados!H$2:H$5000,MATCH(ROW()-4,EQA.CAP_Dados!$S$2:$S$5000,0)),"")</f>
        <v/>
      </c>
      <c r="I101" s="139" t="str">
        <f>IFERROR(INDEX(EQA.CAP_Dados!I$2:I$5000,MATCH(ROW()-4,EQA.CAP_Dados!$S$2:$S$5000,0)),"")</f>
        <v/>
      </c>
      <c r="J101" s="137" t="str">
        <f>IFERROR(INDEX(EQA.CAP_Dados!J$2:J$5000,MATCH(ROW()-4,EQA.CAP_Dados!$S$2:$S$5000,0)),"")</f>
        <v/>
      </c>
      <c r="K101" s="137" t="str">
        <f>IFERROR(INDEX(EQA.CAP_Dados!K$2:K$5000,MATCH(ROW()-4,EQA.CAP_Dados!$S$2:$S$5000,0)),"")</f>
        <v/>
      </c>
      <c r="L101" t="str">
        <f>IFERROR(INDEX(EQA.CAP_Dados!L$2:L$5000,MATCH(ROW()-4,EQA.CAP_Dados!$S$2:$S$5000,0)),"")</f>
        <v/>
      </c>
      <c r="M101" s="126" t="str">
        <f>IFERROR(INDEX(EQA.CAP_Dados!M$2:M$5000,MATCH(ROW()-4,EQA.CAP_Dados!$S$2:$S$5000,0)),"")</f>
        <v/>
      </c>
      <c r="N101" t="str">
        <f>IFERROR(INDEX(EQA.CAP_Dados!N$2:N$5000,MATCH(ROW()-4,EQA.CAP_Dados!$S$2:$S$5000,0)),"")</f>
        <v/>
      </c>
      <c r="O101" s="137" t="str">
        <f>IFERROR(INDEX(EQA.CAP_Dados!O$2:O$5000,MATCH(ROW()-4,EQA.CAP_Dados!$S$2:$S$5000,0)),"")</f>
        <v/>
      </c>
      <c r="P101" s="137" t="str">
        <f>IFERROR(INDEX(EQA.CAP_Dados!P$2:P$5000,MATCH(ROW()-4,EQA.CAP_Dados!$S$2:$S$5000,0)),"")</f>
        <v/>
      </c>
      <c r="Q101" s="126" t="str">
        <f>IFERROR(INDEX(EQA.CAP_Dados!Q$2:Q$5000,MATCH(ROW()-4,EQA.CAP_Dados!$S$2:$S$5000,0)),"")</f>
        <v/>
      </c>
      <c r="R101" t="str">
        <f>IFERROR(INDEX(EQA.CAP_Dados!R$2:R$5000,MATCH(ROW()-4,EQA.CAP_Dados!$S$2:$S$5000,0)),"")</f>
        <v/>
      </c>
    </row>
    <row r="102" spans="1:18" x14ac:dyDescent="0.3">
      <c r="A102" t="str">
        <f>IFERROR(INDEX(EQA.CAP_Dados!A$2:A$5000,MATCH(ROW()-4,EQA.CAP_Dados!$S$2:$S$5000,0)),"")</f>
        <v/>
      </c>
      <c r="B102" t="str">
        <f>IFERROR(INDEX(EQA.CAP_Dados!B$2:B$5000,MATCH(ROW()-4,EQA.CAP_Dados!$S$2:$S$5000,0)),"")</f>
        <v/>
      </c>
      <c r="C102" s="126" t="str">
        <f>IFERROR(INDEX(EQA.CAP_Dados!C$2:C$5000,MATCH(ROW()-4,EQA.CAP_Dados!$S$2:$S$5000,0)),"")</f>
        <v/>
      </c>
      <c r="D102" t="str">
        <f>IFERROR(INDEX(EQA.CAP_Dados!D$2:D$5000,MATCH(ROW()-4,EQA.CAP_Dados!$S$2:$S$5000,0)),"")</f>
        <v/>
      </c>
      <c r="E102" t="str">
        <f>IFERROR(INDEX(EQA.CAP_Dados!E$2:E$5000,MATCH(ROW()-4,EQA.CAP_Dados!$S$2:$S$5000,0)),"")</f>
        <v/>
      </c>
      <c r="F102" s="137" t="str">
        <f>IFERROR(INDEX(EQA.CAP_Dados!F$2:F$5000,MATCH(ROW()-4,EQA.CAP_Dados!$S$2:$S$5000,0)),"")</f>
        <v/>
      </c>
      <c r="G102" s="138" t="str">
        <f>IFERROR(INDEX(EQA.CAP_Dados!G$2:G$5000,MATCH(ROW()-4,EQA.CAP_Dados!$S$2:$S$5000,0)),"")</f>
        <v/>
      </c>
      <c r="H102" s="138" t="str">
        <f>IFERROR(INDEX(EQA.CAP_Dados!H$2:H$5000,MATCH(ROW()-4,EQA.CAP_Dados!$S$2:$S$5000,0)),"")</f>
        <v/>
      </c>
      <c r="I102" s="139" t="str">
        <f>IFERROR(INDEX(EQA.CAP_Dados!I$2:I$5000,MATCH(ROW()-4,EQA.CAP_Dados!$S$2:$S$5000,0)),"")</f>
        <v/>
      </c>
      <c r="J102" s="137" t="str">
        <f>IFERROR(INDEX(EQA.CAP_Dados!J$2:J$5000,MATCH(ROW()-4,EQA.CAP_Dados!$S$2:$S$5000,0)),"")</f>
        <v/>
      </c>
      <c r="K102" s="137" t="str">
        <f>IFERROR(INDEX(EQA.CAP_Dados!K$2:K$5000,MATCH(ROW()-4,EQA.CAP_Dados!$S$2:$S$5000,0)),"")</f>
        <v/>
      </c>
      <c r="L102" t="str">
        <f>IFERROR(INDEX(EQA.CAP_Dados!L$2:L$5000,MATCH(ROW()-4,EQA.CAP_Dados!$S$2:$S$5000,0)),"")</f>
        <v/>
      </c>
      <c r="M102" s="126" t="str">
        <f>IFERROR(INDEX(EQA.CAP_Dados!M$2:M$5000,MATCH(ROW()-4,EQA.CAP_Dados!$S$2:$S$5000,0)),"")</f>
        <v/>
      </c>
      <c r="N102" t="str">
        <f>IFERROR(INDEX(EQA.CAP_Dados!N$2:N$5000,MATCH(ROW()-4,EQA.CAP_Dados!$S$2:$S$5000,0)),"")</f>
        <v/>
      </c>
      <c r="O102" s="137" t="str">
        <f>IFERROR(INDEX(EQA.CAP_Dados!O$2:O$5000,MATCH(ROW()-4,EQA.CAP_Dados!$S$2:$S$5000,0)),"")</f>
        <v/>
      </c>
      <c r="P102" s="137" t="str">
        <f>IFERROR(INDEX(EQA.CAP_Dados!P$2:P$5000,MATCH(ROW()-4,EQA.CAP_Dados!$S$2:$S$5000,0)),"")</f>
        <v/>
      </c>
      <c r="Q102" s="126" t="str">
        <f>IFERROR(INDEX(EQA.CAP_Dados!Q$2:Q$5000,MATCH(ROW()-4,EQA.CAP_Dados!$S$2:$S$5000,0)),"")</f>
        <v/>
      </c>
      <c r="R102" t="str">
        <f>IFERROR(INDEX(EQA.CAP_Dados!R$2:R$5000,MATCH(ROW()-4,EQA.CAP_Dados!$S$2:$S$5000,0)),"")</f>
        <v/>
      </c>
    </row>
    <row r="103" spans="1:18" x14ac:dyDescent="0.3">
      <c r="A103" t="str">
        <f>IFERROR(INDEX(EQA.CAP_Dados!A$2:A$5000,MATCH(ROW()-4,EQA.CAP_Dados!$S$2:$S$5000,0)),"")</f>
        <v/>
      </c>
      <c r="B103" t="str">
        <f>IFERROR(INDEX(EQA.CAP_Dados!B$2:B$5000,MATCH(ROW()-4,EQA.CAP_Dados!$S$2:$S$5000,0)),"")</f>
        <v/>
      </c>
      <c r="C103" s="126" t="str">
        <f>IFERROR(INDEX(EQA.CAP_Dados!C$2:C$5000,MATCH(ROW()-4,EQA.CAP_Dados!$S$2:$S$5000,0)),"")</f>
        <v/>
      </c>
      <c r="D103" t="str">
        <f>IFERROR(INDEX(EQA.CAP_Dados!D$2:D$5000,MATCH(ROW()-4,EQA.CAP_Dados!$S$2:$S$5000,0)),"")</f>
        <v/>
      </c>
      <c r="E103" t="str">
        <f>IFERROR(INDEX(EQA.CAP_Dados!E$2:E$5000,MATCH(ROW()-4,EQA.CAP_Dados!$S$2:$S$5000,0)),"")</f>
        <v/>
      </c>
      <c r="F103" s="137" t="str">
        <f>IFERROR(INDEX(EQA.CAP_Dados!F$2:F$5000,MATCH(ROW()-4,EQA.CAP_Dados!$S$2:$S$5000,0)),"")</f>
        <v/>
      </c>
      <c r="G103" s="138" t="str">
        <f>IFERROR(INDEX(EQA.CAP_Dados!G$2:G$5000,MATCH(ROW()-4,EQA.CAP_Dados!$S$2:$S$5000,0)),"")</f>
        <v/>
      </c>
      <c r="H103" s="138" t="str">
        <f>IFERROR(INDEX(EQA.CAP_Dados!H$2:H$5000,MATCH(ROW()-4,EQA.CAP_Dados!$S$2:$S$5000,0)),"")</f>
        <v/>
      </c>
      <c r="I103" s="139" t="str">
        <f>IFERROR(INDEX(EQA.CAP_Dados!I$2:I$5000,MATCH(ROW()-4,EQA.CAP_Dados!$S$2:$S$5000,0)),"")</f>
        <v/>
      </c>
      <c r="J103" s="137" t="str">
        <f>IFERROR(INDEX(EQA.CAP_Dados!J$2:J$5000,MATCH(ROW()-4,EQA.CAP_Dados!$S$2:$S$5000,0)),"")</f>
        <v/>
      </c>
      <c r="K103" s="137" t="str">
        <f>IFERROR(INDEX(EQA.CAP_Dados!K$2:K$5000,MATCH(ROW()-4,EQA.CAP_Dados!$S$2:$S$5000,0)),"")</f>
        <v/>
      </c>
      <c r="L103" t="str">
        <f>IFERROR(INDEX(EQA.CAP_Dados!L$2:L$5000,MATCH(ROW()-4,EQA.CAP_Dados!$S$2:$S$5000,0)),"")</f>
        <v/>
      </c>
      <c r="M103" s="126" t="str">
        <f>IFERROR(INDEX(EQA.CAP_Dados!M$2:M$5000,MATCH(ROW()-4,EQA.CAP_Dados!$S$2:$S$5000,0)),"")</f>
        <v/>
      </c>
      <c r="N103" t="str">
        <f>IFERROR(INDEX(EQA.CAP_Dados!N$2:N$5000,MATCH(ROW()-4,EQA.CAP_Dados!$S$2:$S$5000,0)),"")</f>
        <v/>
      </c>
      <c r="O103" s="137" t="str">
        <f>IFERROR(INDEX(EQA.CAP_Dados!O$2:O$5000,MATCH(ROW()-4,EQA.CAP_Dados!$S$2:$S$5000,0)),"")</f>
        <v/>
      </c>
      <c r="P103" s="137" t="str">
        <f>IFERROR(INDEX(EQA.CAP_Dados!P$2:P$5000,MATCH(ROW()-4,EQA.CAP_Dados!$S$2:$S$5000,0)),"")</f>
        <v/>
      </c>
      <c r="Q103" s="126" t="str">
        <f>IFERROR(INDEX(EQA.CAP_Dados!Q$2:Q$5000,MATCH(ROW()-4,EQA.CAP_Dados!$S$2:$S$5000,0)),"")</f>
        <v/>
      </c>
      <c r="R103" t="str">
        <f>IFERROR(INDEX(EQA.CAP_Dados!R$2:R$5000,MATCH(ROW()-4,EQA.CAP_Dados!$S$2:$S$5000,0)),"")</f>
        <v/>
      </c>
    </row>
    <row r="104" spans="1:18" x14ac:dyDescent="0.3">
      <c r="A104" t="str">
        <f>IFERROR(INDEX(EQA.CAP_Dados!A$2:A$5000,MATCH(ROW()-4,EQA.CAP_Dados!$S$2:$S$5000,0)),"")</f>
        <v/>
      </c>
      <c r="B104" t="str">
        <f>IFERROR(INDEX(EQA.CAP_Dados!B$2:B$5000,MATCH(ROW()-4,EQA.CAP_Dados!$S$2:$S$5000,0)),"")</f>
        <v/>
      </c>
      <c r="C104" s="126" t="str">
        <f>IFERROR(INDEX(EQA.CAP_Dados!C$2:C$5000,MATCH(ROW()-4,EQA.CAP_Dados!$S$2:$S$5000,0)),"")</f>
        <v/>
      </c>
      <c r="D104" t="str">
        <f>IFERROR(INDEX(EQA.CAP_Dados!D$2:D$5000,MATCH(ROW()-4,EQA.CAP_Dados!$S$2:$S$5000,0)),"")</f>
        <v/>
      </c>
      <c r="E104" t="str">
        <f>IFERROR(INDEX(EQA.CAP_Dados!E$2:E$5000,MATCH(ROW()-4,EQA.CAP_Dados!$S$2:$S$5000,0)),"")</f>
        <v/>
      </c>
      <c r="F104" s="137" t="str">
        <f>IFERROR(INDEX(EQA.CAP_Dados!F$2:F$5000,MATCH(ROW()-4,EQA.CAP_Dados!$S$2:$S$5000,0)),"")</f>
        <v/>
      </c>
      <c r="G104" s="138" t="str">
        <f>IFERROR(INDEX(EQA.CAP_Dados!G$2:G$5000,MATCH(ROW()-4,EQA.CAP_Dados!$S$2:$S$5000,0)),"")</f>
        <v/>
      </c>
      <c r="H104" s="138" t="str">
        <f>IFERROR(INDEX(EQA.CAP_Dados!H$2:H$5000,MATCH(ROW()-4,EQA.CAP_Dados!$S$2:$S$5000,0)),"")</f>
        <v/>
      </c>
      <c r="I104" s="139" t="str">
        <f>IFERROR(INDEX(EQA.CAP_Dados!I$2:I$5000,MATCH(ROW()-4,EQA.CAP_Dados!$S$2:$S$5000,0)),"")</f>
        <v/>
      </c>
      <c r="J104" s="137" t="str">
        <f>IFERROR(INDEX(EQA.CAP_Dados!J$2:J$5000,MATCH(ROW()-4,EQA.CAP_Dados!$S$2:$S$5000,0)),"")</f>
        <v/>
      </c>
      <c r="K104" s="137" t="str">
        <f>IFERROR(INDEX(EQA.CAP_Dados!K$2:K$5000,MATCH(ROW()-4,EQA.CAP_Dados!$S$2:$S$5000,0)),"")</f>
        <v/>
      </c>
      <c r="L104" t="str">
        <f>IFERROR(INDEX(EQA.CAP_Dados!L$2:L$5000,MATCH(ROW()-4,EQA.CAP_Dados!$S$2:$S$5000,0)),"")</f>
        <v/>
      </c>
      <c r="M104" s="126" t="str">
        <f>IFERROR(INDEX(EQA.CAP_Dados!M$2:M$5000,MATCH(ROW()-4,EQA.CAP_Dados!$S$2:$S$5000,0)),"")</f>
        <v/>
      </c>
      <c r="N104" t="str">
        <f>IFERROR(INDEX(EQA.CAP_Dados!N$2:N$5000,MATCH(ROW()-4,EQA.CAP_Dados!$S$2:$S$5000,0)),"")</f>
        <v/>
      </c>
      <c r="O104" s="137" t="str">
        <f>IFERROR(INDEX(EQA.CAP_Dados!O$2:O$5000,MATCH(ROW()-4,EQA.CAP_Dados!$S$2:$S$5000,0)),"")</f>
        <v/>
      </c>
      <c r="P104" s="137" t="str">
        <f>IFERROR(INDEX(EQA.CAP_Dados!P$2:P$5000,MATCH(ROW()-4,EQA.CAP_Dados!$S$2:$S$5000,0)),"")</f>
        <v/>
      </c>
      <c r="Q104" s="126" t="str">
        <f>IFERROR(INDEX(EQA.CAP_Dados!Q$2:Q$5000,MATCH(ROW()-4,EQA.CAP_Dados!$S$2:$S$5000,0)),"")</f>
        <v/>
      </c>
      <c r="R104" t="str">
        <f>IFERROR(INDEX(EQA.CAP_Dados!R$2:R$5000,MATCH(ROW()-4,EQA.CAP_Dados!$S$2:$S$5000,0)),"")</f>
        <v/>
      </c>
    </row>
    <row r="105" spans="1:18" x14ac:dyDescent="0.3">
      <c r="A105" t="str">
        <f>IFERROR(INDEX(EQA.CAP_Dados!A$2:A$5000,MATCH(ROW()-4,EQA.CAP_Dados!$S$2:$S$5000,0)),"")</f>
        <v/>
      </c>
      <c r="B105" t="str">
        <f>IFERROR(INDEX(EQA.CAP_Dados!B$2:B$5000,MATCH(ROW()-4,EQA.CAP_Dados!$S$2:$S$5000,0)),"")</f>
        <v/>
      </c>
      <c r="C105" s="126" t="str">
        <f>IFERROR(INDEX(EQA.CAP_Dados!C$2:C$5000,MATCH(ROW()-4,EQA.CAP_Dados!$S$2:$S$5000,0)),"")</f>
        <v/>
      </c>
      <c r="D105" t="str">
        <f>IFERROR(INDEX(EQA.CAP_Dados!D$2:D$5000,MATCH(ROW()-4,EQA.CAP_Dados!$S$2:$S$5000,0)),"")</f>
        <v/>
      </c>
      <c r="E105" t="str">
        <f>IFERROR(INDEX(EQA.CAP_Dados!E$2:E$5000,MATCH(ROW()-4,EQA.CAP_Dados!$S$2:$S$5000,0)),"")</f>
        <v/>
      </c>
      <c r="F105" s="137" t="str">
        <f>IFERROR(INDEX(EQA.CAP_Dados!F$2:F$5000,MATCH(ROW()-4,EQA.CAP_Dados!$S$2:$S$5000,0)),"")</f>
        <v/>
      </c>
      <c r="G105" s="138" t="str">
        <f>IFERROR(INDEX(EQA.CAP_Dados!G$2:G$5000,MATCH(ROW()-4,EQA.CAP_Dados!$S$2:$S$5000,0)),"")</f>
        <v/>
      </c>
      <c r="H105" s="138" t="str">
        <f>IFERROR(INDEX(EQA.CAP_Dados!H$2:H$5000,MATCH(ROW()-4,EQA.CAP_Dados!$S$2:$S$5000,0)),"")</f>
        <v/>
      </c>
      <c r="I105" s="139" t="str">
        <f>IFERROR(INDEX(EQA.CAP_Dados!I$2:I$5000,MATCH(ROW()-4,EQA.CAP_Dados!$S$2:$S$5000,0)),"")</f>
        <v/>
      </c>
      <c r="J105" s="137" t="str">
        <f>IFERROR(INDEX(EQA.CAP_Dados!J$2:J$5000,MATCH(ROW()-4,EQA.CAP_Dados!$S$2:$S$5000,0)),"")</f>
        <v/>
      </c>
      <c r="K105" s="137" t="str">
        <f>IFERROR(INDEX(EQA.CAP_Dados!K$2:K$5000,MATCH(ROW()-4,EQA.CAP_Dados!$S$2:$S$5000,0)),"")</f>
        <v/>
      </c>
      <c r="L105" t="str">
        <f>IFERROR(INDEX(EQA.CAP_Dados!L$2:L$5000,MATCH(ROW()-4,EQA.CAP_Dados!$S$2:$S$5000,0)),"")</f>
        <v/>
      </c>
      <c r="M105" s="126" t="str">
        <f>IFERROR(INDEX(EQA.CAP_Dados!M$2:M$5000,MATCH(ROW()-4,EQA.CAP_Dados!$S$2:$S$5000,0)),"")</f>
        <v/>
      </c>
      <c r="N105" t="str">
        <f>IFERROR(INDEX(EQA.CAP_Dados!N$2:N$5000,MATCH(ROW()-4,EQA.CAP_Dados!$S$2:$S$5000,0)),"")</f>
        <v/>
      </c>
      <c r="O105" s="137" t="str">
        <f>IFERROR(INDEX(EQA.CAP_Dados!O$2:O$5000,MATCH(ROW()-4,EQA.CAP_Dados!$S$2:$S$5000,0)),"")</f>
        <v/>
      </c>
      <c r="P105" s="137" t="str">
        <f>IFERROR(INDEX(EQA.CAP_Dados!P$2:P$5000,MATCH(ROW()-4,EQA.CAP_Dados!$S$2:$S$5000,0)),"")</f>
        <v/>
      </c>
      <c r="Q105" s="126" t="str">
        <f>IFERROR(INDEX(EQA.CAP_Dados!Q$2:Q$5000,MATCH(ROW()-4,EQA.CAP_Dados!$S$2:$S$5000,0)),"")</f>
        <v/>
      </c>
      <c r="R105" t="str">
        <f>IFERROR(INDEX(EQA.CAP_Dados!R$2:R$5000,MATCH(ROW()-4,EQA.CAP_Dados!$S$2:$S$5000,0)),"")</f>
        <v/>
      </c>
    </row>
    <row r="106" spans="1:18" x14ac:dyDescent="0.3">
      <c r="A106" t="str">
        <f>IFERROR(INDEX(EQA.CAP_Dados!A$2:A$5000,MATCH(ROW()-4,EQA.CAP_Dados!$S$2:$S$5000,0)),"")</f>
        <v/>
      </c>
      <c r="B106" t="str">
        <f>IFERROR(INDEX(EQA.CAP_Dados!B$2:B$5000,MATCH(ROW()-4,EQA.CAP_Dados!$S$2:$S$5000,0)),"")</f>
        <v/>
      </c>
      <c r="C106" s="126" t="str">
        <f>IFERROR(INDEX(EQA.CAP_Dados!C$2:C$5000,MATCH(ROW()-4,EQA.CAP_Dados!$S$2:$S$5000,0)),"")</f>
        <v/>
      </c>
      <c r="D106" t="str">
        <f>IFERROR(INDEX(EQA.CAP_Dados!D$2:D$5000,MATCH(ROW()-4,EQA.CAP_Dados!$S$2:$S$5000,0)),"")</f>
        <v/>
      </c>
      <c r="E106" t="str">
        <f>IFERROR(INDEX(EQA.CAP_Dados!E$2:E$5000,MATCH(ROW()-4,EQA.CAP_Dados!$S$2:$S$5000,0)),"")</f>
        <v/>
      </c>
      <c r="F106" s="137" t="str">
        <f>IFERROR(INDEX(EQA.CAP_Dados!F$2:F$5000,MATCH(ROW()-4,EQA.CAP_Dados!$S$2:$S$5000,0)),"")</f>
        <v/>
      </c>
      <c r="G106" s="138" t="str">
        <f>IFERROR(INDEX(EQA.CAP_Dados!G$2:G$5000,MATCH(ROW()-4,EQA.CAP_Dados!$S$2:$S$5000,0)),"")</f>
        <v/>
      </c>
      <c r="H106" s="138" t="str">
        <f>IFERROR(INDEX(EQA.CAP_Dados!H$2:H$5000,MATCH(ROW()-4,EQA.CAP_Dados!$S$2:$S$5000,0)),"")</f>
        <v/>
      </c>
      <c r="I106" s="139" t="str">
        <f>IFERROR(INDEX(EQA.CAP_Dados!I$2:I$5000,MATCH(ROW()-4,EQA.CAP_Dados!$S$2:$S$5000,0)),"")</f>
        <v/>
      </c>
      <c r="J106" s="137" t="str">
        <f>IFERROR(INDEX(EQA.CAP_Dados!J$2:J$5000,MATCH(ROW()-4,EQA.CAP_Dados!$S$2:$S$5000,0)),"")</f>
        <v/>
      </c>
      <c r="K106" s="137" t="str">
        <f>IFERROR(INDEX(EQA.CAP_Dados!K$2:K$5000,MATCH(ROW()-4,EQA.CAP_Dados!$S$2:$S$5000,0)),"")</f>
        <v/>
      </c>
      <c r="L106" t="str">
        <f>IFERROR(INDEX(EQA.CAP_Dados!L$2:L$5000,MATCH(ROW()-4,EQA.CAP_Dados!$S$2:$S$5000,0)),"")</f>
        <v/>
      </c>
      <c r="M106" s="126" t="str">
        <f>IFERROR(INDEX(EQA.CAP_Dados!M$2:M$5000,MATCH(ROW()-4,EQA.CAP_Dados!$S$2:$S$5000,0)),"")</f>
        <v/>
      </c>
      <c r="N106" t="str">
        <f>IFERROR(INDEX(EQA.CAP_Dados!N$2:N$5000,MATCH(ROW()-4,EQA.CAP_Dados!$S$2:$S$5000,0)),"")</f>
        <v/>
      </c>
      <c r="O106" s="137" t="str">
        <f>IFERROR(INDEX(EQA.CAP_Dados!O$2:O$5000,MATCH(ROW()-4,EQA.CAP_Dados!$S$2:$S$5000,0)),"")</f>
        <v/>
      </c>
      <c r="P106" s="137" t="str">
        <f>IFERROR(INDEX(EQA.CAP_Dados!P$2:P$5000,MATCH(ROW()-4,EQA.CAP_Dados!$S$2:$S$5000,0)),"")</f>
        <v/>
      </c>
      <c r="Q106" s="126" t="str">
        <f>IFERROR(INDEX(EQA.CAP_Dados!Q$2:Q$5000,MATCH(ROW()-4,EQA.CAP_Dados!$S$2:$S$5000,0)),"")</f>
        <v/>
      </c>
      <c r="R106" t="str">
        <f>IFERROR(INDEX(EQA.CAP_Dados!R$2:R$5000,MATCH(ROW()-4,EQA.CAP_Dados!$S$2:$S$5000,0)),"")</f>
        <v/>
      </c>
    </row>
    <row r="107" spans="1:18" x14ac:dyDescent="0.3">
      <c r="A107" t="str">
        <f>IFERROR(INDEX(EQA.CAP_Dados!A$2:A$5000,MATCH(ROW()-4,EQA.CAP_Dados!$S$2:$S$5000,0)),"")</f>
        <v/>
      </c>
      <c r="B107" t="str">
        <f>IFERROR(INDEX(EQA.CAP_Dados!B$2:B$5000,MATCH(ROW()-4,EQA.CAP_Dados!$S$2:$S$5000,0)),"")</f>
        <v/>
      </c>
      <c r="C107" s="126" t="str">
        <f>IFERROR(INDEX(EQA.CAP_Dados!C$2:C$5000,MATCH(ROW()-4,EQA.CAP_Dados!$S$2:$S$5000,0)),"")</f>
        <v/>
      </c>
      <c r="D107" t="str">
        <f>IFERROR(INDEX(EQA.CAP_Dados!D$2:D$5000,MATCH(ROW()-4,EQA.CAP_Dados!$S$2:$S$5000,0)),"")</f>
        <v/>
      </c>
      <c r="E107" t="str">
        <f>IFERROR(INDEX(EQA.CAP_Dados!E$2:E$5000,MATCH(ROW()-4,EQA.CAP_Dados!$S$2:$S$5000,0)),"")</f>
        <v/>
      </c>
      <c r="F107" s="137" t="str">
        <f>IFERROR(INDEX(EQA.CAP_Dados!F$2:F$5000,MATCH(ROW()-4,EQA.CAP_Dados!$S$2:$S$5000,0)),"")</f>
        <v/>
      </c>
      <c r="G107" s="138" t="str">
        <f>IFERROR(INDEX(EQA.CAP_Dados!G$2:G$5000,MATCH(ROW()-4,EQA.CAP_Dados!$S$2:$S$5000,0)),"")</f>
        <v/>
      </c>
      <c r="H107" s="138" t="str">
        <f>IFERROR(INDEX(EQA.CAP_Dados!H$2:H$5000,MATCH(ROW()-4,EQA.CAP_Dados!$S$2:$S$5000,0)),"")</f>
        <v/>
      </c>
      <c r="I107" s="139" t="str">
        <f>IFERROR(INDEX(EQA.CAP_Dados!I$2:I$5000,MATCH(ROW()-4,EQA.CAP_Dados!$S$2:$S$5000,0)),"")</f>
        <v/>
      </c>
      <c r="J107" s="137" t="str">
        <f>IFERROR(INDEX(EQA.CAP_Dados!J$2:J$5000,MATCH(ROW()-4,EQA.CAP_Dados!$S$2:$S$5000,0)),"")</f>
        <v/>
      </c>
      <c r="K107" s="137" t="str">
        <f>IFERROR(INDEX(EQA.CAP_Dados!K$2:K$5000,MATCH(ROW()-4,EQA.CAP_Dados!$S$2:$S$5000,0)),"")</f>
        <v/>
      </c>
      <c r="L107" t="str">
        <f>IFERROR(INDEX(EQA.CAP_Dados!L$2:L$5000,MATCH(ROW()-4,EQA.CAP_Dados!$S$2:$S$5000,0)),"")</f>
        <v/>
      </c>
      <c r="M107" s="126" t="str">
        <f>IFERROR(INDEX(EQA.CAP_Dados!M$2:M$5000,MATCH(ROW()-4,EQA.CAP_Dados!$S$2:$S$5000,0)),"")</f>
        <v/>
      </c>
      <c r="N107" t="str">
        <f>IFERROR(INDEX(EQA.CAP_Dados!N$2:N$5000,MATCH(ROW()-4,EQA.CAP_Dados!$S$2:$S$5000,0)),"")</f>
        <v/>
      </c>
      <c r="O107" s="137" t="str">
        <f>IFERROR(INDEX(EQA.CAP_Dados!O$2:O$5000,MATCH(ROW()-4,EQA.CAP_Dados!$S$2:$S$5000,0)),"")</f>
        <v/>
      </c>
      <c r="P107" s="137" t="str">
        <f>IFERROR(INDEX(EQA.CAP_Dados!P$2:P$5000,MATCH(ROW()-4,EQA.CAP_Dados!$S$2:$S$5000,0)),"")</f>
        <v/>
      </c>
      <c r="Q107" s="126" t="str">
        <f>IFERROR(INDEX(EQA.CAP_Dados!Q$2:Q$5000,MATCH(ROW()-4,EQA.CAP_Dados!$S$2:$S$5000,0)),"")</f>
        <v/>
      </c>
      <c r="R107" t="str">
        <f>IFERROR(INDEX(EQA.CAP_Dados!R$2:R$5000,MATCH(ROW()-4,EQA.CAP_Dados!$S$2:$S$5000,0)),"")</f>
        <v/>
      </c>
    </row>
    <row r="108" spans="1:18" x14ac:dyDescent="0.3">
      <c r="A108" t="str">
        <f>IFERROR(INDEX(EQA.CAP_Dados!A$2:A$5000,MATCH(ROW()-4,EQA.CAP_Dados!$S$2:$S$5000,0)),"")</f>
        <v/>
      </c>
      <c r="B108" t="str">
        <f>IFERROR(INDEX(EQA.CAP_Dados!B$2:B$5000,MATCH(ROW()-4,EQA.CAP_Dados!$S$2:$S$5000,0)),"")</f>
        <v/>
      </c>
      <c r="C108" s="126" t="str">
        <f>IFERROR(INDEX(EQA.CAP_Dados!C$2:C$5000,MATCH(ROW()-4,EQA.CAP_Dados!$S$2:$S$5000,0)),"")</f>
        <v/>
      </c>
      <c r="D108" t="str">
        <f>IFERROR(INDEX(EQA.CAP_Dados!D$2:D$5000,MATCH(ROW()-4,EQA.CAP_Dados!$S$2:$S$5000,0)),"")</f>
        <v/>
      </c>
      <c r="E108" t="str">
        <f>IFERROR(INDEX(EQA.CAP_Dados!E$2:E$5000,MATCH(ROW()-4,EQA.CAP_Dados!$S$2:$S$5000,0)),"")</f>
        <v/>
      </c>
      <c r="F108" s="137" t="str">
        <f>IFERROR(INDEX(EQA.CAP_Dados!F$2:F$5000,MATCH(ROW()-4,EQA.CAP_Dados!$S$2:$S$5000,0)),"")</f>
        <v/>
      </c>
      <c r="G108" s="138" t="str">
        <f>IFERROR(INDEX(EQA.CAP_Dados!G$2:G$5000,MATCH(ROW()-4,EQA.CAP_Dados!$S$2:$S$5000,0)),"")</f>
        <v/>
      </c>
      <c r="H108" s="138" t="str">
        <f>IFERROR(INDEX(EQA.CAP_Dados!H$2:H$5000,MATCH(ROW()-4,EQA.CAP_Dados!$S$2:$S$5000,0)),"")</f>
        <v/>
      </c>
      <c r="I108" s="139" t="str">
        <f>IFERROR(INDEX(EQA.CAP_Dados!I$2:I$5000,MATCH(ROW()-4,EQA.CAP_Dados!$S$2:$S$5000,0)),"")</f>
        <v/>
      </c>
      <c r="J108" s="137" t="str">
        <f>IFERROR(INDEX(EQA.CAP_Dados!J$2:J$5000,MATCH(ROW()-4,EQA.CAP_Dados!$S$2:$S$5000,0)),"")</f>
        <v/>
      </c>
      <c r="K108" s="137" t="str">
        <f>IFERROR(INDEX(EQA.CAP_Dados!K$2:K$5000,MATCH(ROW()-4,EQA.CAP_Dados!$S$2:$S$5000,0)),"")</f>
        <v/>
      </c>
      <c r="L108" t="str">
        <f>IFERROR(INDEX(EQA.CAP_Dados!L$2:L$5000,MATCH(ROW()-4,EQA.CAP_Dados!$S$2:$S$5000,0)),"")</f>
        <v/>
      </c>
      <c r="M108" s="126" t="str">
        <f>IFERROR(INDEX(EQA.CAP_Dados!M$2:M$5000,MATCH(ROW()-4,EQA.CAP_Dados!$S$2:$S$5000,0)),"")</f>
        <v/>
      </c>
      <c r="N108" t="str">
        <f>IFERROR(INDEX(EQA.CAP_Dados!N$2:N$5000,MATCH(ROW()-4,EQA.CAP_Dados!$S$2:$S$5000,0)),"")</f>
        <v/>
      </c>
      <c r="O108" s="137" t="str">
        <f>IFERROR(INDEX(EQA.CAP_Dados!O$2:O$5000,MATCH(ROW()-4,EQA.CAP_Dados!$S$2:$S$5000,0)),"")</f>
        <v/>
      </c>
      <c r="P108" s="137" t="str">
        <f>IFERROR(INDEX(EQA.CAP_Dados!P$2:P$5000,MATCH(ROW()-4,EQA.CAP_Dados!$S$2:$S$5000,0)),"")</f>
        <v/>
      </c>
      <c r="Q108" s="126" t="str">
        <f>IFERROR(INDEX(EQA.CAP_Dados!Q$2:Q$5000,MATCH(ROW()-4,EQA.CAP_Dados!$S$2:$S$5000,0)),"")</f>
        <v/>
      </c>
      <c r="R108" t="str">
        <f>IFERROR(INDEX(EQA.CAP_Dados!R$2:R$5000,MATCH(ROW()-4,EQA.CAP_Dados!$S$2:$S$5000,0)),"")</f>
        <v/>
      </c>
    </row>
    <row r="109" spans="1:18" x14ac:dyDescent="0.3">
      <c r="A109" t="str">
        <f>IFERROR(INDEX(EQA.CAP_Dados!A$2:A$5000,MATCH(ROW()-4,EQA.CAP_Dados!$S$2:$S$5000,0)),"")</f>
        <v/>
      </c>
      <c r="B109" t="str">
        <f>IFERROR(INDEX(EQA.CAP_Dados!B$2:B$5000,MATCH(ROW()-4,EQA.CAP_Dados!$S$2:$S$5000,0)),"")</f>
        <v/>
      </c>
      <c r="C109" s="126" t="str">
        <f>IFERROR(INDEX(EQA.CAP_Dados!C$2:C$5000,MATCH(ROW()-4,EQA.CAP_Dados!$S$2:$S$5000,0)),"")</f>
        <v/>
      </c>
      <c r="D109" t="str">
        <f>IFERROR(INDEX(EQA.CAP_Dados!D$2:D$5000,MATCH(ROW()-4,EQA.CAP_Dados!$S$2:$S$5000,0)),"")</f>
        <v/>
      </c>
      <c r="E109" t="str">
        <f>IFERROR(INDEX(EQA.CAP_Dados!E$2:E$5000,MATCH(ROW()-4,EQA.CAP_Dados!$S$2:$S$5000,0)),"")</f>
        <v/>
      </c>
      <c r="F109" s="137" t="str">
        <f>IFERROR(INDEX(EQA.CAP_Dados!F$2:F$5000,MATCH(ROW()-4,EQA.CAP_Dados!$S$2:$S$5000,0)),"")</f>
        <v/>
      </c>
      <c r="G109" s="138" t="str">
        <f>IFERROR(INDEX(EQA.CAP_Dados!G$2:G$5000,MATCH(ROW()-4,EQA.CAP_Dados!$S$2:$S$5000,0)),"")</f>
        <v/>
      </c>
      <c r="H109" s="138" t="str">
        <f>IFERROR(INDEX(EQA.CAP_Dados!H$2:H$5000,MATCH(ROW()-4,EQA.CAP_Dados!$S$2:$S$5000,0)),"")</f>
        <v/>
      </c>
      <c r="I109" s="139" t="str">
        <f>IFERROR(INDEX(EQA.CAP_Dados!I$2:I$5000,MATCH(ROW()-4,EQA.CAP_Dados!$S$2:$S$5000,0)),"")</f>
        <v/>
      </c>
      <c r="J109" s="137" t="str">
        <f>IFERROR(INDEX(EQA.CAP_Dados!J$2:J$5000,MATCH(ROW()-4,EQA.CAP_Dados!$S$2:$S$5000,0)),"")</f>
        <v/>
      </c>
      <c r="K109" s="137" t="str">
        <f>IFERROR(INDEX(EQA.CAP_Dados!K$2:K$5000,MATCH(ROW()-4,EQA.CAP_Dados!$S$2:$S$5000,0)),"")</f>
        <v/>
      </c>
      <c r="L109" t="str">
        <f>IFERROR(INDEX(EQA.CAP_Dados!L$2:L$5000,MATCH(ROW()-4,EQA.CAP_Dados!$S$2:$S$5000,0)),"")</f>
        <v/>
      </c>
      <c r="M109" s="126" t="str">
        <f>IFERROR(INDEX(EQA.CAP_Dados!M$2:M$5000,MATCH(ROW()-4,EQA.CAP_Dados!$S$2:$S$5000,0)),"")</f>
        <v/>
      </c>
      <c r="N109" t="str">
        <f>IFERROR(INDEX(EQA.CAP_Dados!N$2:N$5000,MATCH(ROW()-4,EQA.CAP_Dados!$S$2:$S$5000,0)),"")</f>
        <v/>
      </c>
      <c r="O109" s="137" t="str">
        <f>IFERROR(INDEX(EQA.CAP_Dados!O$2:O$5000,MATCH(ROW()-4,EQA.CAP_Dados!$S$2:$S$5000,0)),"")</f>
        <v/>
      </c>
      <c r="P109" s="137" t="str">
        <f>IFERROR(INDEX(EQA.CAP_Dados!P$2:P$5000,MATCH(ROW()-4,EQA.CAP_Dados!$S$2:$S$5000,0)),"")</f>
        <v/>
      </c>
      <c r="Q109" s="126" t="str">
        <f>IFERROR(INDEX(EQA.CAP_Dados!Q$2:Q$5000,MATCH(ROW()-4,EQA.CAP_Dados!$S$2:$S$5000,0)),"")</f>
        <v/>
      </c>
      <c r="R109" t="str">
        <f>IFERROR(INDEX(EQA.CAP_Dados!R$2:R$5000,MATCH(ROW()-4,EQA.CAP_Dados!$S$2:$S$5000,0)),"")</f>
        <v/>
      </c>
    </row>
    <row r="110" spans="1:18" x14ac:dyDescent="0.3">
      <c r="A110" t="str">
        <f>IFERROR(INDEX(EQA.CAP_Dados!A$2:A$5000,MATCH(ROW()-4,EQA.CAP_Dados!$S$2:$S$5000,0)),"")</f>
        <v/>
      </c>
      <c r="B110" t="str">
        <f>IFERROR(INDEX(EQA.CAP_Dados!B$2:B$5000,MATCH(ROW()-4,EQA.CAP_Dados!$S$2:$S$5000,0)),"")</f>
        <v/>
      </c>
      <c r="C110" s="126" t="str">
        <f>IFERROR(INDEX(EQA.CAP_Dados!C$2:C$5000,MATCH(ROW()-4,EQA.CAP_Dados!$S$2:$S$5000,0)),"")</f>
        <v/>
      </c>
      <c r="D110" t="str">
        <f>IFERROR(INDEX(EQA.CAP_Dados!D$2:D$5000,MATCH(ROW()-4,EQA.CAP_Dados!$S$2:$S$5000,0)),"")</f>
        <v/>
      </c>
      <c r="E110" t="str">
        <f>IFERROR(INDEX(EQA.CAP_Dados!E$2:E$5000,MATCH(ROW()-4,EQA.CAP_Dados!$S$2:$S$5000,0)),"")</f>
        <v/>
      </c>
      <c r="F110" s="137" t="str">
        <f>IFERROR(INDEX(EQA.CAP_Dados!F$2:F$5000,MATCH(ROW()-4,EQA.CAP_Dados!$S$2:$S$5000,0)),"")</f>
        <v/>
      </c>
      <c r="G110" s="138" t="str">
        <f>IFERROR(INDEX(EQA.CAP_Dados!G$2:G$5000,MATCH(ROW()-4,EQA.CAP_Dados!$S$2:$S$5000,0)),"")</f>
        <v/>
      </c>
      <c r="H110" s="138" t="str">
        <f>IFERROR(INDEX(EQA.CAP_Dados!H$2:H$5000,MATCH(ROW()-4,EQA.CAP_Dados!$S$2:$S$5000,0)),"")</f>
        <v/>
      </c>
      <c r="I110" s="139" t="str">
        <f>IFERROR(INDEX(EQA.CAP_Dados!I$2:I$5000,MATCH(ROW()-4,EQA.CAP_Dados!$S$2:$S$5000,0)),"")</f>
        <v/>
      </c>
      <c r="J110" s="137" t="str">
        <f>IFERROR(INDEX(EQA.CAP_Dados!J$2:J$5000,MATCH(ROW()-4,EQA.CAP_Dados!$S$2:$S$5000,0)),"")</f>
        <v/>
      </c>
      <c r="K110" s="137" t="str">
        <f>IFERROR(INDEX(EQA.CAP_Dados!K$2:K$5000,MATCH(ROW()-4,EQA.CAP_Dados!$S$2:$S$5000,0)),"")</f>
        <v/>
      </c>
      <c r="L110" t="str">
        <f>IFERROR(INDEX(EQA.CAP_Dados!L$2:L$5000,MATCH(ROW()-4,EQA.CAP_Dados!$S$2:$S$5000,0)),"")</f>
        <v/>
      </c>
      <c r="M110" s="126" t="str">
        <f>IFERROR(INDEX(EQA.CAP_Dados!M$2:M$5000,MATCH(ROW()-4,EQA.CAP_Dados!$S$2:$S$5000,0)),"")</f>
        <v/>
      </c>
      <c r="N110" t="str">
        <f>IFERROR(INDEX(EQA.CAP_Dados!N$2:N$5000,MATCH(ROW()-4,EQA.CAP_Dados!$S$2:$S$5000,0)),"")</f>
        <v/>
      </c>
      <c r="O110" s="137" t="str">
        <f>IFERROR(INDEX(EQA.CAP_Dados!O$2:O$5000,MATCH(ROW()-4,EQA.CAP_Dados!$S$2:$S$5000,0)),"")</f>
        <v/>
      </c>
      <c r="P110" s="137" t="str">
        <f>IFERROR(INDEX(EQA.CAP_Dados!P$2:P$5000,MATCH(ROW()-4,EQA.CAP_Dados!$S$2:$S$5000,0)),"")</f>
        <v/>
      </c>
      <c r="Q110" s="126" t="str">
        <f>IFERROR(INDEX(EQA.CAP_Dados!Q$2:Q$5000,MATCH(ROW()-4,EQA.CAP_Dados!$S$2:$S$5000,0)),"")</f>
        <v/>
      </c>
      <c r="R110" t="str">
        <f>IFERROR(INDEX(EQA.CAP_Dados!R$2:R$5000,MATCH(ROW()-4,EQA.CAP_Dados!$S$2:$S$5000,0)),"")</f>
        <v/>
      </c>
    </row>
    <row r="111" spans="1:18" x14ac:dyDescent="0.3">
      <c r="A111" t="str">
        <f>IFERROR(INDEX(EQA.CAP_Dados!A$2:A$5000,MATCH(ROW()-4,EQA.CAP_Dados!$S$2:$S$5000,0)),"")</f>
        <v/>
      </c>
      <c r="B111" t="str">
        <f>IFERROR(INDEX(EQA.CAP_Dados!B$2:B$5000,MATCH(ROW()-4,EQA.CAP_Dados!$S$2:$S$5000,0)),"")</f>
        <v/>
      </c>
      <c r="C111" s="126" t="str">
        <f>IFERROR(INDEX(EQA.CAP_Dados!C$2:C$5000,MATCH(ROW()-4,EQA.CAP_Dados!$S$2:$S$5000,0)),"")</f>
        <v/>
      </c>
      <c r="D111" t="str">
        <f>IFERROR(INDEX(EQA.CAP_Dados!D$2:D$5000,MATCH(ROW()-4,EQA.CAP_Dados!$S$2:$S$5000,0)),"")</f>
        <v/>
      </c>
      <c r="E111" t="str">
        <f>IFERROR(INDEX(EQA.CAP_Dados!E$2:E$5000,MATCH(ROW()-4,EQA.CAP_Dados!$S$2:$S$5000,0)),"")</f>
        <v/>
      </c>
      <c r="F111" s="137" t="str">
        <f>IFERROR(INDEX(EQA.CAP_Dados!F$2:F$5000,MATCH(ROW()-4,EQA.CAP_Dados!$S$2:$S$5000,0)),"")</f>
        <v/>
      </c>
      <c r="G111" s="138" t="str">
        <f>IFERROR(INDEX(EQA.CAP_Dados!G$2:G$5000,MATCH(ROW()-4,EQA.CAP_Dados!$S$2:$S$5000,0)),"")</f>
        <v/>
      </c>
      <c r="H111" s="138" t="str">
        <f>IFERROR(INDEX(EQA.CAP_Dados!H$2:H$5000,MATCH(ROW()-4,EQA.CAP_Dados!$S$2:$S$5000,0)),"")</f>
        <v/>
      </c>
      <c r="I111" s="139" t="str">
        <f>IFERROR(INDEX(EQA.CAP_Dados!I$2:I$5000,MATCH(ROW()-4,EQA.CAP_Dados!$S$2:$S$5000,0)),"")</f>
        <v/>
      </c>
      <c r="J111" s="137" t="str">
        <f>IFERROR(INDEX(EQA.CAP_Dados!J$2:J$5000,MATCH(ROW()-4,EQA.CAP_Dados!$S$2:$S$5000,0)),"")</f>
        <v/>
      </c>
      <c r="K111" s="137" t="str">
        <f>IFERROR(INDEX(EQA.CAP_Dados!K$2:K$5000,MATCH(ROW()-4,EQA.CAP_Dados!$S$2:$S$5000,0)),"")</f>
        <v/>
      </c>
      <c r="L111" t="str">
        <f>IFERROR(INDEX(EQA.CAP_Dados!L$2:L$5000,MATCH(ROW()-4,EQA.CAP_Dados!$S$2:$S$5000,0)),"")</f>
        <v/>
      </c>
      <c r="M111" s="126" t="str">
        <f>IFERROR(INDEX(EQA.CAP_Dados!M$2:M$5000,MATCH(ROW()-4,EQA.CAP_Dados!$S$2:$S$5000,0)),"")</f>
        <v/>
      </c>
      <c r="N111" t="str">
        <f>IFERROR(INDEX(EQA.CAP_Dados!N$2:N$5000,MATCH(ROW()-4,EQA.CAP_Dados!$S$2:$S$5000,0)),"")</f>
        <v/>
      </c>
      <c r="O111" s="137" t="str">
        <f>IFERROR(INDEX(EQA.CAP_Dados!O$2:O$5000,MATCH(ROW()-4,EQA.CAP_Dados!$S$2:$S$5000,0)),"")</f>
        <v/>
      </c>
      <c r="P111" s="137" t="str">
        <f>IFERROR(INDEX(EQA.CAP_Dados!P$2:P$5000,MATCH(ROW()-4,EQA.CAP_Dados!$S$2:$S$5000,0)),"")</f>
        <v/>
      </c>
      <c r="Q111" s="126" t="str">
        <f>IFERROR(INDEX(EQA.CAP_Dados!Q$2:Q$5000,MATCH(ROW()-4,EQA.CAP_Dados!$S$2:$S$5000,0)),"")</f>
        <v/>
      </c>
      <c r="R111" t="str">
        <f>IFERROR(INDEX(EQA.CAP_Dados!R$2:R$5000,MATCH(ROW()-4,EQA.CAP_Dados!$S$2:$S$5000,0)),"")</f>
        <v/>
      </c>
    </row>
    <row r="112" spans="1:18" x14ac:dyDescent="0.3">
      <c r="A112" t="str">
        <f>IFERROR(INDEX(EQA.CAP_Dados!A$2:A$5000,MATCH(ROW()-4,EQA.CAP_Dados!$S$2:$S$5000,0)),"")</f>
        <v/>
      </c>
      <c r="B112" t="str">
        <f>IFERROR(INDEX(EQA.CAP_Dados!B$2:B$5000,MATCH(ROW()-4,EQA.CAP_Dados!$S$2:$S$5000,0)),"")</f>
        <v/>
      </c>
      <c r="C112" s="126" t="str">
        <f>IFERROR(INDEX(EQA.CAP_Dados!C$2:C$5000,MATCH(ROW()-4,EQA.CAP_Dados!$S$2:$S$5000,0)),"")</f>
        <v/>
      </c>
      <c r="D112" t="str">
        <f>IFERROR(INDEX(EQA.CAP_Dados!D$2:D$5000,MATCH(ROW()-4,EQA.CAP_Dados!$S$2:$S$5000,0)),"")</f>
        <v/>
      </c>
      <c r="E112" t="str">
        <f>IFERROR(INDEX(EQA.CAP_Dados!E$2:E$5000,MATCH(ROW()-4,EQA.CAP_Dados!$S$2:$S$5000,0)),"")</f>
        <v/>
      </c>
      <c r="F112" s="137" t="str">
        <f>IFERROR(INDEX(EQA.CAP_Dados!F$2:F$5000,MATCH(ROW()-4,EQA.CAP_Dados!$S$2:$S$5000,0)),"")</f>
        <v/>
      </c>
      <c r="G112" s="138" t="str">
        <f>IFERROR(INDEX(EQA.CAP_Dados!G$2:G$5000,MATCH(ROW()-4,EQA.CAP_Dados!$S$2:$S$5000,0)),"")</f>
        <v/>
      </c>
      <c r="H112" s="138" t="str">
        <f>IFERROR(INDEX(EQA.CAP_Dados!H$2:H$5000,MATCH(ROW()-4,EQA.CAP_Dados!$S$2:$S$5000,0)),"")</f>
        <v/>
      </c>
      <c r="I112" s="139" t="str">
        <f>IFERROR(INDEX(EQA.CAP_Dados!I$2:I$5000,MATCH(ROW()-4,EQA.CAP_Dados!$S$2:$S$5000,0)),"")</f>
        <v/>
      </c>
      <c r="J112" s="137" t="str">
        <f>IFERROR(INDEX(EQA.CAP_Dados!J$2:J$5000,MATCH(ROW()-4,EQA.CAP_Dados!$S$2:$S$5000,0)),"")</f>
        <v/>
      </c>
      <c r="K112" s="137" t="str">
        <f>IFERROR(INDEX(EQA.CAP_Dados!K$2:K$5000,MATCH(ROW()-4,EQA.CAP_Dados!$S$2:$S$5000,0)),"")</f>
        <v/>
      </c>
      <c r="L112" t="str">
        <f>IFERROR(INDEX(EQA.CAP_Dados!L$2:L$5000,MATCH(ROW()-4,EQA.CAP_Dados!$S$2:$S$5000,0)),"")</f>
        <v/>
      </c>
      <c r="M112" s="126" t="str">
        <f>IFERROR(INDEX(EQA.CAP_Dados!M$2:M$5000,MATCH(ROW()-4,EQA.CAP_Dados!$S$2:$S$5000,0)),"")</f>
        <v/>
      </c>
      <c r="N112" t="str">
        <f>IFERROR(INDEX(EQA.CAP_Dados!N$2:N$5000,MATCH(ROW()-4,EQA.CAP_Dados!$S$2:$S$5000,0)),"")</f>
        <v/>
      </c>
      <c r="O112" s="137" t="str">
        <f>IFERROR(INDEX(EQA.CAP_Dados!O$2:O$5000,MATCH(ROW()-4,EQA.CAP_Dados!$S$2:$S$5000,0)),"")</f>
        <v/>
      </c>
      <c r="P112" s="137" t="str">
        <f>IFERROR(INDEX(EQA.CAP_Dados!P$2:P$5000,MATCH(ROW()-4,EQA.CAP_Dados!$S$2:$S$5000,0)),"")</f>
        <v/>
      </c>
      <c r="Q112" s="126" t="str">
        <f>IFERROR(INDEX(EQA.CAP_Dados!Q$2:Q$5000,MATCH(ROW()-4,EQA.CAP_Dados!$S$2:$S$5000,0)),"")</f>
        <v/>
      </c>
      <c r="R112" t="str">
        <f>IFERROR(INDEX(EQA.CAP_Dados!R$2:R$5000,MATCH(ROW()-4,EQA.CAP_Dados!$S$2:$S$5000,0)),"")</f>
        <v/>
      </c>
    </row>
    <row r="113" spans="1:18" x14ac:dyDescent="0.3">
      <c r="A113" t="str">
        <f>IFERROR(INDEX(EQA.CAP_Dados!A$2:A$5000,MATCH(ROW()-4,EQA.CAP_Dados!$S$2:$S$5000,0)),"")</f>
        <v/>
      </c>
      <c r="B113" t="str">
        <f>IFERROR(INDEX(EQA.CAP_Dados!B$2:B$5000,MATCH(ROW()-4,EQA.CAP_Dados!$S$2:$S$5000,0)),"")</f>
        <v/>
      </c>
      <c r="C113" s="126" t="str">
        <f>IFERROR(INDEX(EQA.CAP_Dados!C$2:C$5000,MATCH(ROW()-4,EQA.CAP_Dados!$S$2:$S$5000,0)),"")</f>
        <v/>
      </c>
      <c r="D113" t="str">
        <f>IFERROR(INDEX(EQA.CAP_Dados!D$2:D$5000,MATCH(ROW()-4,EQA.CAP_Dados!$S$2:$S$5000,0)),"")</f>
        <v/>
      </c>
      <c r="E113" t="str">
        <f>IFERROR(INDEX(EQA.CAP_Dados!E$2:E$5000,MATCH(ROW()-4,EQA.CAP_Dados!$S$2:$S$5000,0)),"")</f>
        <v/>
      </c>
      <c r="F113" s="137" t="str">
        <f>IFERROR(INDEX(EQA.CAP_Dados!F$2:F$5000,MATCH(ROW()-4,EQA.CAP_Dados!$S$2:$S$5000,0)),"")</f>
        <v/>
      </c>
      <c r="G113" s="138" t="str">
        <f>IFERROR(INDEX(EQA.CAP_Dados!G$2:G$5000,MATCH(ROW()-4,EQA.CAP_Dados!$S$2:$S$5000,0)),"")</f>
        <v/>
      </c>
      <c r="H113" s="138" t="str">
        <f>IFERROR(INDEX(EQA.CAP_Dados!H$2:H$5000,MATCH(ROW()-4,EQA.CAP_Dados!$S$2:$S$5000,0)),"")</f>
        <v/>
      </c>
      <c r="I113" s="139" t="str">
        <f>IFERROR(INDEX(EQA.CAP_Dados!I$2:I$5000,MATCH(ROW()-4,EQA.CAP_Dados!$S$2:$S$5000,0)),"")</f>
        <v/>
      </c>
      <c r="J113" s="137" t="str">
        <f>IFERROR(INDEX(EQA.CAP_Dados!J$2:J$5000,MATCH(ROW()-4,EQA.CAP_Dados!$S$2:$S$5000,0)),"")</f>
        <v/>
      </c>
      <c r="K113" s="137" t="str">
        <f>IFERROR(INDEX(EQA.CAP_Dados!K$2:K$5000,MATCH(ROW()-4,EQA.CAP_Dados!$S$2:$S$5000,0)),"")</f>
        <v/>
      </c>
      <c r="L113" t="str">
        <f>IFERROR(INDEX(EQA.CAP_Dados!L$2:L$5000,MATCH(ROW()-4,EQA.CAP_Dados!$S$2:$S$5000,0)),"")</f>
        <v/>
      </c>
      <c r="M113" s="126" t="str">
        <f>IFERROR(INDEX(EQA.CAP_Dados!M$2:M$5000,MATCH(ROW()-4,EQA.CAP_Dados!$S$2:$S$5000,0)),"")</f>
        <v/>
      </c>
      <c r="N113" t="str">
        <f>IFERROR(INDEX(EQA.CAP_Dados!N$2:N$5000,MATCH(ROW()-4,EQA.CAP_Dados!$S$2:$S$5000,0)),"")</f>
        <v/>
      </c>
      <c r="O113" s="137" t="str">
        <f>IFERROR(INDEX(EQA.CAP_Dados!O$2:O$5000,MATCH(ROW()-4,EQA.CAP_Dados!$S$2:$S$5000,0)),"")</f>
        <v/>
      </c>
      <c r="P113" s="137" t="str">
        <f>IFERROR(INDEX(EQA.CAP_Dados!P$2:P$5000,MATCH(ROW()-4,EQA.CAP_Dados!$S$2:$S$5000,0)),"")</f>
        <v/>
      </c>
      <c r="Q113" s="126" t="str">
        <f>IFERROR(INDEX(EQA.CAP_Dados!Q$2:Q$5000,MATCH(ROW()-4,EQA.CAP_Dados!$S$2:$S$5000,0)),"")</f>
        <v/>
      </c>
      <c r="R113" t="str">
        <f>IFERROR(INDEX(EQA.CAP_Dados!R$2:R$5000,MATCH(ROW()-4,EQA.CAP_Dados!$S$2:$S$5000,0)),"")</f>
        <v/>
      </c>
    </row>
    <row r="114" spans="1:18" x14ac:dyDescent="0.3">
      <c r="A114" t="str">
        <f>IFERROR(INDEX(EQA.CAP_Dados!A$2:A$5000,MATCH(ROW()-4,EQA.CAP_Dados!$S$2:$S$5000,0)),"")</f>
        <v/>
      </c>
      <c r="B114" t="str">
        <f>IFERROR(INDEX(EQA.CAP_Dados!B$2:B$5000,MATCH(ROW()-4,EQA.CAP_Dados!$S$2:$S$5000,0)),"")</f>
        <v/>
      </c>
      <c r="C114" s="126" t="str">
        <f>IFERROR(INDEX(EQA.CAP_Dados!C$2:C$5000,MATCH(ROW()-4,EQA.CAP_Dados!$S$2:$S$5000,0)),"")</f>
        <v/>
      </c>
      <c r="D114" t="str">
        <f>IFERROR(INDEX(EQA.CAP_Dados!D$2:D$5000,MATCH(ROW()-4,EQA.CAP_Dados!$S$2:$S$5000,0)),"")</f>
        <v/>
      </c>
      <c r="E114" t="str">
        <f>IFERROR(INDEX(EQA.CAP_Dados!E$2:E$5000,MATCH(ROW()-4,EQA.CAP_Dados!$S$2:$S$5000,0)),"")</f>
        <v/>
      </c>
      <c r="F114" s="137" t="str">
        <f>IFERROR(INDEX(EQA.CAP_Dados!F$2:F$5000,MATCH(ROW()-4,EQA.CAP_Dados!$S$2:$S$5000,0)),"")</f>
        <v/>
      </c>
      <c r="G114" s="138" t="str">
        <f>IFERROR(INDEX(EQA.CAP_Dados!G$2:G$5000,MATCH(ROW()-4,EQA.CAP_Dados!$S$2:$S$5000,0)),"")</f>
        <v/>
      </c>
      <c r="H114" s="138" t="str">
        <f>IFERROR(INDEX(EQA.CAP_Dados!H$2:H$5000,MATCH(ROW()-4,EQA.CAP_Dados!$S$2:$S$5000,0)),"")</f>
        <v/>
      </c>
      <c r="I114" s="139" t="str">
        <f>IFERROR(INDEX(EQA.CAP_Dados!I$2:I$5000,MATCH(ROW()-4,EQA.CAP_Dados!$S$2:$S$5000,0)),"")</f>
        <v/>
      </c>
      <c r="J114" s="137" t="str">
        <f>IFERROR(INDEX(EQA.CAP_Dados!J$2:J$5000,MATCH(ROW()-4,EQA.CAP_Dados!$S$2:$S$5000,0)),"")</f>
        <v/>
      </c>
      <c r="K114" s="137" t="str">
        <f>IFERROR(INDEX(EQA.CAP_Dados!K$2:K$5000,MATCH(ROW()-4,EQA.CAP_Dados!$S$2:$S$5000,0)),"")</f>
        <v/>
      </c>
      <c r="L114" t="str">
        <f>IFERROR(INDEX(EQA.CAP_Dados!L$2:L$5000,MATCH(ROW()-4,EQA.CAP_Dados!$S$2:$S$5000,0)),"")</f>
        <v/>
      </c>
      <c r="M114" s="126" t="str">
        <f>IFERROR(INDEX(EQA.CAP_Dados!M$2:M$5000,MATCH(ROW()-4,EQA.CAP_Dados!$S$2:$S$5000,0)),"")</f>
        <v/>
      </c>
      <c r="N114" t="str">
        <f>IFERROR(INDEX(EQA.CAP_Dados!N$2:N$5000,MATCH(ROW()-4,EQA.CAP_Dados!$S$2:$S$5000,0)),"")</f>
        <v/>
      </c>
      <c r="O114" s="137" t="str">
        <f>IFERROR(INDEX(EQA.CAP_Dados!O$2:O$5000,MATCH(ROW()-4,EQA.CAP_Dados!$S$2:$S$5000,0)),"")</f>
        <v/>
      </c>
      <c r="P114" s="137" t="str">
        <f>IFERROR(INDEX(EQA.CAP_Dados!P$2:P$5000,MATCH(ROW()-4,EQA.CAP_Dados!$S$2:$S$5000,0)),"")</f>
        <v/>
      </c>
      <c r="Q114" s="126" t="str">
        <f>IFERROR(INDEX(EQA.CAP_Dados!Q$2:Q$5000,MATCH(ROW()-4,EQA.CAP_Dados!$S$2:$S$5000,0)),"")</f>
        <v/>
      </c>
      <c r="R114" t="str">
        <f>IFERROR(INDEX(EQA.CAP_Dados!R$2:R$5000,MATCH(ROW()-4,EQA.CAP_Dados!$S$2:$S$5000,0)),"")</f>
        <v/>
      </c>
    </row>
    <row r="115" spans="1:18" x14ac:dyDescent="0.3">
      <c r="A115" t="str">
        <f>IFERROR(INDEX(EQA.CAP_Dados!A$2:A$5000,MATCH(ROW()-4,EQA.CAP_Dados!$S$2:$S$5000,0)),"")</f>
        <v/>
      </c>
      <c r="B115" t="str">
        <f>IFERROR(INDEX(EQA.CAP_Dados!B$2:B$5000,MATCH(ROW()-4,EQA.CAP_Dados!$S$2:$S$5000,0)),"")</f>
        <v/>
      </c>
      <c r="C115" s="126" t="str">
        <f>IFERROR(INDEX(EQA.CAP_Dados!C$2:C$5000,MATCH(ROW()-4,EQA.CAP_Dados!$S$2:$S$5000,0)),"")</f>
        <v/>
      </c>
      <c r="D115" t="str">
        <f>IFERROR(INDEX(EQA.CAP_Dados!D$2:D$5000,MATCH(ROW()-4,EQA.CAP_Dados!$S$2:$S$5000,0)),"")</f>
        <v/>
      </c>
      <c r="E115" t="str">
        <f>IFERROR(INDEX(EQA.CAP_Dados!E$2:E$5000,MATCH(ROW()-4,EQA.CAP_Dados!$S$2:$S$5000,0)),"")</f>
        <v/>
      </c>
      <c r="F115" s="137" t="str">
        <f>IFERROR(INDEX(EQA.CAP_Dados!F$2:F$5000,MATCH(ROW()-4,EQA.CAP_Dados!$S$2:$S$5000,0)),"")</f>
        <v/>
      </c>
      <c r="G115" s="138" t="str">
        <f>IFERROR(INDEX(EQA.CAP_Dados!G$2:G$5000,MATCH(ROW()-4,EQA.CAP_Dados!$S$2:$S$5000,0)),"")</f>
        <v/>
      </c>
      <c r="H115" s="138" t="str">
        <f>IFERROR(INDEX(EQA.CAP_Dados!H$2:H$5000,MATCH(ROW()-4,EQA.CAP_Dados!$S$2:$S$5000,0)),"")</f>
        <v/>
      </c>
      <c r="I115" s="139" t="str">
        <f>IFERROR(INDEX(EQA.CAP_Dados!I$2:I$5000,MATCH(ROW()-4,EQA.CAP_Dados!$S$2:$S$5000,0)),"")</f>
        <v/>
      </c>
      <c r="J115" s="137" t="str">
        <f>IFERROR(INDEX(EQA.CAP_Dados!J$2:J$5000,MATCH(ROW()-4,EQA.CAP_Dados!$S$2:$S$5000,0)),"")</f>
        <v/>
      </c>
      <c r="K115" s="137" t="str">
        <f>IFERROR(INDEX(EQA.CAP_Dados!K$2:K$5000,MATCH(ROW()-4,EQA.CAP_Dados!$S$2:$S$5000,0)),"")</f>
        <v/>
      </c>
      <c r="L115" t="str">
        <f>IFERROR(INDEX(EQA.CAP_Dados!L$2:L$5000,MATCH(ROW()-4,EQA.CAP_Dados!$S$2:$S$5000,0)),"")</f>
        <v/>
      </c>
      <c r="M115" s="126" t="str">
        <f>IFERROR(INDEX(EQA.CAP_Dados!M$2:M$5000,MATCH(ROW()-4,EQA.CAP_Dados!$S$2:$S$5000,0)),"")</f>
        <v/>
      </c>
      <c r="N115" t="str">
        <f>IFERROR(INDEX(EQA.CAP_Dados!N$2:N$5000,MATCH(ROW()-4,EQA.CAP_Dados!$S$2:$S$5000,0)),"")</f>
        <v/>
      </c>
      <c r="O115" s="137" t="str">
        <f>IFERROR(INDEX(EQA.CAP_Dados!O$2:O$5000,MATCH(ROW()-4,EQA.CAP_Dados!$S$2:$S$5000,0)),"")</f>
        <v/>
      </c>
      <c r="P115" s="137" t="str">
        <f>IFERROR(INDEX(EQA.CAP_Dados!P$2:P$5000,MATCH(ROW()-4,EQA.CAP_Dados!$S$2:$S$5000,0)),"")</f>
        <v/>
      </c>
      <c r="Q115" s="126" t="str">
        <f>IFERROR(INDEX(EQA.CAP_Dados!Q$2:Q$5000,MATCH(ROW()-4,EQA.CAP_Dados!$S$2:$S$5000,0)),"")</f>
        <v/>
      </c>
      <c r="R115" t="str">
        <f>IFERROR(INDEX(EQA.CAP_Dados!R$2:R$5000,MATCH(ROW()-4,EQA.CAP_Dados!$S$2:$S$5000,0)),"")</f>
        <v/>
      </c>
    </row>
    <row r="116" spans="1:18" x14ac:dyDescent="0.3">
      <c r="A116" t="str">
        <f>IFERROR(INDEX(EQA.CAP_Dados!A$2:A$5000,MATCH(ROW()-4,EQA.CAP_Dados!$S$2:$S$5000,0)),"")</f>
        <v/>
      </c>
      <c r="B116" t="str">
        <f>IFERROR(INDEX(EQA.CAP_Dados!B$2:B$5000,MATCH(ROW()-4,EQA.CAP_Dados!$S$2:$S$5000,0)),"")</f>
        <v/>
      </c>
      <c r="C116" s="126" t="str">
        <f>IFERROR(INDEX(EQA.CAP_Dados!C$2:C$5000,MATCH(ROW()-4,EQA.CAP_Dados!$S$2:$S$5000,0)),"")</f>
        <v/>
      </c>
      <c r="D116" t="str">
        <f>IFERROR(INDEX(EQA.CAP_Dados!D$2:D$5000,MATCH(ROW()-4,EQA.CAP_Dados!$S$2:$S$5000,0)),"")</f>
        <v/>
      </c>
      <c r="E116" t="str">
        <f>IFERROR(INDEX(EQA.CAP_Dados!E$2:E$5000,MATCH(ROW()-4,EQA.CAP_Dados!$S$2:$S$5000,0)),"")</f>
        <v/>
      </c>
      <c r="F116" s="137" t="str">
        <f>IFERROR(INDEX(EQA.CAP_Dados!F$2:F$5000,MATCH(ROW()-4,EQA.CAP_Dados!$S$2:$S$5000,0)),"")</f>
        <v/>
      </c>
      <c r="G116" s="138" t="str">
        <f>IFERROR(INDEX(EQA.CAP_Dados!G$2:G$5000,MATCH(ROW()-4,EQA.CAP_Dados!$S$2:$S$5000,0)),"")</f>
        <v/>
      </c>
      <c r="H116" s="138" t="str">
        <f>IFERROR(INDEX(EQA.CAP_Dados!H$2:H$5000,MATCH(ROW()-4,EQA.CAP_Dados!$S$2:$S$5000,0)),"")</f>
        <v/>
      </c>
      <c r="I116" s="139" t="str">
        <f>IFERROR(INDEX(EQA.CAP_Dados!I$2:I$5000,MATCH(ROW()-4,EQA.CAP_Dados!$S$2:$S$5000,0)),"")</f>
        <v/>
      </c>
      <c r="J116" s="137" t="str">
        <f>IFERROR(INDEX(EQA.CAP_Dados!J$2:J$5000,MATCH(ROW()-4,EQA.CAP_Dados!$S$2:$S$5000,0)),"")</f>
        <v/>
      </c>
      <c r="K116" s="137" t="str">
        <f>IFERROR(INDEX(EQA.CAP_Dados!K$2:K$5000,MATCH(ROW()-4,EQA.CAP_Dados!$S$2:$S$5000,0)),"")</f>
        <v/>
      </c>
      <c r="L116" t="str">
        <f>IFERROR(INDEX(EQA.CAP_Dados!L$2:L$5000,MATCH(ROW()-4,EQA.CAP_Dados!$S$2:$S$5000,0)),"")</f>
        <v/>
      </c>
      <c r="M116" s="126" t="str">
        <f>IFERROR(INDEX(EQA.CAP_Dados!M$2:M$5000,MATCH(ROW()-4,EQA.CAP_Dados!$S$2:$S$5000,0)),"")</f>
        <v/>
      </c>
      <c r="N116" t="str">
        <f>IFERROR(INDEX(EQA.CAP_Dados!N$2:N$5000,MATCH(ROW()-4,EQA.CAP_Dados!$S$2:$S$5000,0)),"")</f>
        <v/>
      </c>
      <c r="O116" s="137" t="str">
        <f>IFERROR(INDEX(EQA.CAP_Dados!O$2:O$5000,MATCH(ROW()-4,EQA.CAP_Dados!$S$2:$S$5000,0)),"")</f>
        <v/>
      </c>
      <c r="P116" s="137" t="str">
        <f>IFERROR(INDEX(EQA.CAP_Dados!P$2:P$5000,MATCH(ROW()-4,EQA.CAP_Dados!$S$2:$S$5000,0)),"")</f>
        <v/>
      </c>
      <c r="Q116" s="126" t="str">
        <f>IFERROR(INDEX(EQA.CAP_Dados!Q$2:Q$5000,MATCH(ROW()-4,EQA.CAP_Dados!$S$2:$S$5000,0)),"")</f>
        <v/>
      </c>
      <c r="R116" t="str">
        <f>IFERROR(INDEX(EQA.CAP_Dados!R$2:R$5000,MATCH(ROW()-4,EQA.CAP_Dados!$S$2:$S$5000,0)),"")</f>
        <v/>
      </c>
    </row>
    <row r="117" spans="1:18" x14ac:dyDescent="0.3">
      <c r="A117" t="str">
        <f>IFERROR(INDEX(EQA.CAP_Dados!A$2:A$5000,MATCH(ROW()-4,EQA.CAP_Dados!$S$2:$S$5000,0)),"")</f>
        <v/>
      </c>
      <c r="B117" t="str">
        <f>IFERROR(INDEX(EQA.CAP_Dados!B$2:B$5000,MATCH(ROW()-4,EQA.CAP_Dados!$S$2:$S$5000,0)),"")</f>
        <v/>
      </c>
      <c r="C117" s="126" t="str">
        <f>IFERROR(INDEX(EQA.CAP_Dados!C$2:C$5000,MATCH(ROW()-4,EQA.CAP_Dados!$S$2:$S$5000,0)),"")</f>
        <v/>
      </c>
      <c r="D117" t="str">
        <f>IFERROR(INDEX(EQA.CAP_Dados!D$2:D$5000,MATCH(ROW()-4,EQA.CAP_Dados!$S$2:$S$5000,0)),"")</f>
        <v/>
      </c>
      <c r="E117" t="str">
        <f>IFERROR(INDEX(EQA.CAP_Dados!E$2:E$5000,MATCH(ROW()-4,EQA.CAP_Dados!$S$2:$S$5000,0)),"")</f>
        <v/>
      </c>
      <c r="F117" s="137" t="str">
        <f>IFERROR(INDEX(EQA.CAP_Dados!F$2:F$5000,MATCH(ROW()-4,EQA.CAP_Dados!$S$2:$S$5000,0)),"")</f>
        <v/>
      </c>
      <c r="G117" s="138" t="str">
        <f>IFERROR(INDEX(EQA.CAP_Dados!G$2:G$5000,MATCH(ROW()-4,EQA.CAP_Dados!$S$2:$S$5000,0)),"")</f>
        <v/>
      </c>
      <c r="H117" s="138" t="str">
        <f>IFERROR(INDEX(EQA.CAP_Dados!H$2:H$5000,MATCH(ROW()-4,EQA.CAP_Dados!$S$2:$S$5000,0)),"")</f>
        <v/>
      </c>
      <c r="I117" s="139" t="str">
        <f>IFERROR(INDEX(EQA.CAP_Dados!I$2:I$5000,MATCH(ROW()-4,EQA.CAP_Dados!$S$2:$S$5000,0)),"")</f>
        <v/>
      </c>
      <c r="J117" s="137" t="str">
        <f>IFERROR(INDEX(EQA.CAP_Dados!J$2:J$5000,MATCH(ROW()-4,EQA.CAP_Dados!$S$2:$S$5000,0)),"")</f>
        <v/>
      </c>
      <c r="K117" s="137" t="str">
        <f>IFERROR(INDEX(EQA.CAP_Dados!K$2:K$5000,MATCH(ROW()-4,EQA.CAP_Dados!$S$2:$S$5000,0)),"")</f>
        <v/>
      </c>
      <c r="L117" t="str">
        <f>IFERROR(INDEX(EQA.CAP_Dados!L$2:L$5000,MATCH(ROW()-4,EQA.CAP_Dados!$S$2:$S$5000,0)),"")</f>
        <v/>
      </c>
      <c r="M117" s="126" t="str">
        <f>IFERROR(INDEX(EQA.CAP_Dados!M$2:M$5000,MATCH(ROW()-4,EQA.CAP_Dados!$S$2:$S$5000,0)),"")</f>
        <v/>
      </c>
      <c r="N117" t="str">
        <f>IFERROR(INDEX(EQA.CAP_Dados!N$2:N$5000,MATCH(ROW()-4,EQA.CAP_Dados!$S$2:$S$5000,0)),"")</f>
        <v/>
      </c>
      <c r="O117" s="137" t="str">
        <f>IFERROR(INDEX(EQA.CAP_Dados!O$2:O$5000,MATCH(ROW()-4,EQA.CAP_Dados!$S$2:$S$5000,0)),"")</f>
        <v/>
      </c>
      <c r="P117" s="137" t="str">
        <f>IFERROR(INDEX(EQA.CAP_Dados!P$2:P$5000,MATCH(ROW()-4,EQA.CAP_Dados!$S$2:$S$5000,0)),"")</f>
        <v/>
      </c>
      <c r="Q117" s="126" t="str">
        <f>IFERROR(INDEX(EQA.CAP_Dados!Q$2:Q$5000,MATCH(ROW()-4,EQA.CAP_Dados!$S$2:$S$5000,0)),"")</f>
        <v/>
      </c>
      <c r="R117" t="str">
        <f>IFERROR(INDEX(EQA.CAP_Dados!R$2:R$5000,MATCH(ROW()-4,EQA.CAP_Dados!$S$2:$S$5000,0)),"")</f>
        <v/>
      </c>
    </row>
    <row r="118" spans="1:18" x14ac:dyDescent="0.3">
      <c r="A118" t="str">
        <f>IFERROR(INDEX(EQA.CAP_Dados!A$2:A$5000,MATCH(ROW()-4,EQA.CAP_Dados!$S$2:$S$5000,0)),"")</f>
        <v/>
      </c>
      <c r="B118" t="str">
        <f>IFERROR(INDEX(EQA.CAP_Dados!B$2:B$5000,MATCH(ROW()-4,EQA.CAP_Dados!$S$2:$S$5000,0)),"")</f>
        <v/>
      </c>
      <c r="C118" s="126" t="str">
        <f>IFERROR(INDEX(EQA.CAP_Dados!C$2:C$5000,MATCH(ROW()-4,EQA.CAP_Dados!$S$2:$S$5000,0)),"")</f>
        <v/>
      </c>
      <c r="D118" t="str">
        <f>IFERROR(INDEX(EQA.CAP_Dados!D$2:D$5000,MATCH(ROW()-4,EQA.CAP_Dados!$S$2:$S$5000,0)),"")</f>
        <v/>
      </c>
      <c r="E118" t="str">
        <f>IFERROR(INDEX(EQA.CAP_Dados!E$2:E$5000,MATCH(ROW()-4,EQA.CAP_Dados!$S$2:$S$5000,0)),"")</f>
        <v/>
      </c>
      <c r="F118" s="137" t="str">
        <f>IFERROR(INDEX(EQA.CAP_Dados!F$2:F$5000,MATCH(ROW()-4,EQA.CAP_Dados!$S$2:$S$5000,0)),"")</f>
        <v/>
      </c>
      <c r="G118" s="138" t="str">
        <f>IFERROR(INDEX(EQA.CAP_Dados!G$2:G$5000,MATCH(ROW()-4,EQA.CAP_Dados!$S$2:$S$5000,0)),"")</f>
        <v/>
      </c>
      <c r="H118" s="138" t="str">
        <f>IFERROR(INDEX(EQA.CAP_Dados!H$2:H$5000,MATCH(ROW()-4,EQA.CAP_Dados!$S$2:$S$5000,0)),"")</f>
        <v/>
      </c>
      <c r="I118" s="139" t="str">
        <f>IFERROR(INDEX(EQA.CAP_Dados!I$2:I$5000,MATCH(ROW()-4,EQA.CAP_Dados!$S$2:$S$5000,0)),"")</f>
        <v/>
      </c>
      <c r="J118" s="137" t="str">
        <f>IFERROR(INDEX(EQA.CAP_Dados!J$2:J$5000,MATCH(ROW()-4,EQA.CAP_Dados!$S$2:$S$5000,0)),"")</f>
        <v/>
      </c>
      <c r="K118" s="137" t="str">
        <f>IFERROR(INDEX(EQA.CAP_Dados!K$2:K$5000,MATCH(ROW()-4,EQA.CAP_Dados!$S$2:$S$5000,0)),"")</f>
        <v/>
      </c>
      <c r="L118" t="str">
        <f>IFERROR(INDEX(EQA.CAP_Dados!L$2:L$5000,MATCH(ROW()-4,EQA.CAP_Dados!$S$2:$S$5000,0)),"")</f>
        <v/>
      </c>
      <c r="M118" s="126" t="str">
        <f>IFERROR(INDEX(EQA.CAP_Dados!M$2:M$5000,MATCH(ROW()-4,EQA.CAP_Dados!$S$2:$S$5000,0)),"")</f>
        <v/>
      </c>
      <c r="N118" t="str">
        <f>IFERROR(INDEX(EQA.CAP_Dados!N$2:N$5000,MATCH(ROW()-4,EQA.CAP_Dados!$S$2:$S$5000,0)),"")</f>
        <v/>
      </c>
      <c r="O118" s="137" t="str">
        <f>IFERROR(INDEX(EQA.CAP_Dados!O$2:O$5000,MATCH(ROW()-4,EQA.CAP_Dados!$S$2:$S$5000,0)),"")</f>
        <v/>
      </c>
      <c r="P118" s="137" t="str">
        <f>IFERROR(INDEX(EQA.CAP_Dados!P$2:P$5000,MATCH(ROW()-4,EQA.CAP_Dados!$S$2:$S$5000,0)),"")</f>
        <v/>
      </c>
      <c r="Q118" s="126" t="str">
        <f>IFERROR(INDEX(EQA.CAP_Dados!Q$2:Q$5000,MATCH(ROW()-4,EQA.CAP_Dados!$S$2:$S$5000,0)),"")</f>
        <v/>
      </c>
      <c r="R118" t="str">
        <f>IFERROR(INDEX(EQA.CAP_Dados!R$2:R$5000,MATCH(ROW()-4,EQA.CAP_Dados!$S$2:$S$5000,0)),"")</f>
        <v/>
      </c>
    </row>
    <row r="119" spans="1:18" x14ac:dyDescent="0.3">
      <c r="A119" t="str">
        <f>IFERROR(INDEX(EQA.CAP_Dados!A$2:A$5000,MATCH(ROW()-4,EQA.CAP_Dados!$S$2:$S$5000,0)),"")</f>
        <v/>
      </c>
      <c r="B119" t="str">
        <f>IFERROR(INDEX(EQA.CAP_Dados!B$2:B$5000,MATCH(ROW()-4,EQA.CAP_Dados!$S$2:$S$5000,0)),"")</f>
        <v/>
      </c>
      <c r="C119" s="126" t="str">
        <f>IFERROR(INDEX(EQA.CAP_Dados!C$2:C$5000,MATCH(ROW()-4,EQA.CAP_Dados!$S$2:$S$5000,0)),"")</f>
        <v/>
      </c>
      <c r="D119" t="str">
        <f>IFERROR(INDEX(EQA.CAP_Dados!D$2:D$5000,MATCH(ROW()-4,EQA.CAP_Dados!$S$2:$S$5000,0)),"")</f>
        <v/>
      </c>
      <c r="E119" t="str">
        <f>IFERROR(INDEX(EQA.CAP_Dados!E$2:E$5000,MATCH(ROW()-4,EQA.CAP_Dados!$S$2:$S$5000,0)),"")</f>
        <v/>
      </c>
      <c r="F119" s="137" t="str">
        <f>IFERROR(INDEX(EQA.CAP_Dados!F$2:F$5000,MATCH(ROW()-4,EQA.CAP_Dados!$S$2:$S$5000,0)),"")</f>
        <v/>
      </c>
      <c r="G119" s="138" t="str">
        <f>IFERROR(INDEX(EQA.CAP_Dados!G$2:G$5000,MATCH(ROW()-4,EQA.CAP_Dados!$S$2:$S$5000,0)),"")</f>
        <v/>
      </c>
      <c r="H119" s="138" t="str">
        <f>IFERROR(INDEX(EQA.CAP_Dados!H$2:H$5000,MATCH(ROW()-4,EQA.CAP_Dados!$S$2:$S$5000,0)),"")</f>
        <v/>
      </c>
      <c r="I119" s="139" t="str">
        <f>IFERROR(INDEX(EQA.CAP_Dados!I$2:I$5000,MATCH(ROW()-4,EQA.CAP_Dados!$S$2:$S$5000,0)),"")</f>
        <v/>
      </c>
      <c r="J119" s="137" t="str">
        <f>IFERROR(INDEX(EQA.CAP_Dados!J$2:J$5000,MATCH(ROW()-4,EQA.CAP_Dados!$S$2:$S$5000,0)),"")</f>
        <v/>
      </c>
      <c r="K119" s="137" t="str">
        <f>IFERROR(INDEX(EQA.CAP_Dados!K$2:K$5000,MATCH(ROW()-4,EQA.CAP_Dados!$S$2:$S$5000,0)),"")</f>
        <v/>
      </c>
      <c r="L119" t="str">
        <f>IFERROR(INDEX(EQA.CAP_Dados!L$2:L$5000,MATCH(ROW()-4,EQA.CAP_Dados!$S$2:$S$5000,0)),"")</f>
        <v/>
      </c>
      <c r="M119" s="126" t="str">
        <f>IFERROR(INDEX(EQA.CAP_Dados!M$2:M$5000,MATCH(ROW()-4,EQA.CAP_Dados!$S$2:$S$5000,0)),"")</f>
        <v/>
      </c>
      <c r="N119" t="str">
        <f>IFERROR(INDEX(EQA.CAP_Dados!N$2:N$5000,MATCH(ROW()-4,EQA.CAP_Dados!$S$2:$S$5000,0)),"")</f>
        <v/>
      </c>
      <c r="O119" s="137" t="str">
        <f>IFERROR(INDEX(EQA.CAP_Dados!O$2:O$5000,MATCH(ROW()-4,EQA.CAP_Dados!$S$2:$S$5000,0)),"")</f>
        <v/>
      </c>
      <c r="P119" s="137" t="str">
        <f>IFERROR(INDEX(EQA.CAP_Dados!P$2:P$5000,MATCH(ROW()-4,EQA.CAP_Dados!$S$2:$S$5000,0)),"")</f>
        <v/>
      </c>
      <c r="Q119" s="126" t="str">
        <f>IFERROR(INDEX(EQA.CAP_Dados!Q$2:Q$5000,MATCH(ROW()-4,EQA.CAP_Dados!$S$2:$S$5000,0)),"")</f>
        <v/>
      </c>
      <c r="R119" t="str">
        <f>IFERROR(INDEX(EQA.CAP_Dados!R$2:R$5000,MATCH(ROW()-4,EQA.CAP_Dados!$S$2:$S$5000,0)),"")</f>
        <v/>
      </c>
    </row>
    <row r="120" spans="1:18" x14ac:dyDescent="0.3">
      <c r="A120" t="str">
        <f>IFERROR(INDEX(EQA.CAP_Dados!A$2:A$5000,MATCH(ROW()-4,EQA.CAP_Dados!$S$2:$S$5000,0)),"")</f>
        <v/>
      </c>
      <c r="B120" t="str">
        <f>IFERROR(INDEX(EQA.CAP_Dados!B$2:B$5000,MATCH(ROW()-4,EQA.CAP_Dados!$S$2:$S$5000,0)),"")</f>
        <v/>
      </c>
      <c r="C120" s="126" t="str">
        <f>IFERROR(INDEX(EQA.CAP_Dados!C$2:C$5000,MATCH(ROW()-4,EQA.CAP_Dados!$S$2:$S$5000,0)),"")</f>
        <v/>
      </c>
      <c r="D120" t="str">
        <f>IFERROR(INDEX(EQA.CAP_Dados!D$2:D$5000,MATCH(ROW()-4,EQA.CAP_Dados!$S$2:$S$5000,0)),"")</f>
        <v/>
      </c>
      <c r="E120" t="str">
        <f>IFERROR(INDEX(EQA.CAP_Dados!E$2:E$5000,MATCH(ROW()-4,EQA.CAP_Dados!$S$2:$S$5000,0)),"")</f>
        <v/>
      </c>
      <c r="F120" s="137" t="str">
        <f>IFERROR(INDEX(EQA.CAP_Dados!F$2:F$5000,MATCH(ROW()-4,EQA.CAP_Dados!$S$2:$S$5000,0)),"")</f>
        <v/>
      </c>
      <c r="G120" s="138" t="str">
        <f>IFERROR(INDEX(EQA.CAP_Dados!G$2:G$5000,MATCH(ROW()-4,EQA.CAP_Dados!$S$2:$S$5000,0)),"")</f>
        <v/>
      </c>
      <c r="H120" s="138" t="str">
        <f>IFERROR(INDEX(EQA.CAP_Dados!H$2:H$5000,MATCH(ROW()-4,EQA.CAP_Dados!$S$2:$S$5000,0)),"")</f>
        <v/>
      </c>
      <c r="I120" s="139" t="str">
        <f>IFERROR(INDEX(EQA.CAP_Dados!I$2:I$5000,MATCH(ROW()-4,EQA.CAP_Dados!$S$2:$S$5000,0)),"")</f>
        <v/>
      </c>
      <c r="J120" s="137" t="str">
        <f>IFERROR(INDEX(EQA.CAP_Dados!J$2:J$5000,MATCH(ROW()-4,EQA.CAP_Dados!$S$2:$S$5000,0)),"")</f>
        <v/>
      </c>
      <c r="K120" s="137" t="str">
        <f>IFERROR(INDEX(EQA.CAP_Dados!K$2:K$5000,MATCH(ROW()-4,EQA.CAP_Dados!$S$2:$S$5000,0)),"")</f>
        <v/>
      </c>
      <c r="L120" t="str">
        <f>IFERROR(INDEX(EQA.CAP_Dados!L$2:L$5000,MATCH(ROW()-4,EQA.CAP_Dados!$S$2:$S$5000,0)),"")</f>
        <v/>
      </c>
      <c r="M120" s="126" t="str">
        <f>IFERROR(INDEX(EQA.CAP_Dados!M$2:M$5000,MATCH(ROW()-4,EQA.CAP_Dados!$S$2:$S$5000,0)),"")</f>
        <v/>
      </c>
      <c r="N120" t="str">
        <f>IFERROR(INDEX(EQA.CAP_Dados!N$2:N$5000,MATCH(ROW()-4,EQA.CAP_Dados!$S$2:$S$5000,0)),"")</f>
        <v/>
      </c>
      <c r="O120" s="137" t="str">
        <f>IFERROR(INDEX(EQA.CAP_Dados!O$2:O$5000,MATCH(ROW()-4,EQA.CAP_Dados!$S$2:$S$5000,0)),"")</f>
        <v/>
      </c>
      <c r="P120" s="137" t="str">
        <f>IFERROR(INDEX(EQA.CAP_Dados!P$2:P$5000,MATCH(ROW()-4,EQA.CAP_Dados!$S$2:$S$5000,0)),"")</f>
        <v/>
      </c>
      <c r="Q120" s="126" t="str">
        <f>IFERROR(INDEX(EQA.CAP_Dados!Q$2:Q$5000,MATCH(ROW()-4,EQA.CAP_Dados!$S$2:$S$5000,0)),"")</f>
        <v/>
      </c>
      <c r="R120" t="str">
        <f>IFERROR(INDEX(EQA.CAP_Dados!R$2:R$5000,MATCH(ROW()-4,EQA.CAP_Dados!$S$2:$S$5000,0)),"")</f>
        <v/>
      </c>
    </row>
    <row r="121" spans="1:18" x14ac:dyDescent="0.3">
      <c r="A121" t="str">
        <f>IFERROR(INDEX(EQA.CAP_Dados!A$2:A$5000,MATCH(ROW()-4,EQA.CAP_Dados!$S$2:$S$5000,0)),"")</f>
        <v/>
      </c>
      <c r="B121" t="str">
        <f>IFERROR(INDEX(EQA.CAP_Dados!B$2:B$5000,MATCH(ROW()-4,EQA.CAP_Dados!$S$2:$S$5000,0)),"")</f>
        <v/>
      </c>
      <c r="C121" s="126" t="str">
        <f>IFERROR(INDEX(EQA.CAP_Dados!C$2:C$5000,MATCH(ROW()-4,EQA.CAP_Dados!$S$2:$S$5000,0)),"")</f>
        <v/>
      </c>
      <c r="D121" t="str">
        <f>IFERROR(INDEX(EQA.CAP_Dados!D$2:D$5000,MATCH(ROW()-4,EQA.CAP_Dados!$S$2:$S$5000,0)),"")</f>
        <v/>
      </c>
      <c r="E121" t="str">
        <f>IFERROR(INDEX(EQA.CAP_Dados!E$2:E$5000,MATCH(ROW()-4,EQA.CAP_Dados!$S$2:$S$5000,0)),"")</f>
        <v/>
      </c>
      <c r="F121" s="137" t="str">
        <f>IFERROR(INDEX(EQA.CAP_Dados!F$2:F$5000,MATCH(ROW()-4,EQA.CAP_Dados!$S$2:$S$5000,0)),"")</f>
        <v/>
      </c>
      <c r="G121" s="138" t="str">
        <f>IFERROR(INDEX(EQA.CAP_Dados!G$2:G$5000,MATCH(ROW()-4,EQA.CAP_Dados!$S$2:$S$5000,0)),"")</f>
        <v/>
      </c>
      <c r="H121" s="138" t="str">
        <f>IFERROR(INDEX(EQA.CAP_Dados!H$2:H$5000,MATCH(ROW()-4,EQA.CAP_Dados!$S$2:$S$5000,0)),"")</f>
        <v/>
      </c>
      <c r="I121" s="139" t="str">
        <f>IFERROR(INDEX(EQA.CAP_Dados!I$2:I$5000,MATCH(ROW()-4,EQA.CAP_Dados!$S$2:$S$5000,0)),"")</f>
        <v/>
      </c>
      <c r="J121" s="137" t="str">
        <f>IFERROR(INDEX(EQA.CAP_Dados!J$2:J$5000,MATCH(ROW()-4,EQA.CAP_Dados!$S$2:$S$5000,0)),"")</f>
        <v/>
      </c>
      <c r="K121" s="137" t="str">
        <f>IFERROR(INDEX(EQA.CAP_Dados!K$2:K$5000,MATCH(ROW()-4,EQA.CAP_Dados!$S$2:$S$5000,0)),"")</f>
        <v/>
      </c>
      <c r="L121" t="str">
        <f>IFERROR(INDEX(EQA.CAP_Dados!L$2:L$5000,MATCH(ROW()-4,EQA.CAP_Dados!$S$2:$S$5000,0)),"")</f>
        <v/>
      </c>
      <c r="M121" s="126" t="str">
        <f>IFERROR(INDEX(EQA.CAP_Dados!M$2:M$5000,MATCH(ROW()-4,EQA.CAP_Dados!$S$2:$S$5000,0)),"")</f>
        <v/>
      </c>
      <c r="N121" t="str">
        <f>IFERROR(INDEX(EQA.CAP_Dados!N$2:N$5000,MATCH(ROW()-4,EQA.CAP_Dados!$S$2:$S$5000,0)),"")</f>
        <v/>
      </c>
      <c r="O121" s="137" t="str">
        <f>IFERROR(INDEX(EQA.CAP_Dados!O$2:O$5000,MATCH(ROW()-4,EQA.CAP_Dados!$S$2:$S$5000,0)),"")</f>
        <v/>
      </c>
      <c r="P121" s="137" t="str">
        <f>IFERROR(INDEX(EQA.CAP_Dados!P$2:P$5000,MATCH(ROW()-4,EQA.CAP_Dados!$S$2:$S$5000,0)),"")</f>
        <v/>
      </c>
      <c r="Q121" s="126" t="str">
        <f>IFERROR(INDEX(EQA.CAP_Dados!Q$2:Q$5000,MATCH(ROW()-4,EQA.CAP_Dados!$S$2:$S$5000,0)),"")</f>
        <v/>
      </c>
      <c r="R121" t="str">
        <f>IFERROR(INDEX(EQA.CAP_Dados!R$2:R$5000,MATCH(ROW()-4,EQA.CAP_Dados!$S$2:$S$5000,0)),"")</f>
        <v/>
      </c>
    </row>
    <row r="122" spans="1:18" x14ac:dyDescent="0.3">
      <c r="A122" t="str">
        <f>IFERROR(INDEX(EQA.CAP_Dados!A$2:A$5000,MATCH(ROW()-4,EQA.CAP_Dados!$S$2:$S$5000,0)),"")</f>
        <v/>
      </c>
      <c r="B122" t="str">
        <f>IFERROR(INDEX(EQA.CAP_Dados!B$2:B$5000,MATCH(ROW()-4,EQA.CAP_Dados!$S$2:$S$5000,0)),"")</f>
        <v/>
      </c>
      <c r="C122" s="126" t="str">
        <f>IFERROR(INDEX(EQA.CAP_Dados!C$2:C$5000,MATCH(ROW()-4,EQA.CAP_Dados!$S$2:$S$5000,0)),"")</f>
        <v/>
      </c>
      <c r="D122" t="str">
        <f>IFERROR(INDEX(EQA.CAP_Dados!D$2:D$5000,MATCH(ROW()-4,EQA.CAP_Dados!$S$2:$S$5000,0)),"")</f>
        <v/>
      </c>
      <c r="E122" t="str">
        <f>IFERROR(INDEX(EQA.CAP_Dados!E$2:E$5000,MATCH(ROW()-4,EQA.CAP_Dados!$S$2:$S$5000,0)),"")</f>
        <v/>
      </c>
      <c r="F122" s="137" t="str">
        <f>IFERROR(INDEX(EQA.CAP_Dados!F$2:F$5000,MATCH(ROW()-4,EQA.CAP_Dados!$S$2:$S$5000,0)),"")</f>
        <v/>
      </c>
      <c r="G122" s="138" t="str">
        <f>IFERROR(INDEX(EQA.CAP_Dados!G$2:G$5000,MATCH(ROW()-4,EQA.CAP_Dados!$S$2:$S$5000,0)),"")</f>
        <v/>
      </c>
      <c r="H122" s="138" t="str">
        <f>IFERROR(INDEX(EQA.CAP_Dados!H$2:H$5000,MATCH(ROW()-4,EQA.CAP_Dados!$S$2:$S$5000,0)),"")</f>
        <v/>
      </c>
      <c r="I122" s="139" t="str">
        <f>IFERROR(INDEX(EQA.CAP_Dados!I$2:I$5000,MATCH(ROW()-4,EQA.CAP_Dados!$S$2:$S$5000,0)),"")</f>
        <v/>
      </c>
      <c r="J122" s="137" t="str">
        <f>IFERROR(INDEX(EQA.CAP_Dados!J$2:J$5000,MATCH(ROW()-4,EQA.CAP_Dados!$S$2:$S$5000,0)),"")</f>
        <v/>
      </c>
      <c r="K122" s="137" t="str">
        <f>IFERROR(INDEX(EQA.CAP_Dados!K$2:K$5000,MATCH(ROW()-4,EQA.CAP_Dados!$S$2:$S$5000,0)),"")</f>
        <v/>
      </c>
      <c r="L122" t="str">
        <f>IFERROR(INDEX(EQA.CAP_Dados!L$2:L$5000,MATCH(ROW()-4,EQA.CAP_Dados!$S$2:$S$5000,0)),"")</f>
        <v/>
      </c>
      <c r="M122" s="126" t="str">
        <f>IFERROR(INDEX(EQA.CAP_Dados!M$2:M$5000,MATCH(ROW()-4,EQA.CAP_Dados!$S$2:$S$5000,0)),"")</f>
        <v/>
      </c>
      <c r="N122" t="str">
        <f>IFERROR(INDEX(EQA.CAP_Dados!N$2:N$5000,MATCH(ROW()-4,EQA.CAP_Dados!$S$2:$S$5000,0)),"")</f>
        <v/>
      </c>
      <c r="O122" s="137" t="str">
        <f>IFERROR(INDEX(EQA.CAP_Dados!O$2:O$5000,MATCH(ROW()-4,EQA.CAP_Dados!$S$2:$S$5000,0)),"")</f>
        <v/>
      </c>
      <c r="P122" s="137" t="str">
        <f>IFERROR(INDEX(EQA.CAP_Dados!P$2:P$5000,MATCH(ROW()-4,EQA.CAP_Dados!$S$2:$S$5000,0)),"")</f>
        <v/>
      </c>
      <c r="Q122" s="126" t="str">
        <f>IFERROR(INDEX(EQA.CAP_Dados!Q$2:Q$5000,MATCH(ROW()-4,EQA.CAP_Dados!$S$2:$S$5000,0)),"")</f>
        <v/>
      </c>
      <c r="R122" t="str">
        <f>IFERROR(INDEX(EQA.CAP_Dados!R$2:R$5000,MATCH(ROW()-4,EQA.CAP_Dados!$S$2:$S$5000,0)),"")</f>
        <v/>
      </c>
    </row>
    <row r="123" spans="1:18" x14ac:dyDescent="0.3">
      <c r="A123" t="str">
        <f>IFERROR(INDEX(EQA.CAP_Dados!A$2:A$5000,MATCH(ROW()-4,EQA.CAP_Dados!$S$2:$S$5000,0)),"")</f>
        <v/>
      </c>
      <c r="B123" t="str">
        <f>IFERROR(INDEX(EQA.CAP_Dados!B$2:B$5000,MATCH(ROW()-4,EQA.CAP_Dados!$S$2:$S$5000,0)),"")</f>
        <v/>
      </c>
      <c r="C123" s="126" t="str">
        <f>IFERROR(INDEX(EQA.CAP_Dados!C$2:C$5000,MATCH(ROW()-4,EQA.CAP_Dados!$S$2:$S$5000,0)),"")</f>
        <v/>
      </c>
      <c r="D123" t="str">
        <f>IFERROR(INDEX(EQA.CAP_Dados!D$2:D$5000,MATCH(ROW()-4,EQA.CAP_Dados!$S$2:$S$5000,0)),"")</f>
        <v/>
      </c>
      <c r="E123" t="str">
        <f>IFERROR(INDEX(EQA.CAP_Dados!E$2:E$5000,MATCH(ROW()-4,EQA.CAP_Dados!$S$2:$S$5000,0)),"")</f>
        <v/>
      </c>
      <c r="F123" s="137" t="str">
        <f>IFERROR(INDEX(EQA.CAP_Dados!F$2:F$5000,MATCH(ROW()-4,EQA.CAP_Dados!$S$2:$S$5000,0)),"")</f>
        <v/>
      </c>
      <c r="G123" s="138" t="str">
        <f>IFERROR(INDEX(EQA.CAP_Dados!G$2:G$5000,MATCH(ROW()-4,EQA.CAP_Dados!$S$2:$S$5000,0)),"")</f>
        <v/>
      </c>
      <c r="H123" s="138" t="str">
        <f>IFERROR(INDEX(EQA.CAP_Dados!H$2:H$5000,MATCH(ROW()-4,EQA.CAP_Dados!$S$2:$S$5000,0)),"")</f>
        <v/>
      </c>
      <c r="I123" s="139" t="str">
        <f>IFERROR(INDEX(EQA.CAP_Dados!I$2:I$5000,MATCH(ROW()-4,EQA.CAP_Dados!$S$2:$S$5000,0)),"")</f>
        <v/>
      </c>
      <c r="J123" s="137" t="str">
        <f>IFERROR(INDEX(EQA.CAP_Dados!J$2:J$5000,MATCH(ROW()-4,EQA.CAP_Dados!$S$2:$S$5000,0)),"")</f>
        <v/>
      </c>
      <c r="K123" s="137" t="str">
        <f>IFERROR(INDEX(EQA.CAP_Dados!K$2:K$5000,MATCH(ROW()-4,EQA.CAP_Dados!$S$2:$S$5000,0)),"")</f>
        <v/>
      </c>
      <c r="L123" t="str">
        <f>IFERROR(INDEX(EQA.CAP_Dados!L$2:L$5000,MATCH(ROW()-4,EQA.CAP_Dados!$S$2:$S$5000,0)),"")</f>
        <v/>
      </c>
      <c r="M123" s="126" t="str">
        <f>IFERROR(INDEX(EQA.CAP_Dados!M$2:M$5000,MATCH(ROW()-4,EQA.CAP_Dados!$S$2:$S$5000,0)),"")</f>
        <v/>
      </c>
      <c r="N123" t="str">
        <f>IFERROR(INDEX(EQA.CAP_Dados!N$2:N$5000,MATCH(ROW()-4,EQA.CAP_Dados!$S$2:$S$5000,0)),"")</f>
        <v/>
      </c>
      <c r="O123" s="137" t="str">
        <f>IFERROR(INDEX(EQA.CAP_Dados!O$2:O$5000,MATCH(ROW()-4,EQA.CAP_Dados!$S$2:$S$5000,0)),"")</f>
        <v/>
      </c>
      <c r="P123" s="137" t="str">
        <f>IFERROR(INDEX(EQA.CAP_Dados!P$2:P$5000,MATCH(ROW()-4,EQA.CAP_Dados!$S$2:$S$5000,0)),"")</f>
        <v/>
      </c>
      <c r="Q123" s="126" t="str">
        <f>IFERROR(INDEX(EQA.CAP_Dados!Q$2:Q$5000,MATCH(ROW()-4,EQA.CAP_Dados!$S$2:$S$5000,0)),"")</f>
        <v/>
      </c>
      <c r="R123" t="str">
        <f>IFERROR(INDEX(EQA.CAP_Dados!R$2:R$5000,MATCH(ROW()-4,EQA.CAP_Dados!$S$2:$S$5000,0)),"")</f>
        <v/>
      </c>
    </row>
    <row r="124" spans="1:18" x14ac:dyDescent="0.3">
      <c r="A124" t="str">
        <f>IFERROR(INDEX(EQA.CAP_Dados!A$2:A$5000,MATCH(ROW()-4,EQA.CAP_Dados!$S$2:$S$5000,0)),"")</f>
        <v/>
      </c>
      <c r="B124" t="str">
        <f>IFERROR(INDEX(EQA.CAP_Dados!B$2:B$5000,MATCH(ROW()-4,EQA.CAP_Dados!$S$2:$S$5000,0)),"")</f>
        <v/>
      </c>
      <c r="C124" s="126" t="str">
        <f>IFERROR(INDEX(EQA.CAP_Dados!C$2:C$5000,MATCH(ROW()-4,EQA.CAP_Dados!$S$2:$S$5000,0)),"")</f>
        <v/>
      </c>
      <c r="D124" t="str">
        <f>IFERROR(INDEX(EQA.CAP_Dados!D$2:D$5000,MATCH(ROW()-4,EQA.CAP_Dados!$S$2:$S$5000,0)),"")</f>
        <v/>
      </c>
      <c r="E124" t="str">
        <f>IFERROR(INDEX(EQA.CAP_Dados!E$2:E$5000,MATCH(ROW()-4,EQA.CAP_Dados!$S$2:$S$5000,0)),"")</f>
        <v/>
      </c>
      <c r="F124" s="137" t="str">
        <f>IFERROR(INDEX(EQA.CAP_Dados!F$2:F$5000,MATCH(ROW()-4,EQA.CAP_Dados!$S$2:$S$5000,0)),"")</f>
        <v/>
      </c>
      <c r="G124" s="138" t="str">
        <f>IFERROR(INDEX(EQA.CAP_Dados!G$2:G$5000,MATCH(ROW()-4,EQA.CAP_Dados!$S$2:$S$5000,0)),"")</f>
        <v/>
      </c>
      <c r="H124" s="138" t="str">
        <f>IFERROR(INDEX(EQA.CAP_Dados!H$2:H$5000,MATCH(ROW()-4,EQA.CAP_Dados!$S$2:$S$5000,0)),"")</f>
        <v/>
      </c>
      <c r="I124" s="139" t="str">
        <f>IFERROR(INDEX(EQA.CAP_Dados!I$2:I$5000,MATCH(ROW()-4,EQA.CAP_Dados!$S$2:$S$5000,0)),"")</f>
        <v/>
      </c>
      <c r="J124" s="137" t="str">
        <f>IFERROR(INDEX(EQA.CAP_Dados!J$2:J$5000,MATCH(ROW()-4,EQA.CAP_Dados!$S$2:$S$5000,0)),"")</f>
        <v/>
      </c>
      <c r="K124" s="137" t="str">
        <f>IFERROR(INDEX(EQA.CAP_Dados!K$2:K$5000,MATCH(ROW()-4,EQA.CAP_Dados!$S$2:$S$5000,0)),"")</f>
        <v/>
      </c>
      <c r="L124" t="str">
        <f>IFERROR(INDEX(EQA.CAP_Dados!L$2:L$5000,MATCH(ROW()-4,EQA.CAP_Dados!$S$2:$S$5000,0)),"")</f>
        <v/>
      </c>
      <c r="M124" s="126" t="str">
        <f>IFERROR(INDEX(EQA.CAP_Dados!M$2:M$5000,MATCH(ROW()-4,EQA.CAP_Dados!$S$2:$S$5000,0)),"")</f>
        <v/>
      </c>
      <c r="N124" t="str">
        <f>IFERROR(INDEX(EQA.CAP_Dados!N$2:N$5000,MATCH(ROW()-4,EQA.CAP_Dados!$S$2:$S$5000,0)),"")</f>
        <v/>
      </c>
      <c r="O124" s="137" t="str">
        <f>IFERROR(INDEX(EQA.CAP_Dados!O$2:O$5000,MATCH(ROW()-4,EQA.CAP_Dados!$S$2:$S$5000,0)),"")</f>
        <v/>
      </c>
      <c r="P124" s="137" t="str">
        <f>IFERROR(INDEX(EQA.CAP_Dados!P$2:P$5000,MATCH(ROW()-4,EQA.CAP_Dados!$S$2:$S$5000,0)),"")</f>
        <v/>
      </c>
      <c r="Q124" s="126" t="str">
        <f>IFERROR(INDEX(EQA.CAP_Dados!Q$2:Q$5000,MATCH(ROW()-4,EQA.CAP_Dados!$S$2:$S$5000,0)),"")</f>
        <v/>
      </c>
      <c r="R124" t="str">
        <f>IFERROR(INDEX(EQA.CAP_Dados!R$2:R$5000,MATCH(ROW()-4,EQA.CAP_Dados!$S$2:$S$5000,0)),"")</f>
        <v/>
      </c>
    </row>
    <row r="125" spans="1:18" x14ac:dyDescent="0.3">
      <c r="A125" t="str">
        <f>IFERROR(INDEX(EQA.CAP_Dados!A$2:A$5000,MATCH(ROW()-4,EQA.CAP_Dados!$S$2:$S$5000,0)),"")</f>
        <v/>
      </c>
      <c r="B125" t="str">
        <f>IFERROR(INDEX(EQA.CAP_Dados!B$2:B$5000,MATCH(ROW()-4,EQA.CAP_Dados!$S$2:$S$5000,0)),"")</f>
        <v/>
      </c>
      <c r="C125" s="126" t="str">
        <f>IFERROR(INDEX(EQA.CAP_Dados!C$2:C$5000,MATCH(ROW()-4,EQA.CAP_Dados!$S$2:$S$5000,0)),"")</f>
        <v/>
      </c>
      <c r="D125" t="str">
        <f>IFERROR(INDEX(EQA.CAP_Dados!D$2:D$5000,MATCH(ROW()-4,EQA.CAP_Dados!$S$2:$S$5000,0)),"")</f>
        <v/>
      </c>
      <c r="E125" t="str">
        <f>IFERROR(INDEX(EQA.CAP_Dados!E$2:E$5000,MATCH(ROW()-4,EQA.CAP_Dados!$S$2:$S$5000,0)),"")</f>
        <v/>
      </c>
      <c r="F125" s="137" t="str">
        <f>IFERROR(INDEX(EQA.CAP_Dados!F$2:F$5000,MATCH(ROW()-4,EQA.CAP_Dados!$S$2:$S$5000,0)),"")</f>
        <v/>
      </c>
      <c r="G125" s="138" t="str">
        <f>IFERROR(INDEX(EQA.CAP_Dados!G$2:G$5000,MATCH(ROW()-4,EQA.CAP_Dados!$S$2:$S$5000,0)),"")</f>
        <v/>
      </c>
      <c r="H125" s="138" t="str">
        <f>IFERROR(INDEX(EQA.CAP_Dados!H$2:H$5000,MATCH(ROW()-4,EQA.CAP_Dados!$S$2:$S$5000,0)),"")</f>
        <v/>
      </c>
      <c r="I125" s="139" t="str">
        <f>IFERROR(INDEX(EQA.CAP_Dados!I$2:I$5000,MATCH(ROW()-4,EQA.CAP_Dados!$S$2:$S$5000,0)),"")</f>
        <v/>
      </c>
      <c r="J125" s="137" t="str">
        <f>IFERROR(INDEX(EQA.CAP_Dados!J$2:J$5000,MATCH(ROW()-4,EQA.CAP_Dados!$S$2:$S$5000,0)),"")</f>
        <v/>
      </c>
      <c r="K125" s="137" t="str">
        <f>IFERROR(INDEX(EQA.CAP_Dados!K$2:K$5000,MATCH(ROW()-4,EQA.CAP_Dados!$S$2:$S$5000,0)),"")</f>
        <v/>
      </c>
      <c r="L125" t="str">
        <f>IFERROR(INDEX(EQA.CAP_Dados!L$2:L$5000,MATCH(ROW()-4,EQA.CAP_Dados!$S$2:$S$5000,0)),"")</f>
        <v/>
      </c>
      <c r="M125" s="126" t="str">
        <f>IFERROR(INDEX(EQA.CAP_Dados!M$2:M$5000,MATCH(ROW()-4,EQA.CAP_Dados!$S$2:$S$5000,0)),"")</f>
        <v/>
      </c>
      <c r="N125" t="str">
        <f>IFERROR(INDEX(EQA.CAP_Dados!N$2:N$5000,MATCH(ROW()-4,EQA.CAP_Dados!$S$2:$S$5000,0)),"")</f>
        <v/>
      </c>
      <c r="O125" s="137" t="str">
        <f>IFERROR(INDEX(EQA.CAP_Dados!O$2:O$5000,MATCH(ROW()-4,EQA.CAP_Dados!$S$2:$S$5000,0)),"")</f>
        <v/>
      </c>
      <c r="P125" s="137" t="str">
        <f>IFERROR(INDEX(EQA.CAP_Dados!P$2:P$5000,MATCH(ROW()-4,EQA.CAP_Dados!$S$2:$S$5000,0)),"")</f>
        <v/>
      </c>
      <c r="Q125" s="126" t="str">
        <f>IFERROR(INDEX(EQA.CAP_Dados!Q$2:Q$5000,MATCH(ROW()-4,EQA.CAP_Dados!$S$2:$S$5000,0)),"")</f>
        <v/>
      </c>
      <c r="R125" t="str">
        <f>IFERROR(INDEX(EQA.CAP_Dados!R$2:R$5000,MATCH(ROW()-4,EQA.CAP_Dados!$S$2:$S$5000,0)),"")</f>
        <v/>
      </c>
    </row>
    <row r="126" spans="1:18" x14ac:dyDescent="0.3">
      <c r="A126" t="str">
        <f>IFERROR(INDEX(EQA.CAP_Dados!A$2:A$5000,MATCH(ROW()-4,EQA.CAP_Dados!$S$2:$S$5000,0)),"")</f>
        <v/>
      </c>
      <c r="B126" t="str">
        <f>IFERROR(INDEX(EQA.CAP_Dados!B$2:B$5000,MATCH(ROW()-4,EQA.CAP_Dados!$S$2:$S$5000,0)),"")</f>
        <v/>
      </c>
      <c r="C126" s="126" t="str">
        <f>IFERROR(INDEX(EQA.CAP_Dados!C$2:C$5000,MATCH(ROW()-4,EQA.CAP_Dados!$S$2:$S$5000,0)),"")</f>
        <v/>
      </c>
      <c r="D126" t="str">
        <f>IFERROR(INDEX(EQA.CAP_Dados!D$2:D$5000,MATCH(ROW()-4,EQA.CAP_Dados!$S$2:$S$5000,0)),"")</f>
        <v/>
      </c>
      <c r="E126" t="str">
        <f>IFERROR(INDEX(EQA.CAP_Dados!E$2:E$5000,MATCH(ROW()-4,EQA.CAP_Dados!$S$2:$S$5000,0)),"")</f>
        <v/>
      </c>
      <c r="F126" s="137" t="str">
        <f>IFERROR(INDEX(EQA.CAP_Dados!F$2:F$5000,MATCH(ROW()-4,EQA.CAP_Dados!$S$2:$S$5000,0)),"")</f>
        <v/>
      </c>
      <c r="G126" s="138" t="str">
        <f>IFERROR(INDEX(EQA.CAP_Dados!G$2:G$5000,MATCH(ROW()-4,EQA.CAP_Dados!$S$2:$S$5000,0)),"")</f>
        <v/>
      </c>
      <c r="H126" s="138" t="str">
        <f>IFERROR(INDEX(EQA.CAP_Dados!H$2:H$5000,MATCH(ROW()-4,EQA.CAP_Dados!$S$2:$S$5000,0)),"")</f>
        <v/>
      </c>
      <c r="I126" s="139" t="str">
        <f>IFERROR(INDEX(EQA.CAP_Dados!I$2:I$5000,MATCH(ROW()-4,EQA.CAP_Dados!$S$2:$S$5000,0)),"")</f>
        <v/>
      </c>
      <c r="J126" s="137" t="str">
        <f>IFERROR(INDEX(EQA.CAP_Dados!J$2:J$5000,MATCH(ROW()-4,EQA.CAP_Dados!$S$2:$S$5000,0)),"")</f>
        <v/>
      </c>
      <c r="K126" s="137" t="str">
        <f>IFERROR(INDEX(EQA.CAP_Dados!K$2:K$5000,MATCH(ROW()-4,EQA.CAP_Dados!$S$2:$S$5000,0)),"")</f>
        <v/>
      </c>
      <c r="L126" t="str">
        <f>IFERROR(INDEX(EQA.CAP_Dados!L$2:L$5000,MATCH(ROW()-4,EQA.CAP_Dados!$S$2:$S$5000,0)),"")</f>
        <v/>
      </c>
      <c r="M126" s="126" t="str">
        <f>IFERROR(INDEX(EQA.CAP_Dados!M$2:M$5000,MATCH(ROW()-4,EQA.CAP_Dados!$S$2:$S$5000,0)),"")</f>
        <v/>
      </c>
      <c r="N126" t="str">
        <f>IFERROR(INDEX(EQA.CAP_Dados!N$2:N$5000,MATCH(ROW()-4,EQA.CAP_Dados!$S$2:$S$5000,0)),"")</f>
        <v/>
      </c>
      <c r="O126" s="137" t="str">
        <f>IFERROR(INDEX(EQA.CAP_Dados!O$2:O$5000,MATCH(ROW()-4,EQA.CAP_Dados!$S$2:$S$5000,0)),"")</f>
        <v/>
      </c>
      <c r="P126" s="137" t="str">
        <f>IFERROR(INDEX(EQA.CAP_Dados!P$2:P$5000,MATCH(ROW()-4,EQA.CAP_Dados!$S$2:$S$5000,0)),"")</f>
        <v/>
      </c>
      <c r="Q126" s="126" t="str">
        <f>IFERROR(INDEX(EQA.CAP_Dados!Q$2:Q$5000,MATCH(ROW()-4,EQA.CAP_Dados!$S$2:$S$5000,0)),"")</f>
        <v/>
      </c>
      <c r="R126" t="str">
        <f>IFERROR(INDEX(EQA.CAP_Dados!R$2:R$5000,MATCH(ROW()-4,EQA.CAP_Dados!$S$2:$S$5000,0)),"")</f>
        <v/>
      </c>
    </row>
    <row r="127" spans="1:18" x14ac:dyDescent="0.3">
      <c r="A127" t="str">
        <f>IFERROR(INDEX(EQA.CAP_Dados!A$2:A$5000,MATCH(ROW()-4,EQA.CAP_Dados!$S$2:$S$5000,0)),"")</f>
        <v/>
      </c>
      <c r="B127" t="str">
        <f>IFERROR(INDEX(EQA.CAP_Dados!B$2:B$5000,MATCH(ROW()-4,EQA.CAP_Dados!$S$2:$S$5000,0)),"")</f>
        <v/>
      </c>
      <c r="C127" s="126" t="str">
        <f>IFERROR(INDEX(EQA.CAP_Dados!C$2:C$5000,MATCH(ROW()-4,EQA.CAP_Dados!$S$2:$S$5000,0)),"")</f>
        <v/>
      </c>
      <c r="D127" t="str">
        <f>IFERROR(INDEX(EQA.CAP_Dados!D$2:D$5000,MATCH(ROW()-4,EQA.CAP_Dados!$S$2:$S$5000,0)),"")</f>
        <v/>
      </c>
      <c r="E127" t="str">
        <f>IFERROR(INDEX(EQA.CAP_Dados!E$2:E$5000,MATCH(ROW()-4,EQA.CAP_Dados!$S$2:$S$5000,0)),"")</f>
        <v/>
      </c>
      <c r="F127" s="137" t="str">
        <f>IFERROR(INDEX(EQA.CAP_Dados!F$2:F$5000,MATCH(ROW()-4,EQA.CAP_Dados!$S$2:$S$5000,0)),"")</f>
        <v/>
      </c>
      <c r="G127" s="138" t="str">
        <f>IFERROR(INDEX(EQA.CAP_Dados!G$2:G$5000,MATCH(ROW()-4,EQA.CAP_Dados!$S$2:$S$5000,0)),"")</f>
        <v/>
      </c>
      <c r="H127" s="138" t="str">
        <f>IFERROR(INDEX(EQA.CAP_Dados!H$2:H$5000,MATCH(ROW()-4,EQA.CAP_Dados!$S$2:$S$5000,0)),"")</f>
        <v/>
      </c>
      <c r="I127" s="139" t="str">
        <f>IFERROR(INDEX(EQA.CAP_Dados!I$2:I$5000,MATCH(ROW()-4,EQA.CAP_Dados!$S$2:$S$5000,0)),"")</f>
        <v/>
      </c>
      <c r="J127" s="137" t="str">
        <f>IFERROR(INDEX(EQA.CAP_Dados!J$2:J$5000,MATCH(ROW()-4,EQA.CAP_Dados!$S$2:$S$5000,0)),"")</f>
        <v/>
      </c>
      <c r="K127" s="137" t="str">
        <f>IFERROR(INDEX(EQA.CAP_Dados!K$2:K$5000,MATCH(ROW()-4,EQA.CAP_Dados!$S$2:$S$5000,0)),"")</f>
        <v/>
      </c>
      <c r="L127" t="str">
        <f>IFERROR(INDEX(EQA.CAP_Dados!L$2:L$5000,MATCH(ROW()-4,EQA.CAP_Dados!$S$2:$S$5000,0)),"")</f>
        <v/>
      </c>
      <c r="M127" s="126" t="str">
        <f>IFERROR(INDEX(EQA.CAP_Dados!M$2:M$5000,MATCH(ROW()-4,EQA.CAP_Dados!$S$2:$S$5000,0)),"")</f>
        <v/>
      </c>
      <c r="N127" t="str">
        <f>IFERROR(INDEX(EQA.CAP_Dados!N$2:N$5000,MATCH(ROW()-4,EQA.CAP_Dados!$S$2:$S$5000,0)),"")</f>
        <v/>
      </c>
      <c r="O127" s="137" t="str">
        <f>IFERROR(INDEX(EQA.CAP_Dados!O$2:O$5000,MATCH(ROW()-4,EQA.CAP_Dados!$S$2:$S$5000,0)),"")</f>
        <v/>
      </c>
      <c r="P127" s="137" t="str">
        <f>IFERROR(INDEX(EQA.CAP_Dados!P$2:P$5000,MATCH(ROW()-4,EQA.CAP_Dados!$S$2:$S$5000,0)),"")</f>
        <v/>
      </c>
      <c r="Q127" s="126" t="str">
        <f>IFERROR(INDEX(EQA.CAP_Dados!Q$2:Q$5000,MATCH(ROW()-4,EQA.CAP_Dados!$S$2:$S$5000,0)),"")</f>
        <v/>
      </c>
      <c r="R127" t="str">
        <f>IFERROR(INDEX(EQA.CAP_Dados!R$2:R$5000,MATCH(ROW()-4,EQA.CAP_Dados!$S$2:$S$5000,0)),"")</f>
        <v/>
      </c>
    </row>
    <row r="128" spans="1:18" x14ac:dyDescent="0.3">
      <c r="A128" t="str">
        <f>IFERROR(INDEX(EQA.CAP_Dados!A$2:A$5000,MATCH(ROW()-4,EQA.CAP_Dados!$S$2:$S$5000,0)),"")</f>
        <v/>
      </c>
      <c r="B128" t="str">
        <f>IFERROR(INDEX(EQA.CAP_Dados!B$2:B$5000,MATCH(ROW()-4,EQA.CAP_Dados!$S$2:$S$5000,0)),"")</f>
        <v/>
      </c>
      <c r="C128" s="126" t="str">
        <f>IFERROR(INDEX(EQA.CAP_Dados!C$2:C$5000,MATCH(ROW()-4,EQA.CAP_Dados!$S$2:$S$5000,0)),"")</f>
        <v/>
      </c>
      <c r="D128" t="str">
        <f>IFERROR(INDEX(EQA.CAP_Dados!D$2:D$5000,MATCH(ROW()-4,EQA.CAP_Dados!$S$2:$S$5000,0)),"")</f>
        <v/>
      </c>
      <c r="E128" t="str">
        <f>IFERROR(INDEX(EQA.CAP_Dados!E$2:E$5000,MATCH(ROW()-4,EQA.CAP_Dados!$S$2:$S$5000,0)),"")</f>
        <v/>
      </c>
      <c r="F128" s="137" t="str">
        <f>IFERROR(INDEX(EQA.CAP_Dados!F$2:F$5000,MATCH(ROW()-4,EQA.CAP_Dados!$S$2:$S$5000,0)),"")</f>
        <v/>
      </c>
      <c r="G128" s="138" t="str">
        <f>IFERROR(INDEX(EQA.CAP_Dados!G$2:G$5000,MATCH(ROW()-4,EQA.CAP_Dados!$S$2:$S$5000,0)),"")</f>
        <v/>
      </c>
      <c r="H128" s="138" t="str">
        <f>IFERROR(INDEX(EQA.CAP_Dados!H$2:H$5000,MATCH(ROW()-4,EQA.CAP_Dados!$S$2:$S$5000,0)),"")</f>
        <v/>
      </c>
      <c r="I128" s="139" t="str">
        <f>IFERROR(INDEX(EQA.CAP_Dados!I$2:I$5000,MATCH(ROW()-4,EQA.CAP_Dados!$S$2:$S$5000,0)),"")</f>
        <v/>
      </c>
      <c r="J128" s="137" t="str">
        <f>IFERROR(INDEX(EQA.CAP_Dados!J$2:J$5000,MATCH(ROW()-4,EQA.CAP_Dados!$S$2:$S$5000,0)),"")</f>
        <v/>
      </c>
      <c r="K128" s="137" t="str">
        <f>IFERROR(INDEX(EQA.CAP_Dados!K$2:K$5000,MATCH(ROW()-4,EQA.CAP_Dados!$S$2:$S$5000,0)),"")</f>
        <v/>
      </c>
      <c r="L128" t="str">
        <f>IFERROR(INDEX(EQA.CAP_Dados!L$2:L$5000,MATCH(ROW()-4,EQA.CAP_Dados!$S$2:$S$5000,0)),"")</f>
        <v/>
      </c>
      <c r="M128" s="126" t="str">
        <f>IFERROR(INDEX(EQA.CAP_Dados!M$2:M$5000,MATCH(ROW()-4,EQA.CAP_Dados!$S$2:$S$5000,0)),"")</f>
        <v/>
      </c>
      <c r="N128" t="str">
        <f>IFERROR(INDEX(EQA.CAP_Dados!N$2:N$5000,MATCH(ROW()-4,EQA.CAP_Dados!$S$2:$S$5000,0)),"")</f>
        <v/>
      </c>
      <c r="O128" s="137" t="str">
        <f>IFERROR(INDEX(EQA.CAP_Dados!O$2:O$5000,MATCH(ROW()-4,EQA.CAP_Dados!$S$2:$S$5000,0)),"")</f>
        <v/>
      </c>
      <c r="P128" s="137" t="str">
        <f>IFERROR(INDEX(EQA.CAP_Dados!P$2:P$5000,MATCH(ROW()-4,EQA.CAP_Dados!$S$2:$S$5000,0)),"")</f>
        <v/>
      </c>
      <c r="Q128" s="126" t="str">
        <f>IFERROR(INDEX(EQA.CAP_Dados!Q$2:Q$5000,MATCH(ROW()-4,EQA.CAP_Dados!$S$2:$S$5000,0)),"")</f>
        <v/>
      </c>
      <c r="R128" t="str">
        <f>IFERROR(INDEX(EQA.CAP_Dados!R$2:R$5000,MATCH(ROW()-4,EQA.CAP_Dados!$S$2:$S$5000,0)),"")</f>
        <v/>
      </c>
    </row>
    <row r="129" spans="1:18" x14ac:dyDescent="0.3">
      <c r="A129" t="str">
        <f>IFERROR(INDEX(EQA.CAP_Dados!A$2:A$5000,MATCH(ROW()-4,EQA.CAP_Dados!$S$2:$S$5000,0)),"")</f>
        <v/>
      </c>
      <c r="B129" t="str">
        <f>IFERROR(INDEX(EQA.CAP_Dados!B$2:B$5000,MATCH(ROW()-4,EQA.CAP_Dados!$S$2:$S$5000,0)),"")</f>
        <v/>
      </c>
      <c r="C129" s="126" t="str">
        <f>IFERROR(INDEX(EQA.CAP_Dados!C$2:C$5000,MATCH(ROW()-4,EQA.CAP_Dados!$S$2:$S$5000,0)),"")</f>
        <v/>
      </c>
      <c r="D129" t="str">
        <f>IFERROR(INDEX(EQA.CAP_Dados!D$2:D$5000,MATCH(ROW()-4,EQA.CAP_Dados!$S$2:$S$5000,0)),"")</f>
        <v/>
      </c>
      <c r="E129" t="str">
        <f>IFERROR(INDEX(EQA.CAP_Dados!E$2:E$5000,MATCH(ROW()-4,EQA.CAP_Dados!$S$2:$S$5000,0)),"")</f>
        <v/>
      </c>
      <c r="F129" s="137" t="str">
        <f>IFERROR(INDEX(EQA.CAP_Dados!F$2:F$5000,MATCH(ROW()-4,EQA.CAP_Dados!$S$2:$S$5000,0)),"")</f>
        <v/>
      </c>
      <c r="G129" s="138" t="str">
        <f>IFERROR(INDEX(EQA.CAP_Dados!G$2:G$5000,MATCH(ROW()-4,EQA.CAP_Dados!$S$2:$S$5000,0)),"")</f>
        <v/>
      </c>
      <c r="H129" s="138" t="str">
        <f>IFERROR(INDEX(EQA.CAP_Dados!H$2:H$5000,MATCH(ROW()-4,EQA.CAP_Dados!$S$2:$S$5000,0)),"")</f>
        <v/>
      </c>
      <c r="I129" s="139" t="str">
        <f>IFERROR(INDEX(EQA.CAP_Dados!I$2:I$5000,MATCH(ROW()-4,EQA.CAP_Dados!$S$2:$S$5000,0)),"")</f>
        <v/>
      </c>
      <c r="J129" s="137" t="str">
        <f>IFERROR(INDEX(EQA.CAP_Dados!J$2:J$5000,MATCH(ROW()-4,EQA.CAP_Dados!$S$2:$S$5000,0)),"")</f>
        <v/>
      </c>
      <c r="K129" s="137" t="str">
        <f>IFERROR(INDEX(EQA.CAP_Dados!K$2:K$5000,MATCH(ROW()-4,EQA.CAP_Dados!$S$2:$S$5000,0)),"")</f>
        <v/>
      </c>
      <c r="L129" t="str">
        <f>IFERROR(INDEX(EQA.CAP_Dados!L$2:L$5000,MATCH(ROW()-4,EQA.CAP_Dados!$S$2:$S$5000,0)),"")</f>
        <v/>
      </c>
      <c r="M129" s="126" t="str">
        <f>IFERROR(INDEX(EQA.CAP_Dados!M$2:M$5000,MATCH(ROW()-4,EQA.CAP_Dados!$S$2:$S$5000,0)),"")</f>
        <v/>
      </c>
      <c r="N129" t="str">
        <f>IFERROR(INDEX(EQA.CAP_Dados!N$2:N$5000,MATCH(ROW()-4,EQA.CAP_Dados!$S$2:$S$5000,0)),"")</f>
        <v/>
      </c>
      <c r="O129" s="137" t="str">
        <f>IFERROR(INDEX(EQA.CAP_Dados!O$2:O$5000,MATCH(ROW()-4,EQA.CAP_Dados!$S$2:$S$5000,0)),"")</f>
        <v/>
      </c>
      <c r="P129" s="137" t="str">
        <f>IFERROR(INDEX(EQA.CAP_Dados!P$2:P$5000,MATCH(ROW()-4,EQA.CAP_Dados!$S$2:$S$5000,0)),"")</f>
        <v/>
      </c>
      <c r="Q129" s="126" t="str">
        <f>IFERROR(INDEX(EQA.CAP_Dados!Q$2:Q$5000,MATCH(ROW()-4,EQA.CAP_Dados!$S$2:$S$5000,0)),"")</f>
        <v/>
      </c>
      <c r="R129" t="str">
        <f>IFERROR(INDEX(EQA.CAP_Dados!R$2:R$5000,MATCH(ROW()-4,EQA.CAP_Dados!$S$2:$S$5000,0)),"")</f>
        <v/>
      </c>
    </row>
    <row r="130" spans="1:18" x14ac:dyDescent="0.3">
      <c r="A130" t="str">
        <f>IFERROR(INDEX(EQA.CAP_Dados!A$2:A$5000,MATCH(ROW()-4,EQA.CAP_Dados!$S$2:$S$5000,0)),"")</f>
        <v/>
      </c>
      <c r="B130" t="str">
        <f>IFERROR(INDEX(EQA.CAP_Dados!B$2:B$5000,MATCH(ROW()-4,EQA.CAP_Dados!$S$2:$S$5000,0)),"")</f>
        <v/>
      </c>
      <c r="C130" s="126" t="str">
        <f>IFERROR(INDEX(EQA.CAP_Dados!C$2:C$5000,MATCH(ROW()-4,EQA.CAP_Dados!$S$2:$S$5000,0)),"")</f>
        <v/>
      </c>
      <c r="D130" t="str">
        <f>IFERROR(INDEX(EQA.CAP_Dados!D$2:D$5000,MATCH(ROW()-4,EQA.CAP_Dados!$S$2:$S$5000,0)),"")</f>
        <v/>
      </c>
      <c r="E130" t="str">
        <f>IFERROR(INDEX(EQA.CAP_Dados!E$2:E$5000,MATCH(ROW()-4,EQA.CAP_Dados!$S$2:$S$5000,0)),"")</f>
        <v/>
      </c>
      <c r="F130" s="137" t="str">
        <f>IFERROR(INDEX(EQA.CAP_Dados!F$2:F$5000,MATCH(ROW()-4,EQA.CAP_Dados!$S$2:$S$5000,0)),"")</f>
        <v/>
      </c>
      <c r="G130" s="138" t="str">
        <f>IFERROR(INDEX(EQA.CAP_Dados!G$2:G$5000,MATCH(ROW()-4,EQA.CAP_Dados!$S$2:$S$5000,0)),"")</f>
        <v/>
      </c>
      <c r="H130" s="138" t="str">
        <f>IFERROR(INDEX(EQA.CAP_Dados!H$2:H$5000,MATCH(ROW()-4,EQA.CAP_Dados!$S$2:$S$5000,0)),"")</f>
        <v/>
      </c>
      <c r="I130" s="139" t="str">
        <f>IFERROR(INDEX(EQA.CAP_Dados!I$2:I$5000,MATCH(ROW()-4,EQA.CAP_Dados!$S$2:$S$5000,0)),"")</f>
        <v/>
      </c>
      <c r="J130" s="137" t="str">
        <f>IFERROR(INDEX(EQA.CAP_Dados!J$2:J$5000,MATCH(ROW()-4,EQA.CAP_Dados!$S$2:$S$5000,0)),"")</f>
        <v/>
      </c>
      <c r="K130" s="137" t="str">
        <f>IFERROR(INDEX(EQA.CAP_Dados!K$2:K$5000,MATCH(ROW()-4,EQA.CAP_Dados!$S$2:$S$5000,0)),"")</f>
        <v/>
      </c>
      <c r="L130" t="str">
        <f>IFERROR(INDEX(EQA.CAP_Dados!L$2:L$5000,MATCH(ROW()-4,EQA.CAP_Dados!$S$2:$S$5000,0)),"")</f>
        <v/>
      </c>
      <c r="M130" s="126" t="str">
        <f>IFERROR(INDEX(EQA.CAP_Dados!M$2:M$5000,MATCH(ROW()-4,EQA.CAP_Dados!$S$2:$S$5000,0)),"")</f>
        <v/>
      </c>
      <c r="N130" t="str">
        <f>IFERROR(INDEX(EQA.CAP_Dados!N$2:N$5000,MATCH(ROW()-4,EQA.CAP_Dados!$S$2:$S$5000,0)),"")</f>
        <v/>
      </c>
      <c r="O130" s="137" t="str">
        <f>IFERROR(INDEX(EQA.CAP_Dados!O$2:O$5000,MATCH(ROW()-4,EQA.CAP_Dados!$S$2:$S$5000,0)),"")</f>
        <v/>
      </c>
      <c r="P130" s="137" t="str">
        <f>IFERROR(INDEX(EQA.CAP_Dados!P$2:P$5000,MATCH(ROW()-4,EQA.CAP_Dados!$S$2:$S$5000,0)),"")</f>
        <v/>
      </c>
      <c r="Q130" s="126" t="str">
        <f>IFERROR(INDEX(EQA.CAP_Dados!Q$2:Q$5000,MATCH(ROW()-4,EQA.CAP_Dados!$S$2:$S$5000,0)),"")</f>
        <v/>
      </c>
      <c r="R130" t="str">
        <f>IFERROR(INDEX(EQA.CAP_Dados!R$2:R$5000,MATCH(ROW()-4,EQA.CAP_Dados!$S$2:$S$5000,0)),"")</f>
        <v/>
      </c>
    </row>
    <row r="131" spans="1:18" x14ac:dyDescent="0.3">
      <c r="A131" t="str">
        <f>IFERROR(INDEX(EQA.CAP_Dados!A$2:A$5000,MATCH(ROW()-4,EQA.CAP_Dados!$S$2:$S$5000,0)),"")</f>
        <v/>
      </c>
      <c r="B131" t="str">
        <f>IFERROR(INDEX(EQA.CAP_Dados!B$2:B$5000,MATCH(ROW()-4,EQA.CAP_Dados!$S$2:$S$5000,0)),"")</f>
        <v/>
      </c>
      <c r="C131" s="126" t="str">
        <f>IFERROR(INDEX(EQA.CAP_Dados!C$2:C$5000,MATCH(ROW()-4,EQA.CAP_Dados!$S$2:$S$5000,0)),"")</f>
        <v/>
      </c>
      <c r="D131" t="str">
        <f>IFERROR(INDEX(EQA.CAP_Dados!D$2:D$5000,MATCH(ROW()-4,EQA.CAP_Dados!$S$2:$S$5000,0)),"")</f>
        <v/>
      </c>
      <c r="E131" t="str">
        <f>IFERROR(INDEX(EQA.CAP_Dados!E$2:E$5000,MATCH(ROW()-4,EQA.CAP_Dados!$S$2:$S$5000,0)),"")</f>
        <v/>
      </c>
      <c r="F131" s="137" t="str">
        <f>IFERROR(INDEX(EQA.CAP_Dados!F$2:F$5000,MATCH(ROW()-4,EQA.CAP_Dados!$S$2:$S$5000,0)),"")</f>
        <v/>
      </c>
      <c r="G131" s="138" t="str">
        <f>IFERROR(INDEX(EQA.CAP_Dados!G$2:G$5000,MATCH(ROW()-4,EQA.CAP_Dados!$S$2:$S$5000,0)),"")</f>
        <v/>
      </c>
      <c r="H131" s="138" t="str">
        <f>IFERROR(INDEX(EQA.CAP_Dados!H$2:H$5000,MATCH(ROW()-4,EQA.CAP_Dados!$S$2:$S$5000,0)),"")</f>
        <v/>
      </c>
      <c r="I131" s="139" t="str">
        <f>IFERROR(INDEX(EQA.CAP_Dados!I$2:I$5000,MATCH(ROW()-4,EQA.CAP_Dados!$S$2:$S$5000,0)),"")</f>
        <v/>
      </c>
      <c r="J131" s="137" t="str">
        <f>IFERROR(INDEX(EQA.CAP_Dados!J$2:J$5000,MATCH(ROW()-4,EQA.CAP_Dados!$S$2:$S$5000,0)),"")</f>
        <v/>
      </c>
      <c r="K131" s="137" t="str">
        <f>IFERROR(INDEX(EQA.CAP_Dados!K$2:K$5000,MATCH(ROW()-4,EQA.CAP_Dados!$S$2:$S$5000,0)),"")</f>
        <v/>
      </c>
      <c r="L131" t="str">
        <f>IFERROR(INDEX(EQA.CAP_Dados!L$2:L$5000,MATCH(ROW()-4,EQA.CAP_Dados!$S$2:$S$5000,0)),"")</f>
        <v/>
      </c>
      <c r="M131" s="126" t="str">
        <f>IFERROR(INDEX(EQA.CAP_Dados!M$2:M$5000,MATCH(ROW()-4,EQA.CAP_Dados!$S$2:$S$5000,0)),"")</f>
        <v/>
      </c>
      <c r="N131" t="str">
        <f>IFERROR(INDEX(EQA.CAP_Dados!N$2:N$5000,MATCH(ROW()-4,EQA.CAP_Dados!$S$2:$S$5000,0)),"")</f>
        <v/>
      </c>
      <c r="O131" s="137" t="str">
        <f>IFERROR(INDEX(EQA.CAP_Dados!O$2:O$5000,MATCH(ROW()-4,EQA.CAP_Dados!$S$2:$S$5000,0)),"")</f>
        <v/>
      </c>
      <c r="P131" s="137" t="str">
        <f>IFERROR(INDEX(EQA.CAP_Dados!P$2:P$5000,MATCH(ROW()-4,EQA.CAP_Dados!$S$2:$S$5000,0)),"")</f>
        <v/>
      </c>
      <c r="Q131" s="126" t="str">
        <f>IFERROR(INDEX(EQA.CAP_Dados!Q$2:Q$5000,MATCH(ROW()-4,EQA.CAP_Dados!$S$2:$S$5000,0)),"")</f>
        <v/>
      </c>
      <c r="R131" t="str">
        <f>IFERROR(INDEX(EQA.CAP_Dados!R$2:R$5000,MATCH(ROW()-4,EQA.CAP_Dados!$S$2:$S$5000,0)),"")</f>
        <v/>
      </c>
    </row>
    <row r="132" spans="1:18" x14ac:dyDescent="0.3">
      <c r="A132" t="str">
        <f>IFERROR(INDEX(EQA.CAP_Dados!A$2:A$5000,MATCH(ROW()-4,EQA.CAP_Dados!$S$2:$S$5000,0)),"")</f>
        <v/>
      </c>
      <c r="B132" t="str">
        <f>IFERROR(INDEX(EQA.CAP_Dados!B$2:B$5000,MATCH(ROW()-4,EQA.CAP_Dados!$S$2:$S$5000,0)),"")</f>
        <v/>
      </c>
      <c r="C132" s="126" t="str">
        <f>IFERROR(INDEX(EQA.CAP_Dados!C$2:C$5000,MATCH(ROW()-4,EQA.CAP_Dados!$S$2:$S$5000,0)),"")</f>
        <v/>
      </c>
      <c r="D132" t="str">
        <f>IFERROR(INDEX(EQA.CAP_Dados!D$2:D$5000,MATCH(ROW()-4,EQA.CAP_Dados!$S$2:$S$5000,0)),"")</f>
        <v/>
      </c>
      <c r="E132" t="str">
        <f>IFERROR(INDEX(EQA.CAP_Dados!E$2:E$5000,MATCH(ROW()-4,EQA.CAP_Dados!$S$2:$S$5000,0)),"")</f>
        <v/>
      </c>
      <c r="F132" s="137" t="str">
        <f>IFERROR(INDEX(EQA.CAP_Dados!F$2:F$5000,MATCH(ROW()-4,EQA.CAP_Dados!$S$2:$S$5000,0)),"")</f>
        <v/>
      </c>
      <c r="G132" s="138" t="str">
        <f>IFERROR(INDEX(EQA.CAP_Dados!G$2:G$5000,MATCH(ROW()-4,EQA.CAP_Dados!$S$2:$S$5000,0)),"")</f>
        <v/>
      </c>
      <c r="H132" s="138" t="str">
        <f>IFERROR(INDEX(EQA.CAP_Dados!H$2:H$5000,MATCH(ROW()-4,EQA.CAP_Dados!$S$2:$S$5000,0)),"")</f>
        <v/>
      </c>
      <c r="I132" s="139" t="str">
        <f>IFERROR(INDEX(EQA.CAP_Dados!I$2:I$5000,MATCH(ROW()-4,EQA.CAP_Dados!$S$2:$S$5000,0)),"")</f>
        <v/>
      </c>
      <c r="J132" s="137" t="str">
        <f>IFERROR(INDEX(EQA.CAP_Dados!J$2:J$5000,MATCH(ROW()-4,EQA.CAP_Dados!$S$2:$S$5000,0)),"")</f>
        <v/>
      </c>
      <c r="K132" s="137" t="str">
        <f>IFERROR(INDEX(EQA.CAP_Dados!K$2:K$5000,MATCH(ROW()-4,EQA.CAP_Dados!$S$2:$S$5000,0)),"")</f>
        <v/>
      </c>
      <c r="L132" t="str">
        <f>IFERROR(INDEX(EQA.CAP_Dados!L$2:L$5000,MATCH(ROW()-4,EQA.CAP_Dados!$S$2:$S$5000,0)),"")</f>
        <v/>
      </c>
      <c r="M132" s="126" t="str">
        <f>IFERROR(INDEX(EQA.CAP_Dados!M$2:M$5000,MATCH(ROW()-4,EQA.CAP_Dados!$S$2:$S$5000,0)),"")</f>
        <v/>
      </c>
      <c r="N132" t="str">
        <f>IFERROR(INDEX(EQA.CAP_Dados!N$2:N$5000,MATCH(ROW()-4,EQA.CAP_Dados!$S$2:$S$5000,0)),"")</f>
        <v/>
      </c>
      <c r="O132" s="137" t="str">
        <f>IFERROR(INDEX(EQA.CAP_Dados!O$2:O$5000,MATCH(ROW()-4,EQA.CAP_Dados!$S$2:$S$5000,0)),"")</f>
        <v/>
      </c>
      <c r="P132" s="137" t="str">
        <f>IFERROR(INDEX(EQA.CAP_Dados!P$2:P$5000,MATCH(ROW()-4,EQA.CAP_Dados!$S$2:$S$5000,0)),"")</f>
        <v/>
      </c>
      <c r="Q132" s="126" t="str">
        <f>IFERROR(INDEX(EQA.CAP_Dados!Q$2:Q$5000,MATCH(ROW()-4,EQA.CAP_Dados!$S$2:$S$5000,0)),"")</f>
        <v/>
      </c>
      <c r="R132" t="str">
        <f>IFERROR(INDEX(EQA.CAP_Dados!R$2:R$5000,MATCH(ROW()-4,EQA.CAP_Dados!$S$2:$S$5000,0)),"")</f>
        <v/>
      </c>
    </row>
    <row r="133" spans="1:18" x14ac:dyDescent="0.3">
      <c r="A133" t="str">
        <f>IFERROR(INDEX(EQA.CAP_Dados!A$2:A$5000,MATCH(ROW()-4,EQA.CAP_Dados!$S$2:$S$5000,0)),"")</f>
        <v/>
      </c>
      <c r="B133" t="str">
        <f>IFERROR(INDEX(EQA.CAP_Dados!B$2:B$5000,MATCH(ROW()-4,EQA.CAP_Dados!$S$2:$S$5000,0)),"")</f>
        <v/>
      </c>
      <c r="C133" s="126" t="str">
        <f>IFERROR(INDEX(EQA.CAP_Dados!C$2:C$5000,MATCH(ROW()-4,EQA.CAP_Dados!$S$2:$S$5000,0)),"")</f>
        <v/>
      </c>
      <c r="D133" t="str">
        <f>IFERROR(INDEX(EQA.CAP_Dados!D$2:D$5000,MATCH(ROW()-4,EQA.CAP_Dados!$S$2:$S$5000,0)),"")</f>
        <v/>
      </c>
      <c r="E133" t="str">
        <f>IFERROR(INDEX(EQA.CAP_Dados!E$2:E$5000,MATCH(ROW()-4,EQA.CAP_Dados!$S$2:$S$5000,0)),"")</f>
        <v/>
      </c>
      <c r="F133" s="137" t="str">
        <f>IFERROR(INDEX(EQA.CAP_Dados!F$2:F$5000,MATCH(ROW()-4,EQA.CAP_Dados!$S$2:$S$5000,0)),"")</f>
        <v/>
      </c>
      <c r="G133" s="138" t="str">
        <f>IFERROR(INDEX(EQA.CAP_Dados!G$2:G$5000,MATCH(ROW()-4,EQA.CAP_Dados!$S$2:$S$5000,0)),"")</f>
        <v/>
      </c>
      <c r="H133" s="138" t="str">
        <f>IFERROR(INDEX(EQA.CAP_Dados!H$2:H$5000,MATCH(ROW()-4,EQA.CAP_Dados!$S$2:$S$5000,0)),"")</f>
        <v/>
      </c>
      <c r="I133" s="139" t="str">
        <f>IFERROR(INDEX(EQA.CAP_Dados!I$2:I$5000,MATCH(ROW()-4,EQA.CAP_Dados!$S$2:$S$5000,0)),"")</f>
        <v/>
      </c>
      <c r="J133" s="137" t="str">
        <f>IFERROR(INDEX(EQA.CAP_Dados!J$2:J$5000,MATCH(ROW()-4,EQA.CAP_Dados!$S$2:$S$5000,0)),"")</f>
        <v/>
      </c>
      <c r="K133" s="137" t="str">
        <f>IFERROR(INDEX(EQA.CAP_Dados!K$2:K$5000,MATCH(ROW()-4,EQA.CAP_Dados!$S$2:$S$5000,0)),"")</f>
        <v/>
      </c>
      <c r="L133" t="str">
        <f>IFERROR(INDEX(EQA.CAP_Dados!L$2:L$5000,MATCH(ROW()-4,EQA.CAP_Dados!$S$2:$S$5000,0)),"")</f>
        <v/>
      </c>
      <c r="M133" s="126" t="str">
        <f>IFERROR(INDEX(EQA.CAP_Dados!M$2:M$5000,MATCH(ROW()-4,EQA.CAP_Dados!$S$2:$S$5000,0)),"")</f>
        <v/>
      </c>
      <c r="N133" t="str">
        <f>IFERROR(INDEX(EQA.CAP_Dados!N$2:N$5000,MATCH(ROW()-4,EQA.CAP_Dados!$S$2:$S$5000,0)),"")</f>
        <v/>
      </c>
      <c r="O133" s="137" t="str">
        <f>IFERROR(INDEX(EQA.CAP_Dados!O$2:O$5000,MATCH(ROW()-4,EQA.CAP_Dados!$S$2:$S$5000,0)),"")</f>
        <v/>
      </c>
      <c r="P133" s="137" t="str">
        <f>IFERROR(INDEX(EQA.CAP_Dados!P$2:P$5000,MATCH(ROW()-4,EQA.CAP_Dados!$S$2:$S$5000,0)),"")</f>
        <v/>
      </c>
      <c r="Q133" s="126" t="str">
        <f>IFERROR(INDEX(EQA.CAP_Dados!Q$2:Q$5000,MATCH(ROW()-4,EQA.CAP_Dados!$S$2:$S$5000,0)),"")</f>
        <v/>
      </c>
      <c r="R133" t="str">
        <f>IFERROR(INDEX(EQA.CAP_Dados!R$2:R$5000,MATCH(ROW()-4,EQA.CAP_Dados!$S$2:$S$5000,0)),"")</f>
        <v/>
      </c>
    </row>
    <row r="134" spans="1:18" x14ac:dyDescent="0.3">
      <c r="A134" t="str">
        <f>IFERROR(INDEX(EQA.CAP_Dados!A$2:A$5000,MATCH(ROW()-4,EQA.CAP_Dados!$S$2:$S$5000,0)),"")</f>
        <v/>
      </c>
      <c r="B134" t="str">
        <f>IFERROR(INDEX(EQA.CAP_Dados!B$2:B$5000,MATCH(ROW()-4,EQA.CAP_Dados!$S$2:$S$5000,0)),"")</f>
        <v/>
      </c>
      <c r="C134" s="126" t="str">
        <f>IFERROR(INDEX(EQA.CAP_Dados!C$2:C$5000,MATCH(ROW()-4,EQA.CAP_Dados!$S$2:$S$5000,0)),"")</f>
        <v/>
      </c>
      <c r="D134" t="str">
        <f>IFERROR(INDEX(EQA.CAP_Dados!D$2:D$5000,MATCH(ROW()-4,EQA.CAP_Dados!$S$2:$S$5000,0)),"")</f>
        <v/>
      </c>
      <c r="E134" t="str">
        <f>IFERROR(INDEX(EQA.CAP_Dados!E$2:E$5000,MATCH(ROW()-4,EQA.CAP_Dados!$S$2:$S$5000,0)),"")</f>
        <v/>
      </c>
      <c r="F134" s="137" t="str">
        <f>IFERROR(INDEX(EQA.CAP_Dados!F$2:F$5000,MATCH(ROW()-4,EQA.CAP_Dados!$S$2:$S$5000,0)),"")</f>
        <v/>
      </c>
      <c r="G134" s="138" t="str">
        <f>IFERROR(INDEX(EQA.CAP_Dados!G$2:G$5000,MATCH(ROW()-4,EQA.CAP_Dados!$S$2:$S$5000,0)),"")</f>
        <v/>
      </c>
      <c r="H134" s="138" t="str">
        <f>IFERROR(INDEX(EQA.CAP_Dados!H$2:H$5000,MATCH(ROW()-4,EQA.CAP_Dados!$S$2:$S$5000,0)),"")</f>
        <v/>
      </c>
      <c r="I134" s="139" t="str">
        <f>IFERROR(INDEX(EQA.CAP_Dados!I$2:I$5000,MATCH(ROW()-4,EQA.CAP_Dados!$S$2:$S$5000,0)),"")</f>
        <v/>
      </c>
      <c r="J134" s="137" t="str">
        <f>IFERROR(INDEX(EQA.CAP_Dados!J$2:J$5000,MATCH(ROW()-4,EQA.CAP_Dados!$S$2:$S$5000,0)),"")</f>
        <v/>
      </c>
      <c r="K134" s="137" t="str">
        <f>IFERROR(INDEX(EQA.CAP_Dados!K$2:K$5000,MATCH(ROW()-4,EQA.CAP_Dados!$S$2:$S$5000,0)),"")</f>
        <v/>
      </c>
      <c r="L134" t="str">
        <f>IFERROR(INDEX(EQA.CAP_Dados!L$2:L$5000,MATCH(ROW()-4,EQA.CAP_Dados!$S$2:$S$5000,0)),"")</f>
        <v/>
      </c>
      <c r="M134" s="126" t="str">
        <f>IFERROR(INDEX(EQA.CAP_Dados!M$2:M$5000,MATCH(ROW()-4,EQA.CAP_Dados!$S$2:$S$5000,0)),"")</f>
        <v/>
      </c>
      <c r="N134" t="str">
        <f>IFERROR(INDEX(EQA.CAP_Dados!N$2:N$5000,MATCH(ROW()-4,EQA.CAP_Dados!$S$2:$S$5000,0)),"")</f>
        <v/>
      </c>
      <c r="O134" s="137" t="str">
        <f>IFERROR(INDEX(EQA.CAP_Dados!O$2:O$5000,MATCH(ROW()-4,EQA.CAP_Dados!$S$2:$S$5000,0)),"")</f>
        <v/>
      </c>
      <c r="P134" s="137" t="str">
        <f>IFERROR(INDEX(EQA.CAP_Dados!P$2:P$5000,MATCH(ROW()-4,EQA.CAP_Dados!$S$2:$S$5000,0)),"")</f>
        <v/>
      </c>
      <c r="Q134" s="126" t="str">
        <f>IFERROR(INDEX(EQA.CAP_Dados!Q$2:Q$5000,MATCH(ROW()-4,EQA.CAP_Dados!$S$2:$S$5000,0)),"")</f>
        <v/>
      </c>
      <c r="R134" t="str">
        <f>IFERROR(INDEX(EQA.CAP_Dados!R$2:R$5000,MATCH(ROW()-4,EQA.CAP_Dados!$S$2:$S$5000,0)),"")</f>
        <v/>
      </c>
    </row>
    <row r="135" spans="1:18" x14ac:dyDescent="0.3">
      <c r="A135" t="str">
        <f>IFERROR(INDEX(EQA.CAP_Dados!A$2:A$5000,MATCH(ROW()-4,EQA.CAP_Dados!$S$2:$S$5000,0)),"")</f>
        <v/>
      </c>
      <c r="B135" t="str">
        <f>IFERROR(INDEX(EQA.CAP_Dados!B$2:B$5000,MATCH(ROW()-4,EQA.CAP_Dados!$S$2:$S$5000,0)),"")</f>
        <v/>
      </c>
      <c r="C135" s="126" t="str">
        <f>IFERROR(INDEX(EQA.CAP_Dados!C$2:C$5000,MATCH(ROW()-4,EQA.CAP_Dados!$S$2:$S$5000,0)),"")</f>
        <v/>
      </c>
      <c r="D135" t="str">
        <f>IFERROR(INDEX(EQA.CAP_Dados!D$2:D$5000,MATCH(ROW()-4,EQA.CAP_Dados!$S$2:$S$5000,0)),"")</f>
        <v/>
      </c>
      <c r="E135" t="str">
        <f>IFERROR(INDEX(EQA.CAP_Dados!E$2:E$5000,MATCH(ROW()-4,EQA.CAP_Dados!$S$2:$S$5000,0)),"")</f>
        <v/>
      </c>
      <c r="F135" s="137" t="str">
        <f>IFERROR(INDEX(EQA.CAP_Dados!F$2:F$5000,MATCH(ROW()-4,EQA.CAP_Dados!$S$2:$S$5000,0)),"")</f>
        <v/>
      </c>
      <c r="G135" s="138" t="str">
        <f>IFERROR(INDEX(EQA.CAP_Dados!G$2:G$5000,MATCH(ROW()-4,EQA.CAP_Dados!$S$2:$S$5000,0)),"")</f>
        <v/>
      </c>
      <c r="H135" s="138" t="str">
        <f>IFERROR(INDEX(EQA.CAP_Dados!H$2:H$5000,MATCH(ROW()-4,EQA.CAP_Dados!$S$2:$S$5000,0)),"")</f>
        <v/>
      </c>
      <c r="I135" s="139" t="str">
        <f>IFERROR(INDEX(EQA.CAP_Dados!I$2:I$5000,MATCH(ROW()-4,EQA.CAP_Dados!$S$2:$S$5000,0)),"")</f>
        <v/>
      </c>
      <c r="J135" s="137" t="str">
        <f>IFERROR(INDEX(EQA.CAP_Dados!J$2:J$5000,MATCH(ROW()-4,EQA.CAP_Dados!$S$2:$S$5000,0)),"")</f>
        <v/>
      </c>
      <c r="K135" s="137" t="str">
        <f>IFERROR(INDEX(EQA.CAP_Dados!K$2:K$5000,MATCH(ROW()-4,EQA.CAP_Dados!$S$2:$S$5000,0)),"")</f>
        <v/>
      </c>
      <c r="L135" t="str">
        <f>IFERROR(INDEX(EQA.CAP_Dados!L$2:L$5000,MATCH(ROW()-4,EQA.CAP_Dados!$S$2:$S$5000,0)),"")</f>
        <v/>
      </c>
      <c r="M135" s="126" t="str">
        <f>IFERROR(INDEX(EQA.CAP_Dados!M$2:M$5000,MATCH(ROW()-4,EQA.CAP_Dados!$S$2:$S$5000,0)),"")</f>
        <v/>
      </c>
      <c r="N135" t="str">
        <f>IFERROR(INDEX(EQA.CAP_Dados!N$2:N$5000,MATCH(ROW()-4,EQA.CAP_Dados!$S$2:$S$5000,0)),"")</f>
        <v/>
      </c>
      <c r="O135" s="137" t="str">
        <f>IFERROR(INDEX(EQA.CAP_Dados!O$2:O$5000,MATCH(ROW()-4,EQA.CAP_Dados!$S$2:$S$5000,0)),"")</f>
        <v/>
      </c>
      <c r="P135" s="137" t="str">
        <f>IFERROR(INDEX(EQA.CAP_Dados!P$2:P$5000,MATCH(ROW()-4,EQA.CAP_Dados!$S$2:$S$5000,0)),"")</f>
        <v/>
      </c>
      <c r="Q135" s="126" t="str">
        <f>IFERROR(INDEX(EQA.CAP_Dados!Q$2:Q$5000,MATCH(ROW()-4,EQA.CAP_Dados!$S$2:$S$5000,0)),"")</f>
        <v/>
      </c>
      <c r="R135" t="str">
        <f>IFERROR(INDEX(EQA.CAP_Dados!R$2:R$5000,MATCH(ROW()-4,EQA.CAP_Dados!$S$2:$S$5000,0)),"")</f>
        <v/>
      </c>
    </row>
    <row r="136" spans="1:18" x14ac:dyDescent="0.3">
      <c r="A136" t="str">
        <f>IFERROR(INDEX(EQA.CAP_Dados!A$2:A$5000,MATCH(ROW()-4,EQA.CAP_Dados!$S$2:$S$5000,0)),"")</f>
        <v/>
      </c>
      <c r="B136" t="str">
        <f>IFERROR(INDEX(EQA.CAP_Dados!B$2:B$5000,MATCH(ROW()-4,EQA.CAP_Dados!$S$2:$S$5000,0)),"")</f>
        <v/>
      </c>
      <c r="C136" s="126" t="str">
        <f>IFERROR(INDEX(EQA.CAP_Dados!C$2:C$5000,MATCH(ROW()-4,EQA.CAP_Dados!$S$2:$S$5000,0)),"")</f>
        <v/>
      </c>
      <c r="D136" t="str">
        <f>IFERROR(INDEX(EQA.CAP_Dados!D$2:D$5000,MATCH(ROW()-4,EQA.CAP_Dados!$S$2:$S$5000,0)),"")</f>
        <v/>
      </c>
      <c r="E136" t="str">
        <f>IFERROR(INDEX(EQA.CAP_Dados!E$2:E$5000,MATCH(ROW()-4,EQA.CAP_Dados!$S$2:$S$5000,0)),"")</f>
        <v/>
      </c>
      <c r="F136" s="137" t="str">
        <f>IFERROR(INDEX(EQA.CAP_Dados!F$2:F$5000,MATCH(ROW()-4,EQA.CAP_Dados!$S$2:$S$5000,0)),"")</f>
        <v/>
      </c>
      <c r="G136" s="138" t="str">
        <f>IFERROR(INDEX(EQA.CAP_Dados!G$2:G$5000,MATCH(ROW()-4,EQA.CAP_Dados!$S$2:$S$5000,0)),"")</f>
        <v/>
      </c>
      <c r="H136" s="138" t="str">
        <f>IFERROR(INDEX(EQA.CAP_Dados!H$2:H$5000,MATCH(ROW()-4,EQA.CAP_Dados!$S$2:$S$5000,0)),"")</f>
        <v/>
      </c>
      <c r="I136" s="139" t="str">
        <f>IFERROR(INDEX(EQA.CAP_Dados!I$2:I$5000,MATCH(ROW()-4,EQA.CAP_Dados!$S$2:$S$5000,0)),"")</f>
        <v/>
      </c>
      <c r="J136" s="137" t="str">
        <f>IFERROR(INDEX(EQA.CAP_Dados!J$2:J$5000,MATCH(ROW()-4,EQA.CAP_Dados!$S$2:$S$5000,0)),"")</f>
        <v/>
      </c>
      <c r="K136" s="137" t="str">
        <f>IFERROR(INDEX(EQA.CAP_Dados!K$2:K$5000,MATCH(ROW()-4,EQA.CAP_Dados!$S$2:$S$5000,0)),"")</f>
        <v/>
      </c>
      <c r="L136" t="str">
        <f>IFERROR(INDEX(EQA.CAP_Dados!L$2:L$5000,MATCH(ROW()-4,EQA.CAP_Dados!$S$2:$S$5000,0)),"")</f>
        <v/>
      </c>
      <c r="M136" s="126" t="str">
        <f>IFERROR(INDEX(EQA.CAP_Dados!M$2:M$5000,MATCH(ROW()-4,EQA.CAP_Dados!$S$2:$S$5000,0)),"")</f>
        <v/>
      </c>
      <c r="N136" t="str">
        <f>IFERROR(INDEX(EQA.CAP_Dados!N$2:N$5000,MATCH(ROW()-4,EQA.CAP_Dados!$S$2:$S$5000,0)),"")</f>
        <v/>
      </c>
      <c r="O136" s="137" t="str">
        <f>IFERROR(INDEX(EQA.CAP_Dados!O$2:O$5000,MATCH(ROW()-4,EQA.CAP_Dados!$S$2:$S$5000,0)),"")</f>
        <v/>
      </c>
      <c r="P136" s="137" t="str">
        <f>IFERROR(INDEX(EQA.CAP_Dados!P$2:P$5000,MATCH(ROW()-4,EQA.CAP_Dados!$S$2:$S$5000,0)),"")</f>
        <v/>
      </c>
      <c r="Q136" s="126" t="str">
        <f>IFERROR(INDEX(EQA.CAP_Dados!Q$2:Q$5000,MATCH(ROW()-4,EQA.CAP_Dados!$S$2:$S$5000,0)),"")</f>
        <v/>
      </c>
      <c r="R136" t="str">
        <f>IFERROR(INDEX(EQA.CAP_Dados!R$2:R$5000,MATCH(ROW()-4,EQA.CAP_Dados!$S$2:$S$5000,0)),"")</f>
        <v/>
      </c>
    </row>
    <row r="137" spans="1:18" x14ac:dyDescent="0.3">
      <c r="A137" t="str">
        <f>IFERROR(INDEX(EQA.CAP_Dados!A$2:A$5000,MATCH(ROW()-4,EQA.CAP_Dados!$S$2:$S$5000,0)),"")</f>
        <v/>
      </c>
      <c r="B137" t="str">
        <f>IFERROR(INDEX(EQA.CAP_Dados!B$2:B$5000,MATCH(ROW()-4,EQA.CAP_Dados!$S$2:$S$5000,0)),"")</f>
        <v/>
      </c>
      <c r="C137" s="126" t="str">
        <f>IFERROR(INDEX(EQA.CAP_Dados!C$2:C$5000,MATCH(ROW()-4,EQA.CAP_Dados!$S$2:$S$5000,0)),"")</f>
        <v/>
      </c>
      <c r="D137" t="str">
        <f>IFERROR(INDEX(EQA.CAP_Dados!D$2:D$5000,MATCH(ROW()-4,EQA.CAP_Dados!$S$2:$S$5000,0)),"")</f>
        <v/>
      </c>
      <c r="E137" t="str">
        <f>IFERROR(INDEX(EQA.CAP_Dados!E$2:E$5000,MATCH(ROW()-4,EQA.CAP_Dados!$S$2:$S$5000,0)),"")</f>
        <v/>
      </c>
      <c r="F137" s="137" t="str">
        <f>IFERROR(INDEX(EQA.CAP_Dados!F$2:F$5000,MATCH(ROW()-4,EQA.CAP_Dados!$S$2:$S$5000,0)),"")</f>
        <v/>
      </c>
      <c r="G137" s="138" t="str">
        <f>IFERROR(INDEX(EQA.CAP_Dados!G$2:G$5000,MATCH(ROW()-4,EQA.CAP_Dados!$S$2:$S$5000,0)),"")</f>
        <v/>
      </c>
      <c r="H137" s="138" t="str">
        <f>IFERROR(INDEX(EQA.CAP_Dados!H$2:H$5000,MATCH(ROW()-4,EQA.CAP_Dados!$S$2:$S$5000,0)),"")</f>
        <v/>
      </c>
      <c r="I137" s="139" t="str">
        <f>IFERROR(INDEX(EQA.CAP_Dados!I$2:I$5000,MATCH(ROW()-4,EQA.CAP_Dados!$S$2:$S$5000,0)),"")</f>
        <v/>
      </c>
      <c r="J137" s="137" t="str">
        <f>IFERROR(INDEX(EQA.CAP_Dados!J$2:J$5000,MATCH(ROW()-4,EQA.CAP_Dados!$S$2:$S$5000,0)),"")</f>
        <v/>
      </c>
      <c r="K137" s="137" t="str">
        <f>IFERROR(INDEX(EQA.CAP_Dados!K$2:K$5000,MATCH(ROW()-4,EQA.CAP_Dados!$S$2:$S$5000,0)),"")</f>
        <v/>
      </c>
      <c r="L137" t="str">
        <f>IFERROR(INDEX(EQA.CAP_Dados!L$2:L$5000,MATCH(ROW()-4,EQA.CAP_Dados!$S$2:$S$5000,0)),"")</f>
        <v/>
      </c>
      <c r="M137" s="126" t="str">
        <f>IFERROR(INDEX(EQA.CAP_Dados!M$2:M$5000,MATCH(ROW()-4,EQA.CAP_Dados!$S$2:$S$5000,0)),"")</f>
        <v/>
      </c>
      <c r="N137" t="str">
        <f>IFERROR(INDEX(EQA.CAP_Dados!N$2:N$5000,MATCH(ROW()-4,EQA.CAP_Dados!$S$2:$S$5000,0)),"")</f>
        <v/>
      </c>
      <c r="O137" s="137" t="str">
        <f>IFERROR(INDEX(EQA.CAP_Dados!O$2:O$5000,MATCH(ROW()-4,EQA.CAP_Dados!$S$2:$S$5000,0)),"")</f>
        <v/>
      </c>
      <c r="P137" s="137" t="str">
        <f>IFERROR(INDEX(EQA.CAP_Dados!P$2:P$5000,MATCH(ROW()-4,EQA.CAP_Dados!$S$2:$S$5000,0)),"")</f>
        <v/>
      </c>
      <c r="Q137" s="126" t="str">
        <f>IFERROR(INDEX(EQA.CAP_Dados!Q$2:Q$5000,MATCH(ROW()-4,EQA.CAP_Dados!$S$2:$S$5000,0)),"")</f>
        <v/>
      </c>
      <c r="R137" t="str">
        <f>IFERROR(INDEX(EQA.CAP_Dados!R$2:R$5000,MATCH(ROW()-4,EQA.CAP_Dados!$S$2:$S$5000,0)),"")</f>
        <v/>
      </c>
    </row>
    <row r="138" spans="1:18" x14ac:dyDescent="0.3">
      <c r="A138" t="str">
        <f>IFERROR(INDEX(EQA.CAP_Dados!A$2:A$5000,MATCH(ROW()-4,EQA.CAP_Dados!$S$2:$S$5000,0)),"")</f>
        <v/>
      </c>
      <c r="B138" t="str">
        <f>IFERROR(INDEX(EQA.CAP_Dados!B$2:B$5000,MATCH(ROW()-4,EQA.CAP_Dados!$S$2:$S$5000,0)),"")</f>
        <v/>
      </c>
      <c r="C138" s="126" t="str">
        <f>IFERROR(INDEX(EQA.CAP_Dados!C$2:C$5000,MATCH(ROW()-4,EQA.CAP_Dados!$S$2:$S$5000,0)),"")</f>
        <v/>
      </c>
      <c r="D138" t="str">
        <f>IFERROR(INDEX(EQA.CAP_Dados!D$2:D$5000,MATCH(ROW()-4,EQA.CAP_Dados!$S$2:$S$5000,0)),"")</f>
        <v/>
      </c>
      <c r="E138" t="str">
        <f>IFERROR(INDEX(EQA.CAP_Dados!E$2:E$5000,MATCH(ROW()-4,EQA.CAP_Dados!$S$2:$S$5000,0)),"")</f>
        <v/>
      </c>
      <c r="F138" s="137" t="str">
        <f>IFERROR(INDEX(EQA.CAP_Dados!F$2:F$5000,MATCH(ROW()-4,EQA.CAP_Dados!$S$2:$S$5000,0)),"")</f>
        <v/>
      </c>
      <c r="G138" s="138" t="str">
        <f>IFERROR(INDEX(EQA.CAP_Dados!G$2:G$5000,MATCH(ROW()-4,EQA.CAP_Dados!$S$2:$S$5000,0)),"")</f>
        <v/>
      </c>
      <c r="H138" s="138" t="str">
        <f>IFERROR(INDEX(EQA.CAP_Dados!H$2:H$5000,MATCH(ROW()-4,EQA.CAP_Dados!$S$2:$S$5000,0)),"")</f>
        <v/>
      </c>
      <c r="I138" s="139" t="str">
        <f>IFERROR(INDEX(EQA.CAP_Dados!I$2:I$5000,MATCH(ROW()-4,EQA.CAP_Dados!$S$2:$S$5000,0)),"")</f>
        <v/>
      </c>
      <c r="J138" s="137" t="str">
        <f>IFERROR(INDEX(EQA.CAP_Dados!J$2:J$5000,MATCH(ROW()-4,EQA.CAP_Dados!$S$2:$S$5000,0)),"")</f>
        <v/>
      </c>
      <c r="K138" s="137" t="str">
        <f>IFERROR(INDEX(EQA.CAP_Dados!K$2:K$5000,MATCH(ROW()-4,EQA.CAP_Dados!$S$2:$S$5000,0)),"")</f>
        <v/>
      </c>
      <c r="L138" t="str">
        <f>IFERROR(INDEX(EQA.CAP_Dados!L$2:L$5000,MATCH(ROW()-4,EQA.CAP_Dados!$S$2:$S$5000,0)),"")</f>
        <v/>
      </c>
      <c r="M138" s="126" t="str">
        <f>IFERROR(INDEX(EQA.CAP_Dados!M$2:M$5000,MATCH(ROW()-4,EQA.CAP_Dados!$S$2:$S$5000,0)),"")</f>
        <v/>
      </c>
      <c r="N138" t="str">
        <f>IFERROR(INDEX(EQA.CAP_Dados!N$2:N$5000,MATCH(ROW()-4,EQA.CAP_Dados!$S$2:$S$5000,0)),"")</f>
        <v/>
      </c>
      <c r="O138" s="137" t="str">
        <f>IFERROR(INDEX(EQA.CAP_Dados!O$2:O$5000,MATCH(ROW()-4,EQA.CAP_Dados!$S$2:$S$5000,0)),"")</f>
        <v/>
      </c>
      <c r="P138" s="137" t="str">
        <f>IFERROR(INDEX(EQA.CAP_Dados!P$2:P$5000,MATCH(ROW()-4,EQA.CAP_Dados!$S$2:$S$5000,0)),"")</f>
        <v/>
      </c>
      <c r="Q138" s="126" t="str">
        <f>IFERROR(INDEX(EQA.CAP_Dados!Q$2:Q$5000,MATCH(ROW()-4,EQA.CAP_Dados!$S$2:$S$5000,0)),"")</f>
        <v/>
      </c>
      <c r="R138" t="str">
        <f>IFERROR(INDEX(EQA.CAP_Dados!R$2:R$5000,MATCH(ROW()-4,EQA.CAP_Dados!$S$2:$S$5000,0)),"")</f>
        <v/>
      </c>
    </row>
    <row r="139" spans="1:18" x14ac:dyDescent="0.3">
      <c r="A139" t="str">
        <f>IFERROR(INDEX(EQA.CAP_Dados!A$2:A$5000,MATCH(ROW()-4,EQA.CAP_Dados!$S$2:$S$5000,0)),"")</f>
        <v/>
      </c>
      <c r="B139" t="str">
        <f>IFERROR(INDEX(EQA.CAP_Dados!B$2:B$5000,MATCH(ROW()-4,EQA.CAP_Dados!$S$2:$S$5000,0)),"")</f>
        <v/>
      </c>
      <c r="C139" s="126" t="str">
        <f>IFERROR(INDEX(EQA.CAP_Dados!C$2:C$5000,MATCH(ROW()-4,EQA.CAP_Dados!$S$2:$S$5000,0)),"")</f>
        <v/>
      </c>
      <c r="D139" t="str">
        <f>IFERROR(INDEX(EQA.CAP_Dados!D$2:D$5000,MATCH(ROW()-4,EQA.CAP_Dados!$S$2:$S$5000,0)),"")</f>
        <v/>
      </c>
      <c r="E139" t="str">
        <f>IFERROR(INDEX(EQA.CAP_Dados!E$2:E$5000,MATCH(ROW()-4,EQA.CAP_Dados!$S$2:$S$5000,0)),"")</f>
        <v/>
      </c>
      <c r="F139" s="137" t="str">
        <f>IFERROR(INDEX(EQA.CAP_Dados!F$2:F$5000,MATCH(ROW()-4,EQA.CAP_Dados!$S$2:$S$5000,0)),"")</f>
        <v/>
      </c>
      <c r="G139" s="138" t="str">
        <f>IFERROR(INDEX(EQA.CAP_Dados!G$2:G$5000,MATCH(ROW()-4,EQA.CAP_Dados!$S$2:$S$5000,0)),"")</f>
        <v/>
      </c>
      <c r="H139" s="138" t="str">
        <f>IFERROR(INDEX(EQA.CAP_Dados!H$2:H$5000,MATCH(ROW()-4,EQA.CAP_Dados!$S$2:$S$5000,0)),"")</f>
        <v/>
      </c>
      <c r="I139" s="139" t="str">
        <f>IFERROR(INDEX(EQA.CAP_Dados!I$2:I$5000,MATCH(ROW()-4,EQA.CAP_Dados!$S$2:$S$5000,0)),"")</f>
        <v/>
      </c>
      <c r="J139" s="137" t="str">
        <f>IFERROR(INDEX(EQA.CAP_Dados!J$2:J$5000,MATCH(ROW()-4,EQA.CAP_Dados!$S$2:$S$5000,0)),"")</f>
        <v/>
      </c>
      <c r="K139" s="137" t="str">
        <f>IFERROR(INDEX(EQA.CAP_Dados!K$2:K$5000,MATCH(ROW()-4,EQA.CAP_Dados!$S$2:$S$5000,0)),"")</f>
        <v/>
      </c>
      <c r="L139" t="str">
        <f>IFERROR(INDEX(EQA.CAP_Dados!L$2:L$5000,MATCH(ROW()-4,EQA.CAP_Dados!$S$2:$S$5000,0)),"")</f>
        <v/>
      </c>
      <c r="M139" s="126" t="str">
        <f>IFERROR(INDEX(EQA.CAP_Dados!M$2:M$5000,MATCH(ROW()-4,EQA.CAP_Dados!$S$2:$S$5000,0)),"")</f>
        <v/>
      </c>
      <c r="N139" t="str">
        <f>IFERROR(INDEX(EQA.CAP_Dados!N$2:N$5000,MATCH(ROW()-4,EQA.CAP_Dados!$S$2:$S$5000,0)),"")</f>
        <v/>
      </c>
      <c r="O139" s="137" t="str">
        <f>IFERROR(INDEX(EQA.CAP_Dados!O$2:O$5000,MATCH(ROW()-4,EQA.CAP_Dados!$S$2:$S$5000,0)),"")</f>
        <v/>
      </c>
      <c r="P139" s="137" t="str">
        <f>IFERROR(INDEX(EQA.CAP_Dados!P$2:P$5000,MATCH(ROW()-4,EQA.CAP_Dados!$S$2:$S$5000,0)),"")</f>
        <v/>
      </c>
      <c r="Q139" s="126" t="str">
        <f>IFERROR(INDEX(EQA.CAP_Dados!Q$2:Q$5000,MATCH(ROW()-4,EQA.CAP_Dados!$S$2:$S$5000,0)),"")</f>
        <v/>
      </c>
      <c r="R139" t="str">
        <f>IFERROR(INDEX(EQA.CAP_Dados!R$2:R$5000,MATCH(ROW()-4,EQA.CAP_Dados!$S$2:$S$5000,0)),"")</f>
        <v/>
      </c>
    </row>
    <row r="140" spans="1:18" x14ac:dyDescent="0.3">
      <c r="A140" t="str">
        <f>IFERROR(INDEX(EQA.CAP_Dados!A$2:A$5000,MATCH(ROW()-4,EQA.CAP_Dados!$S$2:$S$5000,0)),"")</f>
        <v/>
      </c>
      <c r="B140" t="str">
        <f>IFERROR(INDEX(EQA.CAP_Dados!B$2:B$5000,MATCH(ROW()-4,EQA.CAP_Dados!$S$2:$S$5000,0)),"")</f>
        <v/>
      </c>
      <c r="C140" s="126" t="str">
        <f>IFERROR(INDEX(EQA.CAP_Dados!C$2:C$5000,MATCH(ROW()-4,EQA.CAP_Dados!$S$2:$S$5000,0)),"")</f>
        <v/>
      </c>
      <c r="D140" t="str">
        <f>IFERROR(INDEX(EQA.CAP_Dados!D$2:D$5000,MATCH(ROW()-4,EQA.CAP_Dados!$S$2:$S$5000,0)),"")</f>
        <v/>
      </c>
      <c r="E140" t="str">
        <f>IFERROR(INDEX(EQA.CAP_Dados!E$2:E$5000,MATCH(ROW()-4,EQA.CAP_Dados!$S$2:$S$5000,0)),"")</f>
        <v/>
      </c>
      <c r="F140" s="137" t="str">
        <f>IFERROR(INDEX(EQA.CAP_Dados!F$2:F$5000,MATCH(ROW()-4,EQA.CAP_Dados!$S$2:$S$5000,0)),"")</f>
        <v/>
      </c>
      <c r="G140" s="138" t="str">
        <f>IFERROR(INDEX(EQA.CAP_Dados!G$2:G$5000,MATCH(ROW()-4,EQA.CAP_Dados!$S$2:$S$5000,0)),"")</f>
        <v/>
      </c>
      <c r="H140" s="138" t="str">
        <f>IFERROR(INDEX(EQA.CAP_Dados!H$2:H$5000,MATCH(ROW()-4,EQA.CAP_Dados!$S$2:$S$5000,0)),"")</f>
        <v/>
      </c>
      <c r="I140" s="139" t="str">
        <f>IFERROR(INDEX(EQA.CAP_Dados!I$2:I$5000,MATCH(ROW()-4,EQA.CAP_Dados!$S$2:$S$5000,0)),"")</f>
        <v/>
      </c>
      <c r="J140" s="137" t="str">
        <f>IFERROR(INDEX(EQA.CAP_Dados!J$2:J$5000,MATCH(ROW()-4,EQA.CAP_Dados!$S$2:$S$5000,0)),"")</f>
        <v/>
      </c>
      <c r="K140" s="137" t="str">
        <f>IFERROR(INDEX(EQA.CAP_Dados!K$2:K$5000,MATCH(ROW()-4,EQA.CAP_Dados!$S$2:$S$5000,0)),"")</f>
        <v/>
      </c>
      <c r="L140" t="str">
        <f>IFERROR(INDEX(EQA.CAP_Dados!L$2:L$5000,MATCH(ROW()-4,EQA.CAP_Dados!$S$2:$S$5000,0)),"")</f>
        <v/>
      </c>
      <c r="M140" s="126" t="str">
        <f>IFERROR(INDEX(EQA.CAP_Dados!M$2:M$5000,MATCH(ROW()-4,EQA.CAP_Dados!$S$2:$S$5000,0)),"")</f>
        <v/>
      </c>
      <c r="N140" t="str">
        <f>IFERROR(INDEX(EQA.CAP_Dados!N$2:N$5000,MATCH(ROW()-4,EQA.CAP_Dados!$S$2:$S$5000,0)),"")</f>
        <v/>
      </c>
      <c r="O140" s="137" t="str">
        <f>IFERROR(INDEX(EQA.CAP_Dados!O$2:O$5000,MATCH(ROW()-4,EQA.CAP_Dados!$S$2:$S$5000,0)),"")</f>
        <v/>
      </c>
      <c r="P140" s="137" t="str">
        <f>IFERROR(INDEX(EQA.CAP_Dados!P$2:P$5000,MATCH(ROW()-4,EQA.CAP_Dados!$S$2:$S$5000,0)),"")</f>
        <v/>
      </c>
      <c r="Q140" s="126" t="str">
        <f>IFERROR(INDEX(EQA.CAP_Dados!Q$2:Q$5000,MATCH(ROW()-4,EQA.CAP_Dados!$S$2:$S$5000,0)),"")</f>
        <v/>
      </c>
      <c r="R140" t="str">
        <f>IFERROR(INDEX(EQA.CAP_Dados!R$2:R$5000,MATCH(ROW()-4,EQA.CAP_Dados!$S$2:$S$5000,0)),"")</f>
        <v/>
      </c>
    </row>
    <row r="141" spans="1:18" x14ac:dyDescent="0.3">
      <c r="A141" t="str">
        <f>IFERROR(INDEX(EQA.CAP_Dados!A$2:A$5000,MATCH(ROW()-4,EQA.CAP_Dados!$S$2:$S$5000,0)),"")</f>
        <v/>
      </c>
      <c r="B141" t="str">
        <f>IFERROR(INDEX(EQA.CAP_Dados!B$2:B$5000,MATCH(ROW()-4,EQA.CAP_Dados!$S$2:$S$5000,0)),"")</f>
        <v/>
      </c>
      <c r="C141" s="126" t="str">
        <f>IFERROR(INDEX(EQA.CAP_Dados!C$2:C$5000,MATCH(ROW()-4,EQA.CAP_Dados!$S$2:$S$5000,0)),"")</f>
        <v/>
      </c>
      <c r="D141" t="str">
        <f>IFERROR(INDEX(EQA.CAP_Dados!D$2:D$5000,MATCH(ROW()-4,EQA.CAP_Dados!$S$2:$S$5000,0)),"")</f>
        <v/>
      </c>
      <c r="E141" t="str">
        <f>IFERROR(INDEX(EQA.CAP_Dados!E$2:E$5000,MATCH(ROW()-4,EQA.CAP_Dados!$S$2:$S$5000,0)),"")</f>
        <v/>
      </c>
      <c r="F141" s="137" t="str">
        <f>IFERROR(INDEX(EQA.CAP_Dados!F$2:F$5000,MATCH(ROW()-4,EQA.CAP_Dados!$S$2:$S$5000,0)),"")</f>
        <v/>
      </c>
      <c r="G141" s="138" t="str">
        <f>IFERROR(INDEX(EQA.CAP_Dados!G$2:G$5000,MATCH(ROW()-4,EQA.CAP_Dados!$S$2:$S$5000,0)),"")</f>
        <v/>
      </c>
      <c r="H141" s="138" t="str">
        <f>IFERROR(INDEX(EQA.CAP_Dados!H$2:H$5000,MATCH(ROW()-4,EQA.CAP_Dados!$S$2:$S$5000,0)),"")</f>
        <v/>
      </c>
      <c r="I141" s="139" t="str">
        <f>IFERROR(INDEX(EQA.CAP_Dados!I$2:I$5000,MATCH(ROW()-4,EQA.CAP_Dados!$S$2:$S$5000,0)),"")</f>
        <v/>
      </c>
      <c r="J141" s="137" t="str">
        <f>IFERROR(INDEX(EQA.CAP_Dados!J$2:J$5000,MATCH(ROW()-4,EQA.CAP_Dados!$S$2:$S$5000,0)),"")</f>
        <v/>
      </c>
      <c r="K141" s="137" t="str">
        <f>IFERROR(INDEX(EQA.CAP_Dados!K$2:K$5000,MATCH(ROW()-4,EQA.CAP_Dados!$S$2:$S$5000,0)),"")</f>
        <v/>
      </c>
      <c r="L141" t="str">
        <f>IFERROR(INDEX(EQA.CAP_Dados!L$2:L$5000,MATCH(ROW()-4,EQA.CAP_Dados!$S$2:$S$5000,0)),"")</f>
        <v/>
      </c>
      <c r="M141" s="126" t="str">
        <f>IFERROR(INDEX(EQA.CAP_Dados!M$2:M$5000,MATCH(ROW()-4,EQA.CAP_Dados!$S$2:$S$5000,0)),"")</f>
        <v/>
      </c>
      <c r="N141" t="str">
        <f>IFERROR(INDEX(EQA.CAP_Dados!N$2:N$5000,MATCH(ROW()-4,EQA.CAP_Dados!$S$2:$S$5000,0)),"")</f>
        <v/>
      </c>
      <c r="O141" s="137" t="str">
        <f>IFERROR(INDEX(EQA.CAP_Dados!O$2:O$5000,MATCH(ROW()-4,EQA.CAP_Dados!$S$2:$S$5000,0)),"")</f>
        <v/>
      </c>
      <c r="P141" s="137" t="str">
        <f>IFERROR(INDEX(EQA.CAP_Dados!P$2:P$5000,MATCH(ROW()-4,EQA.CAP_Dados!$S$2:$S$5000,0)),"")</f>
        <v/>
      </c>
      <c r="Q141" s="126" t="str">
        <f>IFERROR(INDEX(EQA.CAP_Dados!Q$2:Q$5000,MATCH(ROW()-4,EQA.CAP_Dados!$S$2:$S$5000,0)),"")</f>
        <v/>
      </c>
      <c r="R141" t="str">
        <f>IFERROR(INDEX(EQA.CAP_Dados!R$2:R$5000,MATCH(ROW()-4,EQA.CAP_Dados!$S$2:$S$5000,0)),"")</f>
        <v/>
      </c>
    </row>
    <row r="142" spans="1:18" x14ac:dyDescent="0.3">
      <c r="A142" t="str">
        <f>IFERROR(INDEX(EQA.CAP_Dados!A$2:A$5000,MATCH(ROW()-4,EQA.CAP_Dados!$S$2:$S$5000,0)),"")</f>
        <v/>
      </c>
      <c r="B142" t="str">
        <f>IFERROR(INDEX(EQA.CAP_Dados!B$2:B$5000,MATCH(ROW()-4,EQA.CAP_Dados!$S$2:$S$5000,0)),"")</f>
        <v/>
      </c>
      <c r="C142" s="126" t="str">
        <f>IFERROR(INDEX(EQA.CAP_Dados!C$2:C$5000,MATCH(ROW()-4,EQA.CAP_Dados!$S$2:$S$5000,0)),"")</f>
        <v/>
      </c>
      <c r="D142" t="str">
        <f>IFERROR(INDEX(EQA.CAP_Dados!D$2:D$5000,MATCH(ROW()-4,EQA.CAP_Dados!$S$2:$S$5000,0)),"")</f>
        <v/>
      </c>
      <c r="E142" t="str">
        <f>IFERROR(INDEX(EQA.CAP_Dados!E$2:E$5000,MATCH(ROW()-4,EQA.CAP_Dados!$S$2:$S$5000,0)),"")</f>
        <v/>
      </c>
      <c r="F142" s="137" t="str">
        <f>IFERROR(INDEX(EQA.CAP_Dados!F$2:F$5000,MATCH(ROW()-4,EQA.CAP_Dados!$S$2:$S$5000,0)),"")</f>
        <v/>
      </c>
      <c r="G142" s="138" t="str">
        <f>IFERROR(INDEX(EQA.CAP_Dados!G$2:G$5000,MATCH(ROW()-4,EQA.CAP_Dados!$S$2:$S$5000,0)),"")</f>
        <v/>
      </c>
      <c r="H142" s="138" t="str">
        <f>IFERROR(INDEX(EQA.CAP_Dados!H$2:H$5000,MATCH(ROW()-4,EQA.CAP_Dados!$S$2:$S$5000,0)),"")</f>
        <v/>
      </c>
      <c r="I142" s="139" t="str">
        <f>IFERROR(INDEX(EQA.CAP_Dados!I$2:I$5000,MATCH(ROW()-4,EQA.CAP_Dados!$S$2:$S$5000,0)),"")</f>
        <v/>
      </c>
      <c r="J142" s="137" t="str">
        <f>IFERROR(INDEX(EQA.CAP_Dados!J$2:J$5000,MATCH(ROW()-4,EQA.CAP_Dados!$S$2:$S$5000,0)),"")</f>
        <v/>
      </c>
      <c r="K142" s="137" t="str">
        <f>IFERROR(INDEX(EQA.CAP_Dados!K$2:K$5000,MATCH(ROW()-4,EQA.CAP_Dados!$S$2:$S$5000,0)),"")</f>
        <v/>
      </c>
      <c r="L142" t="str">
        <f>IFERROR(INDEX(EQA.CAP_Dados!L$2:L$5000,MATCH(ROW()-4,EQA.CAP_Dados!$S$2:$S$5000,0)),"")</f>
        <v/>
      </c>
      <c r="M142" s="126" t="str">
        <f>IFERROR(INDEX(EQA.CAP_Dados!M$2:M$5000,MATCH(ROW()-4,EQA.CAP_Dados!$S$2:$S$5000,0)),"")</f>
        <v/>
      </c>
      <c r="N142" t="str">
        <f>IFERROR(INDEX(EQA.CAP_Dados!N$2:N$5000,MATCH(ROW()-4,EQA.CAP_Dados!$S$2:$S$5000,0)),"")</f>
        <v/>
      </c>
      <c r="O142" s="137" t="str">
        <f>IFERROR(INDEX(EQA.CAP_Dados!O$2:O$5000,MATCH(ROW()-4,EQA.CAP_Dados!$S$2:$S$5000,0)),"")</f>
        <v/>
      </c>
      <c r="P142" s="137" t="str">
        <f>IFERROR(INDEX(EQA.CAP_Dados!P$2:P$5000,MATCH(ROW()-4,EQA.CAP_Dados!$S$2:$S$5000,0)),"")</f>
        <v/>
      </c>
      <c r="Q142" s="126" t="str">
        <f>IFERROR(INDEX(EQA.CAP_Dados!Q$2:Q$5000,MATCH(ROW()-4,EQA.CAP_Dados!$S$2:$S$5000,0)),"")</f>
        <v/>
      </c>
      <c r="R142" t="str">
        <f>IFERROR(INDEX(EQA.CAP_Dados!R$2:R$5000,MATCH(ROW()-4,EQA.CAP_Dados!$S$2:$S$5000,0)),"")</f>
        <v/>
      </c>
    </row>
    <row r="143" spans="1:18" x14ac:dyDescent="0.3">
      <c r="A143" t="str">
        <f>IFERROR(INDEX(EQA.CAP_Dados!A$2:A$5000,MATCH(ROW()-4,EQA.CAP_Dados!$S$2:$S$5000,0)),"")</f>
        <v/>
      </c>
      <c r="B143" t="str">
        <f>IFERROR(INDEX(EQA.CAP_Dados!B$2:B$5000,MATCH(ROW()-4,EQA.CAP_Dados!$S$2:$S$5000,0)),"")</f>
        <v/>
      </c>
      <c r="C143" s="126" t="str">
        <f>IFERROR(INDEX(EQA.CAP_Dados!C$2:C$5000,MATCH(ROW()-4,EQA.CAP_Dados!$S$2:$S$5000,0)),"")</f>
        <v/>
      </c>
      <c r="D143" t="str">
        <f>IFERROR(INDEX(EQA.CAP_Dados!D$2:D$5000,MATCH(ROW()-4,EQA.CAP_Dados!$S$2:$S$5000,0)),"")</f>
        <v/>
      </c>
      <c r="E143" t="str">
        <f>IFERROR(INDEX(EQA.CAP_Dados!E$2:E$5000,MATCH(ROW()-4,EQA.CAP_Dados!$S$2:$S$5000,0)),"")</f>
        <v/>
      </c>
      <c r="F143" s="137" t="str">
        <f>IFERROR(INDEX(EQA.CAP_Dados!F$2:F$5000,MATCH(ROW()-4,EQA.CAP_Dados!$S$2:$S$5000,0)),"")</f>
        <v/>
      </c>
      <c r="G143" s="138" t="str">
        <f>IFERROR(INDEX(EQA.CAP_Dados!G$2:G$5000,MATCH(ROW()-4,EQA.CAP_Dados!$S$2:$S$5000,0)),"")</f>
        <v/>
      </c>
      <c r="H143" s="138" t="str">
        <f>IFERROR(INDEX(EQA.CAP_Dados!H$2:H$5000,MATCH(ROW()-4,EQA.CAP_Dados!$S$2:$S$5000,0)),"")</f>
        <v/>
      </c>
      <c r="I143" s="139" t="str">
        <f>IFERROR(INDEX(EQA.CAP_Dados!I$2:I$5000,MATCH(ROW()-4,EQA.CAP_Dados!$S$2:$S$5000,0)),"")</f>
        <v/>
      </c>
      <c r="J143" s="137" t="str">
        <f>IFERROR(INDEX(EQA.CAP_Dados!J$2:J$5000,MATCH(ROW()-4,EQA.CAP_Dados!$S$2:$S$5000,0)),"")</f>
        <v/>
      </c>
      <c r="K143" s="137" t="str">
        <f>IFERROR(INDEX(EQA.CAP_Dados!K$2:K$5000,MATCH(ROW()-4,EQA.CAP_Dados!$S$2:$S$5000,0)),"")</f>
        <v/>
      </c>
      <c r="L143" t="str">
        <f>IFERROR(INDEX(EQA.CAP_Dados!L$2:L$5000,MATCH(ROW()-4,EQA.CAP_Dados!$S$2:$S$5000,0)),"")</f>
        <v/>
      </c>
      <c r="M143" s="126" t="str">
        <f>IFERROR(INDEX(EQA.CAP_Dados!M$2:M$5000,MATCH(ROW()-4,EQA.CAP_Dados!$S$2:$S$5000,0)),"")</f>
        <v/>
      </c>
      <c r="N143" t="str">
        <f>IFERROR(INDEX(EQA.CAP_Dados!N$2:N$5000,MATCH(ROW()-4,EQA.CAP_Dados!$S$2:$S$5000,0)),"")</f>
        <v/>
      </c>
      <c r="O143" s="137" t="str">
        <f>IFERROR(INDEX(EQA.CAP_Dados!O$2:O$5000,MATCH(ROW()-4,EQA.CAP_Dados!$S$2:$S$5000,0)),"")</f>
        <v/>
      </c>
      <c r="P143" s="137" t="str">
        <f>IFERROR(INDEX(EQA.CAP_Dados!P$2:P$5000,MATCH(ROW()-4,EQA.CAP_Dados!$S$2:$S$5000,0)),"")</f>
        <v/>
      </c>
      <c r="Q143" s="126" t="str">
        <f>IFERROR(INDEX(EQA.CAP_Dados!Q$2:Q$5000,MATCH(ROW()-4,EQA.CAP_Dados!$S$2:$S$5000,0)),"")</f>
        <v/>
      </c>
      <c r="R143" t="str">
        <f>IFERROR(INDEX(EQA.CAP_Dados!R$2:R$5000,MATCH(ROW()-4,EQA.CAP_Dados!$S$2:$S$5000,0)),"")</f>
        <v/>
      </c>
    </row>
    <row r="144" spans="1:18" x14ac:dyDescent="0.3">
      <c r="A144" t="str">
        <f>IFERROR(INDEX(EQA.CAP_Dados!A$2:A$5000,MATCH(ROW()-4,EQA.CAP_Dados!$S$2:$S$5000,0)),"")</f>
        <v/>
      </c>
      <c r="B144" t="str">
        <f>IFERROR(INDEX(EQA.CAP_Dados!B$2:B$5000,MATCH(ROW()-4,EQA.CAP_Dados!$S$2:$S$5000,0)),"")</f>
        <v/>
      </c>
      <c r="C144" s="126" t="str">
        <f>IFERROR(INDEX(EQA.CAP_Dados!C$2:C$5000,MATCH(ROW()-4,EQA.CAP_Dados!$S$2:$S$5000,0)),"")</f>
        <v/>
      </c>
      <c r="D144" t="str">
        <f>IFERROR(INDEX(EQA.CAP_Dados!D$2:D$5000,MATCH(ROW()-4,EQA.CAP_Dados!$S$2:$S$5000,0)),"")</f>
        <v/>
      </c>
      <c r="E144" t="str">
        <f>IFERROR(INDEX(EQA.CAP_Dados!E$2:E$5000,MATCH(ROW()-4,EQA.CAP_Dados!$S$2:$S$5000,0)),"")</f>
        <v/>
      </c>
      <c r="F144" s="137" t="str">
        <f>IFERROR(INDEX(EQA.CAP_Dados!F$2:F$5000,MATCH(ROW()-4,EQA.CAP_Dados!$S$2:$S$5000,0)),"")</f>
        <v/>
      </c>
      <c r="G144" s="138" t="str">
        <f>IFERROR(INDEX(EQA.CAP_Dados!G$2:G$5000,MATCH(ROW()-4,EQA.CAP_Dados!$S$2:$S$5000,0)),"")</f>
        <v/>
      </c>
      <c r="H144" s="138" t="str">
        <f>IFERROR(INDEX(EQA.CAP_Dados!H$2:H$5000,MATCH(ROW()-4,EQA.CAP_Dados!$S$2:$S$5000,0)),"")</f>
        <v/>
      </c>
      <c r="I144" s="139" t="str">
        <f>IFERROR(INDEX(EQA.CAP_Dados!I$2:I$5000,MATCH(ROW()-4,EQA.CAP_Dados!$S$2:$S$5000,0)),"")</f>
        <v/>
      </c>
      <c r="J144" s="137" t="str">
        <f>IFERROR(INDEX(EQA.CAP_Dados!J$2:J$5000,MATCH(ROW()-4,EQA.CAP_Dados!$S$2:$S$5000,0)),"")</f>
        <v/>
      </c>
      <c r="K144" s="137" t="str">
        <f>IFERROR(INDEX(EQA.CAP_Dados!K$2:K$5000,MATCH(ROW()-4,EQA.CAP_Dados!$S$2:$S$5000,0)),"")</f>
        <v/>
      </c>
      <c r="L144" t="str">
        <f>IFERROR(INDEX(EQA.CAP_Dados!L$2:L$5000,MATCH(ROW()-4,EQA.CAP_Dados!$S$2:$S$5000,0)),"")</f>
        <v/>
      </c>
      <c r="M144" s="126" t="str">
        <f>IFERROR(INDEX(EQA.CAP_Dados!M$2:M$5000,MATCH(ROW()-4,EQA.CAP_Dados!$S$2:$S$5000,0)),"")</f>
        <v/>
      </c>
      <c r="N144" t="str">
        <f>IFERROR(INDEX(EQA.CAP_Dados!N$2:N$5000,MATCH(ROW()-4,EQA.CAP_Dados!$S$2:$S$5000,0)),"")</f>
        <v/>
      </c>
      <c r="O144" s="137" t="str">
        <f>IFERROR(INDEX(EQA.CAP_Dados!O$2:O$5000,MATCH(ROW()-4,EQA.CAP_Dados!$S$2:$S$5000,0)),"")</f>
        <v/>
      </c>
      <c r="P144" s="137" t="str">
        <f>IFERROR(INDEX(EQA.CAP_Dados!P$2:P$5000,MATCH(ROW()-4,EQA.CAP_Dados!$S$2:$S$5000,0)),"")</f>
        <v/>
      </c>
      <c r="Q144" s="126" t="str">
        <f>IFERROR(INDEX(EQA.CAP_Dados!Q$2:Q$5000,MATCH(ROW()-4,EQA.CAP_Dados!$S$2:$S$5000,0)),"")</f>
        <v/>
      </c>
      <c r="R144" t="str">
        <f>IFERROR(INDEX(EQA.CAP_Dados!R$2:R$5000,MATCH(ROW()-4,EQA.CAP_Dados!$S$2:$S$5000,0)),"")</f>
        <v/>
      </c>
    </row>
    <row r="145" spans="1:18" x14ac:dyDescent="0.3">
      <c r="A145" t="str">
        <f>IFERROR(INDEX(EQA.CAP_Dados!A$2:A$5000,MATCH(ROW()-4,EQA.CAP_Dados!$S$2:$S$5000,0)),"")</f>
        <v/>
      </c>
      <c r="B145" t="str">
        <f>IFERROR(INDEX(EQA.CAP_Dados!B$2:B$5000,MATCH(ROW()-4,EQA.CAP_Dados!$S$2:$S$5000,0)),"")</f>
        <v/>
      </c>
      <c r="C145" s="126" t="str">
        <f>IFERROR(INDEX(EQA.CAP_Dados!C$2:C$5000,MATCH(ROW()-4,EQA.CAP_Dados!$S$2:$S$5000,0)),"")</f>
        <v/>
      </c>
      <c r="D145" t="str">
        <f>IFERROR(INDEX(EQA.CAP_Dados!D$2:D$5000,MATCH(ROW()-4,EQA.CAP_Dados!$S$2:$S$5000,0)),"")</f>
        <v/>
      </c>
      <c r="E145" t="str">
        <f>IFERROR(INDEX(EQA.CAP_Dados!E$2:E$5000,MATCH(ROW()-4,EQA.CAP_Dados!$S$2:$S$5000,0)),"")</f>
        <v/>
      </c>
      <c r="F145" s="137" t="str">
        <f>IFERROR(INDEX(EQA.CAP_Dados!F$2:F$5000,MATCH(ROW()-4,EQA.CAP_Dados!$S$2:$S$5000,0)),"")</f>
        <v/>
      </c>
      <c r="G145" s="138" t="str">
        <f>IFERROR(INDEX(EQA.CAP_Dados!G$2:G$5000,MATCH(ROW()-4,EQA.CAP_Dados!$S$2:$S$5000,0)),"")</f>
        <v/>
      </c>
      <c r="H145" s="138" t="str">
        <f>IFERROR(INDEX(EQA.CAP_Dados!H$2:H$5000,MATCH(ROW()-4,EQA.CAP_Dados!$S$2:$S$5000,0)),"")</f>
        <v/>
      </c>
      <c r="I145" s="139" t="str">
        <f>IFERROR(INDEX(EQA.CAP_Dados!I$2:I$5000,MATCH(ROW()-4,EQA.CAP_Dados!$S$2:$S$5000,0)),"")</f>
        <v/>
      </c>
      <c r="J145" s="137" t="str">
        <f>IFERROR(INDEX(EQA.CAP_Dados!J$2:J$5000,MATCH(ROW()-4,EQA.CAP_Dados!$S$2:$S$5000,0)),"")</f>
        <v/>
      </c>
      <c r="K145" s="137" t="str">
        <f>IFERROR(INDEX(EQA.CAP_Dados!K$2:K$5000,MATCH(ROW()-4,EQA.CAP_Dados!$S$2:$S$5000,0)),"")</f>
        <v/>
      </c>
      <c r="L145" t="str">
        <f>IFERROR(INDEX(EQA.CAP_Dados!L$2:L$5000,MATCH(ROW()-4,EQA.CAP_Dados!$S$2:$S$5000,0)),"")</f>
        <v/>
      </c>
      <c r="M145" s="126" t="str">
        <f>IFERROR(INDEX(EQA.CAP_Dados!M$2:M$5000,MATCH(ROW()-4,EQA.CAP_Dados!$S$2:$S$5000,0)),"")</f>
        <v/>
      </c>
      <c r="N145" t="str">
        <f>IFERROR(INDEX(EQA.CAP_Dados!N$2:N$5000,MATCH(ROW()-4,EQA.CAP_Dados!$S$2:$S$5000,0)),"")</f>
        <v/>
      </c>
      <c r="O145" s="137" t="str">
        <f>IFERROR(INDEX(EQA.CAP_Dados!O$2:O$5000,MATCH(ROW()-4,EQA.CAP_Dados!$S$2:$S$5000,0)),"")</f>
        <v/>
      </c>
      <c r="P145" s="137" t="str">
        <f>IFERROR(INDEX(EQA.CAP_Dados!P$2:P$5000,MATCH(ROW()-4,EQA.CAP_Dados!$S$2:$S$5000,0)),"")</f>
        <v/>
      </c>
      <c r="Q145" s="126" t="str">
        <f>IFERROR(INDEX(EQA.CAP_Dados!Q$2:Q$5000,MATCH(ROW()-4,EQA.CAP_Dados!$S$2:$S$5000,0)),"")</f>
        <v/>
      </c>
      <c r="R145" t="str">
        <f>IFERROR(INDEX(EQA.CAP_Dados!R$2:R$5000,MATCH(ROW()-4,EQA.CAP_Dados!$S$2:$S$5000,0)),"")</f>
        <v/>
      </c>
    </row>
    <row r="146" spans="1:18" x14ac:dyDescent="0.3">
      <c r="A146" t="str">
        <f>IFERROR(INDEX(EQA.CAP_Dados!A$2:A$5000,MATCH(ROW()-4,EQA.CAP_Dados!$S$2:$S$5000,0)),"")</f>
        <v/>
      </c>
      <c r="B146" t="str">
        <f>IFERROR(INDEX(EQA.CAP_Dados!B$2:B$5000,MATCH(ROW()-4,EQA.CAP_Dados!$S$2:$S$5000,0)),"")</f>
        <v/>
      </c>
      <c r="C146" s="126" t="str">
        <f>IFERROR(INDEX(EQA.CAP_Dados!C$2:C$5000,MATCH(ROW()-4,EQA.CAP_Dados!$S$2:$S$5000,0)),"")</f>
        <v/>
      </c>
      <c r="D146" t="str">
        <f>IFERROR(INDEX(EQA.CAP_Dados!D$2:D$5000,MATCH(ROW()-4,EQA.CAP_Dados!$S$2:$S$5000,0)),"")</f>
        <v/>
      </c>
      <c r="E146" t="str">
        <f>IFERROR(INDEX(EQA.CAP_Dados!E$2:E$5000,MATCH(ROW()-4,EQA.CAP_Dados!$S$2:$S$5000,0)),"")</f>
        <v/>
      </c>
      <c r="F146" s="137" t="str">
        <f>IFERROR(INDEX(EQA.CAP_Dados!F$2:F$5000,MATCH(ROW()-4,EQA.CAP_Dados!$S$2:$S$5000,0)),"")</f>
        <v/>
      </c>
      <c r="G146" s="138" t="str">
        <f>IFERROR(INDEX(EQA.CAP_Dados!G$2:G$5000,MATCH(ROW()-4,EQA.CAP_Dados!$S$2:$S$5000,0)),"")</f>
        <v/>
      </c>
      <c r="H146" s="138" t="str">
        <f>IFERROR(INDEX(EQA.CAP_Dados!H$2:H$5000,MATCH(ROW()-4,EQA.CAP_Dados!$S$2:$S$5000,0)),"")</f>
        <v/>
      </c>
      <c r="I146" s="139" t="str">
        <f>IFERROR(INDEX(EQA.CAP_Dados!I$2:I$5000,MATCH(ROW()-4,EQA.CAP_Dados!$S$2:$S$5000,0)),"")</f>
        <v/>
      </c>
      <c r="J146" s="137" t="str">
        <f>IFERROR(INDEX(EQA.CAP_Dados!J$2:J$5000,MATCH(ROW()-4,EQA.CAP_Dados!$S$2:$S$5000,0)),"")</f>
        <v/>
      </c>
      <c r="K146" s="137" t="str">
        <f>IFERROR(INDEX(EQA.CAP_Dados!K$2:K$5000,MATCH(ROW()-4,EQA.CAP_Dados!$S$2:$S$5000,0)),"")</f>
        <v/>
      </c>
      <c r="L146" t="str">
        <f>IFERROR(INDEX(EQA.CAP_Dados!L$2:L$5000,MATCH(ROW()-4,EQA.CAP_Dados!$S$2:$S$5000,0)),"")</f>
        <v/>
      </c>
      <c r="M146" s="126" t="str">
        <f>IFERROR(INDEX(EQA.CAP_Dados!M$2:M$5000,MATCH(ROW()-4,EQA.CAP_Dados!$S$2:$S$5000,0)),"")</f>
        <v/>
      </c>
      <c r="N146" t="str">
        <f>IFERROR(INDEX(EQA.CAP_Dados!N$2:N$5000,MATCH(ROW()-4,EQA.CAP_Dados!$S$2:$S$5000,0)),"")</f>
        <v/>
      </c>
      <c r="O146" s="137" t="str">
        <f>IFERROR(INDEX(EQA.CAP_Dados!O$2:O$5000,MATCH(ROW()-4,EQA.CAP_Dados!$S$2:$S$5000,0)),"")</f>
        <v/>
      </c>
      <c r="P146" s="137" t="str">
        <f>IFERROR(INDEX(EQA.CAP_Dados!P$2:P$5000,MATCH(ROW()-4,EQA.CAP_Dados!$S$2:$S$5000,0)),"")</f>
        <v/>
      </c>
      <c r="Q146" s="126" t="str">
        <f>IFERROR(INDEX(EQA.CAP_Dados!Q$2:Q$5000,MATCH(ROW()-4,EQA.CAP_Dados!$S$2:$S$5000,0)),"")</f>
        <v/>
      </c>
      <c r="R146" t="str">
        <f>IFERROR(INDEX(EQA.CAP_Dados!R$2:R$5000,MATCH(ROW()-4,EQA.CAP_Dados!$S$2:$S$5000,0)),"")</f>
        <v/>
      </c>
    </row>
    <row r="147" spans="1:18" x14ac:dyDescent="0.3">
      <c r="A147" t="str">
        <f>IFERROR(INDEX(EQA.CAP_Dados!A$2:A$5000,MATCH(ROW()-4,EQA.CAP_Dados!$S$2:$S$5000,0)),"")</f>
        <v/>
      </c>
      <c r="B147" t="str">
        <f>IFERROR(INDEX(EQA.CAP_Dados!B$2:B$5000,MATCH(ROW()-4,EQA.CAP_Dados!$S$2:$S$5000,0)),"")</f>
        <v/>
      </c>
      <c r="C147" s="126" t="str">
        <f>IFERROR(INDEX(EQA.CAP_Dados!C$2:C$5000,MATCH(ROW()-4,EQA.CAP_Dados!$S$2:$S$5000,0)),"")</f>
        <v/>
      </c>
      <c r="D147" t="str">
        <f>IFERROR(INDEX(EQA.CAP_Dados!D$2:D$5000,MATCH(ROW()-4,EQA.CAP_Dados!$S$2:$S$5000,0)),"")</f>
        <v/>
      </c>
      <c r="E147" t="str">
        <f>IFERROR(INDEX(EQA.CAP_Dados!E$2:E$5000,MATCH(ROW()-4,EQA.CAP_Dados!$S$2:$S$5000,0)),"")</f>
        <v/>
      </c>
      <c r="F147" s="137" t="str">
        <f>IFERROR(INDEX(EQA.CAP_Dados!F$2:F$5000,MATCH(ROW()-4,EQA.CAP_Dados!$S$2:$S$5000,0)),"")</f>
        <v/>
      </c>
      <c r="G147" s="138" t="str">
        <f>IFERROR(INDEX(EQA.CAP_Dados!G$2:G$5000,MATCH(ROW()-4,EQA.CAP_Dados!$S$2:$S$5000,0)),"")</f>
        <v/>
      </c>
      <c r="H147" s="138" t="str">
        <f>IFERROR(INDEX(EQA.CAP_Dados!H$2:H$5000,MATCH(ROW()-4,EQA.CAP_Dados!$S$2:$S$5000,0)),"")</f>
        <v/>
      </c>
      <c r="I147" s="139" t="str">
        <f>IFERROR(INDEX(EQA.CAP_Dados!I$2:I$5000,MATCH(ROW()-4,EQA.CAP_Dados!$S$2:$S$5000,0)),"")</f>
        <v/>
      </c>
      <c r="J147" s="137" t="str">
        <f>IFERROR(INDEX(EQA.CAP_Dados!J$2:J$5000,MATCH(ROW()-4,EQA.CAP_Dados!$S$2:$S$5000,0)),"")</f>
        <v/>
      </c>
      <c r="K147" s="137" t="str">
        <f>IFERROR(INDEX(EQA.CAP_Dados!K$2:K$5000,MATCH(ROW()-4,EQA.CAP_Dados!$S$2:$S$5000,0)),"")</f>
        <v/>
      </c>
      <c r="L147" t="str">
        <f>IFERROR(INDEX(EQA.CAP_Dados!L$2:L$5000,MATCH(ROW()-4,EQA.CAP_Dados!$S$2:$S$5000,0)),"")</f>
        <v/>
      </c>
      <c r="M147" s="126" t="str">
        <f>IFERROR(INDEX(EQA.CAP_Dados!M$2:M$5000,MATCH(ROW()-4,EQA.CAP_Dados!$S$2:$S$5000,0)),"")</f>
        <v/>
      </c>
      <c r="N147" t="str">
        <f>IFERROR(INDEX(EQA.CAP_Dados!N$2:N$5000,MATCH(ROW()-4,EQA.CAP_Dados!$S$2:$S$5000,0)),"")</f>
        <v/>
      </c>
      <c r="O147" s="137" t="str">
        <f>IFERROR(INDEX(EQA.CAP_Dados!O$2:O$5000,MATCH(ROW()-4,EQA.CAP_Dados!$S$2:$S$5000,0)),"")</f>
        <v/>
      </c>
      <c r="P147" s="137" t="str">
        <f>IFERROR(INDEX(EQA.CAP_Dados!P$2:P$5000,MATCH(ROW()-4,EQA.CAP_Dados!$S$2:$S$5000,0)),"")</f>
        <v/>
      </c>
      <c r="Q147" s="126" t="str">
        <f>IFERROR(INDEX(EQA.CAP_Dados!Q$2:Q$5000,MATCH(ROW()-4,EQA.CAP_Dados!$S$2:$S$5000,0)),"")</f>
        <v/>
      </c>
      <c r="R147" t="str">
        <f>IFERROR(INDEX(EQA.CAP_Dados!R$2:R$5000,MATCH(ROW()-4,EQA.CAP_Dados!$S$2:$S$5000,0)),"")</f>
        <v/>
      </c>
    </row>
    <row r="148" spans="1:18" x14ac:dyDescent="0.3">
      <c r="A148" t="str">
        <f>IFERROR(INDEX(EQA.CAP_Dados!A$2:A$5000,MATCH(ROW()-4,EQA.CAP_Dados!$S$2:$S$5000,0)),"")</f>
        <v/>
      </c>
      <c r="B148" t="str">
        <f>IFERROR(INDEX(EQA.CAP_Dados!B$2:B$5000,MATCH(ROW()-4,EQA.CAP_Dados!$S$2:$S$5000,0)),"")</f>
        <v/>
      </c>
      <c r="C148" s="126" t="str">
        <f>IFERROR(INDEX(EQA.CAP_Dados!C$2:C$5000,MATCH(ROW()-4,EQA.CAP_Dados!$S$2:$S$5000,0)),"")</f>
        <v/>
      </c>
      <c r="D148" t="str">
        <f>IFERROR(INDEX(EQA.CAP_Dados!D$2:D$5000,MATCH(ROW()-4,EQA.CAP_Dados!$S$2:$S$5000,0)),"")</f>
        <v/>
      </c>
      <c r="E148" t="str">
        <f>IFERROR(INDEX(EQA.CAP_Dados!E$2:E$5000,MATCH(ROW()-4,EQA.CAP_Dados!$S$2:$S$5000,0)),"")</f>
        <v/>
      </c>
      <c r="F148" s="137" t="str">
        <f>IFERROR(INDEX(EQA.CAP_Dados!F$2:F$5000,MATCH(ROW()-4,EQA.CAP_Dados!$S$2:$S$5000,0)),"")</f>
        <v/>
      </c>
      <c r="G148" s="138" t="str">
        <f>IFERROR(INDEX(EQA.CAP_Dados!G$2:G$5000,MATCH(ROW()-4,EQA.CAP_Dados!$S$2:$S$5000,0)),"")</f>
        <v/>
      </c>
      <c r="H148" s="138" t="str">
        <f>IFERROR(INDEX(EQA.CAP_Dados!H$2:H$5000,MATCH(ROW()-4,EQA.CAP_Dados!$S$2:$S$5000,0)),"")</f>
        <v/>
      </c>
      <c r="I148" s="139" t="str">
        <f>IFERROR(INDEX(EQA.CAP_Dados!I$2:I$5000,MATCH(ROW()-4,EQA.CAP_Dados!$S$2:$S$5000,0)),"")</f>
        <v/>
      </c>
      <c r="J148" s="137" t="str">
        <f>IFERROR(INDEX(EQA.CAP_Dados!J$2:J$5000,MATCH(ROW()-4,EQA.CAP_Dados!$S$2:$S$5000,0)),"")</f>
        <v/>
      </c>
      <c r="K148" s="137" t="str">
        <f>IFERROR(INDEX(EQA.CAP_Dados!K$2:K$5000,MATCH(ROW()-4,EQA.CAP_Dados!$S$2:$S$5000,0)),"")</f>
        <v/>
      </c>
      <c r="L148" t="str">
        <f>IFERROR(INDEX(EQA.CAP_Dados!L$2:L$5000,MATCH(ROW()-4,EQA.CAP_Dados!$S$2:$S$5000,0)),"")</f>
        <v/>
      </c>
      <c r="M148" s="126" t="str">
        <f>IFERROR(INDEX(EQA.CAP_Dados!M$2:M$5000,MATCH(ROW()-4,EQA.CAP_Dados!$S$2:$S$5000,0)),"")</f>
        <v/>
      </c>
      <c r="N148" t="str">
        <f>IFERROR(INDEX(EQA.CAP_Dados!N$2:N$5000,MATCH(ROW()-4,EQA.CAP_Dados!$S$2:$S$5000,0)),"")</f>
        <v/>
      </c>
      <c r="O148" s="137" t="str">
        <f>IFERROR(INDEX(EQA.CAP_Dados!O$2:O$5000,MATCH(ROW()-4,EQA.CAP_Dados!$S$2:$S$5000,0)),"")</f>
        <v/>
      </c>
      <c r="P148" s="137" t="str">
        <f>IFERROR(INDEX(EQA.CAP_Dados!P$2:P$5000,MATCH(ROW()-4,EQA.CAP_Dados!$S$2:$S$5000,0)),"")</f>
        <v/>
      </c>
      <c r="Q148" s="126" t="str">
        <f>IFERROR(INDEX(EQA.CAP_Dados!Q$2:Q$5000,MATCH(ROW()-4,EQA.CAP_Dados!$S$2:$S$5000,0)),"")</f>
        <v/>
      </c>
      <c r="R148" t="str">
        <f>IFERROR(INDEX(EQA.CAP_Dados!R$2:R$5000,MATCH(ROW()-4,EQA.CAP_Dados!$S$2:$S$5000,0)),"")</f>
        <v/>
      </c>
    </row>
    <row r="149" spans="1:18" x14ac:dyDescent="0.3">
      <c r="A149" t="str">
        <f>IFERROR(INDEX(EQA.CAP_Dados!A$2:A$5000,MATCH(ROW()-4,EQA.CAP_Dados!$S$2:$S$5000,0)),"")</f>
        <v/>
      </c>
      <c r="B149" t="str">
        <f>IFERROR(INDEX(EQA.CAP_Dados!B$2:B$5000,MATCH(ROW()-4,EQA.CAP_Dados!$S$2:$S$5000,0)),"")</f>
        <v/>
      </c>
      <c r="C149" s="126" t="str">
        <f>IFERROR(INDEX(EQA.CAP_Dados!C$2:C$5000,MATCH(ROW()-4,EQA.CAP_Dados!$S$2:$S$5000,0)),"")</f>
        <v/>
      </c>
      <c r="D149" t="str">
        <f>IFERROR(INDEX(EQA.CAP_Dados!D$2:D$5000,MATCH(ROW()-4,EQA.CAP_Dados!$S$2:$S$5000,0)),"")</f>
        <v/>
      </c>
      <c r="E149" t="str">
        <f>IFERROR(INDEX(EQA.CAP_Dados!E$2:E$5000,MATCH(ROW()-4,EQA.CAP_Dados!$S$2:$S$5000,0)),"")</f>
        <v/>
      </c>
      <c r="F149" s="137" t="str">
        <f>IFERROR(INDEX(EQA.CAP_Dados!F$2:F$5000,MATCH(ROW()-4,EQA.CAP_Dados!$S$2:$S$5000,0)),"")</f>
        <v/>
      </c>
      <c r="G149" s="138" t="str">
        <f>IFERROR(INDEX(EQA.CAP_Dados!G$2:G$5000,MATCH(ROW()-4,EQA.CAP_Dados!$S$2:$S$5000,0)),"")</f>
        <v/>
      </c>
      <c r="H149" s="138" t="str">
        <f>IFERROR(INDEX(EQA.CAP_Dados!H$2:H$5000,MATCH(ROW()-4,EQA.CAP_Dados!$S$2:$S$5000,0)),"")</f>
        <v/>
      </c>
      <c r="I149" s="139" t="str">
        <f>IFERROR(INDEX(EQA.CAP_Dados!I$2:I$5000,MATCH(ROW()-4,EQA.CAP_Dados!$S$2:$S$5000,0)),"")</f>
        <v/>
      </c>
      <c r="J149" s="137" t="str">
        <f>IFERROR(INDEX(EQA.CAP_Dados!J$2:J$5000,MATCH(ROW()-4,EQA.CAP_Dados!$S$2:$S$5000,0)),"")</f>
        <v/>
      </c>
      <c r="K149" s="137" t="str">
        <f>IFERROR(INDEX(EQA.CAP_Dados!K$2:K$5000,MATCH(ROW()-4,EQA.CAP_Dados!$S$2:$S$5000,0)),"")</f>
        <v/>
      </c>
      <c r="L149" t="str">
        <f>IFERROR(INDEX(EQA.CAP_Dados!L$2:L$5000,MATCH(ROW()-4,EQA.CAP_Dados!$S$2:$S$5000,0)),"")</f>
        <v/>
      </c>
      <c r="M149" s="126" t="str">
        <f>IFERROR(INDEX(EQA.CAP_Dados!M$2:M$5000,MATCH(ROW()-4,EQA.CAP_Dados!$S$2:$S$5000,0)),"")</f>
        <v/>
      </c>
      <c r="N149" t="str">
        <f>IFERROR(INDEX(EQA.CAP_Dados!N$2:N$5000,MATCH(ROW()-4,EQA.CAP_Dados!$S$2:$S$5000,0)),"")</f>
        <v/>
      </c>
      <c r="O149" s="137" t="str">
        <f>IFERROR(INDEX(EQA.CAP_Dados!O$2:O$5000,MATCH(ROW()-4,EQA.CAP_Dados!$S$2:$S$5000,0)),"")</f>
        <v/>
      </c>
      <c r="P149" s="137" t="str">
        <f>IFERROR(INDEX(EQA.CAP_Dados!P$2:P$5000,MATCH(ROW()-4,EQA.CAP_Dados!$S$2:$S$5000,0)),"")</f>
        <v/>
      </c>
      <c r="Q149" s="126" t="str">
        <f>IFERROR(INDEX(EQA.CAP_Dados!Q$2:Q$5000,MATCH(ROW()-4,EQA.CAP_Dados!$S$2:$S$5000,0)),"")</f>
        <v/>
      </c>
      <c r="R149" t="str">
        <f>IFERROR(INDEX(EQA.CAP_Dados!R$2:R$5000,MATCH(ROW()-4,EQA.CAP_Dados!$S$2:$S$5000,0)),"")</f>
        <v/>
      </c>
    </row>
    <row r="150" spans="1:18" x14ac:dyDescent="0.3">
      <c r="A150" t="str">
        <f>IFERROR(INDEX(EQA.CAP_Dados!A$2:A$5000,MATCH(ROW()-4,EQA.CAP_Dados!$S$2:$S$5000,0)),"")</f>
        <v/>
      </c>
      <c r="B150" t="str">
        <f>IFERROR(INDEX(EQA.CAP_Dados!B$2:B$5000,MATCH(ROW()-4,EQA.CAP_Dados!$S$2:$S$5000,0)),"")</f>
        <v/>
      </c>
      <c r="C150" s="126" t="str">
        <f>IFERROR(INDEX(EQA.CAP_Dados!C$2:C$5000,MATCH(ROW()-4,EQA.CAP_Dados!$S$2:$S$5000,0)),"")</f>
        <v/>
      </c>
      <c r="D150" t="str">
        <f>IFERROR(INDEX(EQA.CAP_Dados!D$2:D$5000,MATCH(ROW()-4,EQA.CAP_Dados!$S$2:$S$5000,0)),"")</f>
        <v/>
      </c>
      <c r="E150" t="str">
        <f>IFERROR(INDEX(EQA.CAP_Dados!E$2:E$5000,MATCH(ROW()-4,EQA.CAP_Dados!$S$2:$S$5000,0)),"")</f>
        <v/>
      </c>
      <c r="F150" s="137" t="str">
        <f>IFERROR(INDEX(EQA.CAP_Dados!F$2:F$5000,MATCH(ROW()-4,EQA.CAP_Dados!$S$2:$S$5000,0)),"")</f>
        <v/>
      </c>
      <c r="G150" s="138" t="str">
        <f>IFERROR(INDEX(EQA.CAP_Dados!G$2:G$5000,MATCH(ROW()-4,EQA.CAP_Dados!$S$2:$S$5000,0)),"")</f>
        <v/>
      </c>
      <c r="H150" s="138" t="str">
        <f>IFERROR(INDEX(EQA.CAP_Dados!H$2:H$5000,MATCH(ROW()-4,EQA.CAP_Dados!$S$2:$S$5000,0)),"")</f>
        <v/>
      </c>
      <c r="I150" s="139" t="str">
        <f>IFERROR(INDEX(EQA.CAP_Dados!I$2:I$5000,MATCH(ROW()-4,EQA.CAP_Dados!$S$2:$S$5000,0)),"")</f>
        <v/>
      </c>
      <c r="J150" s="137" t="str">
        <f>IFERROR(INDEX(EQA.CAP_Dados!J$2:J$5000,MATCH(ROW()-4,EQA.CAP_Dados!$S$2:$S$5000,0)),"")</f>
        <v/>
      </c>
      <c r="K150" s="137" t="str">
        <f>IFERROR(INDEX(EQA.CAP_Dados!K$2:K$5000,MATCH(ROW()-4,EQA.CAP_Dados!$S$2:$S$5000,0)),"")</f>
        <v/>
      </c>
      <c r="L150" t="str">
        <f>IFERROR(INDEX(EQA.CAP_Dados!L$2:L$5000,MATCH(ROW()-4,EQA.CAP_Dados!$S$2:$S$5000,0)),"")</f>
        <v/>
      </c>
      <c r="M150" s="126" t="str">
        <f>IFERROR(INDEX(EQA.CAP_Dados!M$2:M$5000,MATCH(ROW()-4,EQA.CAP_Dados!$S$2:$S$5000,0)),"")</f>
        <v/>
      </c>
      <c r="N150" t="str">
        <f>IFERROR(INDEX(EQA.CAP_Dados!N$2:N$5000,MATCH(ROW()-4,EQA.CAP_Dados!$S$2:$S$5000,0)),"")</f>
        <v/>
      </c>
      <c r="O150" s="137" t="str">
        <f>IFERROR(INDEX(EQA.CAP_Dados!O$2:O$5000,MATCH(ROW()-4,EQA.CAP_Dados!$S$2:$S$5000,0)),"")</f>
        <v/>
      </c>
      <c r="P150" s="137" t="str">
        <f>IFERROR(INDEX(EQA.CAP_Dados!P$2:P$5000,MATCH(ROW()-4,EQA.CAP_Dados!$S$2:$S$5000,0)),"")</f>
        <v/>
      </c>
      <c r="Q150" s="126" t="str">
        <f>IFERROR(INDEX(EQA.CAP_Dados!Q$2:Q$5000,MATCH(ROW()-4,EQA.CAP_Dados!$S$2:$S$5000,0)),"")</f>
        <v/>
      </c>
      <c r="R150" t="str">
        <f>IFERROR(INDEX(EQA.CAP_Dados!R$2:R$5000,MATCH(ROW()-4,EQA.CAP_Dados!$S$2:$S$5000,0)),"")</f>
        <v/>
      </c>
    </row>
    <row r="151" spans="1:18" x14ac:dyDescent="0.3">
      <c r="A151" t="str">
        <f>IFERROR(INDEX(EQA.CAP_Dados!A$2:A$5000,MATCH(ROW()-4,EQA.CAP_Dados!$S$2:$S$5000,0)),"")</f>
        <v/>
      </c>
      <c r="B151" t="str">
        <f>IFERROR(INDEX(EQA.CAP_Dados!B$2:B$5000,MATCH(ROW()-4,EQA.CAP_Dados!$S$2:$S$5000,0)),"")</f>
        <v/>
      </c>
      <c r="C151" s="126" t="str">
        <f>IFERROR(INDEX(EQA.CAP_Dados!C$2:C$5000,MATCH(ROW()-4,EQA.CAP_Dados!$S$2:$S$5000,0)),"")</f>
        <v/>
      </c>
      <c r="D151" t="str">
        <f>IFERROR(INDEX(EQA.CAP_Dados!D$2:D$5000,MATCH(ROW()-4,EQA.CAP_Dados!$S$2:$S$5000,0)),"")</f>
        <v/>
      </c>
      <c r="E151" t="str">
        <f>IFERROR(INDEX(EQA.CAP_Dados!E$2:E$5000,MATCH(ROW()-4,EQA.CAP_Dados!$S$2:$S$5000,0)),"")</f>
        <v/>
      </c>
      <c r="F151" s="137" t="str">
        <f>IFERROR(INDEX(EQA.CAP_Dados!F$2:F$5000,MATCH(ROW()-4,EQA.CAP_Dados!$S$2:$S$5000,0)),"")</f>
        <v/>
      </c>
      <c r="G151" s="138" t="str">
        <f>IFERROR(INDEX(EQA.CAP_Dados!G$2:G$5000,MATCH(ROW()-4,EQA.CAP_Dados!$S$2:$S$5000,0)),"")</f>
        <v/>
      </c>
      <c r="H151" s="138" t="str">
        <f>IFERROR(INDEX(EQA.CAP_Dados!H$2:H$5000,MATCH(ROW()-4,EQA.CAP_Dados!$S$2:$S$5000,0)),"")</f>
        <v/>
      </c>
      <c r="I151" s="139" t="str">
        <f>IFERROR(INDEX(EQA.CAP_Dados!I$2:I$5000,MATCH(ROW()-4,EQA.CAP_Dados!$S$2:$S$5000,0)),"")</f>
        <v/>
      </c>
      <c r="J151" s="137" t="str">
        <f>IFERROR(INDEX(EQA.CAP_Dados!J$2:J$5000,MATCH(ROW()-4,EQA.CAP_Dados!$S$2:$S$5000,0)),"")</f>
        <v/>
      </c>
      <c r="K151" s="137" t="str">
        <f>IFERROR(INDEX(EQA.CAP_Dados!K$2:K$5000,MATCH(ROW()-4,EQA.CAP_Dados!$S$2:$S$5000,0)),"")</f>
        <v/>
      </c>
      <c r="L151" t="str">
        <f>IFERROR(INDEX(EQA.CAP_Dados!L$2:L$5000,MATCH(ROW()-4,EQA.CAP_Dados!$S$2:$S$5000,0)),"")</f>
        <v/>
      </c>
      <c r="M151" s="126" t="str">
        <f>IFERROR(INDEX(EQA.CAP_Dados!M$2:M$5000,MATCH(ROW()-4,EQA.CAP_Dados!$S$2:$S$5000,0)),"")</f>
        <v/>
      </c>
      <c r="N151" t="str">
        <f>IFERROR(INDEX(EQA.CAP_Dados!N$2:N$5000,MATCH(ROW()-4,EQA.CAP_Dados!$S$2:$S$5000,0)),"")</f>
        <v/>
      </c>
      <c r="O151" s="137" t="str">
        <f>IFERROR(INDEX(EQA.CAP_Dados!O$2:O$5000,MATCH(ROW()-4,EQA.CAP_Dados!$S$2:$S$5000,0)),"")</f>
        <v/>
      </c>
      <c r="P151" s="137" t="str">
        <f>IFERROR(INDEX(EQA.CAP_Dados!P$2:P$5000,MATCH(ROW()-4,EQA.CAP_Dados!$S$2:$S$5000,0)),"")</f>
        <v/>
      </c>
      <c r="Q151" s="126" t="str">
        <f>IFERROR(INDEX(EQA.CAP_Dados!Q$2:Q$5000,MATCH(ROW()-4,EQA.CAP_Dados!$S$2:$S$5000,0)),"")</f>
        <v/>
      </c>
      <c r="R151" t="str">
        <f>IFERROR(INDEX(EQA.CAP_Dados!R$2:R$5000,MATCH(ROW()-4,EQA.CAP_Dados!$S$2:$S$5000,0)),"")</f>
        <v/>
      </c>
    </row>
    <row r="152" spans="1:18" x14ac:dyDescent="0.3">
      <c r="A152" t="str">
        <f>IFERROR(INDEX(EQA.CAP_Dados!A$2:A$5000,MATCH(ROW()-4,EQA.CAP_Dados!$S$2:$S$5000,0)),"")</f>
        <v/>
      </c>
      <c r="B152" t="str">
        <f>IFERROR(INDEX(EQA.CAP_Dados!B$2:B$5000,MATCH(ROW()-4,EQA.CAP_Dados!$S$2:$S$5000,0)),"")</f>
        <v/>
      </c>
      <c r="C152" s="126" t="str">
        <f>IFERROR(INDEX(EQA.CAP_Dados!C$2:C$5000,MATCH(ROW()-4,EQA.CAP_Dados!$S$2:$S$5000,0)),"")</f>
        <v/>
      </c>
      <c r="D152" t="str">
        <f>IFERROR(INDEX(EQA.CAP_Dados!D$2:D$5000,MATCH(ROW()-4,EQA.CAP_Dados!$S$2:$S$5000,0)),"")</f>
        <v/>
      </c>
      <c r="E152" t="str">
        <f>IFERROR(INDEX(EQA.CAP_Dados!E$2:E$5000,MATCH(ROW()-4,EQA.CAP_Dados!$S$2:$S$5000,0)),"")</f>
        <v/>
      </c>
      <c r="F152" s="137" t="str">
        <f>IFERROR(INDEX(EQA.CAP_Dados!F$2:F$5000,MATCH(ROW()-4,EQA.CAP_Dados!$S$2:$S$5000,0)),"")</f>
        <v/>
      </c>
      <c r="G152" s="138" t="str">
        <f>IFERROR(INDEX(EQA.CAP_Dados!G$2:G$5000,MATCH(ROW()-4,EQA.CAP_Dados!$S$2:$S$5000,0)),"")</f>
        <v/>
      </c>
      <c r="H152" s="138" t="str">
        <f>IFERROR(INDEX(EQA.CAP_Dados!H$2:H$5000,MATCH(ROW()-4,EQA.CAP_Dados!$S$2:$S$5000,0)),"")</f>
        <v/>
      </c>
      <c r="I152" s="139" t="str">
        <f>IFERROR(INDEX(EQA.CAP_Dados!I$2:I$5000,MATCH(ROW()-4,EQA.CAP_Dados!$S$2:$S$5000,0)),"")</f>
        <v/>
      </c>
      <c r="J152" s="137" t="str">
        <f>IFERROR(INDEX(EQA.CAP_Dados!J$2:J$5000,MATCH(ROW()-4,EQA.CAP_Dados!$S$2:$S$5000,0)),"")</f>
        <v/>
      </c>
      <c r="K152" s="137" t="str">
        <f>IFERROR(INDEX(EQA.CAP_Dados!K$2:K$5000,MATCH(ROW()-4,EQA.CAP_Dados!$S$2:$S$5000,0)),"")</f>
        <v/>
      </c>
      <c r="L152" t="str">
        <f>IFERROR(INDEX(EQA.CAP_Dados!L$2:L$5000,MATCH(ROW()-4,EQA.CAP_Dados!$S$2:$S$5000,0)),"")</f>
        <v/>
      </c>
      <c r="M152" s="126" t="str">
        <f>IFERROR(INDEX(EQA.CAP_Dados!M$2:M$5000,MATCH(ROW()-4,EQA.CAP_Dados!$S$2:$S$5000,0)),"")</f>
        <v/>
      </c>
      <c r="N152" t="str">
        <f>IFERROR(INDEX(EQA.CAP_Dados!N$2:N$5000,MATCH(ROW()-4,EQA.CAP_Dados!$S$2:$S$5000,0)),"")</f>
        <v/>
      </c>
      <c r="O152" s="137" t="str">
        <f>IFERROR(INDEX(EQA.CAP_Dados!O$2:O$5000,MATCH(ROW()-4,EQA.CAP_Dados!$S$2:$S$5000,0)),"")</f>
        <v/>
      </c>
      <c r="P152" s="137" t="str">
        <f>IFERROR(INDEX(EQA.CAP_Dados!P$2:P$5000,MATCH(ROW()-4,EQA.CAP_Dados!$S$2:$S$5000,0)),"")</f>
        <v/>
      </c>
      <c r="Q152" s="126" t="str">
        <f>IFERROR(INDEX(EQA.CAP_Dados!Q$2:Q$5000,MATCH(ROW()-4,EQA.CAP_Dados!$S$2:$S$5000,0)),"")</f>
        <v/>
      </c>
      <c r="R152" t="str">
        <f>IFERROR(INDEX(EQA.CAP_Dados!R$2:R$5000,MATCH(ROW()-4,EQA.CAP_Dados!$S$2:$S$5000,0)),"")</f>
        <v/>
      </c>
    </row>
    <row r="153" spans="1:18" x14ac:dyDescent="0.3">
      <c r="A153" t="str">
        <f>IFERROR(INDEX(EQA.CAP_Dados!A$2:A$5000,MATCH(ROW()-4,EQA.CAP_Dados!$S$2:$S$5000,0)),"")</f>
        <v/>
      </c>
      <c r="B153" t="str">
        <f>IFERROR(INDEX(EQA.CAP_Dados!B$2:B$5000,MATCH(ROW()-4,EQA.CAP_Dados!$S$2:$S$5000,0)),"")</f>
        <v/>
      </c>
      <c r="C153" s="126" t="str">
        <f>IFERROR(INDEX(EQA.CAP_Dados!C$2:C$5000,MATCH(ROW()-4,EQA.CAP_Dados!$S$2:$S$5000,0)),"")</f>
        <v/>
      </c>
      <c r="D153" t="str">
        <f>IFERROR(INDEX(EQA.CAP_Dados!D$2:D$5000,MATCH(ROW()-4,EQA.CAP_Dados!$S$2:$S$5000,0)),"")</f>
        <v/>
      </c>
      <c r="E153" t="str">
        <f>IFERROR(INDEX(EQA.CAP_Dados!E$2:E$5000,MATCH(ROW()-4,EQA.CAP_Dados!$S$2:$S$5000,0)),"")</f>
        <v/>
      </c>
      <c r="F153" s="137" t="str">
        <f>IFERROR(INDEX(EQA.CAP_Dados!F$2:F$5000,MATCH(ROW()-4,EQA.CAP_Dados!$S$2:$S$5000,0)),"")</f>
        <v/>
      </c>
      <c r="G153" s="138" t="str">
        <f>IFERROR(INDEX(EQA.CAP_Dados!G$2:G$5000,MATCH(ROW()-4,EQA.CAP_Dados!$S$2:$S$5000,0)),"")</f>
        <v/>
      </c>
      <c r="H153" s="138" t="str">
        <f>IFERROR(INDEX(EQA.CAP_Dados!H$2:H$5000,MATCH(ROW()-4,EQA.CAP_Dados!$S$2:$S$5000,0)),"")</f>
        <v/>
      </c>
      <c r="I153" s="139" t="str">
        <f>IFERROR(INDEX(EQA.CAP_Dados!I$2:I$5000,MATCH(ROW()-4,EQA.CAP_Dados!$S$2:$S$5000,0)),"")</f>
        <v/>
      </c>
      <c r="J153" s="137" t="str">
        <f>IFERROR(INDEX(EQA.CAP_Dados!J$2:J$5000,MATCH(ROW()-4,EQA.CAP_Dados!$S$2:$S$5000,0)),"")</f>
        <v/>
      </c>
      <c r="K153" s="137" t="str">
        <f>IFERROR(INDEX(EQA.CAP_Dados!K$2:K$5000,MATCH(ROW()-4,EQA.CAP_Dados!$S$2:$S$5000,0)),"")</f>
        <v/>
      </c>
      <c r="L153" t="str">
        <f>IFERROR(INDEX(EQA.CAP_Dados!L$2:L$5000,MATCH(ROW()-4,EQA.CAP_Dados!$S$2:$S$5000,0)),"")</f>
        <v/>
      </c>
      <c r="M153" s="126" t="str">
        <f>IFERROR(INDEX(EQA.CAP_Dados!M$2:M$5000,MATCH(ROW()-4,EQA.CAP_Dados!$S$2:$S$5000,0)),"")</f>
        <v/>
      </c>
      <c r="N153" t="str">
        <f>IFERROR(INDEX(EQA.CAP_Dados!N$2:N$5000,MATCH(ROW()-4,EQA.CAP_Dados!$S$2:$S$5000,0)),"")</f>
        <v/>
      </c>
      <c r="O153" s="137" t="str">
        <f>IFERROR(INDEX(EQA.CAP_Dados!O$2:O$5000,MATCH(ROW()-4,EQA.CAP_Dados!$S$2:$S$5000,0)),"")</f>
        <v/>
      </c>
      <c r="P153" s="137" t="str">
        <f>IFERROR(INDEX(EQA.CAP_Dados!P$2:P$5000,MATCH(ROW()-4,EQA.CAP_Dados!$S$2:$S$5000,0)),"")</f>
        <v/>
      </c>
      <c r="Q153" s="126" t="str">
        <f>IFERROR(INDEX(EQA.CAP_Dados!Q$2:Q$5000,MATCH(ROW()-4,EQA.CAP_Dados!$S$2:$S$5000,0)),"")</f>
        <v/>
      </c>
      <c r="R153" t="str">
        <f>IFERROR(INDEX(EQA.CAP_Dados!R$2:R$5000,MATCH(ROW()-4,EQA.CAP_Dados!$S$2:$S$5000,0)),"")</f>
        <v/>
      </c>
    </row>
    <row r="154" spans="1:18" x14ac:dyDescent="0.3">
      <c r="A154" t="str">
        <f>IFERROR(INDEX(EQA.CAP_Dados!A$2:A$5000,MATCH(ROW()-4,EQA.CAP_Dados!$S$2:$S$5000,0)),"")</f>
        <v/>
      </c>
      <c r="B154" t="str">
        <f>IFERROR(INDEX(EQA.CAP_Dados!B$2:B$5000,MATCH(ROW()-4,EQA.CAP_Dados!$S$2:$S$5000,0)),"")</f>
        <v/>
      </c>
      <c r="C154" s="126" t="str">
        <f>IFERROR(INDEX(EQA.CAP_Dados!C$2:C$5000,MATCH(ROW()-4,EQA.CAP_Dados!$S$2:$S$5000,0)),"")</f>
        <v/>
      </c>
      <c r="D154" t="str">
        <f>IFERROR(INDEX(EQA.CAP_Dados!D$2:D$5000,MATCH(ROW()-4,EQA.CAP_Dados!$S$2:$S$5000,0)),"")</f>
        <v/>
      </c>
      <c r="E154" t="str">
        <f>IFERROR(INDEX(EQA.CAP_Dados!E$2:E$5000,MATCH(ROW()-4,EQA.CAP_Dados!$S$2:$S$5000,0)),"")</f>
        <v/>
      </c>
      <c r="F154" s="137" t="str">
        <f>IFERROR(INDEX(EQA.CAP_Dados!F$2:F$5000,MATCH(ROW()-4,EQA.CAP_Dados!$S$2:$S$5000,0)),"")</f>
        <v/>
      </c>
      <c r="G154" s="138" t="str">
        <f>IFERROR(INDEX(EQA.CAP_Dados!G$2:G$5000,MATCH(ROW()-4,EQA.CAP_Dados!$S$2:$S$5000,0)),"")</f>
        <v/>
      </c>
      <c r="H154" s="138" t="str">
        <f>IFERROR(INDEX(EQA.CAP_Dados!H$2:H$5000,MATCH(ROW()-4,EQA.CAP_Dados!$S$2:$S$5000,0)),"")</f>
        <v/>
      </c>
      <c r="I154" s="139" t="str">
        <f>IFERROR(INDEX(EQA.CAP_Dados!I$2:I$5000,MATCH(ROW()-4,EQA.CAP_Dados!$S$2:$S$5000,0)),"")</f>
        <v/>
      </c>
      <c r="J154" s="137" t="str">
        <f>IFERROR(INDEX(EQA.CAP_Dados!J$2:J$5000,MATCH(ROW()-4,EQA.CAP_Dados!$S$2:$S$5000,0)),"")</f>
        <v/>
      </c>
      <c r="K154" s="137" t="str">
        <f>IFERROR(INDEX(EQA.CAP_Dados!K$2:K$5000,MATCH(ROW()-4,EQA.CAP_Dados!$S$2:$S$5000,0)),"")</f>
        <v/>
      </c>
      <c r="L154" t="str">
        <f>IFERROR(INDEX(EQA.CAP_Dados!L$2:L$5000,MATCH(ROW()-4,EQA.CAP_Dados!$S$2:$S$5000,0)),"")</f>
        <v/>
      </c>
      <c r="M154" s="126" t="str">
        <f>IFERROR(INDEX(EQA.CAP_Dados!M$2:M$5000,MATCH(ROW()-4,EQA.CAP_Dados!$S$2:$S$5000,0)),"")</f>
        <v/>
      </c>
      <c r="N154" t="str">
        <f>IFERROR(INDEX(EQA.CAP_Dados!N$2:N$5000,MATCH(ROW()-4,EQA.CAP_Dados!$S$2:$S$5000,0)),"")</f>
        <v/>
      </c>
      <c r="O154" s="137" t="str">
        <f>IFERROR(INDEX(EQA.CAP_Dados!O$2:O$5000,MATCH(ROW()-4,EQA.CAP_Dados!$S$2:$S$5000,0)),"")</f>
        <v/>
      </c>
      <c r="P154" s="137" t="str">
        <f>IFERROR(INDEX(EQA.CAP_Dados!P$2:P$5000,MATCH(ROW()-4,EQA.CAP_Dados!$S$2:$S$5000,0)),"")</f>
        <v/>
      </c>
      <c r="Q154" s="126" t="str">
        <f>IFERROR(INDEX(EQA.CAP_Dados!Q$2:Q$5000,MATCH(ROW()-4,EQA.CAP_Dados!$S$2:$S$5000,0)),"")</f>
        <v/>
      </c>
      <c r="R154" t="str">
        <f>IFERROR(INDEX(EQA.CAP_Dados!R$2:R$5000,MATCH(ROW()-4,EQA.CAP_Dados!$S$2:$S$5000,0)),"")</f>
        <v/>
      </c>
    </row>
    <row r="155" spans="1:18" x14ac:dyDescent="0.3">
      <c r="A155" t="str">
        <f>IFERROR(INDEX(EQA.CAP_Dados!A$2:A$5000,MATCH(ROW()-4,EQA.CAP_Dados!$S$2:$S$5000,0)),"")</f>
        <v/>
      </c>
      <c r="B155" t="str">
        <f>IFERROR(INDEX(EQA.CAP_Dados!B$2:B$5000,MATCH(ROW()-4,EQA.CAP_Dados!$S$2:$S$5000,0)),"")</f>
        <v/>
      </c>
      <c r="C155" s="126" t="str">
        <f>IFERROR(INDEX(EQA.CAP_Dados!C$2:C$5000,MATCH(ROW()-4,EQA.CAP_Dados!$S$2:$S$5000,0)),"")</f>
        <v/>
      </c>
      <c r="D155" t="str">
        <f>IFERROR(INDEX(EQA.CAP_Dados!D$2:D$5000,MATCH(ROW()-4,EQA.CAP_Dados!$S$2:$S$5000,0)),"")</f>
        <v/>
      </c>
      <c r="E155" t="str">
        <f>IFERROR(INDEX(EQA.CAP_Dados!E$2:E$5000,MATCH(ROW()-4,EQA.CAP_Dados!$S$2:$S$5000,0)),"")</f>
        <v/>
      </c>
      <c r="F155" s="137" t="str">
        <f>IFERROR(INDEX(EQA.CAP_Dados!F$2:F$5000,MATCH(ROW()-4,EQA.CAP_Dados!$S$2:$S$5000,0)),"")</f>
        <v/>
      </c>
      <c r="G155" s="138" t="str">
        <f>IFERROR(INDEX(EQA.CAP_Dados!G$2:G$5000,MATCH(ROW()-4,EQA.CAP_Dados!$S$2:$S$5000,0)),"")</f>
        <v/>
      </c>
      <c r="H155" s="138" t="str">
        <f>IFERROR(INDEX(EQA.CAP_Dados!H$2:H$5000,MATCH(ROW()-4,EQA.CAP_Dados!$S$2:$S$5000,0)),"")</f>
        <v/>
      </c>
      <c r="I155" s="139" t="str">
        <f>IFERROR(INDEX(EQA.CAP_Dados!I$2:I$5000,MATCH(ROW()-4,EQA.CAP_Dados!$S$2:$S$5000,0)),"")</f>
        <v/>
      </c>
      <c r="J155" s="137" t="str">
        <f>IFERROR(INDEX(EQA.CAP_Dados!J$2:J$5000,MATCH(ROW()-4,EQA.CAP_Dados!$S$2:$S$5000,0)),"")</f>
        <v/>
      </c>
      <c r="K155" s="137" t="str">
        <f>IFERROR(INDEX(EQA.CAP_Dados!K$2:K$5000,MATCH(ROW()-4,EQA.CAP_Dados!$S$2:$S$5000,0)),"")</f>
        <v/>
      </c>
      <c r="L155" t="str">
        <f>IFERROR(INDEX(EQA.CAP_Dados!L$2:L$5000,MATCH(ROW()-4,EQA.CAP_Dados!$S$2:$S$5000,0)),"")</f>
        <v/>
      </c>
      <c r="M155" s="126" t="str">
        <f>IFERROR(INDEX(EQA.CAP_Dados!M$2:M$5000,MATCH(ROW()-4,EQA.CAP_Dados!$S$2:$S$5000,0)),"")</f>
        <v/>
      </c>
      <c r="N155" t="str">
        <f>IFERROR(INDEX(EQA.CAP_Dados!N$2:N$5000,MATCH(ROW()-4,EQA.CAP_Dados!$S$2:$S$5000,0)),"")</f>
        <v/>
      </c>
      <c r="O155" s="137" t="str">
        <f>IFERROR(INDEX(EQA.CAP_Dados!O$2:O$5000,MATCH(ROW()-4,EQA.CAP_Dados!$S$2:$S$5000,0)),"")</f>
        <v/>
      </c>
      <c r="P155" s="137" t="str">
        <f>IFERROR(INDEX(EQA.CAP_Dados!P$2:P$5000,MATCH(ROW()-4,EQA.CAP_Dados!$S$2:$S$5000,0)),"")</f>
        <v/>
      </c>
      <c r="Q155" s="126" t="str">
        <f>IFERROR(INDEX(EQA.CAP_Dados!Q$2:Q$5000,MATCH(ROW()-4,EQA.CAP_Dados!$S$2:$S$5000,0)),"")</f>
        <v/>
      </c>
      <c r="R155" t="str">
        <f>IFERROR(INDEX(EQA.CAP_Dados!R$2:R$5000,MATCH(ROW()-4,EQA.CAP_Dados!$S$2:$S$5000,0)),"")</f>
        <v/>
      </c>
    </row>
    <row r="156" spans="1:18" x14ac:dyDescent="0.3">
      <c r="A156" t="str">
        <f>IFERROR(INDEX(EQA.CAP_Dados!A$2:A$5000,MATCH(ROW()-4,EQA.CAP_Dados!$S$2:$S$5000,0)),"")</f>
        <v/>
      </c>
      <c r="B156" t="str">
        <f>IFERROR(INDEX(EQA.CAP_Dados!B$2:B$5000,MATCH(ROW()-4,EQA.CAP_Dados!$S$2:$S$5000,0)),"")</f>
        <v/>
      </c>
      <c r="C156" s="126" t="str">
        <f>IFERROR(INDEX(EQA.CAP_Dados!C$2:C$5000,MATCH(ROW()-4,EQA.CAP_Dados!$S$2:$S$5000,0)),"")</f>
        <v/>
      </c>
      <c r="D156" t="str">
        <f>IFERROR(INDEX(EQA.CAP_Dados!D$2:D$5000,MATCH(ROW()-4,EQA.CAP_Dados!$S$2:$S$5000,0)),"")</f>
        <v/>
      </c>
      <c r="E156" t="str">
        <f>IFERROR(INDEX(EQA.CAP_Dados!E$2:E$5000,MATCH(ROW()-4,EQA.CAP_Dados!$S$2:$S$5000,0)),"")</f>
        <v/>
      </c>
      <c r="F156" s="137" t="str">
        <f>IFERROR(INDEX(EQA.CAP_Dados!F$2:F$5000,MATCH(ROW()-4,EQA.CAP_Dados!$S$2:$S$5000,0)),"")</f>
        <v/>
      </c>
      <c r="G156" s="138" t="str">
        <f>IFERROR(INDEX(EQA.CAP_Dados!G$2:G$5000,MATCH(ROW()-4,EQA.CAP_Dados!$S$2:$S$5000,0)),"")</f>
        <v/>
      </c>
      <c r="H156" s="138" t="str">
        <f>IFERROR(INDEX(EQA.CAP_Dados!H$2:H$5000,MATCH(ROW()-4,EQA.CAP_Dados!$S$2:$S$5000,0)),"")</f>
        <v/>
      </c>
      <c r="I156" s="139" t="str">
        <f>IFERROR(INDEX(EQA.CAP_Dados!I$2:I$5000,MATCH(ROW()-4,EQA.CAP_Dados!$S$2:$S$5000,0)),"")</f>
        <v/>
      </c>
      <c r="J156" s="137" t="str">
        <f>IFERROR(INDEX(EQA.CAP_Dados!J$2:J$5000,MATCH(ROW()-4,EQA.CAP_Dados!$S$2:$S$5000,0)),"")</f>
        <v/>
      </c>
      <c r="K156" s="137" t="str">
        <f>IFERROR(INDEX(EQA.CAP_Dados!K$2:K$5000,MATCH(ROW()-4,EQA.CAP_Dados!$S$2:$S$5000,0)),"")</f>
        <v/>
      </c>
      <c r="L156" t="str">
        <f>IFERROR(INDEX(EQA.CAP_Dados!L$2:L$5000,MATCH(ROW()-4,EQA.CAP_Dados!$S$2:$S$5000,0)),"")</f>
        <v/>
      </c>
      <c r="M156" s="126" t="str">
        <f>IFERROR(INDEX(EQA.CAP_Dados!M$2:M$5000,MATCH(ROW()-4,EQA.CAP_Dados!$S$2:$S$5000,0)),"")</f>
        <v/>
      </c>
      <c r="N156" t="str">
        <f>IFERROR(INDEX(EQA.CAP_Dados!N$2:N$5000,MATCH(ROW()-4,EQA.CAP_Dados!$S$2:$S$5000,0)),"")</f>
        <v/>
      </c>
      <c r="O156" s="137" t="str">
        <f>IFERROR(INDEX(EQA.CAP_Dados!O$2:O$5000,MATCH(ROW()-4,EQA.CAP_Dados!$S$2:$S$5000,0)),"")</f>
        <v/>
      </c>
      <c r="P156" s="137" t="str">
        <f>IFERROR(INDEX(EQA.CAP_Dados!P$2:P$5000,MATCH(ROW()-4,EQA.CAP_Dados!$S$2:$S$5000,0)),"")</f>
        <v/>
      </c>
      <c r="Q156" s="126" t="str">
        <f>IFERROR(INDEX(EQA.CAP_Dados!Q$2:Q$5000,MATCH(ROW()-4,EQA.CAP_Dados!$S$2:$S$5000,0)),"")</f>
        <v/>
      </c>
      <c r="R156" t="str">
        <f>IFERROR(INDEX(EQA.CAP_Dados!R$2:R$5000,MATCH(ROW()-4,EQA.CAP_Dados!$S$2:$S$5000,0)),"")</f>
        <v/>
      </c>
    </row>
    <row r="157" spans="1:18" x14ac:dyDescent="0.3">
      <c r="A157" t="str">
        <f>IFERROR(INDEX(EQA.CAP_Dados!A$2:A$5000,MATCH(ROW()-4,EQA.CAP_Dados!$S$2:$S$5000,0)),"")</f>
        <v/>
      </c>
      <c r="B157" t="str">
        <f>IFERROR(INDEX(EQA.CAP_Dados!B$2:B$5000,MATCH(ROW()-4,EQA.CAP_Dados!$S$2:$S$5000,0)),"")</f>
        <v/>
      </c>
      <c r="C157" s="126" t="str">
        <f>IFERROR(INDEX(EQA.CAP_Dados!C$2:C$5000,MATCH(ROW()-4,EQA.CAP_Dados!$S$2:$S$5000,0)),"")</f>
        <v/>
      </c>
      <c r="D157" t="str">
        <f>IFERROR(INDEX(EQA.CAP_Dados!D$2:D$5000,MATCH(ROW()-4,EQA.CAP_Dados!$S$2:$S$5000,0)),"")</f>
        <v/>
      </c>
      <c r="E157" t="str">
        <f>IFERROR(INDEX(EQA.CAP_Dados!E$2:E$5000,MATCH(ROW()-4,EQA.CAP_Dados!$S$2:$S$5000,0)),"")</f>
        <v/>
      </c>
      <c r="F157" s="137" t="str">
        <f>IFERROR(INDEX(EQA.CAP_Dados!F$2:F$5000,MATCH(ROW()-4,EQA.CAP_Dados!$S$2:$S$5000,0)),"")</f>
        <v/>
      </c>
      <c r="G157" s="138" t="str">
        <f>IFERROR(INDEX(EQA.CAP_Dados!G$2:G$5000,MATCH(ROW()-4,EQA.CAP_Dados!$S$2:$S$5000,0)),"")</f>
        <v/>
      </c>
      <c r="H157" s="138" t="str">
        <f>IFERROR(INDEX(EQA.CAP_Dados!H$2:H$5000,MATCH(ROW()-4,EQA.CAP_Dados!$S$2:$S$5000,0)),"")</f>
        <v/>
      </c>
      <c r="I157" s="139" t="str">
        <f>IFERROR(INDEX(EQA.CAP_Dados!I$2:I$5000,MATCH(ROW()-4,EQA.CAP_Dados!$S$2:$S$5000,0)),"")</f>
        <v/>
      </c>
      <c r="J157" s="137" t="str">
        <f>IFERROR(INDEX(EQA.CAP_Dados!J$2:J$5000,MATCH(ROW()-4,EQA.CAP_Dados!$S$2:$S$5000,0)),"")</f>
        <v/>
      </c>
      <c r="K157" s="137" t="str">
        <f>IFERROR(INDEX(EQA.CAP_Dados!K$2:K$5000,MATCH(ROW()-4,EQA.CAP_Dados!$S$2:$S$5000,0)),"")</f>
        <v/>
      </c>
      <c r="L157" t="str">
        <f>IFERROR(INDEX(EQA.CAP_Dados!L$2:L$5000,MATCH(ROW()-4,EQA.CAP_Dados!$S$2:$S$5000,0)),"")</f>
        <v/>
      </c>
      <c r="M157" s="126" t="str">
        <f>IFERROR(INDEX(EQA.CAP_Dados!M$2:M$5000,MATCH(ROW()-4,EQA.CAP_Dados!$S$2:$S$5000,0)),"")</f>
        <v/>
      </c>
      <c r="N157" t="str">
        <f>IFERROR(INDEX(EQA.CAP_Dados!N$2:N$5000,MATCH(ROW()-4,EQA.CAP_Dados!$S$2:$S$5000,0)),"")</f>
        <v/>
      </c>
      <c r="O157" s="137" t="str">
        <f>IFERROR(INDEX(EQA.CAP_Dados!O$2:O$5000,MATCH(ROW()-4,EQA.CAP_Dados!$S$2:$S$5000,0)),"")</f>
        <v/>
      </c>
      <c r="P157" s="137" t="str">
        <f>IFERROR(INDEX(EQA.CAP_Dados!P$2:P$5000,MATCH(ROW()-4,EQA.CAP_Dados!$S$2:$S$5000,0)),"")</f>
        <v/>
      </c>
      <c r="Q157" s="126" t="str">
        <f>IFERROR(INDEX(EQA.CAP_Dados!Q$2:Q$5000,MATCH(ROW()-4,EQA.CAP_Dados!$S$2:$S$5000,0)),"")</f>
        <v/>
      </c>
      <c r="R157" t="str">
        <f>IFERROR(INDEX(EQA.CAP_Dados!R$2:R$5000,MATCH(ROW()-4,EQA.CAP_Dados!$S$2:$S$5000,0)),"")</f>
        <v/>
      </c>
    </row>
    <row r="158" spans="1:18" x14ac:dyDescent="0.3">
      <c r="A158" t="str">
        <f>IFERROR(INDEX(EQA.CAP_Dados!A$2:A$5000,MATCH(ROW()-4,EQA.CAP_Dados!$S$2:$S$5000,0)),"")</f>
        <v/>
      </c>
      <c r="B158" t="str">
        <f>IFERROR(INDEX(EQA.CAP_Dados!B$2:B$5000,MATCH(ROW()-4,EQA.CAP_Dados!$S$2:$S$5000,0)),"")</f>
        <v/>
      </c>
      <c r="C158" s="126" t="str">
        <f>IFERROR(INDEX(EQA.CAP_Dados!C$2:C$5000,MATCH(ROW()-4,EQA.CAP_Dados!$S$2:$S$5000,0)),"")</f>
        <v/>
      </c>
      <c r="D158" t="str">
        <f>IFERROR(INDEX(EQA.CAP_Dados!D$2:D$5000,MATCH(ROW()-4,EQA.CAP_Dados!$S$2:$S$5000,0)),"")</f>
        <v/>
      </c>
      <c r="E158" t="str">
        <f>IFERROR(INDEX(EQA.CAP_Dados!E$2:E$5000,MATCH(ROW()-4,EQA.CAP_Dados!$S$2:$S$5000,0)),"")</f>
        <v/>
      </c>
      <c r="F158" s="137" t="str">
        <f>IFERROR(INDEX(EQA.CAP_Dados!F$2:F$5000,MATCH(ROW()-4,EQA.CAP_Dados!$S$2:$S$5000,0)),"")</f>
        <v/>
      </c>
      <c r="G158" s="138" t="str">
        <f>IFERROR(INDEX(EQA.CAP_Dados!G$2:G$5000,MATCH(ROW()-4,EQA.CAP_Dados!$S$2:$S$5000,0)),"")</f>
        <v/>
      </c>
      <c r="H158" s="138" t="str">
        <f>IFERROR(INDEX(EQA.CAP_Dados!H$2:H$5000,MATCH(ROW()-4,EQA.CAP_Dados!$S$2:$S$5000,0)),"")</f>
        <v/>
      </c>
      <c r="I158" s="139" t="str">
        <f>IFERROR(INDEX(EQA.CAP_Dados!I$2:I$5000,MATCH(ROW()-4,EQA.CAP_Dados!$S$2:$S$5000,0)),"")</f>
        <v/>
      </c>
      <c r="J158" s="137" t="str">
        <f>IFERROR(INDEX(EQA.CAP_Dados!J$2:J$5000,MATCH(ROW()-4,EQA.CAP_Dados!$S$2:$S$5000,0)),"")</f>
        <v/>
      </c>
      <c r="K158" s="137" t="str">
        <f>IFERROR(INDEX(EQA.CAP_Dados!K$2:K$5000,MATCH(ROW()-4,EQA.CAP_Dados!$S$2:$S$5000,0)),"")</f>
        <v/>
      </c>
      <c r="L158" t="str">
        <f>IFERROR(INDEX(EQA.CAP_Dados!L$2:L$5000,MATCH(ROW()-4,EQA.CAP_Dados!$S$2:$S$5000,0)),"")</f>
        <v/>
      </c>
      <c r="M158" s="126" t="str">
        <f>IFERROR(INDEX(EQA.CAP_Dados!M$2:M$5000,MATCH(ROW()-4,EQA.CAP_Dados!$S$2:$S$5000,0)),"")</f>
        <v/>
      </c>
      <c r="N158" t="str">
        <f>IFERROR(INDEX(EQA.CAP_Dados!N$2:N$5000,MATCH(ROW()-4,EQA.CAP_Dados!$S$2:$S$5000,0)),"")</f>
        <v/>
      </c>
      <c r="O158" s="137" t="str">
        <f>IFERROR(INDEX(EQA.CAP_Dados!O$2:O$5000,MATCH(ROW()-4,EQA.CAP_Dados!$S$2:$S$5000,0)),"")</f>
        <v/>
      </c>
      <c r="P158" s="137" t="str">
        <f>IFERROR(INDEX(EQA.CAP_Dados!P$2:P$5000,MATCH(ROW()-4,EQA.CAP_Dados!$S$2:$S$5000,0)),"")</f>
        <v/>
      </c>
      <c r="Q158" s="126" t="str">
        <f>IFERROR(INDEX(EQA.CAP_Dados!Q$2:Q$5000,MATCH(ROW()-4,EQA.CAP_Dados!$S$2:$S$5000,0)),"")</f>
        <v/>
      </c>
      <c r="R158" t="str">
        <f>IFERROR(INDEX(EQA.CAP_Dados!R$2:R$5000,MATCH(ROW()-4,EQA.CAP_Dados!$S$2:$S$5000,0)),"")</f>
        <v/>
      </c>
    </row>
    <row r="159" spans="1:18" x14ac:dyDescent="0.3">
      <c r="A159" t="str">
        <f>IFERROR(INDEX(EQA.CAP_Dados!A$2:A$5000,MATCH(ROW()-4,EQA.CAP_Dados!$S$2:$S$5000,0)),"")</f>
        <v/>
      </c>
      <c r="B159" t="str">
        <f>IFERROR(INDEX(EQA.CAP_Dados!B$2:B$5000,MATCH(ROW()-4,EQA.CAP_Dados!$S$2:$S$5000,0)),"")</f>
        <v/>
      </c>
      <c r="C159" s="126" t="str">
        <f>IFERROR(INDEX(EQA.CAP_Dados!C$2:C$5000,MATCH(ROW()-4,EQA.CAP_Dados!$S$2:$S$5000,0)),"")</f>
        <v/>
      </c>
      <c r="D159" t="str">
        <f>IFERROR(INDEX(EQA.CAP_Dados!D$2:D$5000,MATCH(ROW()-4,EQA.CAP_Dados!$S$2:$S$5000,0)),"")</f>
        <v/>
      </c>
      <c r="E159" t="str">
        <f>IFERROR(INDEX(EQA.CAP_Dados!E$2:E$5000,MATCH(ROW()-4,EQA.CAP_Dados!$S$2:$S$5000,0)),"")</f>
        <v/>
      </c>
      <c r="F159" s="137" t="str">
        <f>IFERROR(INDEX(EQA.CAP_Dados!F$2:F$5000,MATCH(ROW()-4,EQA.CAP_Dados!$S$2:$S$5000,0)),"")</f>
        <v/>
      </c>
      <c r="G159" s="138" t="str">
        <f>IFERROR(INDEX(EQA.CAP_Dados!G$2:G$5000,MATCH(ROW()-4,EQA.CAP_Dados!$S$2:$S$5000,0)),"")</f>
        <v/>
      </c>
      <c r="H159" s="138" t="str">
        <f>IFERROR(INDEX(EQA.CAP_Dados!H$2:H$5000,MATCH(ROW()-4,EQA.CAP_Dados!$S$2:$S$5000,0)),"")</f>
        <v/>
      </c>
      <c r="I159" s="139" t="str">
        <f>IFERROR(INDEX(EQA.CAP_Dados!I$2:I$5000,MATCH(ROW()-4,EQA.CAP_Dados!$S$2:$S$5000,0)),"")</f>
        <v/>
      </c>
      <c r="J159" s="137" t="str">
        <f>IFERROR(INDEX(EQA.CAP_Dados!J$2:J$5000,MATCH(ROW()-4,EQA.CAP_Dados!$S$2:$S$5000,0)),"")</f>
        <v/>
      </c>
      <c r="K159" s="137" t="str">
        <f>IFERROR(INDEX(EQA.CAP_Dados!K$2:K$5000,MATCH(ROW()-4,EQA.CAP_Dados!$S$2:$S$5000,0)),"")</f>
        <v/>
      </c>
      <c r="L159" t="str">
        <f>IFERROR(INDEX(EQA.CAP_Dados!L$2:L$5000,MATCH(ROW()-4,EQA.CAP_Dados!$S$2:$S$5000,0)),"")</f>
        <v/>
      </c>
      <c r="M159" s="126" t="str">
        <f>IFERROR(INDEX(EQA.CAP_Dados!M$2:M$5000,MATCH(ROW()-4,EQA.CAP_Dados!$S$2:$S$5000,0)),"")</f>
        <v/>
      </c>
      <c r="N159" t="str">
        <f>IFERROR(INDEX(EQA.CAP_Dados!N$2:N$5000,MATCH(ROW()-4,EQA.CAP_Dados!$S$2:$S$5000,0)),"")</f>
        <v/>
      </c>
      <c r="O159" s="137" t="str">
        <f>IFERROR(INDEX(EQA.CAP_Dados!O$2:O$5000,MATCH(ROW()-4,EQA.CAP_Dados!$S$2:$S$5000,0)),"")</f>
        <v/>
      </c>
      <c r="P159" s="137" t="str">
        <f>IFERROR(INDEX(EQA.CAP_Dados!P$2:P$5000,MATCH(ROW()-4,EQA.CAP_Dados!$S$2:$S$5000,0)),"")</f>
        <v/>
      </c>
      <c r="Q159" s="126" t="str">
        <f>IFERROR(INDEX(EQA.CAP_Dados!Q$2:Q$5000,MATCH(ROW()-4,EQA.CAP_Dados!$S$2:$S$5000,0)),"")</f>
        <v/>
      </c>
      <c r="R159" t="str">
        <f>IFERROR(INDEX(EQA.CAP_Dados!R$2:R$5000,MATCH(ROW()-4,EQA.CAP_Dados!$S$2:$S$5000,0)),"")</f>
        <v/>
      </c>
    </row>
    <row r="160" spans="1:18" x14ac:dyDescent="0.3">
      <c r="A160" t="str">
        <f>IFERROR(INDEX(EQA.CAP_Dados!A$2:A$5000,MATCH(ROW()-4,EQA.CAP_Dados!$S$2:$S$5000,0)),"")</f>
        <v/>
      </c>
      <c r="B160" t="str">
        <f>IFERROR(INDEX(EQA.CAP_Dados!B$2:B$5000,MATCH(ROW()-4,EQA.CAP_Dados!$S$2:$S$5000,0)),"")</f>
        <v/>
      </c>
      <c r="C160" s="126" t="str">
        <f>IFERROR(INDEX(EQA.CAP_Dados!C$2:C$5000,MATCH(ROW()-4,EQA.CAP_Dados!$S$2:$S$5000,0)),"")</f>
        <v/>
      </c>
      <c r="D160" t="str">
        <f>IFERROR(INDEX(EQA.CAP_Dados!D$2:D$5000,MATCH(ROW()-4,EQA.CAP_Dados!$S$2:$S$5000,0)),"")</f>
        <v/>
      </c>
      <c r="E160" t="str">
        <f>IFERROR(INDEX(EQA.CAP_Dados!E$2:E$5000,MATCH(ROW()-4,EQA.CAP_Dados!$S$2:$S$5000,0)),"")</f>
        <v/>
      </c>
      <c r="F160" s="137" t="str">
        <f>IFERROR(INDEX(EQA.CAP_Dados!F$2:F$5000,MATCH(ROW()-4,EQA.CAP_Dados!$S$2:$S$5000,0)),"")</f>
        <v/>
      </c>
      <c r="G160" s="138" t="str">
        <f>IFERROR(INDEX(EQA.CAP_Dados!G$2:G$5000,MATCH(ROW()-4,EQA.CAP_Dados!$S$2:$S$5000,0)),"")</f>
        <v/>
      </c>
      <c r="H160" s="138" t="str">
        <f>IFERROR(INDEX(EQA.CAP_Dados!H$2:H$5000,MATCH(ROW()-4,EQA.CAP_Dados!$S$2:$S$5000,0)),"")</f>
        <v/>
      </c>
      <c r="I160" s="139" t="str">
        <f>IFERROR(INDEX(EQA.CAP_Dados!I$2:I$5000,MATCH(ROW()-4,EQA.CAP_Dados!$S$2:$S$5000,0)),"")</f>
        <v/>
      </c>
      <c r="J160" s="137" t="str">
        <f>IFERROR(INDEX(EQA.CAP_Dados!J$2:J$5000,MATCH(ROW()-4,EQA.CAP_Dados!$S$2:$S$5000,0)),"")</f>
        <v/>
      </c>
      <c r="K160" s="137" t="str">
        <f>IFERROR(INDEX(EQA.CAP_Dados!K$2:K$5000,MATCH(ROW()-4,EQA.CAP_Dados!$S$2:$S$5000,0)),"")</f>
        <v/>
      </c>
      <c r="L160" t="str">
        <f>IFERROR(INDEX(EQA.CAP_Dados!L$2:L$5000,MATCH(ROW()-4,EQA.CAP_Dados!$S$2:$S$5000,0)),"")</f>
        <v/>
      </c>
      <c r="M160" s="126" t="str">
        <f>IFERROR(INDEX(EQA.CAP_Dados!M$2:M$5000,MATCH(ROW()-4,EQA.CAP_Dados!$S$2:$S$5000,0)),"")</f>
        <v/>
      </c>
      <c r="N160" t="str">
        <f>IFERROR(INDEX(EQA.CAP_Dados!N$2:N$5000,MATCH(ROW()-4,EQA.CAP_Dados!$S$2:$S$5000,0)),"")</f>
        <v/>
      </c>
      <c r="O160" s="137" t="str">
        <f>IFERROR(INDEX(EQA.CAP_Dados!O$2:O$5000,MATCH(ROW()-4,EQA.CAP_Dados!$S$2:$S$5000,0)),"")</f>
        <v/>
      </c>
      <c r="P160" s="137" t="str">
        <f>IFERROR(INDEX(EQA.CAP_Dados!P$2:P$5000,MATCH(ROW()-4,EQA.CAP_Dados!$S$2:$S$5000,0)),"")</f>
        <v/>
      </c>
      <c r="Q160" s="126" t="str">
        <f>IFERROR(INDEX(EQA.CAP_Dados!Q$2:Q$5000,MATCH(ROW()-4,EQA.CAP_Dados!$S$2:$S$5000,0)),"")</f>
        <v/>
      </c>
      <c r="R160" t="str">
        <f>IFERROR(INDEX(EQA.CAP_Dados!R$2:R$5000,MATCH(ROW()-4,EQA.CAP_Dados!$S$2:$S$5000,0)),"")</f>
        <v/>
      </c>
    </row>
    <row r="161" spans="1:18" x14ac:dyDescent="0.3">
      <c r="A161" t="str">
        <f>IFERROR(INDEX(EQA.CAP_Dados!A$2:A$5000,MATCH(ROW()-4,EQA.CAP_Dados!$S$2:$S$5000,0)),"")</f>
        <v/>
      </c>
      <c r="B161" t="str">
        <f>IFERROR(INDEX(EQA.CAP_Dados!B$2:B$5000,MATCH(ROW()-4,EQA.CAP_Dados!$S$2:$S$5000,0)),"")</f>
        <v/>
      </c>
      <c r="C161" s="126" t="str">
        <f>IFERROR(INDEX(EQA.CAP_Dados!C$2:C$5000,MATCH(ROW()-4,EQA.CAP_Dados!$S$2:$S$5000,0)),"")</f>
        <v/>
      </c>
      <c r="D161" t="str">
        <f>IFERROR(INDEX(EQA.CAP_Dados!D$2:D$5000,MATCH(ROW()-4,EQA.CAP_Dados!$S$2:$S$5000,0)),"")</f>
        <v/>
      </c>
      <c r="E161" t="str">
        <f>IFERROR(INDEX(EQA.CAP_Dados!E$2:E$5000,MATCH(ROW()-4,EQA.CAP_Dados!$S$2:$S$5000,0)),"")</f>
        <v/>
      </c>
      <c r="F161" s="137" t="str">
        <f>IFERROR(INDEX(EQA.CAP_Dados!F$2:F$5000,MATCH(ROW()-4,EQA.CAP_Dados!$S$2:$S$5000,0)),"")</f>
        <v/>
      </c>
      <c r="G161" s="138" t="str">
        <f>IFERROR(INDEX(EQA.CAP_Dados!G$2:G$5000,MATCH(ROW()-4,EQA.CAP_Dados!$S$2:$S$5000,0)),"")</f>
        <v/>
      </c>
      <c r="H161" s="138" t="str">
        <f>IFERROR(INDEX(EQA.CAP_Dados!H$2:H$5000,MATCH(ROW()-4,EQA.CAP_Dados!$S$2:$S$5000,0)),"")</f>
        <v/>
      </c>
      <c r="I161" s="139" t="str">
        <f>IFERROR(INDEX(EQA.CAP_Dados!I$2:I$5000,MATCH(ROW()-4,EQA.CAP_Dados!$S$2:$S$5000,0)),"")</f>
        <v/>
      </c>
      <c r="J161" s="137" t="str">
        <f>IFERROR(INDEX(EQA.CAP_Dados!J$2:J$5000,MATCH(ROW()-4,EQA.CAP_Dados!$S$2:$S$5000,0)),"")</f>
        <v/>
      </c>
      <c r="K161" s="137" t="str">
        <f>IFERROR(INDEX(EQA.CAP_Dados!K$2:K$5000,MATCH(ROW()-4,EQA.CAP_Dados!$S$2:$S$5000,0)),"")</f>
        <v/>
      </c>
      <c r="L161" t="str">
        <f>IFERROR(INDEX(EQA.CAP_Dados!L$2:L$5000,MATCH(ROW()-4,EQA.CAP_Dados!$S$2:$S$5000,0)),"")</f>
        <v/>
      </c>
      <c r="M161" s="126" t="str">
        <f>IFERROR(INDEX(EQA.CAP_Dados!M$2:M$5000,MATCH(ROW()-4,EQA.CAP_Dados!$S$2:$S$5000,0)),"")</f>
        <v/>
      </c>
      <c r="N161" t="str">
        <f>IFERROR(INDEX(EQA.CAP_Dados!N$2:N$5000,MATCH(ROW()-4,EQA.CAP_Dados!$S$2:$S$5000,0)),"")</f>
        <v/>
      </c>
      <c r="O161" s="137" t="str">
        <f>IFERROR(INDEX(EQA.CAP_Dados!O$2:O$5000,MATCH(ROW()-4,EQA.CAP_Dados!$S$2:$S$5000,0)),"")</f>
        <v/>
      </c>
      <c r="P161" s="137" t="str">
        <f>IFERROR(INDEX(EQA.CAP_Dados!P$2:P$5000,MATCH(ROW()-4,EQA.CAP_Dados!$S$2:$S$5000,0)),"")</f>
        <v/>
      </c>
      <c r="Q161" s="126" t="str">
        <f>IFERROR(INDEX(EQA.CAP_Dados!Q$2:Q$5000,MATCH(ROW()-4,EQA.CAP_Dados!$S$2:$S$5000,0)),"")</f>
        <v/>
      </c>
      <c r="R161" t="str">
        <f>IFERROR(INDEX(EQA.CAP_Dados!R$2:R$5000,MATCH(ROW()-4,EQA.CAP_Dados!$S$2:$S$5000,0)),"")</f>
        <v/>
      </c>
    </row>
    <row r="162" spans="1:18" x14ac:dyDescent="0.3">
      <c r="A162" t="str">
        <f>IFERROR(INDEX(EQA.CAP_Dados!A$2:A$5000,MATCH(ROW()-4,EQA.CAP_Dados!$S$2:$S$5000,0)),"")</f>
        <v/>
      </c>
      <c r="B162" t="str">
        <f>IFERROR(INDEX(EQA.CAP_Dados!B$2:B$5000,MATCH(ROW()-4,EQA.CAP_Dados!$S$2:$S$5000,0)),"")</f>
        <v/>
      </c>
      <c r="C162" s="126" t="str">
        <f>IFERROR(INDEX(EQA.CAP_Dados!C$2:C$5000,MATCH(ROW()-4,EQA.CAP_Dados!$S$2:$S$5000,0)),"")</f>
        <v/>
      </c>
      <c r="D162" t="str">
        <f>IFERROR(INDEX(EQA.CAP_Dados!D$2:D$5000,MATCH(ROW()-4,EQA.CAP_Dados!$S$2:$S$5000,0)),"")</f>
        <v/>
      </c>
      <c r="E162" t="str">
        <f>IFERROR(INDEX(EQA.CAP_Dados!E$2:E$5000,MATCH(ROW()-4,EQA.CAP_Dados!$S$2:$S$5000,0)),"")</f>
        <v/>
      </c>
      <c r="F162" s="137" t="str">
        <f>IFERROR(INDEX(EQA.CAP_Dados!F$2:F$5000,MATCH(ROW()-4,EQA.CAP_Dados!$S$2:$S$5000,0)),"")</f>
        <v/>
      </c>
      <c r="G162" s="138" t="str">
        <f>IFERROR(INDEX(EQA.CAP_Dados!G$2:G$5000,MATCH(ROW()-4,EQA.CAP_Dados!$S$2:$S$5000,0)),"")</f>
        <v/>
      </c>
      <c r="H162" s="138" t="str">
        <f>IFERROR(INDEX(EQA.CAP_Dados!H$2:H$5000,MATCH(ROW()-4,EQA.CAP_Dados!$S$2:$S$5000,0)),"")</f>
        <v/>
      </c>
      <c r="I162" s="139" t="str">
        <f>IFERROR(INDEX(EQA.CAP_Dados!I$2:I$5000,MATCH(ROW()-4,EQA.CAP_Dados!$S$2:$S$5000,0)),"")</f>
        <v/>
      </c>
      <c r="J162" s="137" t="str">
        <f>IFERROR(INDEX(EQA.CAP_Dados!J$2:J$5000,MATCH(ROW()-4,EQA.CAP_Dados!$S$2:$S$5000,0)),"")</f>
        <v/>
      </c>
      <c r="K162" s="137" t="str">
        <f>IFERROR(INDEX(EQA.CAP_Dados!K$2:K$5000,MATCH(ROW()-4,EQA.CAP_Dados!$S$2:$S$5000,0)),"")</f>
        <v/>
      </c>
      <c r="L162" t="str">
        <f>IFERROR(INDEX(EQA.CAP_Dados!L$2:L$5000,MATCH(ROW()-4,EQA.CAP_Dados!$S$2:$S$5000,0)),"")</f>
        <v/>
      </c>
      <c r="M162" s="126" t="str">
        <f>IFERROR(INDEX(EQA.CAP_Dados!M$2:M$5000,MATCH(ROW()-4,EQA.CAP_Dados!$S$2:$S$5000,0)),"")</f>
        <v/>
      </c>
      <c r="N162" t="str">
        <f>IFERROR(INDEX(EQA.CAP_Dados!N$2:N$5000,MATCH(ROW()-4,EQA.CAP_Dados!$S$2:$S$5000,0)),"")</f>
        <v/>
      </c>
      <c r="O162" s="137" t="str">
        <f>IFERROR(INDEX(EQA.CAP_Dados!O$2:O$5000,MATCH(ROW()-4,EQA.CAP_Dados!$S$2:$S$5000,0)),"")</f>
        <v/>
      </c>
      <c r="P162" s="137" t="str">
        <f>IFERROR(INDEX(EQA.CAP_Dados!P$2:P$5000,MATCH(ROW()-4,EQA.CAP_Dados!$S$2:$S$5000,0)),"")</f>
        <v/>
      </c>
      <c r="Q162" s="126" t="str">
        <f>IFERROR(INDEX(EQA.CAP_Dados!Q$2:Q$5000,MATCH(ROW()-4,EQA.CAP_Dados!$S$2:$S$5000,0)),"")</f>
        <v/>
      </c>
      <c r="R162" t="str">
        <f>IFERROR(INDEX(EQA.CAP_Dados!R$2:R$5000,MATCH(ROW()-4,EQA.CAP_Dados!$S$2:$S$5000,0)),"")</f>
        <v/>
      </c>
    </row>
    <row r="163" spans="1:18" x14ac:dyDescent="0.3">
      <c r="A163" t="str">
        <f>IFERROR(INDEX(EQA.CAP_Dados!A$2:A$5000,MATCH(ROW()-4,EQA.CAP_Dados!$S$2:$S$5000,0)),"")</f>
        <v/>
      </c>
      <c r="B163" t="str">
        <f>IFERROR(INDEX(EQA.CAP_Dados!B$2:B$5000,MATCH(ROW()-4,EQA.CAP_Dados!$S$2:$S$5000,0)),"")</f>
        <v/>
      </c>
      <c r="C163" s="126" t="str">
        <f>IFERROR(INDEX(EQA.CAP_Dados!C$2:C$5000,MATCH(ROW()-4,EQA.CAP_Dados!$S$2:$S$5000,0)),"")</f>
        <v/>
      </c>
      <c r="D163" t="str">
        <f>IFERROR(INDEX(EQA.CAP_Dados!D$2:D$5000,MATCH(ROW()-4,EQA.CAP_Dados!$S$2:$S$5000,0)),"")</f>
        <v/>
      </c>
      <c r="E163" t="str">
        <f>IFERROR(INDEX(EQA.CAP_Dados!E$2:E$5000,MATCH(ROW()-4,EQA.CAP_Dados!$S$2:$S$5000,0)),"")</f>
        <v/>
      </c>
      <c r="F163" s="137" t="str">
        <f>IFERROR(INDEX(EQA.CAP_Dados!F$2:F$5000,MATCH(ROW()-4,EQA.CAP_Dados!$S$2:$S$5000,0)),"")</f>
        <v/>
      </c>
      <c r="G163" s="138" t="str">
        <f>IFERROR(INDEX(EQA.CAP_Dados!G$2:G$5000,MATCH(ROW()-4,EQA.CAP_Dados!$S$2:$S$5000,0)),"")</f>
        <v/>
      </c>
      <c r="H163" s="138" t="str">
        <f>IFERROR(INDEX(EQA.CAP_Dados!H$2:H$5000,MATCH(ROW()-4,EQA.CAP_Dados!$S$2:$S$5000,0)),"")</f>
        <v/>
      </c>
      <c r="I163" s="139" t="str">
        <f>IFERROR(INDEX(EQA.CAP_Dados!I$2:I$5000,MATCH(ROW()-4,EQA.CAP_Dados!$S$2:$S$5000,0)),"")</f>
        <v/>
      </c>
      <c r="J163" s="137" t="str">
        <f>IFERROR(INDEX(EQA.CAP_Dados!J$2:J$5000,MATCH(ROW()-4,EQA.CAP_Dados!$S$2:$S$5000,0)),"")</f>
        <v/>
      </c>
      <c r="K163" s="137" t="str">
        <f>IFERROR(INDEX(EQA.CAP_Dados!K$2:K$5000,MATCH(ROW()-4,EQA.CAP_Dados!$S$2:$S$5000,0)),"")</f>
        <v/>
      </c>
      <c r="L163" t="str">
        <f>IFERROR(INDEX(EQA.CAP_Dados!L$2:L$5000,MATCH(ROW()-4,EQA.CAP_Dados!$S$2:$S$5000,0)),"")</f>
        <v/>
      </c>
      <c r="M163" s="126" t="str">
        <f>IFERROR(INDEX(EQA.CAP_Dados!M$2:M$5000,MATCH(ROW()-4,EQA.CAP_Dados!$S$2:$S$5000,0)),"")</f>
        <v/>
      </c>
      <c r="N163" t="str">
        <f>IFERROR(INDEX(EQA.CAP_Dados!N$2:N$5000,MATCH(ROW()-4,EQA.CAP_Dados!$S$2:$S$5000,0)),"")</f>
        <v/>
      </c>
      <c r="O163" s="137" t="str">
        <f>IFERROR(INDEX(EQA.CAP_Dados!O$2:O$5000,MATCH(ROW()-4,EQA.CAP_Dados!$S$2:$S$5000,0)),"")</f>
        <v/>
      </c>
      <c r="P163" s="137" t="str">
        <f>IFERROR(INDEX(EQA.CAP_Dados!P$2:P$5000,MATCH(ROW()-4,EQA.CAP_Dados!$S$2:$S$5000,0)),"")</f>
        <v/>
      </c>
      <c r="Q163" s="126" t="str">
        <f>IFERROR(INDEX(EQA.CAP_Dados!Q$2:Q$5000,MATCH(ROW()-4,EQA.CAP_Dados!$S$2:$S$5000,0)),"")</f>
        <v/>
      </c>
      <c r="R163" t="str">
        <f>IFERROR(INDEX(EQA.CAP_Dados!R$2:R$5000,MATCH(ROW()-4,EQA.CAP_Dados!$S$2:$S$5000,0)),"")</f>
        <v/>
      </c>
    </row>
    <row r="164" spans="1:18" x14ac:dyDescent="0.3">
      <c r="A164" t="str">
        <f>IFERROR(INDEX(EQA.CAP_Dados!A$2:A$5000,MATCH(ROW()-4,EQA.CAP_Dados!$S$2:$S$5000,0)),"")</f>
        <v/>
      </c>
      <c r="B164" t="str">
        <f>IFERROR(INDEX(EQA.CAP_Dados!B$2:B$5000,MATCH(ROW()-4,EQA.CAP_Dados!$S$2:$S$5000,0)),"")</f>
        <v/>
      </c>
      <c r="C164" s="126" t="str">
        <f>IFERROR(INDEX(EQA.CAP_Dados!C$2:C$5000,MATCH(ROW()-4,EQA.CAP_Dados!$S$2:$S$5000,0)),"")</f>
        <v/>
      </c>
      <c r="D164" t="str">
        <f>IFERROR(INDEX(EQA.CAP_Dados!D$2:D$5000,MATCH(ROW()-4,EQA.CAP_Dados!$S$2:$S$5000,0)),"")</f>
        <v/>
      </c>
      <c r="E164" t="str">
        <f>IFERROR(INDEX(EQA.CAP_Dados!E$2:E$5000,MATCH(ROW()-4,EQA.CAP_Dados!$S$2:$S$5000,0)),"")</f>
        <v/>
      </c>
      <c r="F164" s="137" t="str">
        <f>IFERROR(INDEX(EQA.CAP_Dados!F$2:F$5000,MATCH(ROW()-4,EQA.CAP_Dados!$S$2:$S$5000,0)),"")</f>
        <v/>
      </c>
      <c r="G164" s="138" t="str">
        <f>IFERROR(INDEX(EQA.CAP_Dados!G$2:G$5000,MATCH(ROW()-4,EQA.CAP_Dados!$S$2:$S$5000,0)),"")</f>
        <v/>
      </c>
      <c r="H164" s="138" t="str">
        <f>IFERROR(INDEX(EQA.CAP_Dados!H$2:H$5000,MATCH(ROW()-4,EQA.CAP_Dados!$S$2:$S$5000,0)),"")</f>
        <v/>
      </c>
      <c r="I164" s="139" t="str">
        <f>IFERROR(INDEX(EQA.CAP_Dados!I$2:I$5000,MATCH(ROW()-4,EQA.CAP_Dados!$S$2:$S$5000,0)),"")</f>
        <v/>
      </c>
      <c r="J164" s="137" t="str">
        <f>IFERROR(INDEX(EQA.CAP_Dados!J$2:J$5000,MATCH(ROW()-4,EQA.CAP_Dados!$S$2:$S$5000,0)),"")</f>
        <v/>
      </c>
      <c r="K164" s="137" t="str">
        <f>IFERROR(INDEX(EQA.CAP_Dados!K$2:K$5000,MATCH(ROW()-4,EQA.CAP_Dados!$S$2:$S$5000,0)),"")</f>
        <v/>
      </c>
      <c r="L164" t="str">
        <f>IFERROR(INDEX(EQA.CAP_Dados!L$2:L$5000,MATCH(ROW()-4,EQA.CAP_Dados!$S$2:$S$5000,0)),"")</f>
        <v/>
      </c>
      <c r="M164" s="126" t="str">
        <f>IFERROR(INDEX(EQA.CAP_Dados!M$2:M$5000,MATCH(ROW()-4,EQA.CAP_Dados!$S$2:$S$5000,0)),"")</f>
        <v/>
      </c>
      <c r="N164" t="str">
        <f>IFERROR(INDEX(EQA.CAP_Dados!N$2:N$5000,MATCH(ROW()-4,EQA.CAP_Dados!$S$2:$S$5000,0)),"")</f>
        <v/>
      </c>
      <c r="O164" s="137" t="str">
        <f>IFERROR(INDEX(EQA.CAP_Dados!O$2:O$5000,MATCH(ROW()-4,EQA.CAP_Dados!$S$2:$S$5000,0)),"")</f>
        <v/>
      </c>
      <c r="P164" s="137" t="str">
        <f>IFERROR(INDEX(EQA.CAP_Dados!P$2:P$5000,MATCH(ROW()-4,EQA.CAP_Dados!$S$2:$S$5000,0)),"")</f>
        <v/>
      </c>
      <c r="Q164" s="126" t="str">
        <f>IFERROR(INDEX(EQA.CAP_Dados!Q$2:Q$5000,MATCH(ROW()-4,EQA.CAP_Dados!$S$2:$S$5000,0)),"")</f>
        <v/>
      </c>
      <c r="R164" t="str">
        <f>IFERROR(INDEX(EQA.CAP_Dados!R$2:R$5000,MATCH(ROW()-4,EQA.CAP_Dados!$S$2:$S$5000,0)),"")</f>
        <v/>
      </c>
    </row>
    <row r="165" spans="1:18" x14ac:dyDescent="0.3">
      <c r="A165" t="str">
        <f>IFERROR(INDEX(EQA.CAP_Dados!A$2:A$5000,MATCH(ROW()-4,EQA.CAP_Dados!$S$2:$S$5000,0)),"")</f>
        <v/>
      </c>
      <c r="B165" t="str">
        <f>IFERROR(INDEX(EQA.CAP_Dados!B$2:B$5000,MATCH(ROW()-4,EQA.CAP_Dados!$S$2:$S$5000,0)),"")</f>
        <v/>
      </c>
      <c r="C165" s="126" t="str">
        <f>IFERROR(INDEX(EQA.CAP_Dados!C$2:C$5000,MATCH(ROW()-4,EQA.CAP_Dados!$S$2:$S$5000,0)),"")</f>
        <v/>
      </c>
      <c r="D165" t="str">
        <f>IFERROR(INDEX(EQA.CAP_Dados!D$2:D$5000,MATCH(ROW()-4,EQA.CAP_Dados!$S$2:$S$5000,0)),"")</f>
        <v/>
      </c>
      <c r="E165" t="str">
        <f>IFERROR(INDEX(EQA.CAP_Dados!E$2:E$5000,MATCH(ROW()-4,EQA.CAP_Dados!$S$2:$S$5000,0)),"")</f>
        <v/>
      </c>
      <c r="F165" s="137" t="str">
        <f>IFERROR(INDEX(EQA.CAP_Dados!F$2:F$5000,MATCH(ROW()-4,EQA.CAP_Dados!$S$2:$S$5000,0)),"")</f>
        <v/>
      </c>
      <c r="G165" s="138" t="str">
        <f>IFERROR(INDEX(EQA.CAP_Dados!G$2:G$5000,MATCH(ROW()-4,EQA.CAP_Dados!$S$2:$S$5000,0)),"")</f>
        <v/>
      </c>
      <c r="H165" s="138" t="str">
        <f>IFERROR(INDEX(EQA.CAP_Dados!H$2:H$5000,MATCH(ROW()-4,EQA.CAP_Dados!$S$2:$S$5000,0)),"")</f>
        <v/>
      </c>
      <c r="I165" s="139" t="str">
        <f>IFERROR(INDEX(EQA.CAP_Dados!I$2:I$5000,MATCH(ROW()-4,EQA.CAP_Dados!$S$2:$S$5000,0)),"")</f>
        <v/>
      </c>
      <c r="J165" s="137" t="str">
        <f>IFERROR(INDEX(EQA.CAP_Dados!J$2:J$5000,MATCH(ROW()-4,EQA.CAP_Dados!$S$2:$S$5000,0)),"")</f>
        <v/>
      </c>
      <c r="K165" s="137" t="str">
        <f>IFERROR(INDEX(EQA.CAP_Dados!K$2:K$5000,MATCH(ROW()-4,EQA.CAP_Dados!$S$2:$S$5000,0)),"")</f>
        <v/>
      </c>
      <c r="L165" t="str">
        <f>IFERROR(INDEX(EQA.CAP_Dados!L$2:L$5000,MATCH(ROW()-4,EQA.CAP_Dados!$S$2:$S$5000,0)),"")</f>
        <v/>
      </c>
      <c r="M165" s="126" t="str">
        <f>IFERROR(INDEX(EQA.CAP_Dados!M$2:M$5000,MATCH(ROW()-4,EQA.CAP_Dados!$S$2:$S$5000,0)),"")</f>
        <v/>
      </c>
      <c r="N165" t="str">
        <f>IFERROR(INDEX(EQA.CAP_Dados!N$2:N$5000,MATCH(ROW()-4,EQA.CAP_Dados!$S$2:$S$5000,0)),"")</f>
        <v/>
      </c>
      <c r="O165" s="137" t="str">
        <f>IFERROR(INDEX(EQA.CAP_Dados!O$2:O$5000,MATCH(ROW()-4,EQA.CAP_Dados!$S$2:$S$5000,0)),"")</f>
        <v/>
      </c>
      <c r="P165" s="137" t="str">
        <f>IFERROR(INDEX(EQA.CAP_Dados!P$2:P$5000,MATCH(ROW()-4,EQA.CAP_Dados!$S$2:$S$5000,0)),"")</f>
        <v/>
      </c>
      <c r="Q165" s="126" t="str">
        <f>IFERROR(INDEX(EQA.CAP_Dados!Q$2:Q$5000,MATCH(ROW()-4,EQA.CAP_Dados!$S$2:$S$5000,0)),"")</f>
        <v/>
      </c>
      <c r="R165" t="str">
        <f>IFERROR(INDEX(EQA.CAP_Dados!R$2:R$5000,MATCH(ROW()-4,EQA.CAP_Dados!$S$2:$S$5000,0)),"")</f>
        <v/>
      </c>
    </row>
    <row r="166" spans="1:18" x14ac:dyDescent="0.3">
      <c r="A166" t="str">
        <f>IFERROR(INDEX(EQA.CAP_Dados!A$2:A$5000,MATCH(ROW()-4,EQA.CAP_Dados!$S$2:$S$5000,0)),"")</f>
        <v/>
      </c>
      <c r="B166" t="str">
        <f>IFERROR(INDEX(EQA.CAP_Dados!B$2:B$5000,MATCH(ROW()-4,EQA.CAP_Dados!$S$2:$S$5000,0)),"")</f>
        <v/>
      </c>
      <c r="C166" s="126" t="str">
        <f>IFERROR(INDEX(EQA.CAP_Dados!C$2:C$5000,MATCH(ROW()-4,EQA.CAP_Dados!$S$2:$S$5000,0)),"")</f>
        <v/>
      </c>
      <c r="D166" t="str">
        <f>IFERROR(INDEX(EQA.CAP_Dados!D$2:D$5000,MATCH(ROW()-4,EQA.CAP_Dados!$S$2:$S$5000,0)),"")</f>
        <v/>
      </c>
      <c r="E166" t="str">
        <f>IFERROR(INDEX(EQA.CAP_Dados!E$2:E$5000,MATCH(ROW()-4,EQA.CAP_Dados!$S$2:$S$5000,0)),"")</f>
        <v/>
      </c>
      <c r="F166" s="137" t="str">
        <f>IFERROR(INDEX(EQA.CAP_Dados!F$2:F$5000,MATCH(ROW()-4,EQA.CAP_Dados!$S$2:$S$5000,0)),"")</f>
        <v/>
      </c>
      <c r="G166" s="138" t="str">
        <f>IFERROR(INDEX(EQA.CAP_Dados!G$2:G$5000,MATCH(ROW()-4,EQA.CAP_Dados!$S$2:$S$5000,0)),"")</f>
        <v/>
      </c>
      <c r="H166" s="138" t="str">
        <f>IFERROR(INDEX(EQA.CAP_Dados!H$2:H$5000,MATCH(ROW()-4,EQA.CAP_Dados!$S$2:$S$5000,0)),"")</f>
        <v/>
      </c>
      <c r="I166" s="139" t="str">
        <f>IFERROR(INDEX(EQA.CAP_Dados!I$2:I$5000,MATCH(ROW()-4,EQA.CAP_Dados!$S$2:$S$5000,0)),"")</f>
        <v/>
      </c>
      <c r="J166" s="137" t="str">
        <f>IFERROR(INDEX(EQA.CAP_Dados!J$2:J$5000,MATCH(ROW()-4,EQA.CAP_Dados!$S$2:$S$5000,0)),"")</f>
        <v/>
      </c>
      <c r="K166" s="137" t="str">
        <f>IFERROR(INDEX(EQA.CAP_Dados!K$2:K$5000,MATCH(ROW()-4,EQA.CAP_Dados!$S$2:$S$5000,0)),"")</f>
        <v/>
      </c>
      <c r="L166" t="str">
        <f>IFERROR(INDEX(EQA.CAP_Dados!L$2:L$5000,MATCH(ROW()-4,EQA.CAP_Dados!$S$2:$S$5000,0)),"")</f>
        <v/>
      </c>
      <c r="M166" s="126" t="str">
        <f>IFERROR(INDEX(EQA.CAP_Dados!M$2:M$5000,MATCH(ROW()-4,EQA.CAP_Dados!$S$2:$S$5000,0)),"")</f>
        <v/>
      </c>
      <c r="N166" t="str">
        <f>IFERROR(INDEX(EQA.CAP_Dados!N$2:N$5000,MATCH(ROW()-4,EQA.CAP_Dados!$S$2:$S$5000,0)),"")</f>
        <v/>
      </c>
      <c r="O166" s="137" t="str">
        <f>IFERROR(INDEX(EQA.CAP_Dados!O$2:O$5000,MATCH(ROW()-4,EQA.CAP_Dados!$S$2:$S$5000,0)),"")</f>
        <v/>
      </c>
      <c r="P166" s="137" t="str">
        <f>IFERROR(INDEX(EQA.CAP_Dados!P$2:P$5000,MATCH(ROW()-4,EQA.CAP_Dados!$S$2:$S$5000,0)),"")</f>
        <v/>
      </c>
      <c r="Q166" s="126" t="str">
        <f>IFERROR(INDEX(EQA.CAP_Dados!Q$2:Q$5000,MATCH(ROW()-4,EQA.CAP_Dados!$S$2:$S$5000,0)),"")</f>
        <v/>
      </c>
      <c r="R166" t="str">
        <f>IFERROR(INDEX(EQA.CAP_Dados!R$2:R$5000,MATCH(ROW()-4,EQA.CAP_Dados!$S$2:$S$5000,0)),"")</f>
        <v/>
      </c>
    </row>
    <row r="167" spans="1:18" x14ac:dyDescent="0.3">
      <c r="A167" t="str">
        <f>IFERROR(INDEX(EQA.CAP_Dados!A$2:A$5000,MATCH(ROW()-4,EQA.CAP_Dados!$S$2:$S$5000,0)),"")</f>
        <v/>
      </c>
      <c r="B167" t="str">
        <f>IFERROR(INDEX(EQA.CAP_Dados!B$2:B$5000,MATCH(ROW()-4,EQA.CAP_Dados!$S$2:$S$5000,0)),"")</f>
        <v/>
      </c>
      <c r="C167" s="126" t="str">
        <f>IFERROR(INDEX(EQA.CAP_Dados!C$2:C$5000,MATCH(ROW()-4,EQA.CAP_Dados!$S$2:$S$5000,0)),"")</f>
        <v/>
      </c>
      <c r="D167" t="str">
        <f>IFERROR(INDEX(EQA.CAP_Dados!D$2:D$5000,MATCH(ROW()-4,EQA.CAP_Dados!$S$2:$S$5000,0)),"")</f>
        <v/>
      </c>
      <c r="E167" t="str">
        <f>IFERROR(INDEX(EQA.CAP_Dados!E$2:E$5000,MATCH(ROW()-4,EQA.CAP_Dados!$S$2:$S$5000,0)),"")</f>
        <v/>
      </c>
      <c r="F167" s="137" t="str">
        <f>IFERROR(INDEX(EQA.CAP_Dados!F$2:F$5000,MATCH(ROW()-4,EQA.CAP_Dados!$S$2:$S$5000,0)),"")</f>
        <v/>
      </c>
      <c r="G167" s="138" t="str">
        <f>IFERROR(INDEX(EQA.CAP_Dados!G$2:G$5000,MATCH(ROW()-4,EQA.CAP_Dados!$S$2:$S$5000,0)),"")</f>
        <v/>
      </c>
      <c r="H167" s="138" t="str">
        <f>IFERROR(INDEX(EQA.CAP_Dados!H$2:H$5000,MATCH(ROW()-4,EQA.CAP_Dados!$S$2:$S$5000,0)),"")</f>
        <v/>
      </c>
      <c r="I167" s="139" t="str">
        <f>IFERROR(INDEX(EQA.CAP_Dados!I$2:I$5000,MATCH(ROW()-4,EQA.CAP_Dados!$S$2:$S$5000,0)),"")</f>
        <v/>
      </c>
      <c r="J167" s="137" t="str">
        <f>IFERROR(INDEX(EQA.CAP_Dados!J$2:J$5000,MATCH(ROW()-4,EQA.CAP_Dados!$S$2:$S$5000,0)),"")</f>
        <v/>
      </c>
      <c r="K167" s="137" t="str">
        <f>IFERROR(INDEX(EQA.CAP_Dados!K$2:K$5000,MATCH(ROW()-4,EQA.CAP_Dados!$S$2:$S$5000,0)),"")</f>
        <v/>
      </c>
      <c r="L167" t="str">
        <f>IFERROR(INDEX(EQA.CAP_Dados!L$2:L$5000,MATCH(ROW()-4,EQA.CAP_Dados!$S$2:$S$5000,0)),"")</f>
        <v/>
      </c>
      <c r="M167" s="126" t="str">
        <f>IFERROR(INDEX(EQA.CAP_Dados!M$2:M$5000,MATCH(ROW()-4,EQA.CAP_Dados!$S$2:$S$5000,0)),"")</f>
        <v/>
      </c>
      <c r="N167" t="str">
        <f>IFERROR(INDEX(EQA.CAP_Dados!N$2:N$5000,MATCH(ROW()-4,EQA.CAP_Dados!$S$2:$S$5000,0)),"")</f>
        <v/>
      </c>
      <c r="O167" s="137" t="str">
        <f>IFERROR(INDEX(EQA.CAP_Dados!O$2:O$5000,MATCH(ROW()-4,EQA.CAP_Dados!$S$2:$S$5000,0)),"")</f>
        <v/>
      </c>
      <c r="P167" s="137" t="str">
        <f>IFERROR(INDEX(EQA.CAP_Dados!P$2:P$5000,MATCH(ROW()-4,EQA.CAP_Dados!$S$2:$S$5000,0)),"")</f>
        <v/>
      </c>
      <c r="Q167" s="126" t="str">
        <f>IFERROR(INDEX(EQA.CAP_Dados!Q$2:Q$5000,MATCH(ROW()-4,EQA.CAP_Dados!$S$2:$S$5000,0)),"")</f>
        <v/>
      </c>
      <c r="R167" t="str">
        <f>IFERROR(INDEX(EQA.CAP_Dados!R$2:R$5000,MATCH(ROW()-4,EQA.CAP_Dados!$S$2:$S$5000,0)),"")</f>
        <v/>
      </c>
    </row>
    <row r="168" spans="1:18" x14ac:dyDescent="0.3">
      <c r="A168" t="str">
        <f>IFERROR(INDEX(EQA.CAP_Dados!A$2:A$5000,MATCH(ROW()-4,EQA.CAP_Dados!$S$2:$S$5000,0)),"")</f>
        <v/>
      </c>
      <c r="B168" t="str">
        <f>IFERROR(INDEX(EQA.CAP_Dados!B$2:B$5000,MATCH(ROW()-4,EQA.CAP_Dados!$S$2:$S$5000,0)),"")</f>
        <v/>
      </c>
      <c r="C168" s="126" t="str">
        <f>IFERROR(INDEX(EQA.CAP_Dados!C$2:C$5000,MATCH(ROW()-4,EQA.CAP_Dados!$S$2:$S$5000,0)),"")</f>
        <v/>
      </c>
      <c r="D168" t="str">
        <f>IFERROR(INDEX(EQA.CAP_Dados!D$2:D$5000,MATCH(ROW()-4,EQA.CAP_Dados!$S$2:$S$5000,0)),"")</f>
        <v/>
      </c>
      <c r="E168" t="str">
        <f>IFERROR(INDEX(EQA.CAP_Dados!E$2:E$5000,MATCH(ROW()-4,EQA.CAP_Dados!$S$2:$S$5000,0)),"")</f>
        <v/>
      </c>
      <c r="F168" s="137" t="str">
        <f>IFERROR(INDEX(EQA.CAP_Dados!F$2:F$5000,MATCH(ROW()-4,EQA.CAP_Dados!$S$2:$S$5000,0)),"")</f>
        <v/>
      </c>
      <c r="G168" s="138" t="str">
        <f>IFERROR(INDEX(EQA.CAP_Dados!G$2:G$5000,MATCH(ROW()-4,EQA.CAP_Dados!$S$2:$S$5000,0)),"")</f>
        <v/>
      </c>
      <c r="H168" s="138" t="str">
        <f>IFERROR(INDEX(EQA.CAP_Dados!H$2:H$5000,MATCH(ROW()-4,EQA.CAP_Dados!$S$2:$S$5000,0)),"")</f>
        <v/>
      </c>
      <c r="I168" s="139" t="str">
        <f>IFERROR(INDEX(EQA.CAP_Dados!I$2:I$5000,MATCH(ROW()-4,EQA.CAP_Dados!$S$2:$S$5000,0)),"")</f>
        <v/>
      </c>
      <c r="J168" s="137" t="str">
        <f>IFERROR(INDEX(EQA.CAP_Dados!J$2:J$5000,MATCH(ROW()-4,EQA.CAP_Dados!$S$2:$S$5000,0)),"")</f>
        <v/>
      </c>
      <c r="K168" s="137" t="str">
        <f>IFERROR(INDEX(EQA.CAP_Dados!K$2:K$5000,MATCH(ROW()-4,EQA.CAP_Dados!$S$2:$S$5000,0)),"")</f>
        <v/>
      </c>
      <c r="L168" t="str">
        <f>IFERROR(INDEX(EQA.CAP_Dados!L$2:L$5000,MATCH(ROW()-4,EQA.CAP_Dados!$S$2:$S$5000,0)),"")</f>
        <v/>
      </c>
      <c r="M168" s="126" t="str">
        <f>IFERROR(INDEX(EQA.CAP_Dados!M$2:M$5000,MATCH(ROW()-4,EQA.CAP_Dados!$S$2:$S$5000,0)),"")</f>
        <v/>
      </c>
      <c r="N168" t="str">
        <f>IFERROR(INDEX(EQA.CAP_Dados!N$2:N$5000,MATCH(ROW()-4,EQA.CAP_Dados!$S$2:$S$5000,0)),"")</f>
        <v/>
      </c>
      <c r="O168" s="137" t="str">
        <f>IFERROR(INDEX(EQA.CAP_Dados!O$2:O$5000,MATCH(ROW()-4,EQA.CAP_Dados!$S$2:$S$5000,0)),"")</f>
        <v/>
      </c>
      <c r="P168" s="137" t="str">
        <f>IFERROR(INDEX(EQA.CAP_Dados!P$2:P$5000,MATCH(ROW()-4,EQA.CAP_Dados!$S$2:$S$5000,0)),"")</f>
        <v/>
      </c>
      <c r="Q168" s="126" t="str">
        <f>IFERROR(INDEX(EQA.CAP_Dados!Q$2:Q$5000,MATCH(ROW()-4,EQA.CAP_Dados!$S$2:$S$5000,0)),"")</f>
        <v/>
      </c>
      <c r="R168" t="str">
        <f>IFERROR(INDEX(EQA.CAP_Dados!R$2:R$5000,MATCH(ROW()-4,EQA.CAP_Dados!$S$2:$S$5000,0)),"")</f>
        <v/>
      </c>
    </row>
    <row r="169" spans="1:18" x14ac:dyDescent="0.3">
      <c r="A169" t="str">
        <f>IFERROR(INDEX(EQA.CAP_Dados!A$2:A$5000,MATCH(ROW()-4,EQA.CAP_Dados!$S$2:$S$5000,0)),"")</f>
        <v/>
      </c>
      <c r="B169" t="str">
        <f>IFERROR(INDEX(EQA.CAP_Dados!B$2:B$5000,MATCH(ROW()-4,EQA.CAP_Dados!$S$2:$S$5000,0)),"")</f>
        <v/>
      </c>
      <c r="C169" s="126" t="str">
        <f>IFERROR(INDEX(EQA.CAP_Dados!C$2:C$5000,MATCH(ROW()-4,EQA.CAP_Dados!$S$2:$S$5000,0)),"")</f>
        <v/>
      </c>
      <c r="D169" t="str">
        <f>IFERROR(INDEX(EQA.CAP_Dados!D$2:D$5000,MATCH(ROW()-4,EQA.CAP_Dados!$S$2:$S$5000,0)),"")</f>
        <v/>
      </c>
      <c r="E169" t="str">
        <f>IFERROR(INDEX(EQA.CAP_Dados!E$2:E$5000,MATCH(ROW()-4,EQA.CAP_Dados!$S$2:$S$5000,0)),"")</f>
        <v/>
      </c>
      <c r="F169" s="137" t="str">
        <f>IFERROR(INDEX(EQA.CAP_Dados!F$2:F$5000,MATCH(ROW()-4,EQA.CAP_Dados!$S$2:$S$5000,0)),"")</f>
        <v/>
      </c>
      <c r="G169" s="138" t="str">
        <f>IFERROR(INDEX(EQA.CAP_Dados!G$2:G$5000,MATCH(ROW()-4,EQA.CAP_Dados!$S$2:$S$5000,0)),"")</f>
        <v/>
      </c>
      <c r="H169" s="138" t="str">
        <f>IFERROR(INDEX(EQA.CAP_Dados!H$2:H$5000,MATCH(ROW()-4,EQA.CAP_Dados!$S$2:$S$5000,0)),"")</f>
        <v/>
      </c>
      <c r="I169" s="139" t="str">
        <f>IFERROR(INDEX(EQA.CAP_Dados!I$2:I$5000,MATCH(ROW()-4,EQA.CAP_Dados!$S$2:$S$5000,0)),"")</f>
        <v/>
      </c>
      <c r="J169" s="137" t="str">
        <f>IFERROR(INDEX(EQA.CAP_Dados!J$2:J$5000,MATCH(ROW()-4,EQA.CAP_Dados!$S$2:$S$5000,0)),"")</f>
        <v/>
      </c>
      <c r="K169" s="137" t="str">
        <f>IFERROR(INDEX(EQA.CAP_Dados!K$2:K$5000,MATCH(ROW()-4,EQA.CAP_Dados!$S$2:$S$5000,0)),"")</f>
        <v/>
      </c>
      <c r="L169" t="str">
        <f>IFERROR(INDEX(EQA.CAP_Dados!L$2:L$5000,MATCH(ROW()-4,EQA.CAP_Dados!$S$2:$S$5000,0)),"")</f>
        <v/>
      </c>
      <c r="M169" s="126" t="str">
        <f>IFERROR(INDEX(EQA.CAP_Dados!M$2:M$5000,MATCH(ROW()-4,EQA.CAP_Dados!$S$2:$S$5000,0)),"")</f>
        <v/>
      </c>
      <c r="N169" t="str">
        <f>IFERROR(INDEX(EQA.CAP_Dados!N$2:N$5000,MATCH(ROW()-4,EQA.CAP_Dados!$S$2:$S$5000,0)),"")</f>
        <v/>
      </c>
      <c r="O169" s="137" t="str">
        <f>IFERROR(INDEX(EQA.CAP_Dados!O$2:O$5000,MATCH(ROW()-4,EQA.CAP_Dados!$S$2:$S$5000,0)),"")</f>
        <v/>
      </c>
      <c r="P169" s="137" t="str">
        <f>IFERROR(INDEX(EQA.CAP_Dados!P$2:P$5000,MATCH(ROW()-4,EQA.CAP_Dados!$S$2:$S$5000,0)),"")</f>
        <v/>
      </c>
      <c r="Q169" s="126" t="str">
        <f>IFERROR(INDEX(EQA.CAP_Dados!Q$2:Q$5000,MATCH(ROW()-4,EQA.CAP_Dados!$S$2:$S$5000,0)),"")</f>
        <v/>
      </c>
      <c r="R169" t="str">
        <f>IFERROR(INDEX(EQA.CAP_Dados!R$2:R$5000,MATCH(ROW()-4,EQA.CAP_Dados!$S$2:$S$5000,0)),"")</f>
        <v/>
      </c>
    </row>
    <row r="170" spans="1:18" x14ac:dyDescent="0.3">
      <c r="A170" t="str">
        <f>IFERROR(INDEX(EQA.CAP_Dados!A$2:A$5000,MATCH(ROW()-4,EQA.CAP_Dados!$S$2:$S$5000,0)),"")</f>
        <v/>
      </c>
      <c r="B170" t="str">
        <f>IFERROR(INDEX(EQA.CAP_Dados!B$2:B$5000,MATCH(ROW()-4,EQA.CAP_Dados!$S$2:$S$5000,0)),"")</f>
        <v/>
      </c>
      <c r="C170" s="126" t="str">
        <f>IFERROR(INDEX(EQA.CAP_Dados!C$2:C$5000,MATCH(ROW()-4,EQA.CAP_Dados!$S$2:$S$5000,0)),"")</f>
        <v/>
      </c>
      <c r="D170" t="str">
        <f>IFERROR(INDEX(EQA.CAP_Dados!D$2:D$5000,MATCH(ROW()-4,EQA.CAP_Dados!$S$2:$S$5000,0)),"")</f>
        <v/>
      </c>
      <c r="E170" t="str">
        <f>IFERROR(INDEX(EQA.CAP_Dados!E$2:E$5000,MATCH(ROW()-4,EQA.CAP_Dados!$S$2:$S$5000,0)),"")</f>
        <v/>
      </c>
      <c r="F170" s="137" t="str">
        <f>IFERROR(INDEX(EQA.CAP_Dados!F$2:F$5000,MATCH(ROW()-4,EQA.CAP_Dados!$S$2:$S$5000,0)),"")</f>
        <v/>
      </c>
      <c r="G170" s="138" t="str">
        <f>IFERROR(INDEX(EQA.CAP_Dados!G$2:G$5000,MATCH(ROW()-4,EQA.CAP_Dados!$S$2:$S$5000,0)),"")</f>
        <v/>
      </c>
      <c r="H170" s="138" t="str">
        <f>IFERROR(INDEX(EQA.CAP_Dados!H$2:H$5000,MATCH(ROW()-4,EQA.CAP_Dados!$S$2:$S$5000,0)),"")</f>
        <v/>
      </c>
      <c r="I170" s="139" t="str">
        <f>IFERROR(INDEX(EQA.CAP_Dados!I$2:I$5000,MATCH(ROW()-4,EQA.CAP_Dados!$S$2:$S$5000,0)),"")</f>
        <v/>
      </c>
      <c r="J170" s="137" t="str">
        <f>IFERROR(INDEX(EQA.CAP_Dados!J$2:J$5000,MATCH(ROW()-4,EQA.CAP_Dados!$S$2:$S$5000,0)),"")</f>
        <v/>
      </c>
      <c r="K170" s="137" t="str">
        <f>IFERROR(INDEX(EQA.CAP_Dados!K$2:K$5000,MATCH(ROW()-4,EQA.CAP_Dados!$S$2:$S$5000,0)),"")</f>
        <v/>
      </c>
      <c r="L170" t="str">
        <f>IFERROR(INDEX(EQA.CAP_Dados!L$2:L$5000,MATCH(ROW()-4,EQA.CAP_Dados!$S$2:$S$5000,0)),"")</f>
        <v/>
      </c>
      <c r="M170" s="126" t="str">
        <f>IFERROR(INDEX(EQA.CAP_Dados!M$2:M$5000,MATCH(ROW()-4,EQA.CAP_Dados!$S$2:$S$5000,0)),"")</f>
        <v/>
      </c>
      <c r="N170" t="str">
        <f>IFERROR(INDEX(EQA.CAP_Dados!N$2:N$5000,MATCH(ROW()-4,EQA.CAP_Dados!$S$2:$S$5000,0)),"")</f>
        <v/>
      </c>
      <c r="O170" s="137" t="str">
        <f>IFERROR(INDEX(EQA.CAP_Dados!O$2:O$5000,MATCH(ROW()-4,EQA.CAP_Dados!$S$2:$S$5000,0)),"")</f>
        <v/>
      </c>
      <c r="P170" s="137" t="str">
        <f>IFERROR(INDEX(EQA.CAP_Dados!P$2:P$5000,MATCH(ROW()-4,EQA.CAP_Dados!$S$2:$S$5000,0)),"")</f>
        <v/>
      </c>
      <c r="Q170" s="126" t="str">
        <f>IFERROR(INDEX(EQA.CAP_Dados!Q$2:Q$5000,MATCH(ROW()-4,EQA.CAP_Dados!$S$2:$S$5000,0)),"")</f>
        <v/>
      </c>
      <c r="R170" t="str">
        <f>IFERROR(INDEX(EQA.CAP_Dados!R$2:R$5000,MATCH(ROW()-4,EQA.CAP_Dados!$S$2:$S$5000,0)),"")</f>
        <v/>
      </c>
    </row>
    <row r="171" spans="1:18" x14ac:dyDescent="0.3">
      <c r="A171" t="str">
        <f>IFERROR(INDEX(EQA.CAP_Dados!A$2:A$5000,MATCH(ROW()-4,EQA.CAP_Dados!$S$2:$S$5000,0)),"")</f>
        <v/>
      </c>
      <c r="B171" t="str">
        <f>IFERROR(INDEX(EQA.CAP_Dados!B$2:B$5000,MATCH(ROW()-4,EQA.CAP_Dados!$S$2:$S$5000,0)),"")</f>
        <v/>
      </c>
      <c r="C171" s="126" t="str">
        <f>IFERROR(INDEX(EQA.CAP_Dados!C$2:C$5000,MATCH(ROW()-4,EQA.CAP_Dados!$S$2:$S$5000,0)),"")</f>
        <v/>
      </c>
      <c r="D171" t="str">
        <f>IFERROR(INDEX(EQA.CAP_Dados!D$2:D$5000,MATCH(ROW()-4,EQA.CAP_Dados!$S$2:$S$5000,0)),"")</f>
        <v/>
      </c>
      <c r="E171" t="str">
        <f>IFERROR(INDEX(EQA.CAP_Dados!E$2:E$5000,MATCH(ROW()-4,EQA.CAP_Dados!$S$2:$S$5000,0)),"")</f>
        <v/>
      </c>
      <c r="F171" s="137" t="str">
        <f>IFERROR(INDEX(EQA.CAP_Dados!F$2:F$5000,MATCH(ROW()-4,EQA.CAP_Dados!$S$2:$S$5000,0)),"")</f>
        <v/>
      </c>
      <c r="G171" s="138" t="str">
        <f>IFERROR(INDEX(EQA.CAP_Dados!G$2:G$5000,MATCH(ROW()-4,EQA.CAP_Dados!$S$2:$S$5000,0)),"")</f>
        <v/>
      </c>
      <c r="H171" s="138" t="str">
        <f>IFERROR(INDEX(EQA.CAP_Dados!H$2:H$5000,MATCH(ROW()-4,EQA.CAP_Dados!$S$2:$S$5000,0)),"")</f>
        <v/>
      </c>
      <c r="I171" s="139" t="str">
        <f>IFERROR(INDEX(EQA.CAP_Dados!I$2:I$5000,MATCH(ROW()-4,EQA.CAP_Dados!$S$2:$S$5000,0)),"")</f>
        <v/>
      </c>
      <c r="J171" s="137" t="str">
        <f>IFERROR(INDEX(EQA.CAP_Dados!J$2:J$5000,MATCH(ROW()-4,EQA.CAP_Dados!$S$2:$S$5000,0)),"")</f>
        <v/>
      </c>
      <c r="K171" s="137" t="str">
        <f>IFERROR(INDEX(EQA.CAP_Dados!K$2:K$5000,MATCH(ROW()-4,EQA.CAP_Dados!$S$2:$S$5000,0)),"")</f>
        <v/>
      </c>
      <c r="L171" t="str">
        <f>IFERROR(INDEX(EQA.CAP_Dados!L$2:L$5000,MATCH(ROW()-4,EQA.CAP_Dados!$S$2:$S$5000,0)),"")</f>
        <v/>
      </c>
      <c r="M171" s="126" t="str">
        <f>IFERROR(INDEX(EQA.CAP_Dados!M$2:M$5000,MATCH(ROW()-4,EQA.CAP_Dados!$S$2:$S$5000,0)),"")</f>
        <v/>
      </c>
      <c r="N171" t="str">
        <f>IFERROR(INDEX(EQA.CAP_Dados!N$2:N$5000,MATCH(ROW()-4,EQA.CAP_Dados!$S$2:$S$5000,0)),"")</f>
        <v/>
      </c>
      <c r="O171" s="137" t="str">
        <f>IFERROR(INDEX(EQA.CAP_Dados!O$2:O$5000,MATCH(ROW()-4,EQA.CAP_Dados!$S$2:$S$5000,0)),"")</f>
        <v/>
      </c>
      <c r="P171" s="137" t="str">
        <f>IFERROR(INDEX(EQA.CAP_Dados!P$2:P$5000,MATCH(ROW()-4,EQA.CAP_Dados!$S$2:$S$5000,0)),"")</f>
        <v/>
      </c>
      <c r="Q171" s="126" t="str">
        <f>IFERROR(INDEX(EQA.CAP_Dados!Q$2:Q$5000,MATCH(ROW()-4,EQA.CAP_Dados!$S$2:$S$5000,0)),"")</f>
        <v/>
      </c>
      <c r="R171" t="str">
        <f>IFERROR(INDEX(EQA.CAP_Dados!R$2:R$5000,MATCH(ROW()-4,EQA.CAP_Dados!$S$2:$S$5000,0)),"")</f>
        <v/>
      </c>
    </row>
    <row r="172" spans="1:18" x14ac:dyDescent="0.3">
      <c r="A172" t="str">
        <f>IFERROR(INDEX(EQA.CAP_Dados!A$2:A$5000,MATCH(ROW()-4,EQA.CAP_Dados!$S$2:$S$5000,0)),"")</f>
        <v/>
      </c>
      <c r="B172" t="str">
        <f>IFERROR(INDEX(EQA.CAP_Dados!B$2:B$5000,MATCH(ROW()-4,EQA.CAP_Dados!$S$2:$S$5000,0)),"")</f>
        <v/>
      </c>
      <c r="C172" s="126" t="str">
        <f>IFERROR(INDEX(EQA.CAP_Dados!C$2:C$5000,MATCH(ROW()-4,EQA.CAP_Dados!$S$2:$S$5000,0)),"")</f>
        <v/>
      </c>
      <c r="D172" t="str">
        <f>IFERROR(INDEX(EQA.CAP_Dados!D$2:D$5000,MATCH(ROW()-4,EQA.CAP_Dados!$S$2:$S$5000,0)),"")</f>
        <v/>
      </c>
      <c r="E172" t="str">
        <f>IFERROR(INDEX(EQA.CAP_Dados!E$2:E$5000,MATCH(ROW()-4,EQA.CAP_Dados!$S$2:$S$5000,0)),"")</f>
        <v/>
      </c>
      <c r="F172" s="137" t="str">
        <f>IFERROR(INDEX(EQA.CAP_Dados!F$2:F$5000,MATCH(ROW()-4,EQA.CAP_Dados!$S$2:$S$5000,0)),"")</f>
        <v/>
      </c>
      <c r="G172" s="138" t="str">
        <f>IFERROR(INDEX(EQA.CAP_Dados!G$2:G$5000,MATCH(ROW()-4,EQA.CAP_Dados!$S$2:$S$5000,0)),"")</f>
        <v/>
      </c>
      <c r="H172" s="138" t="str">
        <f>IFERROR(INDEX(EQA.CAP_Dados!H$2:H$5000,MATCH(ROW()-4,EQA.CAP_Dados!$S$2:$S$5000,0)),"")</f>
        <v/>
      </c>
      <c r="I172" s="139" t="str">
        <f>IFERROR(INDEX(EQA.CAP_Dados!I$2:I$5000,MATCH(ROW()-4,EQA.CAP_Dados!$S$2:$S$5000,0)),"")</f>
        <v/>
      </c>
      <c r="J172" s="137" t="str">
        <f>IFERROR(INDEX(EQA.CAP_Dados!J$2:J$5000,MATCH(ROW()-4,EQA.CAP_Dados!$S$2:$S$5000,0)),"")</f>
        <v/>
      </c>
      <c r="K172" s="137" t="str">
        <f>IFERROR(INDEX(EQA.CAP_Dados!K$2:K$5000,MATCH(ROW()-4,EQA.CAP_Dados!$S$2:$S$5000,0)),"")</f>
        <v/>
      </c>
      <c r="L172" t="str">
        <f>IFERROR(INDEX(EQA.CAP_Dados!L$2:L$5000,MATCH(ROW()-4,EQA.CAP_Dados!$S$2:$S$5000,0)),"")</f>
        <v/>
      </c>
      <c r="M172" s="126" t="str">
        <f>IFERROR(INDEX(EQA.CAP_Dados!M$2:M$5000,MATCH(ROW()-4,EQA.CAP_Dados!$S$2:$S$5000,0)),"")</f>
        <v/>
      </c>
      <c r="N172" t="str">
        <f>IFERROR(INDEX(EQA.CAP_Dados!N$2:N$5000,MATCH(ROW()-4,EQA.CAP_Dados!$S$2:$S$5000,0)),"")</f>
        <v/>
      </c>
      <c r="O172" s="137" t="str">
        <f>IFERROR(INDEX(EQA.CAP_Dados!O$2:O$5000,MATCH(ROW()-4,EQA.CAP_Dados!$S$2:$S$5000,0)),"")</f>
        <v/>
      </c>
      <c r="P172" s="137" t="str">
        <f>IFERROR(INDEX(EQA.CAP_Dados!P$2:P$5000,MATCH(ROW()-4,EQA.CAP_Dados!$S$2:$S$5000,0)),"")</f>
        <v/>
      </c>
      <c r="Q172" s="126" t="str">
        <f>IFERROR(INDEX(EQA.CAP_Dados!Q$2:Q$5000,MATCH(ROW()-4,EQA.CAP_Dados!$S$2:$S$5000,0)),"")</f>
        <v/>
      </c>
      <c r="R172" t="str">
        <f>IFERROR(INDEX(EQA.CAP_Dados!R$2:R$5000,MATCH(ROW()-4,EQA.CAP_Dados!$S$2:$S$5000,0)),"")</f>
        <v/>
      </c>
    </row>
    <row r="173" spans="1:18" x14ac:dyDescent="0.3">
      <c r="A173" t="str">
        <f>IFERROR(INDEX(EQA.CAP_Dados!A$2:A$5000,MATCH(ROW()-4,EQA.CAP_Dados!$S$2:$S$5000,0)),"")</f>
        <v/>
      </c>
      <c r="B173" t="str">
        <f>IFERROR(INDEX(EQA.CAP_Dados!B$2:B$5000,MATCH(ROW()-4,EQA.CAP_Dados!$S$2:$S$5000,0)),"")</f>
        <v/>
      </c>
      <c r="C173" s="126" t="str">
        <f>IFERROR(INDEX(EQA.CAP_Dados!C$2:C$5000,MATCH(ROW()-4,EQA.CAP_Dados!$S$2:$S$5000,0)),"")</f>
        <v/>
      </c>
      <c r="D173" t="str">
        <f>IFERROR(INDEX(EQA.CAP_Dados!D$2:D$5000,MATCH(ROW()-4,EQA.CAP_Dados!$S$2:$S$5000,0)),"")</f>
        <v/>
      </c>
      <c r="E173" t="str">
        <f>IFERROR(INDEX(EQA.CAP_Dados!E$2:E$5000,MATCH(ROW()-4,EQA.CAP_Dados!$S$2:$S$5000,0)),"")</f>
        <v/>
      </c>
      <c r="F173" s="137" t="str">
        <f>IFERROR(INDEX(EQA.CAP_Dados!F$2:F$5000,MATCH(ROW()-4,EQA.CAP_Dados!$S$2:$S$5000,0)),"")</f>
        <v/>
      </c>
      <c r="G173" s="138" t="str">
        <f>IFERROR(INDEX(EQA.CAP_Dados!G$2:G$5000,MATCH(ROW()-4,EQA.CAP_Dados!$S$2:$S$5000,0)),"")</f>
        <v/>
      </c>
      <c r="H173" s="138" t="str">
        <f>IFERROR(INDEX(EQA.CAP_Dados!H$2:H$5000,MATCH(ROW()-4,EQA.CAP_Dados!$S$2:$S$5000,0)),"")</f>
        <v/>
      </c>
      <c r="I173" s="139" t="str">
        <f>IFERROR(INDEX(EQA.CAP_Dados!I$2:I$5000,MATCH(ROW()-4,EQA.CAP_Dados!$S$2:$S$5000,0)),"")</f>
        <v/>
      </c>
      <c r="J173" s="137" t="str">
        <f>IFERROR(INDEX(EQA.CAP_Dados!J$2:J$5000,MATCH(ROW()-4,EQA.CAP_Dados!$S$2:$S$5000,0)),"")</f>
        <v/>
      </c>
      <c r="K173" s="137" t="str">
        <f>IFERROR(INDEX(EQA.CAP_Dados!K$2:K$5000,MATCH(ROW()-4,EQA.CAP_Dados!$S$2:$S$5000,0)),"")</f>
        <v/>
      </c>
      <c r="L173" t="str">
        <f>IFERROR(INDEX(EQA.CAP_Dados!L$2:L$5000,MATCH(ROW()-4,EQA.CAP_Dados!$S$2:$S$5000,0)),"")</f>
        <v/>
      </c>
      <c r="M173" s="126" t="str">
        <f>IFERROR(INDEX(EQA.CAP_Dados!M$2:M$5000,MATCH(ROW()-4,EQA.CAP_Dados!$S$2:$S$5000,0)),"")</f>
        <v/>
      </c>
      <c r="N173" t="str">
        <f>IFERROR(INDEX(EQA.CAP_Dados!N$2:N$5000,MATCH(ROW()-4,EQA.CAP_Dados!$S$2:$S$5000,0)),"")</f>
        <v/>
      </c>
      <c r="O173" s="137" t="str">
        <f>IFERROR(INDEX(EQA.CAP_Dados!O$2:O$5000,MATCH(ROW()-4,EQA.CAP_Dados!$S$2:$S$5000,0)),"")</f>
        <v/>
      </c>
      <c r="P173" s="137" t="str">
        <f>IFERROR(INDEX(EQA.CAP_Dados!P$2:P$5000,MATCH(ROW()-4,EQA.CAP_Dados!$S$2:$S$5000,0)),"")</f>
        <v/>
      </c>
      <c r="Q173" s="126" t="str">
        <f>IFERROR(INDEX(EQA.CAP_Dados!Q$2:Q$5000,MATCH(ROW()-4,EQA.CAP_Dados!$S$2:$S$5000,0)),"")</f>
        <v/>
      </c>
      <c r="R173" t="str">
        <f>IFERROR(INDEX(EQA.CAP_Dados!R$2:R$5000,MATCH(ROW()-4,EQA.CAP_Dados!$S$2:$S$5000,0)),"")</f>
        <v/>
      </c>
    </row>
    <row r="174" spans="1:18" x14ac:dyDescent="0.3">
      <c r="A174" t="str">
        <f>IFERROR(INDEX(EQA.CAP_Dados!A$2:A$5000,MATCH(ROW()-4,EQA.CAP_Dados!$S$2:$S$5000,0)),"")</f>
        <v/>
      </c>
      <c r="B174" t="str">
        <f>IFERROR(INDEX(EQA.CAP_Dados!B$2:B$5000,MATCH(ROW()-4,EQA.CAP_Dados!$S$2:$S$5000,0)),"")</f>
        <v/>
      </c>
      <c r="C174" s="126" t="str">
        <f>IFERROR(INDEX(EQA.CAP_Dados!C$2:C$5000,MATCH(ROW()-4,EQA.CAP_Dados!$S$2:$S$5000,0)),"")</f>
        <v/>
      </c>
      <c r="D174" t="str">
        <f>IFERROR(INDEX(EQA.CAP_Dados!D$2:D$5000,MATCH(ROW()-4,EQA.CAP_Dados!$S$2:$S$5000,0)),"")</f>
        <v/>
      </c>
      <c r="E174" t="str">
        <f>IFERROR(INDEX(EQA.CAP_Dados!E$2:E$5000,MATCH(ROW()-4,EQA.CAP_Dados!$S$2:$S$5000,0)),"")</f>
        <v/>
      </c>
      <c r="F174" s="137" t="str">
        <f>IFERROR(INDEX(EQA.CAP_Dados!F$2:F$5000,MATCH(ROW()-4,EQA.CAP_Dados!$S$2:$S$5000,0)),"")</f>
        <v/>
      </c>
      <c r="G174" s="138" t="str">
        <f>IFERROR(INDEX(EQA.CAP_Dados!G$2:G$5000,MATCH(ROW()-4,EQA.CAP_Dados!$S$2:$S$5000,0)),"")</f>
        <v/>
      </c>
      <c r="H174" s="138" t="str">
        <f>IFERROR(INDEX(EQA.CAP_Dados!H$2:H$5000,MATCH(ROW()-4,EQA.CAP_Dados!$S$2:$S$5000,0)),"")</f>
        <v/>
      </c>
      <c r="I174" s="139" t="str">
        <f>IFERROR(INDEX(EQA.CAP_Dados!I$2:I$5000,MATCH(ROW()-4,EQA.CAP_Dados!$S$2:$S$5000,0)),"")</f>
        <v/>
      </c>
      <c r="J174" s="137" t="str">
        <f>IFERROR(INDEX(EQA.CAP_Dados!J$2:J$5000,MATCH(ROW()-4,EQA.CAP_Dados!$S$2:$S$5000,0)),"")</f>
        <v/>
      </c>
      <c r="K174" s="137" t="str">
        <f>IFERROR(INDEX(EQA.CAP_Dados!K$2:K$5000,MATCH(ROW()-4,EQA.CAP_Dados!$S$2:$S$5000,0)),"")</f>
        <v/>
      </c>
      <c r="L174" t="str">
        <f>IFERROR(INDEX(EQA.CAP_Dados!L$2:L$5000,MATCH(ROW()-4,EQA.CAP_Dados!$S$2:$S$5000,0)),"")</f>
        <v/>
      </c>
      <c r="M174" s="126" t="str">
        <f>IFERROR(INDEX(EQA.CAP_Dados!M$2:M$5000,MATCH(ROW()-4,EQA.CAP_Dados!$S$2:$S$5000,0)),"")</f>
        <v/>
      </c>
      <c r="N174" t="str">
        <f>IFERROR(INDEX(EQA.CAP_Dados!N$2:N$5000,MATCH(ROW()-4,EQA.CAP_Dados!$S$2:$S$5000,0)),"")</f>
        <v/>
      </c>
      <c r="O174" s="137" t="str">
        <f>IFERROR(INDEX(EQA.CAP_Dados!O$2:O$5000,MATCH(ROW()-4,EQA.CAP_Dados!$S$2:$S$5000,0)),"")</f>
        <v/>
      </c>
      <c r="P174" s="137" t="str">
        <f>IFERROR(INDEX(EQA.CAP_Dados!P$2:P$5000,MATCH(ROW()-4,EQA.CAP_Dados!$S$2:$S$5000,0)),"")</f>
        <v/>
      </c>
      <c r="Q174" s="126" t="str">
        <f>IFERROR(INDEX(EQA.CAP_Dados!Q$2:Q$5000,MATCH(ROW()-4,EQA.CAP_Dados!$S$2:$S$5000,0)),"")</f>
        <v/>
      </c>
      <c r="R174" t="str">
        <f>IFERROR(INDEX(EQA.CAP_Dados!R$2:R$5000,MATCH(ROW()-4,EQA.CAP_Dados!$S$2:$S$5000,0)),"")</f>
        <v/>
      </c>
    </row>
    <row r="175" spans="1:18" x14ac:dyDescent="0.3">
      <c r="A175" t="str">
        <f>IFERROR(INDEX(EQA.CAP_Dados!A$2:A$5000,MATCH(ROW()-4,EQA.CAP_Dados!$S$2:$S$5000,0)),"")</f>
        <v/>
      </c>
      <c r="B175" t="str">
        <f>IFERROR(INDEX(EQA.CAP_Dados!B$2:B$5000,MATCH(ROW()-4,EQA.CAP_Dados!$S$2:$S$5000,0)),"")</f>
        <v/>
      </c>
      <c r="C175" s="126" t="str">
        <f>IFERROR(INDEX(EQA.CAP_Dados!C$2:C$5000,MATCH(ROW()-4,EQA.CAP_Dados!$S$2:$S$5000,0)),"")</f>
        <v/>
      </c>
      <c r="D175" t="str">
        <f>IFERROR(INDEX(EQA.CAP_Dados!D$2:D$5000,MATCH(ROW()-4,EQA.CAP_Dados!$S$2:$S$5000,0)),"")</f>
        <v/>
      </c>
      <c r="E175" t="str">
        <f>IFERROR(INDEX(EQA.CAP_Dados!E$2:E$5000,MATCH(ROW()-4,EQA.CAP_Dados!$S$2:$S$5000,0)),"")</f>
        <v/>
      </c>
      <c r="F175" s="137" t="str">
        <f>IFERROR(INDEX(EQA.CAP_Dados!F$2:F$5000,MATCH(ROW()-4,EQA.CAP_Dados!$S$2:$S$5000,0)),"")</f>
        <v/>
      </c>
      <c r="G175" s="138" t="str">
        <f>IFERROR(INDEX(EQA.CAP_Dados!G$2:G$5000,MATCH(ROW()-4,EQA.CAP_Dados!$S$2:$S$5000,0)),"")</f>
        <v/>
      </c>
      <c r="H175" s="138" t="str">
        <f>IFERROR(INDEX(EQA.CAP_Dados!H$2:H$5000,MATCH(ROW()-4,EQA.CAP_Dados!$S$2:$S$5000,0)),"")</f>
        <v/>
      </c>
      <c r="I175" s="139" t="str">
        <f>IFERROR(INDEX(EQA.CAP_Dados!I$2:I$5000,MATCH(ROW()-4,EQA.CAP_Dados!$S$2:$S$5000,0)),"")</f>
        <v/>
      </c>
      <c r="J175" s="137" t="str">
        <f>IFERROR(INDEX(EQA.CAP_Dados!J$2:J$5000,MATCH(ROW()-4,EQA.CAP_Dados!$S$2:$S$5000,0)),"")</f>
        <v/>
      </c>
      <c r="K175" s="137" t="str">
        <f>IFERROR(INDEX(EQA.CAP_Dados!K$2:K$5000,MATCH(ROW()-4,EQA.CAP_Dados!$S$2:$S$5000,0)),"")</f>
        <v/>
      </c>
      <c r="L175" t="str">
        <f>IFERROR(INDEX(EQA.CAP_Dados!L$2:L$5000,MATCH(ROW()-4,EQA.CAP_Dados!$S$2:$S$5000,0)),"")</f>
        <v/>
      </c>
      <c r="M175" s="126" t="str">
        <f>IFERROR(INDEX(EQA.CAP_Dados!M$2:M$5000,MATCH(ROW()-4,EQA.CAP_Dados!$S$2:$S$5000,0)),"")</f>
        <v/>
      </c>
      <c r="N175" t="str">
        <f>IFERROR(INDEX(EQA.CAP_Dados!N$2:N$5000,MATCH(ROW()-4,EQA.CAP_Dados!$S$2:$S$5000,0)),"")</f>
        <v/>
      </c>
      <c r="O175" s="137" t="str">
        <f>IFERROR(INDEX(EQA.CAP_Dados!O$2:O$5000,MATCH(ROW()-4,EQA.CAP_Dados!$S$2:$S$5000,0)),"")</f>
        <v/>
      </c>
      <c r="P175" s="137" t="str">
        <f>IFERROR(INDEX(EQA.CAP_Dados!P$2:P$5000,MATCH(ROW()-4,EQA.CAP_Dados!$S$2:$S$5000,0)),"")</f>
        <v/>
      </c>
      <c r="Q175" s="126" t="str">
        <f>IFERROR(INDEX(EQA.CAP_Dados!Q$2:Q$5000,MATCH(ROW()-4,EQA.CAP_Dados!$S$2:$S$5000,0)),"")</f>
        <v/>
      </c>
      <c r="R175" t="str">
        <f>IFERROR(INDEX(EQA.CAP_Dados!R$2:R$5000,MATCH(ROW()-4,EQA.CAP_Dados!$S$2:$S$5000,0)),"")</f>
        <v/>
      </c>
    </row>
    <row r="176" spans="1:18" x14ac:dyDescent="0.3">
      <c r="A176" t="str">
        <f>IFERROR(INDEX(EQA.CAP_Dados!A$2:A$5000,MATCH(ROW()-4,EQA.CAP_Dados!$S$2:$S$5000,0)),"")</f>
        <v/>
      </c>
      <c r="B176" t="str">
        <f>IFERROR(INDEX(EQA.CAP_Dados!B$2:B$5000,MATCH(ROW()-4,EQA.CAP_Dados!$S$2:$S$5000,0)),"")</f>
        <v/>
      </c>
      <c r="C176" s="126" t="str">
        <f>IFERROR(INDEX(EQA.CAP_Dados!C$2:C$5000,MATCH(ROW()-4,EQA.CAP_Dados!$S$2:$S$5000,0)),"")</f>
        <v/>
      </c>
      <c r="D176" t="str">
        <f>IFERROR(INDEX(EQA.CAP_Dados!D$2:D$5000,MATCH(ROW()-4,EQA.CAP_Dados!$S$2:$S$5000,0)),"")</f>
        <v/>
      </c>
      <c r="E176" t="str">
        <f>IFERROR(INDEX(EQA.CAP_Dados!E$2:E$5000,MATCH(ROW()-4,EQA.CAP_Dados!$S$2:$S$5000,0)),"")</f>
        <v/>
      </c>
      <c r="F176" s="137" t="str">
        <f>IFERROR(INDEX(EQA.CAP_Dados!F$2:F$5000,MATCH(ROW()-4,EQA.CAP_Dados!$S$2:$S$5000,0)),"")</f>
        <v/>
      </c>
      <c r="G176" s="138" t="str">
        <f>IFERROR(INDEX(EQA.CAP_Dados!G$2:G$5000,MATCH(ROW()-4,EQA.CAP_Dados!$S$2:$S$5000,0)),"")</f>
        <v/>
      </c>
      <c r="H176" s="138" t="str">
        <f>IFERROR(INDEX(EQA.CAP_Dados!H$2:H$5000,MATCH(ROW()-4,EQA.CAP_Dados!$S$2:$S$5000,0)),"")</f>
        <v/>
      </c>
      <c r="I176" s="139" t="str">
        <f>IFERROR(INDEX(EQA.CAP_Dados!I$2:I$5000,MATCH(ROW()-4,EQA.CAP_Dados!$S$2:$S$5000,0)),"")</f>
        <v/>
      </c>
      <c r="J176" s="137" t="str">
        <f>IFERROR(INDEX(EQA.CAP_Dados!J$2:J$5000,MATCH(ROW()-4,EQA.CAP_Dados!$S$2:$S$5000,0)),"")</f>
        <v/>
      </c>
      <c r="K176" s="137" t="str">
        <f>IFERROR(INDEX(EQA.CAP_Dados!K$2:K$5000,MATCH(ROW()-4,EQA.CAP_Dados!$S$2:$S$5000,0)),"")</f>
        <v/>
      </c>
      <c r="L176" t="str">
        <f>IFERROR(INDEX(EQA.CAP_Dados!L$2:L$5000,MATCH(ROW()-4,EQA.CAP_Dados!$S$2:$S$5000,0)),"")</f>
        <v/>
      </c>
      <c r="M176" s="126" t="str">
        <f>IFERROR(INDEX(EQA.CAP_Dados!M$2:M$5000,MATCH(ROW()-4,EQA.CAP_Dados!$S$2:$S$5000,0)),"")</f>
        <v/>
      </c>
      <c r="N176" t="str">
        <f>IFERROR(INDEX(EQA.CAP_Dados!N$2:N$5000,MATCH(ROW()-4,EQA.CAP_Dados!$S$2:$S$5000,0)),"")</f>
        <v/>
      </c>
      <c r="O176" s="137" t="str">
        <f>IFERROR(INDEX(EQA.CAP_Dados!O$2:O$5000,MATCH(ROW()-4,EQA.CAP_Dados!$S$2:$S$5000,0)),"")</f>
        <v/>
      </c>
      <c r="P176" s="137" t="str">
        <f>IFERROR(INDEX(EQA.CAP_Dados!P$2:P$5000,MATCH(ROW()-4,EQA.CAP_Dados!$S$2:$S$5000,0)),"")</f>
        <v/>
      </c>
      <c r="Q176" s="126" t="str">
        <f>IFERROR(INDEX(EQA.CAP_Dados!Q$2:Q$5000,MATCH(ROW()-4,EQA.CAP_Dados!$S$2:$S$5000,0)),"")</f>
        <v/>
      </c>
      <c r="R176" t="str">
        <f>IFERROR(INDEX(EQA.CAP_Dados!R$2:R$5000,MATCH(ROW()-4,EQA.CAP_Dados!$S$2:$S$5000,0)),"")</f>
        <v/>
      </c>
    </row>
    <row r="177" spans="1:18" x14ac:dyDescent="0.3">
      <c r="A177" t="str">
        <f>IFERROR(INDEX(EQA.CAP_Dados!A$2:A$5000,MATCH(ROW()-4,EQA.CAP_Dados!$S$2:$S$5000,0)),"")</f>
        <v/>
      </c>
      <c r="B177" t="str">
        <f>IFERROR(INDEX(EQA.CAP_Dados!B$2:B$5000,MATCH(ROW()-4,EQA.CAP_Dados!$S$2:$S$5000,0)),"")</f>
        <v/>
      </c>
      <c r="C177" s="126" t="str">
        <f>IFERROR(INDEX(EQA.CAP_Dados!C$2:C$5000,MATCH(ROW()-4,EQA.CAP_Dados!$S$2:$S$5000,0)),"")</f>
        <v/>
      </c>
      <c r="D177" t="str">
        <f>IFERROR(INDEX(EQA.CAP_Dados!D$2:D$5000,MATCH(ROW()-4,EQA.CAP_Dados!$S$2:$S$5000,0)),"")</f>
        <v/>
      </c>
      <c r="E177" t="str">
        <f>IFERROR(INDEX(EQA.CAP_Dados!E$2:E$5000,MATCH(ROW()-4,EQA.CAP_Dados!$S$2:$S$5000,0)),"")</f>
        <v/>
      </c>
      <c r="F177" s="137" t="str">
        <f>IFERROR(INDEX(EQA.CAP_Dados!F$2:F$5000,MATCH(ROW()-4,EQA.CAP_Dados!$S$2:$S$5000,0)),"")</f>
        <v/>
      </c>
      <c r="G177" s="138" t="str">
        <f>IFERROR(INDEX(EQA.CAP_Dados!G$2:G$5000,MATCH(ROW()-4,EQA.CAP_Dados!$S$2:$S$5000,0)),"")</f>
        <v/>
      </c>
      <c r="H177" s="138" t="str">
        <f>IFERROR(INDEX(EQA.CAP_Dados!H$2:H$5000,MATCH(ROW()-4,EQA.CAP_Dados!$S$2:$S$5000,0)),"")</f>
        <v/>
      </c>
      <c r="I177" s="139" t="str">
        <f>IFERROR(INDEX(EQA.CAP_Dados!I$2:I$5000,MATCH(ROW()-4,EQA.CAP_Dados!$S$2:$S$5000,0)),"")</f>
        <v/>
      </c>
      <c r="J177" s="137" t="str">
        <f>IFERROR(INDEX(EQA.CAP_Dados!J$2:J$5000,MATCH(ROW()-4,EQA.CAP_Dados!$S$2:$S$5000,0)),"")</f>
        <v/>
      </c>
      <c r="K177" s="137" t="str">
        <f>IFERROR(INDEX(EQA.CAP_Dados!K$2:K$5000,MATCH(ROW()-4,EQA.CAP_Dados!$S$2:$S$5000,0)),"")</f>
        <v/>
      </c>
      <c r="L177" t="str">
        <f>IFERROR(INDEX(EQA.CAP_Dados!L$2:L$5000,MATCH(ROW()-4,EQA.CAP_Dados!$S$2:$S$5000,0)),"")</f>
        <v/>
      </c>
      <c r="M177" s="126" t="str">
        <f>IFERROR(INDEX(EQA.CAP_Dados!M$2:M$5000,MATCH(ROW()-4,EQA.CAP_Dados!$S$2:$S$5000,0)),"")</f>
        <v/>
      </c>
      <c r="N177" t="str">
        <f>IFERROR(INDEX(EQA.CAP_Dados!N$2:N$5000,MATCH(ROW()-4,EQA.CAP_Dados!$S$2:$S$5000,0)),"")</f>
        <v/>
      </c>
      <c r="O177" s="137" t="str">
        <f>IFERROR(INDEX(EQA.CAP_Dados!O$2:O$5000,MATCH(ROW()-4,EQA.CAP_Dados!$S$2:$S$5000,0)),"")</f>
        <v/>
      </c>
      <c r="P177" s="137" t="str">
        <f>IFERROR(INDEX(EQA.CAP_Dados!P$2:P$5000,MATCH(ROW()-4,EQA.CAP_Dados!$S$2:$S$5000,0)),"")</f>
        <v/>
      </c>
      <c r="Q177" s="126" t="str">
        <f>IFERROR(INDEX(EQA.CAP_Dados!Q$2:Q$5000,MATCH(ROW()-4,EQA.CAP_Dados!$S$2:$S$5000,0)),"")</f>
        <v/>
      </c>
      <c r="R177" t="str">
        <f>IFERROR(INDEX(EQA.CAP_Dados!R$2:R$5000,MATCH(ROW()-4,EQA.CAP_Dados!$S$2:$S$5000,0)),"")</f>
        <v/>
      </c>
    </row>
    <row r="178" spans="1:18" x14ac:dyDescent="0.3">
      <c r="A178" t="str">
        <f>IFERROR(INDEX(EQA.CAP_Dados!A$2:A$5000,MATCH(ROW()-4,EQA.CAP_Dados!$S$2:$S$5000,0)),"")</f>
        <v/>
      </c>
      <c r="B178" t="str">
        <f>IFERROR(INDEX(EQA.CAP_Dados!B$2:B$5000,MATCH(ROW()-4,EQA.CAP_Dados!$S$2:$S$5000,0)),"")</f>
        <v/>
      </c>
      <c r="C178" s="126" t="str">
        <f>IFERROR(INDEX(EQA.CAP_Dados!C$2:C$5000,MATCH(ROW()-4,EQA.CAP_Dados!$S$2:$S$5000,0)),"")</f>
        <v/>
      </c>
      <c r="D178" t="str">
        <f>IFERROR(INDEX(EQA.CAP_Dados!D$2:D$5000,MATCH(ROW()-4,EQA.CAP_Dados!$S$2:$S$5000,0)),"")</f>
        <v/>
      </c>
      <c r="E178" t="str">
        <f>IFERROR(INDEX(EQA.CAP_Dados!E$2:E$5000,MATCH(ROW()-4,EQA.CAP_Dados!$S$2:$S$5000,0)),"")</f>
        <v/>
      </c>
      <c r="F178" s="137" t="str">
        <f>IFERROR(INDEX(EQA.CAP_Dados!F$2:F$5000,MATCH(ROW()-4,EQA.CAP_Dados!$S$2:$S$5000,0)),"")</f>
        <v/>
      </c>
      <c r="G178" s="138" t="str">
        <f>IFERROR(INDEX(EQA.CAP_Dados!G$2:G$5000,MATCH(ROW()-4,EQA.CAP_Dados!$S$2:$S$5000,0)),"")</f>
        <v/>
      </c>
      <c r="H178" s="138" t="str">
        <f>IFERROR(INDEX(EQA.CAP_Dados!H$2:H$5000,MATCH(ROW()-4,EQA.CAP_Dados!$S$2:$S$5000,0)),"")</f>
        <v/>
      </c>
      <c r="I178" s="139" t="str">
        <f>IFERROR(INDEX(EQA.CAP_Dados!I$2:I$5000,MATCH(ROW()-4,EQA.CAP_Dados!$S$2:$S$5000,0)),"")</f>
        <v/>
      </c>
      <c r="J178" s="137" t="str">
        <f>IFERROR(INDEX(EQA.CAP_Dados!J$2:J$5000,MATCH(ROW()-4,EQA.CAP_Dados!$S$2:$S$5000,0)),"")</f>
        <v/>
      </c>
      <c r="K178" s="137" t="str">
        <f>IFERROR(INDEX(EQA.CAP_Dados!K$2:K$5000,MATCH(ROW()-4,EQA.CAP_Dados!$S$2:$S$5000,0)),"")</f>
        <v/>
      </c>
      <c r="L178" t="str">
        <f>IFERROR(INDEX(EQA.CAP_Dados!L$2:L$5000,MATCH(ROW()-4,EQA.CAP_Dados!$S$2:$S$5000,0)),"")</f>
        <v/>
      </c>
      <c r="M178" s="126" t="str">
        <f>IFERROR(INDEX(EQA.CAP_Dados!M$2:M$5000,MATCH(ROW()-4,EQA.CAP_Dados!$S$2:$S$5000,0)),"")</f>
        <v/>
      </c>
      <c r="N178" t="str">
        <f>IFERROR(INDEX(EQA.CAP_Dados!N$2:N$5000,MATCH(ROW()-4,EQA.CAP_Dados!$S$2:$S$5000,0)),"")</f>
        <v/>
      </c>
      <c r="O178" s="137" t="str">
        <f>IFERROR(INDEX(EQA.CAP_Dados!O$2:O$5000,MATCH(ROW()-4,EQA.CAP_Dados!$S$2:$S$5000,0)),"")</f>
        <v/>
      </c>
      <c r="P178" s="137" t="str">
        <f>IFERROR(INDEX(EQA.CAP_Dados!P$2:P$5000,MATCH(ROW()-4,EQA.CAP_Dados!$S$2:$S$5000,0)),"")</f>
        <v/>
      </c>
      <c r="Q178" s="126" t="str">
        <f>IFERROR(INDEX(EQA.CAP_Dados!Q$2:Q$5000,MATCH(ROW()-4,EQA.CAP_Dados!$S$2:$S$5000,0)),"")</f>
        <v/>
      </c>
      <c r="R178" t="str">
        <f>IFERROR(INDEX(EQA.CAP_Dados!R$2:R$5000,MATCH(ROW()-4,EQA.CAP_Dados!$S$2:$S$5000,0)),"")</f>
        <v/>
      </c>
    </row>
    <row r="179" spans="1:18" x14ac:dyDescent="0.3">
      <c r="A179" t="str">
        <f>IFERROR(INDEX(EQA.CAP_Dados!A$2:A$5000,MATCH(ROW()-4,EQA.CAP_Dados!$S$2:$S$5000,0)),"")</f>
        <v/>
      </c>
      <c r="B179" t="str">
        <f>IFERROR(INDEX(EQA.CAP_Dados!B$2:B$5000,MATCH(ROW()-4,EQA.CAP_Dados!$S$2:$S$5000,0)),"")</f>
        <v/>
      </c>
      <c r="C179" s="126" t="str">
        <f>IFERROR(INDEX(EQA.CAP_Dados!C$2:C$5000,MATCH(ROW()-4,EQA.CAP_Dados!$S$2:$S$5000,0)),"")</f>
        <v/>
      </c>
      <c r="D179" t="str">
        <f>IFERROR(INDEX(EQA.CAP_Dados!D$2:D$5000,MATCH(ROW()-4,EQA.CAP_Dados!$S$2:$S$5000,0)),"")</f>
        <v/>
      </c>
      <c r="E179" t="str">
        <f>IFERROR(INDEX(EQA.CAP_Dados!E$2:E$5000,MATCH(ROW()-4,EQA.CAP_Dados!$S$2:$S$5000,0)),"")</f>
        <v/>
      </c>
      <c r="F179" s="137" t="str">
        <f>IFERROR(INDEX(EQA.CAP_Dados!F$2:F$5000,MATCH(ROW()-4,EQA.CAP_Dados!$S$2:$S$5000,0)),"")</f>
        <v/>
      </c>
      <c r="G179" s="138" t="str">
        <f>IFERROR(INDEX(EQA.CAP_Dados!G$2:G$5000,MATCH(ROW()-4,EQA.CAP_Dados!$S$2:$S$5000,0)),"")</f>
        <v/>
      </c>
      <c r="H179" s="138" t="str">
        <f>IFERROR(INDEX(EQA.CAP_Dados!H$2:H$5000,MATCH(ROW()-4,EQA.CAP_Dados!$S$2:$S$5000,0)),"")</f>
        <v/>
      </c>
      <c r="I179" s="139" t="str">
        <f>IFERROR(INDEX(EQA.CAP_Dados!I$2:I$5000,MATCH(ROW()-4,EQA.CAP_Dados!$S$2:$S$5000,0)),"")</f>
        <v/>
      </c>
      <c r="J179" s="137" t="str">
        <f>IFERROR(INDEX(EQA.CAP_Dados!J$2:J$5000,MATCH(ROW()-4,EQA.CAP_Dados!$S$2:$S$5000,0)),"")</f>
        <v/>
      </c>
      <c r="K179" s="137" t="str">
        <f>IFERROR(INDEX(EQA.CAP_Dados!K$2:K$5000,MATCH(ROW()-4,EQA.CAP_Dados!$S$2:$S$5000,0)),"")</f>
        <v/>
      </c>
      <c r="L179" t="str">
        <f>IFERROR(INDEX(EQA.CAP_Dados!L$2:L$5000,MATCH(ROW()-4,EQA.CAP_Dados!$S$2:$S$5000,0)),"")</f>
        <v/>
      </c>
      <c r="M179" s="126" t="str">
        <f>IFERROR(INDEX(EQA.CAP_Dados!M$2:M$5000,MATCH(ROW()-4,EQA.CAP_Dados!$S$2:$S$5000,0)),"")</f>
        <v/>
      </c>
      <c r="N179" t="str">
        <f>IFERROR(INDEX(EQA.CAP_Dados!N$2:N$5000,MATCH(ROW()-4,EQA.CAP_Dados!$S$2:$S$5000,0)),"")</f>
        <v/>
      </c>
      <c r="O179" s="137" t="str">
        <f>IFERROR(INDEX(EQA.CAP_Dados!O$2:O$5000,MATCH(ROW()-4,EQA.CAP_Dados!$S$2:$S$5000,0)),"")</f>
        <v/>
      </c>
      <c r="P179" s="137" t="str">
        <f>IFERROR(INDEX(EQA.CAP_Dados!P$2:P$5000,MATCH(ROW()-4,EQA.CAP_Dados!$S$2:$S$5000,0)),"")</f>
        <v/>
      </c>
      <c r="Q179" s="126" t="str">
        <f>IFERROR(INDEX(EQA.CAP_Dados!Q$2:Q$5000,MATCH(ROW()-4,EQA.CAP_Dados!$S$2:$S$5000,0)),"")</f>
        <v/>
      </c>
      <c r="R179" t="str">
        <f>IFERROR(INDEX(EQA.CAP_Dados!R$2:R$5000,MATCH(ROW()-4,EQA.CAP_Dados!$S$2:$S$5000,0)),"")</f>
        <v/>
      </c>
    </row>
    <row r="180" spans="1:18" x14ac:dyDescent="0.3">
      <c r="A180" t="str">
        <f>IFERROR(INDEX(EQA.CAP_Dados!A$2:A$5000,MATCH(ROW()-4,EQA.CAP_Dados!$S$2:$S$5000,0)),"")</f>
        <v/>
      </c>
      <c r="B180" t="str">
        <f>IFERROR(INDEX(EQA.CAP_Dados!B$2:B$5000,MATCH(ROW()-4,EQA.CAP_Dados!$S$2:$S$5000,0)),"")</f>
        <v/>
      </c>
      <c r="C180" s="126" t="str">
        <f>IFERROR(INDEX(EQA.CAP_Dados!C$2:C$5000,MATCH(ROW()-4,EQA.CAP_Dados!$S$2:$S$5000,0)),"")</f>
        <v/>
      </c>
      <c r="D180" t="str">
        <f>IFERROR(INDEX(EQA.CAP_Dados!D$2:D$5000,MATCH(ROW()-4,EQA.CAP_Dados!$S$2:$S$5000,0)),"")</f>
        <v/>
      </c>
      <c r="E180" t="str">
        <f>IFERROR(INDEX(EQA.CAP_Dados!E$2:E$5000,MATCH(ROW()-4,EQA.CAP_Dados!$S$2:$S$5000,0)),"")</f>
        <v/>
      </c>
      <c r="F180" s="137" t="str">
        <f>IFERROR(INDEX(EQA.CAP_Dados!F$2:F$5000,MATCH(ROW()-4,EQA.CAP_Dados!$S$2:$S$5000,0)),"")</f>
        <v/>
      </c>
      <c r="G180" s="138" t="str">
        <f>IFERROR(INDEX(EQA.CAP_Dados!G$2:G$5000,MATCH(ROW()-4,EQA.CAP_Dados!$S$2:$S$5000,0)),"")</f>
        <v/>
      </c>
      <c r="H180" s="138" t="str">
        <f>IFERROR(INDEX(EQA.CAP_Dados!H$2:H$5000,MATCH(ROW()-4,EQA.CAP_Dados!$S$2:$S$5000,0)),"")</f>
        <v/>
      </c>
      <c r="I180" s="139" t="str">
        <f>IFERROR(INDEX(EQA.CAP_Dados!I$2:I$5000,MATCH(ROW()-4,EQA.CAP_Dados!$S$2:$S$5000,0)),"")</f>
        <v/>
      </c>
      <c r="J180" s="137" t="str">
        <f>IFERROR(INDEX(EQA.CAP_Dados!J$2:J$5000,MATCH(ROW()-4,EQA.CAP_Dados!$S$2:$S$5000,0)),"")</f>
        <v/>
      </c>
      <c r="K180" s="137" t="str">
        <f>IFERROR(INDEX(EQA.CAP_Dados!K$2:K$5000,MATCH(ROW()-4,EQA.CAP_Dados!$S$2:$S$5000,0)),"")</f>
        <v/>
      </c>
      <c r="L180" t="str">
        <f>IFERROR(INDEX(EQA.CAP_Dados!L$2:L$5000,MATCH(ROW()-4,EQA.CAP_Dados!$S$2:$S$5000,0)),"")</f>
        <v/>
      </c>
      <c r="M180" s="126" t="str">
        <f>IFERROR(INDEX(EQA.CAP_Dados!M$2:M$5000,MATCH(ROW()-4,EQA.CAP_Dados!$S$2:$S$5000,0)),"")</f>
        <v/>
      </c>
      <c r="N180" t="str">
        <f>IFERROR(INDEX(EQA.CAP_Dados!N$2:N$5000,MATCH(ROW()-4,EQA.CAP_Dados!$S$2:$S$5000,0)),"")</f>
        <v/>
      </c>
      <c r="O180" s="137" t="str">
        <f>IFERROR(INDEX(EQA.CAP_Dados!O$2:O$5000,MATCH(ROW()-4,EQA.CAP_Dados!$S$2:$S$5000,0)),"")</f>
        <v/>
      </c>
      <c r="P180" s="137" t="str">
        <f>IFERROR(INDEX(EQA.CAP_Dados!P$2:P$5000,MATCH(ROW()-4,EQA.CAP_Dados!$S$2:$S$5000,0)),"")</f>
        <v/>
      </c>
      <c r="Q180" s="126" t="str">
        <f>IFERROR(INDEX(EQA.CAP_Dados!Q$2:Q$5000,MATCH(ROW()-4,EQA.CAP_Dados!$S$2:$S$5000,0)),"")</f>
        <v/>
      </c>
      <c r="R180" t="str">
        <f>IFERROR(INDEX(EQA.CAP_Dados!R$2:R$5000,MATCH(ROW()-4,EQA.CAP_Dados!$S$2:$S$5000,0)),"")</f>
        <v/>
      </c>
    </row>
    <row r="181" spans="1:18" x14ac:dyDescent="0.3">
      <c r="A181" t="str">
        <f>IFERROR(INDEX(EQA.CAP_Dados!A$2:A$5000,MATCH(ROW()-4,EQA.CAP_Dados!$S$2:$S$5000,0)),"")</f>
        <v/>
      </c>
      <c r="B181" t="str">
        <f>IFERROR(INDEX(EQA.CAP_Dados!B$2:B$5000,MATCH(ROW()-4,EQA.CAP_Dados!$S$2:$S$5000,0)),"")</f>
        <v/>
      </c>
      <c r="C181" s="126" t="str">
        <f>IFERROR(INDEX(EQA.CAP_Dados!C$2:C$5000,MATCH(ROW()-4,EQA.CAP_Dados!$S$2:$S$5000,0)),"")</f>
        <v/>
      </c>
      <c r="D181" t="str">
        <f>IFERROR(INDEX(EQA.CAP_Dados!D$2:D$5000,MATCH(ROW()-4,EQA.CAP_Dados!$S$2:$S$5000,0)),"")</f>
        <v/>
      </c>
      <c r="E181" t="str">
        <f>IFERROR(INDEX(EQA.CAP_Dados!E$2:E$5000,MATCH(ROW()-4,EQA.CAP_Dados!$S$2:$S$5000,0)),"")</f>
        <v/>
      </c>
      <c r="F181" s="137" t="str">
        <f>IFERROR(INDEX(EQA.CAP_Dados!F$2:F$5000,MATCH(ROW()-4,EQA.CAP_Dados!$S$2:$S$5000,0)),"")</f>
        <v/>
      </c>
      <c r="G181" s="138" t="str">
        <f>IFERROR(INDEX(EQA.CAP_Dados!G$2:G$5000,MATCH(ROW()-4,EQA.CAP_Dados!$S$2:$S$5000,0)),"")</f>
        <v/>
      </c>
      <c r="H181" s="138" t="str">
        <f>IFERROR(INDEX(EQA.CAP_Dados!H$2:H$5000,MATCH(ROW()-4,EQA.CAP_Dados!$S$2:$S$5000,0)),"")</f>
        <v/>
      </c>
      <c r="I181" s="139" t="str">
        <f>IFERROR(INDEX(EQA.CAP_Dados!I$2:I$5000,MATCH(ROW()-4,EQA.CAP_Dados!$S$2:$S$5000,0)),"")</f>
        <v/>
      </c>
      <c r="J181" s="137" t="str">
        <f>IFERROR(INDEX(EQA.CAP_Dados!J$2:J$5000,MATCH(ROW()-4,EQA.CAP_Dados!$S$2:$S$5000,0)),"")</f>
        <v/>
      </c>
      <c r="K181" s="137" t="str">
        <f>IFERROR(INDEX(EQA.CAP_Dados!K$2:K$5000,MATCH(ROW()-4,EQA.CAP_Dados!$S$2:$S$5000,0)),"")</f>
        <v/>
      </c>
      <c r="L181" t="str">
        <f>IFERROR(INDEX(EQA.CAP_Dados!L$2:L$5000,MATCH(ROW()-4,EQA.CAP_Dados!$S$2:$S$5000,0)),"")</f>
        <v/>
      </c>
      <c r="M181" s="126" t="str">
        <f>IFERROR(INDEX(EQA.CAP_Dados!M$2:M$5000,MATCH(ROW()-4,EQA.CAP_Dados!$S$2:$S$5000,0)),"")</f>
        <v/>
      </c>
      <c r="N181" t="str">
        <f>IFERROR(INDEX(EQA.CAP_Dados!N$2:N$5000,MATCH(ROW()-4,EQA.CAP_Dados!$S$2:$S$5000,0)),"")</f>
        <v/>
      </c>
      <c r="O181" s="137" t="str">
        <f>IFERROR(INDEX(EQA.CAP_Dados!O$2:O$5000,MATCH(ROW()-4,EQA.CAP_Dados!$S$2:$S$5000,0)),"")</f>
        <v/>
      </c>
      <c r="P181" s="137" t="str">
        <f>IFERROR(INDEX(EQA.CAP_Dados!P$2:P$5000,MATCH(ROW()-4,EQA.CAP_Dados!$S$2:$S$5000,0)),"")</f>
        <v/>
      </c>
      <c r="Q181" s="126" t="str">
        <f>IFERROR(INDEX(EQA.CAP_Dados!Q$2:Q$5000,MATCH(ROW()-4,EQA.CAP_Dados!$S$2:$S$5000,0)),"")</f>
        <v/>
      </c>
      <c r="R181" t="str">
        <f>IFERROR(INDEX(EQA.CAP_Dados!R$2:R$5000,MATCH(ROW()-4,EQA.CAP_Dados!$S$2:$S$5000,0)),"")</f>
        <v/>
      </c>
    </row>
    <row r="182" spans="1:18" x14ac:dyDescent="0.3">
      <c r="A182" t="str">
        <f>IFERROR(INDEX(EQA.CAP_Dados!A$2:A$5000,MATCH(ROW()-4,EQA.CAP_Dados!$S$2:$S$5000,0)),"")</f>
        <v/>
      </c>
      <c r="B182" t="str">
        <f>IFERROR(INDEX(EQA.CAP_Dados!B$2:B$5000,MATCH(ROW()-4,EQA.CAP_Dados!$S$2:$S$5000,0)),"")</f>
        <v/>
      </c>
      <c r="C182" s="126" t="str">
        <f>IFERROR(INDEX(EQA.CAP_Dados!C$2:C$5000,MATCH(ROW()-4,EQA.CAP_Dados!$S$2:$S$5000,0)),"")</f>
        <v/>
      </c>
      <c r="D182" t="str">
        <f>IFERROR(INDEX(EQA.CAP_Dados!D$2:D$5000,MATCH(ROW()-4,EQA.CAP_Dados!$S$2:$S$5000,0)),"")</f>
        <v/>
      </c>
      <c r="E182" t="str">
        <f>IFERROR(INDEX(EQA.CAP_Dados!E$2:E$5000,MATCH(ROW()-4,EQA.CAP_Dados!$S$2:$S$5000,0)),"")</f>
        <v/>
      </c>
      <c r="F182" s="137" t="str">
        <f>IFERROR(INDEX(EQA.CAP_Dados!F$2:F$5000,MATCH(ROW()-4,EQA.CAP_Dados!$S$2:$S$5000,0)),"")</f>
        <v/>
      </c>
      <c r="G182" s="138" t="str">
        <f>IFERROR(INDEX(EQA.CAP_Dados!G$2:G$5000,MATCH(ROW()-4,EQA.CAP_Dados!$S$2:$S$5000,0)),"")</f>
        <v/>
      </c>
      <c r="H182" s="138" t="str">
        <f>IFERROR(INDEX(EQA.CAP_Dados!H$2:H$5000,MATCH(ROW()-4,EQA.CAP_Dados!$S$2:$S$5000,0)),"")</f>
        <v/>
      </c>
      <c r="I182" s="139" t="str">
        <f>IFERROR(INDEX(EQA.CAP_Dados!I$2:I$5000,MATCH(ROW()-4,EQA.CAP_Dados!$S$2:$S$5000,0)),"")</f>
        <v/>
      </c>
      <c r="J182" s="137" t="str">
        <f>IFERROR(INDEX(EQA.CAP_Dados!J$2:J$5000,MATCH(ROW()-4,EQA.CAP_Dados!$S$2:$S$5000,0)),"")</f>
        <v/>
      </c>
      <c r="K182" s="137" t="str">
        <f>IFERROR(INDEX(EQA.CAP_Dados!K$2:K$5000,MATCH(ROW()-4,EQA.CAP_Dados!$S$2:$S$5000,0)),"")</f>
        <v/>
      </c>
      <c r="L182" t="str">
        <f>IFERROR(INDEX(EQA.CAP_Dados!L$2:L$5000,MATCH(ROW()-4,EQA.CAP_Dados!$S$2:$S$5000,0)),"")</f>
        <v/>
      </c>
      <c r="M182" s="126" t="str">
        <f>IFERROR(INDEX(EQA.CAP_Dados!M$2:M$5000,MATCH(ROW()-4,EQA.CAP_Dados!$S$2:$S$5000,0)),"")</f>
        <v/>
      </c>
      <c r="N182" t="str">
        <f>IFERROR(INDEX(EQA.CAP_Dados!N$2:N$5000,MATCH(ROW()-4,EQA.CAP_Dados!$S$2:$S$5000,0)),"")</f>
        <v/>
      </c>
      <c r="O182" s="137" t="str">
        <f>IFERROR(INDEX(EQA.CAP_Dados!O$2:O$5000,MATCH(ROW()-4,EQA.CAP_Dados!$S$2:$S$5000,0)),"")</f>
        <v/>
      </c>
      <c r="P182" s="137" t="str">
        <f>IFERROR(INDEX(EQA.CAP_Dados!P$2:P$5000,MATCH(ROW()-4,EQA.CAP_Dados!$S$2:$S$5000,0)),"")</f>
        <v/>
      </c>
      <c r="Q182" s="126" t="str">
        <f>IFERROR(INDEX(EQA.CAP_Dados!Q$2:Q$5000,MATCH(ROW()-4,EQA.CAP_Dados!$S$2:$S$5000,0)),"")</f>
        <v/>
      </c>
      <c r="R182" t="str">
        <f>IFERROR(INDEX(EQA.CAP_Dados!R$2:R$5000,MATCH(ROW()-4,EQA.CAP_Dados!$S$2:$S$5000,0)),"")</f>
        <v/>
      </c>
    </row>
    <row r="183" spans="1:18" x14ac:dyDescent="0.3">
      <c r="A183" t="str">
        <f>IFERROR(INDEX(EQA.CAP_Dados!A$2:A$5000,MATCH(ROW()-4,EQA.CAP_Dados!$S$2:$S$5000,0)),"")</f>
        <v/>
      </c>
      <c r="B183" t="str">
        <f>IFERROR(INDEX(EQA.CAP_Dados!B$2:B$5000,MATCH(ROW()-4,EQA.CAP_Dados!$S$2:$S$5000,0)),"")</f>
        <v/>
      </c>
      <c r="C183" s="126" t="str">
        <f>IFERROR(INDEX(EQA.CAP_Dados!C$2:C$5000,MATCH(ROW()-4,EQA.CAP_Dados!$S$2:$S$5000,0)),"")</f>
        <v/>
      </c>
      <c r="D183" t="str">
        <f>IFERROR(INDEX(EQA.CAP_Dados!D$2:D$5000,MATCH(ROW()-4,EQA.CAP_Dados!$S$2:$S$5000,0)),"")</f>
        <v/>
      </c>
      <c r="E183" t="str">
        <f>IFERROR(INDEX(EQA.CAP_Dados!E$2:E$5000,MATCH(ROW()-4,EQA.CAP_Dados!$S$2:$S$5000,0)),"")</f>
        <v/>
      </c>
      <c r="F183" s="137" t="str">
        <f>IFERROR(INDEX(EQA.CAP_Dados!F$2:F$5000,MATCH(ROW()-4,EQA.CAP_Dados!$S$2:$S$5000,0)),"")</f>
        <v/>
      </c>
      <c r="G183" s="138" t="str">
        <f>IFERROR(INDEX(EQA.CAP_Dados!G$2:G$5000,MATCH(ROW()-4,EQA.CAP_Dados!$S$2:$S$5000,0)),"")</f>
        <v/>
      </c>
      <c r="H183" s="138" t="str">
        <f>IFERROR(INDEX(EQA.CAP_Dados!H$2:H$5000,MATCH(ROW()-4,EQA.CAP_Dados!$S$2:$S$5000,0)),"")</f>
        <v/>
      </c>
      <c r="I183" s="139" t="str">
        <f>IFERROR(INDEX(EQA.CAP_Dados!I$2:I$5000,MATCH(ROW()-4,EQA.CAP_Dados!$S$2:$S$5000,0)),"")</f>
        <v/>
      </c>
      <c r="J183" s="137" t="str">
        <f>IFERROR(INDEX(EQA.CAP_Dados!J$2:J$5000,MATCH(ROW()-4,EQA.CAP_Dados!$S$2:$S$5000,0)),"")</f>
        <v/>
      </c>
      <c r="K183" s="137" t="str">
        <f>IFERROR(INDEX(EQA.CAP_Dados!K$2:K$5000,MATCH(ROW()-4,EQA.CAP_Dados!$S$2:$S$5000,0)),"")</f>
        <v/>
      </c>
      <c r="L183" t="str">
        <f>IFERROR(INDEX(EQA.CAP_Dados!L$2:L$5000,MATCH(ROW()-4,EQA.CAP_Dados!$S$2:$S$5000,0)),"")</f>
        <v/>
      </c>
      <c r="M183" s="126" t="str">
        <f>IFERROR(INDEX(EQA.CAP_Dados!M$2:M$5000,MATCH(ROW()-4,EQA.CAP_Dados!$S$2:$S$5000,0)),"")</f>
        <v/>
      </c>
      <c r="N183" t="str">
        <f>IFERROR(INDEX(EQA.CAP_Dados!N$2:N$5000,MATCH(ROW()-4,EQA.CAP_Dados!$S$2:$S$5000,0)),"")</f>
        <v/>
      </c>
      <c r="O183" s="137" t="str">
        <f>IFERROR(INDEX(EQA.CAP_Dados!O$2:O$5000,MATCH(ROW()-4,EQA.CAP_Dados!$S$2:$S$5000,0)),"")</f>
        <v/>
      </c>
      <c r="P183" s="137" t="str">
        <f>IFERROR(INDEX(EQA.CAP_Dados!P$2:P$5000,MATCH(ROW()-4,EQA.CAP_Dados!$S$2:$S$5000,0)),"")</f>
        <v/>
      </c>
      <c r="Q183" s="126" t="str">
        <f>IFERROR(INDEX(EQA.CAP_Dados!Q$2:Q$5000,MATCH(ROW()-4,EQA.CAP_Dados!$S$2:$S$5000,0)),"")</f>
        <v/>
      </c>
      <c r="R183" t="str">
        <f>IFERROR(INDEX(EQA.CAP_Dados!R$2:R$5000,MATCH(ROW()-4,EQA.CAP_Dados!$S$2:$S$5000,0)),"")</f>
        <v/>
      </c>
    </row>
    <row r="184" spans="1:18" x14ac:dyDescent="0.3">
      <c r="A184" t="str">
        <f>IFERROR(INDEX(EQA.CAP_Dados!A$2:A$5000,MATCH(ROW()-4,EQA.CAP_Dados!$S$2:$S$5000,0)),"")</f>
        <v/>
      </c>
      <c r="B184" t="str">
        <f>IFERROR(INDEX(EQA.CAP_Dados!B$2:B$5000,MATCH(ROW()-4,EQA.CAP_Dados!$S$2:$S$5000,0)),"")</f>
        <v/>
      </c>
      <c r="C184" s="126" t="str">
        <f>IFERROR(INDEX(EQA.CAP_Dados!C$2:C$5000,MATCH(ROW()-4,EQA.CAP_Dados!$S$2:$S$5000,0)),"")</f>
        <v/>
      </c>
      <c r="D184" t="str">
        <f>IFERROR(INDEX(EQA.CAP_Dados!D$2:D$5000,MATCH(ROW()-4,EQA.CAP_Dados!$S$2:$S$5000,0)),"")</f>
        <v/>
      </c>
      <c r="E184" t="str">
        <f>IFERROR(INDEX(EQA.CAP_Dados!E$2:E$5000,MATCH(ROW()-4,EQA.CAP_Dados!$S$2:$S$5000,0)),"")</f>
        <v/>
      </c>
      <c r="F184" s="137" t="str">
        <f>IFERROR(INDEX(EQA.CAP_Dados!F$2:F$5000,MATCH(ROW()-4,EQA.CAP_Dados!$S$2:$S$5000,0)),"")</f>
        <v/>
      </c>
      <c r="G184" s="138" t="str">
        <f>IFERROR(INDEX(EQA.CAP_Dados!G$2:G$5000,MATCH(ROW()-4,EQA.CAP_Dados!$S$2:$S$5000,0)),"")</f>
        <v/>
      </c>
      <c r="H184" s="138" t="str">
        <f>IFERROR(INDEX(EQA.CAP_Dados!H$2:H$5000,MATCH(ROW()-4,EQA.CAP_Dados!$S$2:$S$5000,0)),"")</f>
        <v/>
      </c>
      <c r="I184" s="139" t="str">
        <f>IFERROR(INDEX(EQA.CAP_Dados!I$2:I$5000,MATCH(ROW()-4,EQA.CAP_Dados!$S$2:$S$5000,0)),"")</f>
        <v/>
      </c>
      <c r="J184" s="137" t="str">
        <f>IFERROR(INDEX(EQA.CAP_Dados!J$2:J$5000,MATCH(ROW()-4,EQA.CAP_Dados!$S$2:$S$5000,0)),"")</f>
        <v/>
      </c>
      <c r="K184" s="137" t="str">
        <f>IFERROR(INDEX(EQA.CAP_Dados!K$2:K$5000,MATCH(ROW()-4,EQA.CAP_Dados!$S$2:$S$5000,0)),"")</f>
        <v/>
      </c>
      <c r="L184" t="str">
        <f>IFERROR(INDEX(EQA.CAP_Dados!L$2:L$5000,MATCH(ROW()-4,EQA.CAP_Dados!$S$2:$S$5000,0)),"")</f>
        <v/>
      </c>
      <c r="M184" s="126" t="str">
        <f>IFERROR(INDEX(EQA.CAP_Dados!M$2:M$5000,MATCH(ROW()-4,EQA.CAP_Dados!$S$2:$S$5000,0)),"")</f>
        <v/>
      </c>
      <c r="N184" t="str">
        <f>IFERROR(INDEX(EQA.CAP_Dados!N$2:N$5000,MATCH(ROW()-4,EQA.CAP_Dados!$S$2:$S$5000,0)),"")</f>
        <v/>
      </c>
      <c r="O184" s="137" t="str">
        <f>IFERROR(INDEX(EQA.CAP_Dados!O$2:O$5000,MATCH(ROW()-4,EQA.CAP_Dados!$S$2:$S$5000,0)),"")</f>
        <v/>
      </c>
      <c r="P184" s="137" t="str">
        <f>IFERROR(INDEX(EQA.CAP_Dados!P$2:P$5000,MATCH(ROW()-4,EQA.CAP_Dados!$S$2:$S$5000,0)),"")</f>
        <v/>
      </c>
      <c r="Q184" s="126" t="str">
        <f>IFERROR(INDEX(EQA.CAP_Dados!Q$2:Q$5000,MATCH(ROW()-4,EQA.CAP_Dados!$S$2:$S$5000,0)),"")</f>
        <v/>
      </c>
      <c r="R184" t="str">
        <f>IFERROR(INDEX(EQA.CAP_Dados!R$2:R$5000,MATCH(ROW()-4,EQA.CAP_Dados!$S$2:$S$5000,0)),"")</f>
        <v/>
      </c>
    </row>
    <row r="185" spans="1:18" x14ac:dyDescent="0.3">
      <c r="A185" t="str">
        <f>IFERROR(INDEX(EQA.CAP_Dados!A$2:A$5000,MATCH(ROW()-4,EQA.CAP_Dados!$S$2:$S$5000,0)),"")</f>
        <v/>
      </c>
      <c r="B185" t="str">
        <f>IFERROR(INDEX(EQA.CAP_Dados!B$2:B$5000,MATCH(ROW()-4,EQA.CAP_Dados!$S$2:$S$5000,0)),"")</f>
        <v/>
      </c>
      <c r="C185" s="126" t="str">
        <f>IFERROR(INDEX(EQA.CAP_Dados!C$2:C$5000,MATCH(ROW()-4,EQA.CAP_Dados!$S$2:$S$5000,0)),"")</f>
        <v/>
      </c>
      <c r="D185" t="str">
        <f>IFERROR(INDEX(EQA.CAP_Dados!D$2:D$5000,MATCH(ROW()-4,EQA.CAP_Dados!$S$2:$S$5000,0)),"")</f>
        <v/>
      </c>
      <c r="E185" t="str">
        <f>IFERROR(INDEX(EQA.CAP_Dados!E$2:E$5000,MATCH(ROW()-4,EQA.CAP_Dados!$S$2:$S$5000,0)),"")</f>
        <v/>
      </c>
      <c r="F185" s="137" t="str">
        <f>IFERROR(INDEX(EQA.CAP_Dados!F$2:F$5000,MATCH(ROW()-4,EQA.CAP_Dados!$S$2:$S$5000,0)),"")</f>
        <v/>
      </c>
      <c r="G185" s="138" t="str">
        <f>IFERROR(INDEX(EQA.CAP_Dados!G$2:G$5000,MATCH(ROW()-4,EQA.CAP_Dados!$S$2:$S$5000,0)),"")</f>
        <v/>
      </c>
      <c r="H185" s="138" t="str">
        <f>IFERROR(INDEX(EQA.CAP_Dados!H$2:H$5000,MATCH(ROW()-4,EQA.CAP_Dados!$S$2:$S$5000,0)),"")</f>
        <v/>
      </c>
      <c r="I185" s="139" t="str">
        <f>IFERROR(INDEX(EQA.CAP_Dados!I$2:I$5000,MATCH(ROW()-4,EQA.CAP_Dados!$S$2:$S$5000,0)),"")</f>
        <v/>
      </c>
      <c r="J185" s="137" t="str">
        <f>IFERROR(INDEX(EQA.CAP_Dados!J$2:J$5000,MATCH(ROW()-4,EQA.CAP_Dados!$S$2:$S$5000,0)),"")</f>
        <v/>
      </c>
      <c r="K185" s="137" t="str">
        <f>IFERROR(INDEX(EQA.CAP_Dados!K$2:K$5000,MATCH(ROW()-4,EQA.CAP_Dados!$S$2:$S$5000,0)),"")</f>
        <v/>
      </c>
      <c r="L185" t="str">
        <f>IFERROR(INDEX(EQA.CAP_Dados!L$2:L$5000,MATCH(ROW()-4,EQA.CAP_Dados!$S$2:$S$5000,0)),"")</f>
        <v/>
      </c>
      <c r="M185" s="126" t="str">
        <f>IFERROR(INDEX(EQA.CAP_Dados!M$2:M$5000,MATCH(ROW()-4,EQA.CAP_Dados!$S$2:$S$5000,0)),"")</f>
        <v/>
      </c>
      <c r="N185" t="str">
        <f>IFERROR(INDEX(EQA.CAP_Dados!N$2:N$5000,MATCH(ROW()-4,EQA.CAP_Dados!$S$2:$S$5000,0)),"")</f>
        <v/>
      </c>
      <c r="O185" s="137" t="str">
        <f>IFERROR(INDEX(EQA.CAP_Dados!O$2:O$5000,MATCH(ROW()-4,EQA.CAP_Dados!$S$2:$S$5000,0)),"")</f>
        <v/>
      </c>
      <c r="P185" s="137" t="str">
        <f>IFERROR(INDEX(EQA.CAP_Dados!P$2:P$5000,MATCH(ROW()-4,EQA.CAP_Dados!$S$2:$S$5000,0)),"")</f>
        <v/>
      </c>
      <c r="Q185" s="126" t="str">
        <f>IFERROR(INDEX(EQA.CAP_Dados!Q$2:Q$5000,MATCH(ROW()-4,EQA.CAP_Dados!$S$2:$S$5000,0)),"")</f>
        <v/>
      </c>
      <c r="R185" t="str">
        <f>IFERROR(INDEX(EQA.CAP_Dados!R$2:R$5000,MATCH(ROW()-4,EQA.CAP_Dados!$S$2:$S$5000,0)),"")</f>
        <v/>
      </c>
    </row>
    <row r="186" spans="1:18" x14ac:dyDescent="0.3">
      <c r="A186" t="str">
        <f>IFERROR(INDEX(EQA.CAP_Dados!A$2:A$5000,MATCH(ROW()-4,EQA.CAP_Dados!$S$2:$S$5000,0)),"")</f>
        <v/>
      </c>
      <c r="B186" t="str">
        <f>IFERROR(INDEX(EQA.CAP_Dados!B$2:B$5000,MATCH(ROW()-4,EQA.CAP_Dados!$S$2:$S$5000,0)),"")</f>
        <v/>
      </c>
      <c r="C186" s="126" t="str">
        <f>IFERROR(INDEX(EQA.CAP_Dados!C$2:C$5000,MATCH(ROW()-4,EQA.CAP_Dados!$S$2:$S$5000,0)),"")</f>
        <v/>
      </c>
      <c r="D186" t="str">
        <f>IFERROR(INDEX(EQA.CAP_Dados!D$2:D$5000,MATCH(ROW()-4,EQA.CAP_Dados!$S$2:$S$5000,0)),"")</f>
        <v/>
      </c>
      <c r="E186" t="str">
        <f>IFERROR(INDEX(EQA.CAP_Dados!E$2:E$5000,MATCH(ROW()-4,EQA.CAP_Dados!$S$2:$S$5000,0)),"")</f>
        <v/>
      </c>
      <c r="F186" s="137" t="str">
        <f>IFERROR(INDEX(EQA.CAP_Dados!F$2:F$5000,MATCH(ROW()-4,EQA.CAP_Dados!$S$2:$S$5000,0)),"")</f>
        <v/>
      </c>
      <c r="G186" s="138" t="str">
        <f>IFERROR(INDEX(EQA.CAP_Dados!G$2:G$5000,MATCH(ROW()-4,EQA.CAP_Dados!$S$2:$S$5000,0)),"")</f>
        <v/>
      </c>
      <c r="H186" s="138" t="str">
        <f>IFERROR(INDEX(EQA.CAP_Dados!H$2:H$5000,MATCH(ROW()-4,EQA.CAP_Dados!$S$2:$S$5000,0)),"")</f>
        <v/>
      </c>
      <c r="I186" s="139" t="str">
        <f>IFERROR(INDEX(EQA.CAP_Dados!I$2:I$5000,MATCH(ROW()-4,EQA.CAP_Dados!$S$2:$S$5000,0)),"")</f>
        <v/>
      </c>
      <c r="J186" s="137" t="str">
        <f>IFERROR(INDEX(EQA.CAP_Dados!J$2:J$5000,MATCH(ROW()-4,EQA.CAP_Dados!$S$2:$S$5000,0)),"")</f>
        <v/>
      </c>
      <c r="K186" s="137" t="str">
        <f>IFERROR(INDEX(EQA.CAP_Dados!K$2:K$5000,MATCH(ROW()-4,EQA.CAP_Dados!$S$2:$S$5000,0)),"")</f>
        <v/>
      </c>
      <c r="L186" t="str">
        <f>IFERROR(INDEX(EQA.CAP_Dados!L$2:L$5000,MATCH(ROW()-4,EQA.CAP_Dados!$S$2:$S$5000,0)),"")</f>
        <v/>
      </c>
      <c r="M186" s="126" t="str">
        <f>IFERROR(INDEX(EQA.CAP_Dados!M$2:M$5000,MATCH(ROW()-4,EQA.CAP_Dados!$S$2:$S$5000,0)),"")</f>
        <v/>
      </c>
      <c r="N186" t="str">
        <f>IFERROR(INDEX(EQA.CAP_Dados!N$2:N$5000,MATCH(ROW()-4,EQA.CAP_Dados!$S$2:$S$5000,0)),"")</f>
        <v/>
      </c>
      <c r="O186" s="137" t="str">
        <f>IFERROR(INDEX(EQA.CAP_Dados!O$2:O$5000,MATCH(ROW()-4,EQA.CAP_Dados!$S$2:$S$5000,0)),"")</f>
        <v/>
      </c>
      <c r="P186" s="137" t="str">
        <f>IFERROR(INDEX(EQA.CAP_Dados!P$2:P$5000,MATCH(ROW()-4,EQA.CAP_Dados!$S$2:$S$5000,0)),"")</f>
        <v/>
      </c>
      <c r="Q186" s="126" t="str">
        <f>IFERROR(INDEX(EQA.CAP_Dados!Q$2:Q$5000,MATCH(ROW()-4,EQA.CAP_Dados!$S$2:$S$5000,0)),"")</f>
        <v/>
      </c>
      <c r="R186" t="str">
        <f>IFERROR(INDEX(EQA.CAP_Dados!R$2:R$5000,MATCH(ROW()-4,EQA.CAP_Dados!$S$2:$S$5000,0)),"")</f>
        <v/>
      </c>
    </row>
    <row r="187" spans="1:18" x14ac:dyDescent="0.3">
      <c r="A187" t="str">
        <f>IFERROR(INDEX(EQA.CAP_Dados!A$2:A$5000,MATCH(ROW()-4,EQA.CAP_Dados!$S$2:$S$5000,0)),"")</f>
        <v/>
      </c>
      <c r="B187" t="str">
        <f>IFERROR(INDEX(EQA.CAP_Dados!B$2:B$5000,MATCH(ROW()-4,EQA.CAP_Dados!$S$2:$S$5000,0)),"")</f>
        <v/>
      </c>
      <c r="C187" s="126" t="str">
        <f>IFERROR(INDEX(EQA.CAP_Dados!C$2:C$5000,MATCH(ROW()-4,EQA.CAP_Dados!$S$2:$S$5000,0)),"")</f>
        <v/>
      </c>
      <c r="D187" t="str">
        <f>IFERROR(INDEX(EQA.CAP_Dados!D$2:D$5000,MATCH(ROW()-4,EQA.CAP_Dados!$S$2:$S$5000,0)),"")</f>
        <v/>
      </c>
      <c r="E187" t="str">
        <f>IFERROR(INDEX(EQA.CAP_Dados!E$2:E$5000,MATCH(ROW()-4,EQA.CAP_Dados!$S$2:$S$5000,0)),"")</f>
        <v/>
      </c>
      <c r="F187" s="137" t="str">
        <f>IFERROR(INDEX(EQA.CAP_Dados!F$2:F$5000,MATCH(ROW()-4,EQA.CAP_Dados!$S$2:$S$5000,0)),"")</f>
        <v/>
      </c>
      <c r="G187" s="138" t="str">
        <f>IFERROR(INDEX(EQA.CAP_Dados!G$2:G$5000,MATCH(ROW()-4,EQA.CAP_Dados!$S$2:$S$5000,0)),"")</f>
        <v/>
      </c>
      <c r="H187" s="138" t="str">
        <f>IFERROR(INDEX(EQA.CAP_Dados!H$2:H$5000,MATCH(ROW()-4,EQA.CAP_Dados!$S$2:$S$5000,0)),"")</f>
        <v/>
      </c>
      <c r="I187" s="139" t="str">
        <f>IFERROR(INDEX(EQA.CAP_Dados!I$2:I$5000,MATCH(ROW()-4,EQA.CAP_Dados!$S$2:$S$5000,0)),"")</f>
        <v/>
      </c>
      <c r="J187" s="137" t="str">
        <f>IFERROR(INDEX(EQA.CAP_Dados!J$2:J$5000,MATCH(ROW()-4,EQA.CAP_Dados!$S$2:$S$5000,0)),"")</f>
        <v/>
      </c>
      <c r="K187" s="137" t="str">
        <f>IFERROR(INDEX(EQA.CAP_Dados!K$2:K$5000,MATCH(ROW()-4,EQA.CAP_Dados!$S$2:$S$5000,0)),"")</f>
        <v/>
      </c>
      <c r="L187" t="str">
        <f>IFERROR(INDEX(EQA.CAP_Dados!L$2:L$5000,MATCH(ROW()-4,EQA.CAP_Dados!$S$2:$S$5000,0)),"")</f>
        <v/>
      </c>
      <c r="M187" s="126" t="str">
        <f>IFERROR(INDEX(EQA.CAP_Dados!M$2:M$5000,MATCH(ROW()-4,EQA.CAP_Dados!$S$2:$S$5000,0)),"")</f>
        <v/>
      </c>
      <c r="N187" t="str">
        <f>IFERROR(INDEX(EQA.CAP_Dados!N$2:N$5000,MATCH(ROW()-4,EQA.CAP_Dados!$S$2:$S$5000,0)),"")</f>
        <v/>
      </c>
      <c r="O187" s="137" t="str">
        <f>IFERROR(INDEX(EQA.CAP_Dados!O$2:O$5000,MATCH(ROW()-4,EQA.CAP_Dados!$S$2:$S$5000,0)),"")</f>
        <v/>
      </c>
      <c r="P187" s="137" t="str">
        <f>IFERROR(INDEX(EQA.CAP_Dados!P$2:P$5000,MATCH(ROW()-4,EQA.CAP_Dados!$S$2:$S$5000,0)),"")</f>
        <v/>
      </c>
      <c r="Q187" s="126" t="str">
        <f>IFERROR(INDEX(EQA.CAP_Dados!Q$2:Q$5000,MATCH(ROW()-4,EQA.CAP_Dados!$S$2:$S$5000,0)),"")</f>
        <v/>
      </c>
      <c r="R187" t="str">
        <f>IFERROR(INDEX(EQA.CAP_Dados!R$2:R$5000,MATCH(ROW()-4,EQA.CAP_Dados!$S$2:$S$5000,0)),"")</f>
        <v/>
      </c>
    </row>
    <row r="188" spans="1:18" x14ac:dyDescent="0.3">
      <c r="A188" t="str">
        <f>IFERROR(INDEX(EQA.CAP_Dados!A$2:A$5000,MATCH(ROW()-4,EQA.CAP_Dados!$S$2:$S$5000,0)),"")</f>
        <v/>
      </c>
      <c r="B188" t="str">
        <f>IFERROR(INDEX(EQA.CAP_Dados!B$2:B$5000,MATCH(ROW()-4,EQA.CAP_Dados!$S$2:$S$5000,0)),"")</f>
        <v/>
      </c>
      <c r="C188" s="126" t="str">
        <f>IFERROR(INDEX(EQA.CAP_Dados!C$2:C$5000,MATCH(ROW()-4,EQA.CAP_Dados!$S$2:$S$5000,0)),"")</f>
        <v/>
      </c>
      <c r="D188" t="str">
        <f>IFERROR(INDEX(EQA.CAP_Dados!D$2:D$5000,MATCH(ROW()-4,EQA.CAP_Dados!$S$2:$S$5000,0)),"")</f>
        <v/>
      </c>
      <c r="E188" t="str">
        <f>IFERROR(INDEX(EQA.CAP_Dados!E$2:E$5000,MATCH(ROW()-4,EQA.CAP_Dados!$S$2:$S$5000,0)),"")</f>
        <v/>
      </c>
      <c r="F188" s="137" t="str">
        <f>IFERROR(INDEX(EQA.CAP_Dados!F$2:F$5000,MATCH(ROW()-4,EQA.CAP_Dados!$S$2:$S$5000,0)),"")</f>
        <v/>
      </c>
      <c r="G188" s="138" t="str">
        <f>IFERROR(INDEX(EQA.CAP_Dados!G$2:G$5000,MATCH(ROW()-4,EQA.CAP_Dados!$S$2:$S$5000,0)),"")</f>
        <v/>
      </c>
      <c r="H188" s="138" t="str">
        <f>IFERROR(INDEX(EQA.CAP_Dados!H$2:H$5000,MATCH(ROW()-4,EQA.CAP_Dados!$S$2:$S$5000,0)),"")</f>
        <v/>
      </c>
      <c r="I188" s="139" t="str">
        <f>IFERROR(INDEX(EQA.CAP_Dados!I$2:I$5000,MATCH(ROW()-4,EQA.CAP_Dados!$S$2:$S$5000,0)),"")</f>
        <v/>
      </c>
      <c r="J188" s="137" t="str">
        <f>IFERROR(INDEX(EQA.CAP_Dados!J$2:J$5000,MATCH(ROW()-4,EQA.CAP_Dados!$S$2:$S$5000,0)),"")</f>
        <v/>
      </c>
      <c r="K188" s="137" t="str">
        <f>IFERROR(INDEX(EQA.CAP_Dados!K$2:K$5000,MATCH(ROW()-4,EQA.CAP_Dados!$S$2:$S$5000,0)),"")</f>
        <v/>
      </c>
      <c r="L188" t="str">
        <f>IFERROR(INDEX(EQA.CAP_Dados!L$2:L$5000,MATCH(ROW()-4,EQA.CAP_Dados!$S$2:$S$5000,0)),"")</f>
        <v/>
      </c>
      <c r="M188" s="126" t="str">
        <f>IFERROR(INDEX(EQA.CAP_Dados!M$2:M$5000,MATCH(ROW()-4,EQA.CAP_Dados!$S$2:$S$5000,0)),"")</f>
        <v/>
      </c>
      <c r="N188" t="str">
        <f>IFERROR(INDEX(EQA.CAP_Dados!N$2:N$5000,MATCH(ROW()-4,EQA.CAP_Dados!$S$2:$S$5000,0)),"")</f>
        <v/>
      </c>
      <c r="O188" s="137" t="str">
        <f>IFERROR(INDEX(EQA.CAP_Dados!O$2:O$5000,MATCH(ROW()-4,EQA.CAP_Dados!$S$2:$S$5000,0)),"")</f>
        <v/>
      </c>
      <c r="P188" s="137" t="str">
        <f>IFERROR(INDEX(EQA.CAP_Dados!P$2:P$5000,MATCH(ROW()-4,EQA.CAP_Dados!$S$2:$S$5000,0)),"")</f>
        <v/>
      </c>
      <c r="Q188" s="126" t="str">
        <f>IFERROR(INDEX(EQA.CAP_Dados!Q$2:Q$5000,MATCH(ROW()-4,EQA.CAP_Dados!$S$2:$S$5000,0)),"")</f>
        <v/>
      </c>
      <c r="R188" t="str">
        <f>IFERROR(INDEX(EQA.CAP_Dados!R$2:R$5000,MATCH(ROW()-4,EQA.CAP_Dados!$S$2:$S$5000,0)),"")</f>
        <v/>
      </c>
    </row>
    <row r="189" spans="1:18" x14ac:dyDescent="0.3">
      <c r="A189" t="str">
        <f>IFERROR(INDEX(EQA.CAP_Dados!A$2:A$5000,MATCH(ROW()-4,EQA.CAP_Dados!$S$2:$S$5000,0)),"")</f>
        <v/>
      </c>
      <c r="B189" t="str">
        <f>IFERROR(INDEX(EQA.CAP_Dados!B$2:B$5000,MATCH(ROW()-4,EQA.CAP_Dados!$S$2:$S$5000,0)),"")</f>
        <v/>
      </c>
      <c r="C189" s="126" t="str">
        <f>IFERROR(INDEX(EQA.CAP_Dados!C$2:C$5000,MATCH(ROW()-4,EQA.CAP_Dados!$S$2:$S$5000,0)),"")</f>
        <v/>
      </c>
      <c r="D189" t="str">
        <f>IFERROR(INDEX(EQA.CAP_Dados!D$2:D$5000,MATCH(ROW()-4,EQA.CAP_Dados!$S$2:$S$5000,0)),"")</f>
        <v/>
      </c>
      <c r="E189" t="str">
        <f>IFERROR(INDEX(EQA.CAP_Dados!E$2:E$5000,MATCH(ROW()-4,EQA.CAP_Dados!$S$2:$S$5000,0)),"")</f>
        <v/>
      </c>
      <c r="F189" s="137" t="str">
        <f>IFERROR(INDEX(EQA.CAP_Dados!F$2:F$5000,MATCH(ROW()-4,EQA.CAP_Dados!$S$2:$S$5000,0)),"")</f>
        <v/>
      </c>
      <c r="G189" s="138" t="str">
        <f>IFERROR(INDEX(EQA.CAP_Dados!G$2:G$5000,MATCH(ROW()-4,EQA.CAP_Dados!$S$2:$S$5000,0)),"")</f>
        <v/>
      </c>
      <c r="H189" s="138" t="str">
        <f>IFERROR(INDEX(EQA.CAP_Dados!H$2:H$5000,MATCH(ROW()-4,EQA.CAP_Dados!$S$2:$S$5000,0)),"")</f>
        <v/>
      </c>
      <c r="I189" s="139" t="str">
        <f>IFERROR(INDEX(EQA.CAP_Dados!I$2:I$5000,MATCH(ROW()-4,EQA.CAP_Dados!$S$2:$S$5000,0)),"")</f>
        <v/>
      </c>
      <c r="J189" s="137" t="str">
        <f>IFERROR(INDEX(EQA.CAP_Dados!J$2:J$5000,MATCH(ROW()-4,EQA.CAP_Dados!$S$2:$S$5000,0)),"")</f>
        <v/>
      </c>
      <c r="K189" s="137" t="str">
        <f>IFERROR(INDEX(EQA.CAP_Dados!K$2:K$5000,MATCH(ROW()-4,EQA.CAP_Dados!$S$2:$S$5000,0)),"")</f>
        <v/>
      </c>
      <c r="L189" t="str">
        <f>IFERROR(INDEX(EQA.CAP_Dados!L$2:L$5000,MATCH(ROW()-4,EQA.CAP_Dados!$S$2:$S$5000,0)),"")</f>
        <v/>
      </c>
      <c r="M189" s="126" t="str">
        <f>IFERROR(INDEX(EQA.CAP_Dados!M$2:M$5000,MATCH(ROW()-4,EQA.CAP_Dados!$S$2:$S$5000,0)),"")</f>
        <v/>
      </c>
      <c r="N189" t="str">
        <f>IFERROR(INDEX(EQA.CAP_Dados!N$2:N$5000,MATCH(ROW()-4,EQA.CAP_Dados!$S$2:$S$5000,0)),"")</f>
        <v/>
      </c>
      <c r="O189" s="137" t="str">
        <f>IFERROR(INDEX(EQA.CAP_Dados!O$2:O$5000,MATCH(ROW()-4,EQA.CAP_Dados!$S$2:$S$5000,0)),"")</f>
        <v/>
      </c>
      <c r="P189" s="137" t="str">
        <f>IFERROR(INDEX(EQA.CAP_Dados!P$2:P$5000,MATCH(ROW()-4,EQA.CAP_Dados!$S$2:$S$5000,0)),"")</f>
        <v/>
      </c>
      <c r="Q189" s="126" t="str">
        <f>IFERROR(INDEX(EQA.CAP_Dados!Q$2:Q$5000,MATCH(ROW()-4,EQA.CAP_Dados!$S$2:$S$5000,0)),"")</f>
        <v/>
      </c>
      <c r="R189" t="str">
        <f>IFERROR(INDEX(EQA.CAP_Dados!R$2:R$5000,MATCH(ROW()-4,EQA.CAP_Dados!$S$2:$S$5000,0)),"")</f>
        <v/>
      </c>
    </row>
    <row r="190" spans="1:18" x14ac:dyDescent="0.3">
      <c r="A190" t="str">
        <f>IFERROR(INDEX(EQA.CAP_Dados!A$2:A$5000,MATCH(ROW()-4,EQA.CAP_Dados!$S$2:$S$5000,0)),"")</f>
        <v/>
      </c>
      <c r="B190" t="str">
        <f>IFERROR(INDEX(EQA.CAP_Dados!B$2:B$5000,MATCH(ROW()-4,EQA.CAP_Dados!$S$2:$S$5000,0)),"")</f>
        <v/>
      </c>
      <c r="C190" s="126" t="str">
        <f>IFERROR(INDEX(EQA.CAP_Dados!C$2:C$5000,MATCH(ROW()-4,EQA.CAP_Dados!$S$2:$S$5000,0)),"")</f>
        <v/>
      </c>
      <c r="D190" t="str">
        <f>IFERROR(INDEX(EQA.CAP_Dados!D$2:D$5000,MATCH(ROW()-4,EQA.CAP_Dados!$S$2:$S$5000,0)),"")</f>
        <v/>
      </c>
      <c r="E190" t="str">
        <f>IFERROR(INDEX(EQA.CAP_Dados!E$2:E$5000,MATCH(ROW()-4,EQA.CAP_Dados!$S$2:$S$5000,0)),"")</f>
        <v/>
      </c>
      <c r="F190" s="137" t="str">
        <f>IFERROR(INDEX(EQA.CAP_Dados!F$2:F$5000,MATCH(ROW()-4,EQA.CAP_Dados!$S$2:$S$5000,0)),"")</f>
        <v/>
      </c>
      <c r="G190" s="138" t="str">
        <f>IFERROR(INDEX(EQA.CAP_Dados!G$2:G$5000,MATCH(ROW()-4,EQA.CAP_Dados!$S$2:$S$5000,0)),"")</f>
        <v/>
      </c>
      <c r="H190" s="138" t="str">
        <f>IFERROR(INDEX(EQA.CAP_Dados!H$2:H$5000,MATCH(ROW()-4,EQA.CAP_Dados!$S$2:$S$5000,0)),"")</f>
        <v/>
      </c>
      <c r="I190" s="139" t="str">
        <f>IFERROR(INDEX(EQA.CAP_Dados!I$2:I$5000,MATCH(ROW()-4,EQA.CAP_Dados!$S$2:$S$5000,0)),"")</f>
        <v/>
      </c>
      <c r="J190" s="137" t="str">
        <f>IFERROR(INDEX(EQA.CAP_Dados!J$2:J$5000,MATCH(ROW()-4,EQA.CAP_Dados!$S$2:$S$5000,0)),"")</f>
        <v/>
      </c>
      <c r="K190" s="137" t="str">
        <f>IFERROR(INDEX(EQA.CAP_Dados!K$2:K$5000,MATCH(ROW()-4,EQA.CAP_Dados!$S$2:$S$5000,0)),"")</f>
        <v/>
      </c>
      <c r="L190" t="str">
        <f>IFERROR(INDEX(EQA.CAP_Dados!L$2:L$5000,MATCH(ROW()-4,EQA.CAP_Dados!$S$2:$S$5000,0)),"")</f>
        <v/>
      </c>
      <c r="M190" s="126" t="str">
        <f>IFERROR(INDEX(EQA.CAP_Dados!M$2:M$5000,MATCH(ROW()-4,EQA.CAP_Dados!$S$2:$S$5000,0)),"")</f>
        <v/>
      </c>
      <c r="N190" t="str">
        <f>IFERROR(INDEX(EQA.CAP_Dados!N$2:N$5000,MATCH(ROW()-4,EQA.CAP_Dados!$S$2:$S$5000,0)),"")</f>
        <v/>
      </c>
      <c r="O190" s="137" t="str">
        <f>IFERROR(INDEX(EQA.CAP_Dados!O$2:O$5000,MATCH(ROW()-4,EQA.CAP_Dados!$S$2:$S$5000,0)),"")</f>
        <v/>
      </c>
      <c r="P190" s="137" t="str">
        <f>IFERROR(INDEX(EQA.CAP_Dados!P$2:P$5000,MATCH(ROW()-4,EQA.CAP_Dados!$S$2:$S$5000,0)),"")</f>
        <v/>
      </c>
      <c r="Q190" s="126" t="str">
        <f>IFERROR(INDEX(EQA.CAP_Dados!Q$2:Q$5000,MATCH(ROW()-4,EQA.CAP_Dados!$S$2:$S$5000,0)),"")</f>
        <v/>
      </c>
      <c r="R190" t="str">
        <f>IFERROR(INDEX(EQA.CAP_Dados!R$2:R$5000,MATCH(ROW()-4,EQA.CAP_Dados!$S$2:$S$5000,0)),"")</f>
        <v/>
      </c>
    </row>
    <row r="191" spans="1:18" x14ac:dyDescent="0.3">
      <c r="A191" t="str">
        <f>IFERROR(INDEX(EQA.CAP_Dados!A$2:A$5000,MATCH(ROW()-4,EQA.CAP_Dados!$S$2:$S$5000,0)),"")</f>
        <v/>
      </c>
      <c r="B191" t="str">
        <f>IFERROR(INDEX(EQA.CAP_Dados!B$2:B$5000,MATCH(ROW()-4,EQA.CAP_Dados!$S$2:$S$5000,0)),"")</f>
        <v/>
      </c>
      <c r="C191" s="126" t="str">
        <f>IFERROR(INDEX(EQA.CAP_Dados!C$2:C$5000,MATCH(ROW()-4,EQA.CAP_Dados!$S$2:$S$5000,0)),"")</f>
        <v/>
      </c>
      <c r="D191" t="str">
        <f>IFERROR(INDEX(EQA.CAP_Dados!D$2:D$5000,MATCH(ROW()-4,EQA.CAP_Dados!$S$2:$S$5000,0)),"")</f>
        <v/>
      </c>
      <c r="E191" t="str">
        <f>IFERROR(INDEX(EQA.CAP_Dados!E$2:E$5000,MATCH(ROW()-4,EQA.CAP_Dados!$S$2:$S$5000,0)),"")</f>
        <v/>
      </c>
      <c r="F191" s="137" t="str">
        <f>IFERROR(INDEX(EQA.CAP_Dados!F$2:F$5000,MATCH(ROW()-4,EQA.CAP_Dados!$S$2:$S$5000,0)),"")</f>
        <v/>
      </c>
      <c r="G191" s="138" t="str">
        <f>IFERROR(INDEX(EQA.CAP_Dados!G$2:G$5000,MATCH(ROW()-4,EQA.CAP_Dados!$S$2:$S$5000,0)),"")</f>
        <v/>
      </c>
      <c r="H191" s="138" t="str">
        <f>IFERROR(INDEX(EQA.CAP_Dados!H$2:H$5000,MATCH(ROW()-4,EQA.CAP_Dados!$S$2:$S$5000,0)),"")</f>
        <v/>
      </c>
      <c r="I191" s="139" t="str">
        <f>IFERROR(INDEX(EQA.CAP_Dados!I$2:I$5000,MATCH(ROW()-4,EQA.CAP_Dados!$S$2:$S$5000,0)),"")</f>
        <v/>
      </c>
      <c r="J191" s="137" t="str">
        <f>IFERROR(INDEX(EQA.CAP_Dados!J$2:J$5000,MATCH(ROW()-4,EQA.CAP_Dados!$S$2:$S$5000,0)),"")</f>
        <v/>
      </c>
      <c r="K191" s="137" t="str">
        <f>IFERROR(INDEX(EQA.CAP_Dados!K$2:K$5000,MATCH(ROW()-4,EQA.CAP_Dados!$S$2:$S$5000,0)),"")</f>
        <v/>
      </c>
      <c r="L191" t="str">
        <f>IFERROR(INDEX(EQA.CAP_Dados!L$2:L$5000,MATCH(ROW()-4,EQA.CAP_Dados!$S$2:$S$5000,0)),"")</f>
        <v/>
      </c>
      <c r="M191" s="126" t="str">
        <f>IFERROR(INDEX(EQA.CAP_Dados!M$2:M$5000,MATCH(ROW()-4,EQA.CAP_Dados!$S$2:$S$5000,0)),"")</f>
        <v/>
      </c>
      <c r="N191" t="str">
        <f>IFERROR(INDEX(EQA.CAP_Dados!N$2:N$5000,MATCH(ROW()-4,EQA.CAP_Dados!$S$2:$S$5000,0)),"")</f>
        <v/>
      </c>
      <c r="O191" s="137" t="str">
        <f>IFERROR(INDEX(EQA.CAP_Dados!O$2:O$5000,MATCH(ROW()-4,EQA.CAP_Dados!$S$2:$S$5000,0)),"")</f>
        <v/>
      </c>
      <c r="P191" s="137" t="str">
        <f>IFERROR(INDEX(EQA.CAP_Dados!P$2:P$5000,MATCH(ROW()-4,EQA.CAP_Dados!$S$2:$S$5000,0)),"")</f>
        <v/>
      </c>
      <c r="Q191" s="126" t="str">
        <f>IFERROR(INDEX(EQA.CAP_Dados!Q$2:Q$5000,MATCH(ROW()-4,EQA.CAP_Dados!$S$2:$S$5000,0)),"")</f>
        <v/>
      </c>
      <c r="R191" t="str">
        <f>IFERROR(INDEX(EQA.CAP_Dados!R$2:R$5000,MATCH(ROW()-4,EQA.CAP_Dados!$S$2:$S$5000,0)),"")</f>
        <v/>
      </c>
    </row>
    <row r="192" spans="1:18" x14ac:dyDescent="0.3">
      <c r="A192" t="str">
        <f>IFERROR(INDEX(EQA.CAP_Dados!A$2:A$5000,MATCH(ROW()-4,EQA.CAP_Dados!$S$2:$S$5000,0)),"")</f>
        <v/>
      </c>
      <c r="B192" t="str">
        <f>IFERROR(INDEX(EQA.CAP_Dados!B$2:B$5000,MATCH(ROW()-4,EQA.CAP_Dados!$S$2:$S$5000,0)),"")</f>
        <v/>
      </c>
      <c r="C192" s="126" t="str">
        <f>IFERROR(INDEX(EQA.CAP_Dados!C$2:C$5000,MATCH(ROW()-4,EQA.CAP_Dados!$S$2:$S$5000,0)),"")</f>
        <v/>
      </c>
      <c r="D192" t="str">
        <f>IFERROR(INDEX(EQA.CAP_Dados!D$2:D$5000,MATCH(ROW()-4,EQA.CAP_Dados!$S$2:$S$5000,0)),"")</f>
        <v/>
      </c>
      <c r="E192" t="str">
        <f>IFERROR(INDEX(EQA.CAP_Dados!E$2:E$5000,MATCH(ROW()-4,EQA.CAP_Dados!$S$2:$S$5000,0)),"")</f>
        <v/>
      </c>
      <c r="F192" s="137" t="str">
        <f>IFERROR(INDEX(EQA.CAP_Dados!F$2:F$5000,MATCH(ROW()-4,EQA.CAP_Dados!$S$2:$S$5000,0)),"")</f>
        <v/>
      </c>
      <c r="G192" s="138" t="str">
        <f>IFERROR(INDEX(EQA.CAP_Dados!G$2:G$5000,MATCH(ROW()-4,EQA.CAP_Dados!$S$2:$S$5000,0)),"")</f>
        <v/>
      </c>
      <c r="H192" s="138" t="str">
        <f>IFERROR(INDEX(EQA.CAP_Dados!H$2:H$5000,MATCH(ROW()-4,EQA.CAP_Dados!$S$2:$S$5000,0)),"")</f>
        <v/>
      </c>
      <c r="I192" s="139" t="str">
        <f>IFERROR(INDEX(EQA.CAP_Dados!I$2:I$5000,MATCH(ROW()-4,EQA.CAP_Dados!$S$2:$S$5000,0)),"")</f>
        <v/>
      </c>
      <c r="J192" s="137" t="str">
        <f>IFERROR(INDEX(EQA.CAP_Dados!J$2:J$5000,MATCH(ROW()-4,EQA.CAP_Dados!$S$2:$S$5000,0)),"")</f>
        <v/>
      </c>
      <c r="K192" s="137" t="str">
        <f>IFERROR(INDEX(EQA.CAP_Dados!K$2:K$5000,MATCH(ROW()-4,EQA.CAP_Dados!$S$2:$S$5000,0)),"")</f>
        <v/>
      </c>
      <c r="L192" t="str">
        <f>IFERROR(INDEX(EQA.CAP_Dados!L$2:L$5000,MATCH(ROW()-4,EQA.CAP_Dados!$S$2:$S$5000,0)),"")</f>
        <v/>
      </c>
      <c r="M192" s="126" t="str">
        <f>IFERROR(INDEX(EQA.CAP_Dados!M$2:M$5000,MATCH(ROW()-4,EQA.CAP_Dados!$S$2:$S$5000,0)),"")</f>
        <v/>
      </c>
      <c r="N192" t="str">
        <f>IFERROR(INDEX(EQA.CAP_Dados!N$2:N$5000,MATCH(ROW()-4,EQA.CAP_Dados!$S$2:$S$5000,0)),"")</f>
        <v/>
      </c>
      <c r="O192" s="137" t="str">
        <f>IFERROR(INDEX(EQA.CAP_Dados!O$2:O$5000,MATCH(ROW()-4,EQA.CAP_Dados!$S$2:$S$5000,0)),"")</f>
        <v/>
      </c>
      <c r="P192" s="137" t="str">
        <f>IFERROR(INDEX(EQA.CAP_Dados!P$2:P$5000,MATCH(ROW()-4,EQA.CAP_Dados!$S$2:$S$5000,0)),"")</f>
        <v/>
      </c>
      <c r="Q192" s="126" t="str">
        <f>IFERROR(INDEX(EQA.CAP_Dados!Q$2:Q$5000,MATCH(ROW()-4,EQA.CAP_Dados!$S$2:$S$5000,0)),"")</f>
        <v/>
      </c>
      <c r="R192" t="str">
        <f>IFERROR(INDEX(EQA.CAP_Dados!R$2:R$5000,MATCH(ROW()-4,EQA.CAP_Dados!$S$2:$S$5000,0)),"")</f>
        <v/>
      </c>
    </row>
    <row r="193" spans="1:18" x14ac:dyDescent="0.3">
      <c r="A193" t="str">
        <f>IFERROR(INDEX(EQA.CAP_Dados!A$2:A$5000,MATCH(ROW()-4,EQA.CAP_Dados!$S$2:$S$5000,0)),"")</f>
        <v/>
      </c>
      <c r="B193" t="str">
        <f>IFERROR(INDEX(EQA.CAP_Dados!B$2:B$5000,MATCH(ROW()-4,EQA.CAP_Dados!$S$2:$S$5000,0)),"")</f>
        <v/>
      </c>
      <c r="C193" s="126" t="str">
        <f>IFERROR(INDEX(EQA.CAP_Dados!C$2:C$5000,MATCH(ROW()-4,EQA.CAP_Dados!$S$2:$S$5000,0)),"")</f>
        <v/>
      </c>
      <c r="D193" t="str">
        <f>IFERROR(INDEX(EQA.CAP_Dados!D$2:D$5000,MATCH(ROW()-4,EQA.CAP_Dados!$S$2:$S$5000,0)),"")</f>
        <v/>
      </c>
      <c r="E193" t="str">
        <f>IFERROR(INDEX(EQA.CAP_Dados!E$2:E$5000,MATCH(ROW()-4,EQA.CAP_Dados!$S$2:$S$5000,0)),"")</f>
        <v/>
      </c>
      <c r="F193" s="137" t="str">
        <f>IFERROR(INDEX(EQA.CAP_Dados!F$2:F$5000,MATCH(ROW()-4,EQA.CAP_Dados!$S$2:$S$5000,0)),"")</f>
        <v/>
      </c>
      <c r="G193" s="138" t="str">
        <f>IFERROR(INDEX(EQA.CAP_Dados!G$2:G$5000,MATCH(ROW()-4,EQA.CAP_Dados!$S$2:$S$5000,0)),"")</f>
        <v/>
      </c>
      <c r="H193" s="138" t="str">
        <f>IFERROR(INDEX(EQA.CAP_Dados!H$2:H$5000,MATCH(ROW()-4,EQA.CAP_Dados!$S$2:$S$5000,0)),"")</f>
        <v/>
      </c>
      <c r="I193" s="139" t="str">
        <f>IFERROR(INDEX(EQA.CAP_Dados!I$2:I$5000,MATCH(ROW()-4,EQA.CAP_Dados!$S$2:$S$5000,0)),"")</f>
        <v/>
      </c>
      <c r="J193" s="137" t="str">
        <f>IFERROR(INDEX(EQA.CAP_Dados!J$2:J$5000,MATCH(ROW()-4,EQA.CAP_Dados!$S$2:$S$5000,0)),"")</f>
        <v/>
      </c>
      <c r="K193" s="137" t="str">
        <f>IFERROR(INDEX(EQA.CAP_Dados!K$2:K$5000,MATCH(ROW()-4,EQA.CAP_Dados!$S$2:$S$5000,0)),"")</f>
        <v/>
      </c>
      <c r="L193" t="str">
        <f>IFERROR(INDEX(EQA.CAP_Dados!L$2:L$5000,MATCH(ROW()-4,EQA.CAP_Dados!$S$2:$S$5000,0)),"")</f>
        <v/>
      </c>
      <c r="M193" s="126" t="str">
        <f>IFERROR(INDEX(EQA.CAP_Dados!M$2:M$5000,MATCH(ROW()-4,EQA.CAP_Dados!$S$2:$S$5000,0)),"")</f>
        <v/>
      </c>
      <c r="N193" t="str">
        <f>IFERROR(INDEX(EQA.CAP_Dados!N$2:N$5000,MATCH(ROW()-4,EQA.CAP_Dados!$S$2:$S$5000,0)),"")</f>
        <v/>
      </c>
      <c r="O193" s="137" t="str">
        <f>IFERROR(INDEX(EQA.CAP_Dados!O$2:O$5000,MATCH(ROW()-4,EQA.CAP_Dados!$S$2:$S$5000,0)),"")</f>
        <v/>
      </c>
      <c r="P193" s="137" t="str">
        <f>IFERROR(INDEX(EQA.CAP_Dados!P$2:P$5000,MATCH(ROW()-4,EQA.CAP_Dados!$S$2:$S$5000,0)),"")</f>
        <v/>
      </c>
      <c r="Q193" s="126" t="str">
        <f>IFERROR(INDEX(EQA.CAP_Dados!Q$2:Q$5000,MATCH(ROW()-4,EQA.CAP_Dados!$S$2:$S$5000,0)),"")</f>
        <v/>
      </c>
      <c r="R193" t="str">
        <f>IFERROR(INDEX(EQA.CAP_Dados!R$2:R$5000,MATCH(ROW()-4,EQA.CAP_Dados!$S$2:$S$5000,0)),"")</f>
        <v/>
      </c>
    </row>
    <row r="194" spans="1:18" x14ac:dyDescent="0.3">
      <c r="A194" t="str">
        <f>IFERROR(INDEX(EQA.CAP_Dados!A$2:A$5000,MATCH(ROW()-4,EQA.CAP_Dados!$S$2:$S$5000,0)),"")</f>
        <v/>
      </c>
      <c r="B194" t="str">
        <f>IFERROR(INDEX(EQA.CAP_Dados!B$2:B$5000,MATCH(ROW()-4,EQA.CAP_Dados!$S$2:$S$5000,0)),"")</f>
        <v/>
      </c>
      <c r="C194" s="126" t="str">
        <f>IFERROR(INDEX(EQA.CAP_Dados!C$2:C$5000,MATCH(ROW()-4,EQA.CAP_Dados!$S$2:$S$5000,0)),"")</f>
        <v/>
      </c>
      <c r="D194" t="str">
        <f>IFERROR(INDEX(EQA.CAP_Dados!D$2:D$5000,MATCH(ROW()-4,EQA.CAP_Dados!$S$2:$S$5000,0)),"")</f>
        <v/>
      </c>
      <c r="E194" t="str">
        <f>IFERROR(INDEX(EQA.CAP_Dados!E$2:E$5000,MATCH(ROW()-4,EQA.CAP_Dados!$S$2:$S$5000,0)),"")</f>
        <v/>
      </c>
      <c r="F194" s="137" t="str">
        <f>IFERROR(INDEX(EQA.CAP_Dados!F$2:F$5000,MATCH(ROW()-4,EQA.CAP_Dados!$S$2:$S$5000,0)),"")</f>
        <v/>
      </c>
      <c r="G194" s="138" t="str">
        <f>IFERROR(INDEX(EQA.CAP_Dados!G$2:G$5000,MATCH(ROW()-4,EQA.CAP_Dados!$S$2:$S$5000,0)),"")</f>
        <v/>
      </c>
      <c r="H194" s="138" t="str">
        <f>IFERROR(INDEX(EQA.CAP_Dados!H$2:H$5000,MATCH(ROW()-4,EQA.CAP_Dados!$S$2:$S$5000,0)),"")</f>
        <v/>
      </c>
      <c r="I194" s="139" t="str">
        <f>IFERROR(INDEX(EQA.CAP_Dados!I$2:I$5000,MATCH(ROW()-4,EQA.CAP_Dados!$S$2:$S$5000,0)),"")</f>
        <v/>
      </c>
      <c r="J194" s="137" t="str">
        <f>IFERROR(INDEX(EQA.CAP_Dados!J$2:J$5000,MATCH(ROW()-4,EQA.CAP_Dados!$S$2:$S$5000,0)),"")</f>
        <v/>
      </c>
      <c r="K194" s="137" t="str">
        <f>IFERROR(INDEX(EQA.CAP_Dados!K$2:K$5000,MATCH(ROW()-4,EQA.CAP_Dados!$S$2:$S$5000,0)),"")</f>
        <v/>
      </c>
      <c r="L194" t="str">
        <f>IFERROR(INDEX(EQA.CAP_Dados!L$2:L$5000,MATCH(ROW()-4,EQA.CAP_Dados!$S$2:$S$5000,0)),"")</f>
        <v/>
      </c>
      <c r="M194" s="126" t="str">
        <f>IFERROR(INDEX(EQA.CAP_Dados!M$2:M$5000,MATCH(ROW()-4,EQA.CAP_Dados!$S$2:$S$5000,0)),"")</f>
        <v/>
      </c>
      <c r="N194" t="str">
        <f>IFERROR(INDEX(EQA.CAP_Dados!N$2:N$5000,MATCH(ROW()-4,EQA.CAP_Dados!$S$2:$S$5000,0)),"")</f>
        <v/>
      </c>
      <c r="O194" s="137" t="str">
        <f>IFERROR(INDEX(EQA.CAP_Dados!O$2:O$5000,MATCH(ROW()-4,EQA.CAP_Dados!$S$2:$S$5000,0)),"")</f>
        <v/>
      </c>
      <c r="P194" s="137" t="str">
        <f>IFERROR(INDEX(EQA.CAP_Dados!P$2:P$5000,MATCH(ROW()-4,EQA.CAP_Dados!$S$2:$S$5000,0)),"")</f>
        <v/>
      </c>
      <c r="Q194" s="126" t="str">
        <f>IFERROR(INDEX(EQA.CAP_Dados!Q$2:Q$5000,MATCH(ROW()-4,EQA.CAP_Dados!$S$2:$S$5000,0)),"")</f>
        <v/>
      </c>
      <c r="R194" t="str">
        <f>IFERROR(INDEX(EQA.CAP_Dados!R$2:R$5000,MATCH(ROW()-4,EQA.CAP_Dados!$S$2:$S$5000,0)),"")</f>
        <v/>
      </c>
    </row>
    <row r="195" spans="1:18" x14ac:dyDescent="0.3">
      <c r="A195" t="str">
        <f>IFERROR(INDEX(EQA.CAP_Dados!A$2:A$5000,MATCH(ROW()-4,EQA.CAP_Dados!$S$2:$S$5000,0)),"")</f>
        <v/>
      </c>
      <c r="B195" t="str">
        <f>IFERROR(INDEX(EQA.CAP_Dados!B$2:B$5000,MATCH(ROW()-4,EQA.CAP_Dados!$S$2:$S$5000,0)),"")</f>
        <v/>
      </c>
      <c r="C195" s="126" t="str">
        <f>IFERROR(INDEX(EQA.CAP_Dados!C$2:C$5000,MATCH(ROW()-4,EQA.CAP_Dados!$S$2:$S$5000,0)),"")</f>
        <v/>
      </c>
      <c r="D195" t="str">
        <f>IFERROR(INDEX(EQA.CAP_Dados!D$2:D$5000,MATCH(ROW()-4,EQA.CAP_Dados!$S$2:$S$5000,0)),"")</f>
        <v/>
      </c>
      <c r="E195" t="str">
        <f>IFERROR(INDEX(EQA.CAP_Dados!E$2:E$5000,MATCH(ROW()-4,EQA.CAP_Dados!$S$2:$S$5000,0)),"")</f>
        <v/>
      </c>
      <c r="F195" s="137" t="str">
        <f>IFERROR(INDEX(EQA.CAP_Dados!F$2:F$5000,MATCH(ROW()-4,EQA.CAP_Dados!$S$2:$S$5000,0)),"")</f>
        <v/>
      </c>
      <c r="G195" s="138" t="str">
        <f>IFERROR(INDEX(EQA.CAP_Dados!G$2:G$5000,MATCH(ROW()-4,EQA.CAP_Dados!$S$2:$S$5000,0)),"")</f>
        <v/>
      </c>
      <c r="H195" s="138" t="str">
        <f>IFERROR(INDEX(EQA.CAP_Dados!H$2:H$5000,MATCH(ROW()-4,EQA.CAP_Dados!$S$2:$S$5000,0)),"")</f>
        <v/>
      </c>
      <c r="I195" s="139" t="str">
        <f>IFERROR(INDEX(EQA.CAP_Dados!I$2:I$5000,MATCH(ROW()-4,EQA.CAP_Dados!$S$2:$S$5000,0)),"")</f>
        <v/>
      </c>
      <c r="J195" s="137" t="str">
        <f>IFERROR(INDEX(EQA.CAP_Dados!J$2:J$5000,MATCH(ROW()-4,EQA.CAP_Dados!$S$2:$S$5000,0)),"")</f>
        <v/>
      </c>
      <c r="K195" s="137" t="str">
        <f>IFERROR(INDEX(EQA.CAP_Dados!K$2:K$5000,MATCH(ROW()-4,EQA.CAP_Dados!$S$2:$S$5000,0)),"")</f>
        <v/>
      </c>
      <c r="L195" t="str">
        <f>IFERROR(INDEX(EQA.CAP_Dados!L$2:L$5000,MATCH(ROW()-4,EQA.CAP_Dados!$S$2:$S$5000,0)),"")</f>
        <v/>
      </c>
      <c r="M195" s="126" t="str">
        <f>IFERROR(INDEX(EQA.CAP_Dados!M$2:M$5000,MATCH(ROW()-4,EQA.CAP_Dados!$S$2:$S$5000,0)),"")</f>
        <v/>
      </c>
      <c r="N195" t="str">
        <f>IFERROR(INDEX(EQA.CAP_Dados!N$2:N$5000,MATCH(ROW()-4,EQA.CAP_Dados!$S$2:$S$5000,0)),"")</f>
        <v/>
      </c>
      <c r="O195" s="137" t="str">
        <f>IFERROR(INDEX(EQA.CAP_Dados!O$2:O$5000,MATCH(ROW()-4,EQA.CAP_Dados!$S$2:$S$5000,0)),"")</f>
        <v/>
      </c>
      <c r="P195" s="137" t="str">
        <f>IFERROR(INDEX(EQA.CAP_Dados!P$2:P$5000,MATCH(ROW()-4,EQA.CAP_Dados!$S$2:$S$5000,0)),"")</f>
        <v/>
      </c>
      <c r="Q195" s="126" t="str">
        <f>IFERROR(INDEX(EQA.CAP_Dados!Q$2:Q$5000,MATCH(ROW()-4,EQA.CAP_Dados!$S$2:$S$5000,0)),"")</f>
        <v/>
      </c>
      <c r="R195" t="str">
        <f>IFERROR(INDEX(EQA.CAP_Dados!R$2:R$5000,MATCH(ROW()-4,EQA.CAP_Dados!$S$2:$S$5000,0)),"")</f>
        <v/>
      </c>
    </row>
    <row r="196" spans="1:18" x14ac:dyDescent="0.3">
      <c r="A196" t="str">
        <f>IFERROR(INDEX(EQA.CAP_Dados!A$2:A$5000,MATCH(ROW()-4,EQA.CAP_Dados!$S$2:$S$5000,0)),"")</f>
        <v/>
      </c>
      <c r="B196" t="str">
        <f>IFERROR(INDEX(EQA.CAP_Dados!B$2:B$5000,MATCH(ROW()-4,EQA.CAP_Dados!$S$2:$S$5000,0)),"")</f>
        <v/>
      </c>
      <c r="C196" s="126" t="str">
        <f>IFERROR(INDEX(EQA.CAP_Dados!C$2:C$5000,MATCH(ROW()-4,EQA.CAP_Dados!$S$2:$S$5000,0)),"")</f>
        <v/>
      </c>
      <c r="D196" t="str">
        <f>IFERROR(INDEX(EQA.CAP_Dados!D$2:D$5000,MATCH(ROW()-4,EQA.CAP_Dados!$S$2:$S$5000,0)),"")</f>
        <v/>
      </c>
      <c r="E196" t="str">
        <f>IFERROR(INDEX(EQA.CAP_Dados!E$2:E$5000,MATCH(ROW()-4,EQA.CAP_Dados!$S$2:$S$5000,0)),"")</f>
        <v/>
      </c>
      <c r="F196" s="137" t="str">
        <f>IFERROR(INDEX(EQA.CAP_Dados!F$2:F$5000,MATCH(ROW()-4,EQA.CAP_Dados!$S$2:$S$5000,0)),"")</f>
        <v/>
      </c>
      <c r="G196" s="138" t="str">
        <f>IFERROR(INDEX(EQA.CAP_Dados!G$2:G$5000,MATCH(ROW()-4,EQA.CAP_Dados!$S$2:$S$5000,0)),"")</f>
        <v/>
      </c>
      <c r="H196" s="138" t="str">
        <f>IFERROR(INDEX(EQA.CAP_Dados!H$2:H$5000,MATCH(ROW()-4,EQA.CAP_Dados!$S$2:$S$5000,0)),"")</f>
        <v/>
      </c>
      <c r="I196" s="139" t="str">
        <f>IFERROR(INDEX(EQA.CAP_Dados!I$2:I$5000,MATCH(ROW()-4,EQA.CAP_Dados!$S$2:$S$5000,0)),"")</f>
        <v/>
      </c>
      <c r="J196" s="137" t="str">
        <f>IFERROR(INDEX(EQA.CAP_Dados!J$2:J$5000,MATCH(ROW()-4,EQA.CAP_Dados!$S$2:$S$5000,0)),"")</f>
        <v/>
      </c>
      <c r="K196" s="137" t="str">
        <f>IFERROR(INDEX(EQA.CAP_Dados!K$2:K$5000,MATCH(ROW()-4,EQA.CAP_Dados!$S$2:$S$5000,0)),"")</f>
        <v/>
      </c>
      <c r="L196" t="str">
        <f>IFERROR(INDEX(EQA.CAP_Dados!L$2:L$5000,MATCH(ROW()-4,EQA.CAP_Dados!$S$2:$S$5000,0)),"")</f>
        <v/>
      </c>
      <c r="M196" s="126" t="str">
        <f>IFERROR(INDEX(EQA.CAP_Dados!M$2:M$5000,MATCH(ROW()-4,EQA.CAP_Dados!$S$2:$S$5000,0)),"")</f>
        <v/>
      </c>
      <c r="N196" t="str">
        <f>IFERROR(INDEX(EQA.CAP_Dados!N$2:N$5000,MATCH(ROW()-4,EQA.CAP_Dados!$S$2:$S$5000,0)),"")</f>
        <v/>
      </c>
      <c r="O196" s="137" t="str">
        <f>IFERROR(INDEX(EQA.CAP_Dados!O$2:O$5000,MATCH(ROW()-4,EQA.CAP_Dados!$S$2:$S$5000,0)),"")</f>
        <v/>
      </c>
      <c r="P196" s="137" t="str">
        <f>IFERROR(INDEX(EQA.CAP_Dados!P$2:P$5000,MATCH(ROW()-4,EQA.CAP_Dados!$S$2:$S$5000,0)),"")</f>
        <v/>
      </c>
      <c r="Q196" s="126" t="str">
        <f>IFERROR(INDEX(EQA.CAP_Dados!Q$2:Q$5000,MATCH(ROW()-4,EQA.CAP_Dados!$S$2:$S$5000,0)),"")</f>
        <v/>
      </c>
      <c r="R196" t="str">
        <f>IFERROR(INDEX(EQA.CAP_Dados!R$2:R$5000,MATCH(ROW()-4,EQA.CAP_Dados!$S$2:$S$5000,0)),"")</f>
        <v/>
      </c>
    </row>
    <row r="197" spans="1:18" x14ac:dyDescent="0.3">
      <c r="A197" t="str">
        <f>IFERROR(INDEX(EQA.CAP_Dados!A$2:A$5000,MATCH(ROW()-4,EQA.CAP_Dados!$S$2:$S$5000,0)),"")</f>
        <v/>
      </c>
      <c r="B197" t="str">
        <f>IFERROR(INDEX(EQA.CAP_Dados!B$2:B$5000,MATCH(ROW()-4,EQA.CAP_Dados!$S$2:$S$5000,0)),"")</f>
        <v/>
      </c>
      <c r="C197" s="126" t="str">
        <f>IFERROR(INDEX(EQA.CAP_Dados!C$2:C$5000,MATCH(ROW()-4,EQA.CAP_Dados!$S$2:$S$5000,0)),"")</f>
        <v/>
      </c>
      <c r="D197" t="str">
        <f>IFERROR(INDEX(EQA.CAP_Dados!D$2:D$5000,MATCH(ROW()-4,EQA.CAP_Dados!$S$2:$S$5000,0)),"")</f>
        <v/>
      </c>
      <c r="E197" t="str">
        <f>IFERROR(INDEX(EQA.CAP_Dados!E$2:E$5000,MATCH(ROW()-4,EQA.CAP_Dados!$S$2:$S$5000,0)),"")</f>
        <v/>
      </c>
      <c r="F197" s="137" t="str">
        <f>IFERROR(INDEX(EQA.CAP_Dados!F$2:F$5000,MATCH(ROW()-4,EQA.CAP_Dados!$S$2:$S$5000,0)),"")</f>
        <v/>
      </c>
      <c r="G197" s="138" t="str">
        <f>IFERROR(INDEX(EQA.CAP_Dados!G$2:G$5000,MATCH(ROW()-4,EQA.CAP_Dados!$S$2:$S$5000,0)),"")</f>
        <v/>
      </c>
      <c r="H197" s="138" t="str">
        <f>IFERROR(INDEX(EQA.CAP_Dados!H$2:H$5000,MATCH(ROW()-4,EQA.CAP_Dados!$S$2:$S$5000,0)),"")</f>
        <v/>
      </c>
      <c r="I197" s="139" t="str">
        <f>IFERROR(INDEX(EQA.CAP_Dados!I$2:I$5000,MATCH(ROW()-4,EQA.CAP_Dados!$S$2:$S$5000,0)),"")</f>
        <v/>
      </c>
      <c r="J197" s="137" t="str">
        <f>IFERROR(INDEX(EQA.CAP_Dados!J$2:J$5000,MATCH(ROW()-4,EQA.CAP_Dados!$S$2:$S$5000,0)),"")</f>
        <v/>
      </c>
      <c r="K197" s="137" t="str">
        <f>IFERROR(INDEX(EQA.CAP_Dados!K$2:K$5000,MATCH(ROW()-4,EQA.CAP_Dados!$S$2:$S$5000,0)),"")</f>
        <v/>
      </c>
      <c r="L197" t="str">
        <f>IFERROR(INDEX(EQA.CAP_Dados!L$2:L$5000,MATCH(ROW()-4,EQA.CAP_Dados!$S$2:$S$5000,0)),"")</f>
        <v/>
      </c>
      <c r="M197" s="126" t="str">
        <f>IFERROR(INDEX(EQA.CAP_Dados!M$2:M$5000,MATCH(ROW()-4,EQA.CAP_Dados!$S$2:$S$5000,0)),"")</f>
        <v/>
      </c>
      <c r="N197" t="str">
        <f>IFERROR(INDEX(EQA.CAP_Dados!N$2:N$5000,MATCH(ROW()-4,EQA.CAP_Dados!$S$2:$S$5000,0)),"")</f>
        <v/>
      </c>
      <c r="O197" s="137" t="str">
        <f>IFERROR(INDEX(EQA.CAP_Dados!O$2:O$5000,MATCH(ROW()-4,EQA.CAP_Dados!$S$2:$S$5000,0)),"")</f>
        <v/>
      </c>
      <c r="P197" s="137" t="str">
        <f>IFERROR(INDEX(EQA.CAP_Dados!P$2:P$5000,MATCH(ROW()-4,EQA.CAP_Dados!$S$2:$S$5000,0)),"")</f>
        <v/>
      </c>
      <c r="Q197" s="126" t="str">
        <f>IFERROR(INDEX(EQA.CAP_Dados!Q$2:Q$5000,MATCH(ROW()-4,EQA.CAP_Dados!$S$2:$S$5000,0)),"")</f>
        <v/>
      </c>
      <c r="R197" t="str">
        <f>IFERROR(INDEX(EQA.CAP_Dados!R$2:R$5000,MATCH(ROW()-4,EQA.CAP_Dados!$S$2:$S$5000,0)),"")</f>
        <v/>
      </c>
    </row>
    <row r="198" spans="1:18" x14ac:dyDescent="0.3">
      <c r="A198" t="str">
        <f>IFERROR(INDEX(EQA.CAP_Dados!A$2:A$5000,MATCH(ROW()-4,EQA.CAP_Dados!$S$2:$S$5000,0)),"")</f>
        <v/>
      </c>
      <c r="B198" t="str">
        <f>IFERROR(INDEX(EQA.CAP_Dados!B$2:B$5000,MATCH(ROW()-4,EQA.CAP_Dados!$S$2:$S$5000,0)),"")</f>
        <v/>
      </c>
      <c r="C198" s="126" t="str">
        <f>IFERROR(INDEX(EQA.CAP_Dados!C$2:C$5000,MATCH(ROW()-4,EQA.CAP_Dados!$S$2:$S$5000,0)),"")</f>
        <v/>
      </c>
      <c r="D198" t="str">
        <f>IFERROR(INDEX(EQA.CAP_Dados!D$2:D$5000,MATCH(ROW()-4,EQA.CAP_Dados!$S$2:$S$5000,0)),"")</f>
        <v/>
      </c>
      <c r="E198" t="str">
        <f>IFERROR(INDEX(EQA.CAP_Dados!E$2:E$5000,MATCH(ROW()-4,EQA.CAP_Dados!$S$2:$S$5000,0)),"")</f>
        <v/>
      </c>
      <c r="F198" s="137" t="str">
        <f>IFERROR(INDEX(EQA.CAP_Dados!F$2:F$5000,MATCH(ROW()-4,EQA.CAP_Dados!$S$2:$S$5000,0)),"")</f>
        <v/>
      </c>
      <c r="G198" s="138" t="str">
        <f>IFERROR(INDEX(EQA.CAP_Dados!G$2:G$5000,MATCH(ROW()-4,EQA.CAP_Dados!$S$2:$S$5000,0)),"")</f>
        <v/>
      </c>
      <c r="H198" s="138" t="str">
        <f>IFERROR(INDEX(EQA.CAP_Dados!H$2:H$5000,MATCH(ROW()-4,EQA.CAP_Dados!$S$2:$S$5000,0)),"")</f>
        <v/>
      </c>
      <c r="I198" s="139" t="str">
        <f>IFERROR(INDEX(EQA.CAP_Dados!I$2:I$5000,MATCH(ROW()-4,EQA.CAP_Dados!$S$2:$S$5000,0)),"")</f>
        <v/>
      </c>
      <c r="J198" s="137" t="str">
        <f>IFERROR(INDEX(EQA.CAP_Dados!J$2:J$5000,MATCH(ROW()-4,EQA.CAP_Dados!$S$2:$S$5000,0)),"")</f>
        <v/>
      </c>
      <c r="K198" s="137" t="str">
        <f>IFERROR(INDEX(EQA.CAP_Dados!K$2:K$5000,MATCH(ROW()-4,EQA.CAP_Dados!$S$2:$S$5000,0)),"")</f>
        <v/>
      </c>
      <c r="L198" t="str">
        <f>IFERROR(INDEX(EQA.CAP_Dados!L$2:L$5000,MATCH(ROW()-4,EQA.CAP_Dados!$S$2:$S$5000,0)),"")</f>
        <v/>
      </c>
      <c r="M198" s="126" t="str">
        <f>IFERROR(INDEX(EQA.CAP_Dados!M$2:M$5000,MATCH(ROW()-4,EQA.CAP_Dados!$S$2:$S$5000,0)),"")</f>
        <v/>
      </c>
      <c r="N198" t="str">
        <f>IFERROR(INDEX(EQA.CAP_Dados!N$2:N$5000,MATCH(ROW()-4,EQA.CAP_Dados!$S$2:$S$5000,0)),"")</f>
        <v/>
      </c>
      <c r="O198" s="137" t="str">
        <f>IFERROR(INDEX(EQA.CAP_Dados!O$2:O$5000,MATCH(ROW()-4,EQA.CAP_Dados!$S$2:$S$5000,0)),"")</f>
        <v/>
      </c>
      <c r="P198" s="137" t="str">
        <f>IFERROR(INDEX(EQA.CAP_Dados!P$2:P$5000,MATCH(ROW()-4,EQA.CAP_Dados!$S$2:$S$5000,0)),"")</f>
        <v/>
      </c>
      <c r="Q198" s="126" t="str">
        <f>IFERROR(INDEX(EQA.CAP_Dados!Q$2:Q$5000,MATCH(ROW()-4,EQA.CAP_Dados!$S$2:$S$5000,0)),"")</f>
        <v/>
      </c>
      <c r="R198" t="str">
        <f>IFERROR(INDEX(EQA.CAP_Dados!R$2:R$5000,MATCH(ROW()-4,EQA.CAP_Dados!$S$2:$S$5000,0)),"")</f>
        <v/>
      </c>
    </row>
    <row r="199" spans="1:18" x14ac:dyDescent="0.3">
      <c r="A199" t="str">
        <f>IFERROR(INDEX(EQA.CAP_Dados!A$2:A$5000,MATCH(ROW()-4,EQA.CAP_Dados!$S$2:$S$5000,0)),"")</f>
        <v/>
      </c>
      <c r="B199" t="str">
        <f>IFERROR(INDEX(EQA.CAP_Dados!B$2:B$5000,MATCH(ROW()-4,EQA.CAP_Dados!$S$2:$S$5000,0)),"")</f>
        <v/>
      </c>
      <c r="C199" s="126" t="str">
        <f>IFERROR(INDEX(EQA.CAP_Dados!C$2:C$5000,MATCH(ROW()-4,EQA.CAP_Dados!$S$2:$S$5000,0)),"")</f>
        <v/>
      </c>
      <c r="D199" t="str">
        <f>IFERROR(INDEX(EQA.CAP_Dados!D$2:D$5000,MATCH(ROW()-4,EQA.CAP_Dados!$S$2:$S$5000,0)),"")</f>
        <v/>
      </c>
      <c r="E199" t="str">
        <f>IFERROR(INDEX(EQA.CAP_Dados!E$2:E$5000,MATCH(ROW()-4,EQA.CAP_Dados!$S$2:$S$5000,0)),"")</f>
        <v/>
      </c>
      <c r="F199" s="137" t="str">
        <f>IFERROR(INDEX(EQA.CAP_Dados!F$2:F$5000,MATCH(ROW()-4,EQA.CAP_Dados!$S$2:$S$5000,0)),"")</f>
        <v/>
      </c>
      <c r="G199" s="138" t="str">
        <f>IFERROR(INDEX(EQA.CAP_Dados!G$2:G$5000,MATCH(ROW()-4,EQA.CAP_Dados!$S$2:$S$5000,0)),"")</f>
        <v/>
      </c>
      <c r="H199" s="138" t="str">
        <f>IFERROR(INDEX(EQA.CAP_Dados!H$2:H$5000,MATCH(ROW()-4,EQA.CAP_Dados!$S$2:$S$5000,0)),"")</f>
        <v/>
      </c>
      <c r="I199" s="139" t="str">
        <f>IFERROR(INDEX(EQA.CAP_Dados!I$2:I$5000,MATCH(ROW()-4,EQA.CAP_Dados!$S$2:$S$5000,0)),"")</f>
        <v/>
      </c>
      <c r="J199" s="137" t="str">
        <f>IFERROR(INDEX(EQA.CAP_Dados!J$2:J$5000,MATCH(ROW()-4,EQA.CAP_Dados!$S$2:$S$5000,0)),"")</f>
        <v/>
      </c>
      <c r="K199" s="137" t="str">
        <f>IFERROR(INDEX(EQA.CAP_Dados!K$2:K$5000,MATCH(ROW()-4,EQA.CAP_Dados!$S$2:$S$5000,0)),"")</f>
        <v/>
      </c>
      <c r="L199" t="str">
        <f>IFERROR(INDEX(EQA.CAP_Dados!L$2:L$5000,MATCH(ROW()-4,EQA.CAP_Dados!$S$2:$S$5000,0)),"")</f>
        <v/>
      </c>
      <c r="M199" s="126" t="str">
        <f>IFERROR(INDEX(EQA.CAP_Dados!M$2:M$5000,MATCH(ROW()-4,EQA.CAP_Dados!$S$2:$S$5000,0)),"")</f>
        <v/>
      </c>
      <c r="N199" t="str">
        <f>IFERROR(INDEX(EQA.CAP_Dados!N$2:N$5000,MATCH(ROW()-4,EQA.CAP_Dados!$S$2:$S$5000,0)),"")</f>
        <v/>
      </c>
      <c r="O199" s="137" t="str">
        <f>IFERROR(INDEX(EQA.CAP_Dados!O$2:O$5000,MATCH(ROW()-4,EQA.CAP_Dados!$S$2:$S$5000,0)),"")</f>
        <v/>
      </c>
      <c r="P199" s="137" t="str">
        <f>IFERROR(INDEX(EQA.CAP_Dados!P$2:P$5000,MATCH(ROW()-4,EQA.CAP_Dados!$S$2:$S$5000,0)),"")</f>
        <v/>
      </c>
      <c r="Q199" s="126" t="str">
        <f>IFERROR(INDEX(EQA.CAP_Dados!Q$2:Q$5000,MATCH(ROW()-4,EQA.CAP_Dados!$S$2:$S$5000,0)),"")</f>
        <v/>
      </c>
      <c r="R199" t="str">
        <f>IFERROR(INDEX(EQA.CAP_Dados!R$2:R$5000,MATCH(ROW()-4,EQA.CAP_Dados!$S$2:$S$5000,0)),"")</f>
        <v/>
      </c>
    </row>
    <row r="200" spans="1:18" x14ac:dyDescent="0.3">
      <c r="A200" t="str">
        <f>IFERROR(INDEX(EQA.CAP_Dados!A$2:A$5000,MATCH(ROW()-4,EQA.CAP_Dados!$S$2:$S$5000,0)),"")</f>
        <v/>
      </c>
      <c r="B200" t="str">
        <f>IFERROR(INDEX(EQA.CAP_Dados!B$2:B$5000,MATCH(ROW()-4,EQA.CAP_Dados!$S$2:$S$5000,0)),"")</f>
        <v/>
      </c>
      <c r="C200" s="126" t="str">
        <f>IFERROR(INDEX(EQA.CAP_Dados!C$2:C$5000,MATCH(ROW()-4,EQA.CAP_Dados!$S$2:$S$5000,0)),"")</f>
        <v/>
      </c>
      <c r="D200" t="str">
        <f>IFERROR(INDEX(EQA.CAP_Dados!D$2:D$5000,MATCH(ROW()-4,EQA.CAP_Dados!$S$2:$S$5000,0)),"")</f>
        <v/>
      </c>
      <c r="E200" t="str">
        <f>IFERROR(INDEX(EQA.CAP_Dados!E$2:E$5000,MATCH(ROW()-4,EQA.CAP_Dados!$S$2:$S$5000,0)),"")</f>
        <v/>
      </c>
      <c r="F200" s="137" t="str">
        <f>IFERROR(INDEX(EQA.CAP_Dados!F$2:F$5000,MATCH(ROW()-4,EQA.CAP_Dados!$S$2:$S$5000,0)),"")</f>
        <v/>
      </c>
      <c r="G200" s="138" t="str">
        <f>IFERROR(INDEX(EQA.CAP_Dados!G$2:G$5000,MATCH(ROW()-4,EQA.CAP_Dados!$S$2:$S$5000,0)),"")</f>
        <v/>
      </c>
      <c r="H200" s="138" t="str">
        <f>IFERROR(INDEX(EQA.CAP_Dados!H$2:H$5000,MATCH(ROW()-4,EQA.CAP_Dados!$S$2:$S$5000,0)),"")</f>
        <v/>
      </c>
      <c r="I200" s="139" t="str">
        <f>IFERROR(INDEX(EQA.CAP_Dados!I$2:I$5000,MATCH(ROW()-4,EQA.CAP_Dados!$S$2:$S$5000,0)),"")</f>
        <v/>
      </c>
      <c r="J200" s="137" t="str">
        <f>IFERROR(INDEX(EQA.CAP_Dados!J$2:J$5000,MATCH(ROW()-4,EQA.CAP_Dados!$S$2:$S$5000,0)),"")</f>
        <v/>
      </c>
      <c r="K200" s="137" t="str">
        <f>IFERROR(INDEX(EQA.CAP_Dados!K$2:K$5000,MATCH(ROW()-4,EQA.CAP_Dados!$S$2:$S$5000,0)),"")</f>
        <v/>
      </c>
      <c r="L200" t="str">
        <f>IFERROR(INDEX(EQA.CAP_Dados!L$2:L$5000,MATCH(ROW()-4,EQA.CAP_Dados!$S$2:$S$5000,0)),"")</f>
        <v/>
      </c>
      <c r="M200" s="126" t="str">
        <f>IFERROR(INDEX(EQA.CAP_Dados!M$2:M$5000,MATCH(ROW()-4,EQA.CAP_Dados!$S$2:$S$5000,0)),"")</f>
        <v/>
      </c>
      <c r="N200" t="str">
        <f>IFERROR(INDEX(EQA.CAP_Dados!N$2:N$5000,MATCH(ROW()-4,EQA.CAP_Dados!$S$2:$S$5000,0)),"")</f>
        <v/>
      </c>
      <c r="O200" s="137" t="str">
        <f>IFERROR(INDEX(EQA.CAP_Dados!O$2:O$5000,MATCH(ROW()-4,EQA.CAP_Dados!$S$2:$S$5000,0)),"")</f>
        <v/>
      </c>
      <c r="P200" s="137" t="str">
        <f>IFERROR(INDEX(EQA.CAP_Dados!P$2:P$5000,MATCH(ROW()-4,EQA.CAP_Dados!$S$2:$S$5000,0)),"")</f>
        <v/>
      </c>
      <c r="Q200" s="126" t="str">
        <f>IFERROR(INDEX(EQA.CAP_Dados!Q$2:Q$5000,MATCH(ROW()-4,EQA.CAP_Dados!$S$2:$S$5000,0)),"")</f>
        <v/>
      </c>
      <c r="R200" t="str">
        <f>IFERROR(INDEX(EQA.CAP_Dados!R$2:R$5000,MATCH(ROW()-4,EQA.CAP_Dados!$S$2:$S$5000,0)),"")</f>
        <v/>
      </c>
    </row>
    <row r="201" spans="1:18" x14ac:dyDescent="0.3">
      <c r="A201" t="str">
        <f>IFERROR(INDEX(EQA.CAP_Dados!A$2:A$5000,MATCH(ROW()-4,EQA.CAP_Dados!$S$2:$S$5000,0)),"")</f>
        <v/>
      </c>
      <c r="B201" t="str">
        <f>IFERROR(INDEX(EQA.CAP_Dados!B$2:B$5000,MATCH(ROW()-4,EQA.CAP_Dados!$S$2:$S$5000,0)),"")</f>
        <v/>
      </c>
      <c r="C201" s="126" t="str">
        <f>IFERROR(INDEX(EQA.CAP_Dados!C$2:C$5000,MATCH(ROW()-4,EQA.CAP_Dados!$S$2:$S$5000,0)),"")</f>
        <v/>
      </c>
      <c r="D201" t="str">
        <f>IFERROR(INDEX(EQA.CAP_Dados!D$2:D$5000,MATCH(ROW()-4,EQA.CAP_Dados!$S$2:$S$5000,0)),"")</f>
        <v/>
      </c>
      <c r="E201" t="str">
        <f>IFERROR(INDEX(EQA.CAP_Dados!E$2:E$5000,MATCH(ROW()-4,EQA.CAP_Dados!$S$2:$S$5000,0)),"")</f>
        <v/>
      </c>
      <c r="F201" s="137" t="str">
        <f>IFERROR(INDEX(EQA.CAP_Dados!F$2:F$5000,MATCH(ROW()-4,EQA.CAP_Dados!$S$2:$S$5000,0)),"")</f>
        <v/>
      </c>
      <c r="G201" s="138" t="str">
        <f>IFERROR(INDEX(EQA.CAP_Dados!G$2:G$5000,MATCH(ROW()-4,EQA.CAP_Dados!$S$2:$S$5000,0)),"")</f>
        <v/>
      </c>
      <c r="H201" s="138" t="str">
        <f>IFERROR(INDEX(EQA.CAP_Dados!H$2:H$5000,MATCH(ROW()-4,EQA.CAP_Dados!$S$2:$S$5000,0)),"")</f>
        <v/>
      </c>
      <c r="I201" s="139" t="str">
        <f>IFERROR(INDEX(EQA.CAP_Dados!I$2:I$5000,MATCH(ROW()-4,EQA.CAP_Dados!$S$2:$S$5000,0)),"")</f>
        <v/>
      </c>
      <c r="J201" s="137" t="str">
        <f>IFERROR(INDEX(EQA.CAP_Dados!J$2:J$5000,MATCH(ROW()-4,EQA.CAP_Dados!$S$2:$S$5000,0)),"")</f>
        <v/>
      </c>
      <c r="K201" s="137" t="str">
        <f>IFERROR(INDEX(EQA.CAP_Dados!K$2:K$5000,MATCH(ROW()-4,EQA.CAP_Dados!$S$2:$S$5000,0)),"")</f>
        <v/>
      </c>
      <c r="L201" t="str">
        <f>IFERROR(INDEX(EQA.CAP_Dados!L$2:L$5000,MATCH(ROW()-4,EQA.CAP_Dados!$S$2:$S$5000,0)),"")</f>
        <v/>
      </c>
      <c r="M201" s="126" t="str">
        <f>IFERROR(INDEX(EQA.CAP_Dados!M$2:M$5000,MATCH(ROW()-4,EQA.CAP_Dados!$S$2:$S$5000,0)),"")</f>
        <v/>
      </c>
      <c r="N201" t="str">
        <f>IFERROR(INDEX(EQA.CAP_Dados!N$2:N$5000,MATCH(ROW()-4,EQA.CAP_Dados!$S$2:$S$5000,0)),"")</f>
        <v/>
      </c>
      <c r="O201" s="137" t="str">
        <f>IFERROR(INDEX(EQA.CAP_Dados!O$2:O$5000,MATCH(ROW()-4,EQA.CAP_Dados!$S$2:$S$5000,0)),"")</f>
        <v/>
      </c>
      <c r="P201" s="137" t="str">
        <f>IFERROR(INDEX(EQA.CAP_Dados!P$2:P$5000,MATCH(ROW()-4,EQA.CAP_Dados!$S$2:$S$5000,0)),"")</f>
        <v/>
      </c>
      <c r="Q201" s="126" t="str">
        <f>IFERROR(INDEX(EQA.CAP_Dados!Q$2:Q$5000,MATCH(ROW()-4,EQA.CAP_Dados!$S$2:$S$5000,0)),"")</f>
        <v/>
      </c>
      <c r="R201" t="str">
        <f>IFERROR(INDEX(EQA.CAP_Dados!R$2:R$5000,MATCH(ROW()-4,EQA.CAP_Dados!$S$2:$S$5000,0)),"")</f>
        <v/>
      </c>
    </row>
    <row r="202" spans="1:18" x14ac:dyDescent="0.3">
      <c r="A202" t="str">
        <f>IFERROR(INDEX(EQA.CAP_Dados!A$2:A$5000,MATCH(ROW()-4,EQA.CAP_Dados!$S$2:$S$5000,0)),"")</f>
        <v/>
      </c>
      <c r="B202" t="str">
        <f>IFERROR(INDEX(EQA.CAP_Dados!B$2:B$5000,MATCH(ROW()-4,EQA.CAP_Dados!$S$2:$S$5000,0)),"")</f>
        <v/>
      </c>
      <c r="C202" s="126" t="str">
        <f>IFERROR(INDEX(EQA.CAP_Dados!C$2:C$5000,MATCH(ROW()-4,EQA.CAP_Dados!$S$2:$S$5000,0)),"")</f>
        <v/>
      </c>
      <c r="D202" t="str">
        <f>IFERROR(INDEX(EQA.CAP_Dados!D$2:D$5000,MATCH(ROW()-4,EQA.CAP_Dados!$S$2:$S$5000,0)),"")</f>
        <v/>
      </c>
      <c r="E202" t="str">
        <f>IFERROR(INDEX(EQA.CAP_Dados!E$2:E$5000,MATCH(ROW()-4,EQA.CAP_Dados!$S$2:$S$5000,0)),"")</f>
        <v/>
      </c>
      <c r="F202" s="137" t="str">
        <f>IFERROR(INDEX(EQA.CAP_Dados!F$2:F$5000,MATCH(ROW()-4,EQA.CAP_Dados!$S$2:$S$5000,0)),"")</f>
        <v/>
      </c>
      <c r="G202" s="138" t="str">
        <f>IFERROR(INDEX(EQA.CAP_Dados!G$2:G$5000,MATCH(ROW()-4,EQA.CAP_Dados!$S$2:$S$5000,0)),"")</f>
        <v/>
      </c>
      <c r="H202" s="138" t="str">
        <f>IFERROR(INDEX(EQA.CAP_Dados!H$2:H$5000,MATCH(ROW()-4,EQA.CAP_Dados!$S$2:$S$5000,0)),"")</f>
        <v/>
      </c>
      <c r="I202" s="139" t="str">
        <f>IFERROR(INDEX(EQA.CAP_Dados!I$2:I$5000,MATCH(ROW()-4,EQA.CAP_Dados!$S$2:$S$5000,0)),"")</f>
        <v/>
      </c>
      <c r="J202" s="137" t="str">
        <f>IFERROR(INDEX(EQA.CAP_Dados!J$2:J$5000,MATCH(ROW()-4,EQA.CAP_Dados!$S$2:$S$5000,0)),"")</f>
        <v/>
      </c>
      <c r="K202" s="137" t="str">
        <f>IFERROR(INDEX(EQA.CAP_Dados!K$2:K$5000,MATCH(ROW()-4,EQA.CAP_Dados!$S$2:$S$5000,0)),"")</f>
        <v/>
      </c>
      <c r="L202" t="str">
        <f>IFERROR(INDEX(EQA.CAP_Dados!L$2:L$5000,MATCH(ROW()-4,EQA.CAP_Dados!$S$2:$S$5000,0)),"")</f>
        <v/>
      </c>
      <c r="M202" s="126" t="str">
        <f>IFERROR(INDEX(EQA.CAP_Dados!M$2:M$5000,MATCH(ROW()-4,EQA.CAP_Dados!$S$2:$S$5000,0)),"")</f>
        <v/>
      </c>
      <c r="N202" t="str">
        <f>IFERROR(INDEX(EQA.CAP_Dados!N$2:N$5000,MATCH(ROW()-4,EQA.CAP_Dados!$S$2:$S$5000,0)),"")</f>
        <v/>
      </c>
      <c r="O202" s="137" t="str">
        <f>IFERROR(INDEX(EQA.CAP_Dados!O$2:O$5000,MATCH(ROW()-4,EQA.CAP_Dados!$S$2:$S$5000,0)),"")</f>
        <v/>
      </c>
      <c r="P202" s="137" t="str">
        <f>IFERROR(INDEX(EQA.CAP_Dados!P$2:P$5000,MATCH(ROW()-4,EQA.CAP_Dados!$S$2:$S$5000,0)),"")</f>
        <v/>
      </c>
      <c r="Q202" s="126" t="str">
        <f>IFERROR(INDEX(EQA.CAP_Dados!Q$2:Q$5000,MATCH(ROW()-4,EQA.CAP_Dados!$S$2:$S$5000,0)),"")</f>
        <v/>
      </c>
      <c r="R202" t="str">
        <f>IFERROR(INDEX(EQA.CAP_Dados!R$2:R$5000,MATCH(ROW()-4,EQA.CAP_Dados!$S$2:$S$5000,0)),"")</f>
        <v/>
      </c>
    </row>
    <row r="203" spans="1:18" x14ac:dyDescent="0.3">
      <c r="A203" t="str">
        <f>IFERROR(INDEX(EQA.CAP_Dados!A$2:A$5000,MATCH(ROW()-4,EQA.CAP_Dados!$S$2:$S$5000,0)),"")</f>
        <v/>
      </c>
      <c r="B203" t="str">
        <f>IFERROR(INDEX(EQA.CAP_Dados!B$2:B$5000,MATCH(ROW()-4,EQA.CAP_Dados!$S$2:$S$5000,0)),"")</f>
        <v/>
      </c>
      <c r="C203" s="126" t="str">
        <f>IFERROR(INDEX(EQA.CAP_Dados!C$2:C$5000,MATCH(ROW()-4,EQA.CAP_Dados!$S$2:$S$5000,0)),"")</f>
        <v/>
      </c>
      <c r="D203" t="str">
        <f>IFERROR(INDEX(EQA.CAP_Dados!D$2:D$5000,MATCH(ROW()-4,EQA.CAP_Dados!$S$2:$S$5000,0)),"")</f>
        <v/>
      </c>
      <c r="E203" t="str">
        <f>IFERROR(INDEX(EQA.CAP_Dados!E$2:E$5000,MATCH(ROW()-4,EQA.CAP_Dados!$S$2:$S$5000,0)),"")</f>
        <v/>
      </c>
      <c r="F203" s="137" t="str">
        <f>IFERROR(INDEX(EQA.CAP_Dados!F$2:F$5000,MATCH(ROW()-4,EQA.CAP_Dados!$S$2:$S$5000,0)),"")</f>
        <v/>
      </c>
      <c r="G203" s="138" t="str">
        <f>IFERROR(INDEX(EQA.CAP_Dados!G$2:G$5000,MATCH(ROW()-4,EQA.CAP_Dados!$S$2:$S$5000,0)),"")</f>
        <v/>
      </c>
      <c r="H203" s="138" t="str">
        <f>IFERROR(INDEX(EQA.CAP_Dados!H$2:H$5000,MATCH(ROW()-4,EQA.CAP_Dados!$S$2:$S$5000,0)),"")</f>
        <v/>
      </c>
      <c r="I203" s="139" t="str">
        <f>IFERROR(INDEX(EQA.CAP_Dados!I$2:I$5000,MATCH(ROW()-4,EQA.CAP_Dados!$S$2:$S$5000,0)),"")</f>
        <v/>
      </c>
      <c r="J203" s="137" t="str">
        <f>IFERROR(INDEX(EQA.CAP_Dados!J$2:J$5000,MATCH(ROW()-4,EQA.CAP_Dados!$S$2:$S$5000,0)),"")</f>
        <v/>
      </c>
      <c r="K203" s="137" t="str">
        <f>IFERROR(INDEX(EQA.CAP_Dados!K$2:K$5000,MATCH(ROW()-4,EQA.CAP_Dados!$S$2:$S$5000,0)),"")</f>
        <v/>
      </c>
      <c r="L203" t="str">
        <f>IFERROR(INDEX(EQA.CAP_Dados!L$2:L$5000,MATCH(ROW()-4,EQA.CAP_Dados!$S$2:$S$5000,0)),"")</f>
        <v/>
      </c>
      <c r="M203" s="126" t="str">
        <f>IFERROR(INDEX(EQA.CAP_Dados!M$2:M$5000,MATCH(ROW()-4,EQA.CAP_Dados!$S$2:$S$5000,0)),"")</f>
        <v/>
      </c>
      <c r="N203" t="str">
        <f>IFERROR(INDEX(EQA.CAP_Dados!N$2:N$5000,MATCH(ROW()-4,EQA.CAP_Dados!$S$2:$S$5000,0)),"")</f>
        <v/>
      </c>
      <c r="O203" s="137" t="str">
        <f>IFERROR(INDEX(EQA.CAP_Dados!O$2:O$5000,MATCH(ROW()-4,EQA.CAP_Dados!$S$2:$S$5000,0)),"")</f>
        <v/>
      </c>
      <c r="P203" s="137" t="str">
        <f>IFERROR(INDEX(EQA.CAP_Dados!P$2:P$5000,MATCH(ROW()-4,EQA.CAP_Dados!$S$2:$S$5000,0)),"")</f>
        <v/>
      </c>
      <c r="Q203" s="126" t="str">
        <f>IFERROR(INDEX(EQA.CAP_Dados!Q$2:Q$5000,MATCH(ROW()-4,EQA.CAP_Dados!$S$2:$S$5000,0)),"")</f>
        <v/>
      </c>
      <c r="R203" t="str">
        <f>IFERROR(INDEX(EQA.CAP_Dados!R$2:R$5000,MATCH(ROW()-4,EQA.CAP_Dados!$S$2:$S$5000,0)),"")</f>
        <v/>
      </c>
    </row>
    <row r="204" spans="1:18" x14ac:dyDescent="0.3">
      <c r="A204" t="str">
        <f>IFERROR(INDEX(EQA.CAP_Dados!A$2:A$5000,MATCH(ROW()-4,EQA.CAP_Dados!$S$2:$S$5000,0)),"")</f>
        <v/>
      </c>
      <c r="B204" t="str">
        <f>IFERROR(INDEX(EQA.CAP_Dados!B$2:B$5000,MATCH(ROW()-4,EQA.CAP_Dados!$S$2:$S$5000,0)),"")</f>
        <v/>
      </c>
      <c r="C204" s="126" t="str">
        <f>IFERROR(INDEX(EQA.CAP_Dados!C$2:C$5000,MATCH(ROW()-4,EQA.CAP_Dados!$S$2:$S$5000,0)),"")</f>
        <v/>
      </c>
      <c r="D204" t="str">
        <f>IFERROR(INDEX(EQA.CAP_Dados!D$2:D$5000,MATCH(ROW()-4,EQA.CAP_Dados!$S$2:$S$5000,0)),"")</f>
        <v/>
      </c>
      <c r="E204" t="str">
        <f>IFERROR(INDEX(EQA.CAP_Dados!E$2:E$5000,MATCH(ROW()-4,EQA.CAP_Dados!$S$2:$S$5000,0)),"")</f>
        <v/>
      </c>
      <c r="F204" s="137" t="str">
        <f>IFERROR(INDEX(EQA.CAP_Dados!F$2:F$5000,MATCH(ROW()-4,EQA.CAP_Dados!$S$2:$S$5000,0)),"")</f>
        <v/>
      </c>
      <c r="G204" s="138" t="str">
        <f>IFERROR(INDEX(EQA.CAP_Dados!G$2:G$5000,MATCH(ROW()-4,EQA.CAP_Dados!$S$2:$S$5000,0)),"")</f>
        <v/>
      </c>
      <c r="H204" s="138" t="str">
        <f>IFERROR(INDEX(EQA.CAP_Dados!H$2:H$5000,MATCH(ROW()-4,EQA.CAP_Dados!$S$2:$S$5000,0)),"")</f>
        <v/>
      </c>
      <c r="I204" s="139" t="str">
        <f>IFERROR(INDEX(EQA.CAP_Dados!I$2:I$5000,MATCH(ROW()-4,EQA.CAP_Dados!$S$2:$S$5000,0)),"")</f>
        <v/>
      </c>
      <c r="J204" s="137" t="str">
        <f>IFERROR(INDEX(EQA.CAP_Dados!J$2:J$5000,MATCH(ROW()-4,EQA.CAP_Dados!$S$2:$S$5000,0)),"")</f>
        <v/>
      </c>
      <c r="K204" s="137" t="str">
        <f>IFERROR(INDEX(EQA.CAP_Dados!K$2:K$5000,MATCH(ROW()-4,EQA.CAP_Dados!$S$2:$S$5000,0)),"")</f>
        <v/>
      </c>
      <c r="L204" t="str">
        <f>IFERROR(INDEX(EQA.CAP_Dados!L$2:L$5000,MATCH(ROW()-4,EQA.CAP_Dados!$S$2:$S$5000,0)),"")</f>
        <v/>
      </c>
      <c r="M204" s="126" t="str">
        <f>IFERROR(INDEX(EQA.CAP_Dados!M$2:M$5000,MATCH(ROW()-4,EQA.CAP_Dados!$S$2:$S$5000,0)),"")</f>
        <v/>
      </c>
      <c r="N204" t="str">
        <f>IFERROR(INDEX(EQA.CAP_Dados!N$2:N$5000,MATCH(ROW()-4,EQA.CAP_Dados!$S$2:$S$5000,0)),"")</f>
        <v/>
      </c>
      <c r="O204" s="137" t="str">
        <f>IFERROR(INDEX(EQA.CAP_Dados!O$2:O$5000,MATCH(ROW()-4,EQA.CAP_Dados!$S$2:$S$5000,0)),"")</f>
        <v/>
      </c>
      <c r="P204" s="137" t="str">
        <f>IFERROR(INDEX(EQA.CAP_Dados!P$2:P$5000,MATCH(ROW()-4,EQA.CAP_Dados!$S$2:$S$5000,0)),"")</f>
        <v/>
      </c>
      <c r="Q204" s="126" t="str">
        <f>IFERROR(INDEX(EQA.CAP_Dados!Q$2:Q$5000,MATCH(ROW()-4,EQA.CAP_Dados!$S$2:$S$5000,0)),"")</f>
        <v/>
      </c>
      <c r="R204" t="str">
        <f>IFERROR(INDEX(EQA.CAP_Dados!R$2:R$5000,MATCH(ROW()-4,EQA.CAP_Dados!$S$2:$S$5000,0)),"")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sheetProtection algorithmName="SHA-512" hashValue="S8T1cH9BaGuHn+dBtrjFz/l8ENoAc70CkPapo1a+nuqqApHBLx0cjPqn1/w9mS8X7UBl+7oiZSCX1soGVw1Piw==" saltValue="Z4/aSb1zAiBSWcDfP0CZwA==" spinCount="100000" sheet="1" scenarios="1"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EA8D-2FC7-45C5-BF8F-EEC53BC5E876}">
  <sheetPr codeName="Planilha21">
    <tabColor rgb="FF1F6F5C"/>
  </sheetPr>
  <dimension ref="A1:Z300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4.4" x14ac:dyDescent="0.3"/>
  <cols>
    <col min="1" max="1" width="13.77734375" customWidth="1"/>
    <col min="2" max="2" width="16.88671875" customWidth="1"/>
    <col min="3" max="3" width="8.77734375" customWidth="1"/>
    <col min="4" max="4" width="27.77734375" customWidth="1"/>
    <col min="5" max="5" width="11.77734375" customWidth="1"/>
    <col min="6" max="6" width="14.77734375" customWidth="1"/>
    <col min="7" max="7" width="18.6640625" customWidth="1"/>
    <col min="8" max="8" width="11.77734375" customWidth="1"/>
    <col min="9" max="9" width="9.77734375" customWidth="1"/>
    <col min="10" max="10" width="14.77734375" customWidth="1"/>
    <col min="11" max="11" width="15.5546875" customWidth="1"/>
    <col min="12" max="12" width="15.77734375" customWidth="1"/>
    <col min="13" max="13" width="16.109375" customWidth="1"/>
    <col min="14" max="14" width="17.77734375" customWidth="1"/>
    <col min="15" max="16" width="12.77734375" customWidth="1"/>
    <col min="17" max="17" width="13.77734375" customWidth="1"/>
    <col min="18" max="18" width="48.77734375" customWidth="1"/>
    <col min="19" max="19" width="14.88671875" hidden="1" customWidth="1"/>
    <col min="20" max="20" width="15.44140625" hidden="1" customWidth="1"/>
    <col min="21" max="21" width="15.21875" hidden="1" customWidth="1"/>
    <col min="22" max="24" width="0" hidden="1" customWidth="1"/>
    <col min="25" max="25" width="3.6640625" customWidth="1"/>
    <col min="26" max="26" width="62.6640625" customWidth="1"/>
  </cols>
  <sheetData>
    <row r="1" spans="1:26" ht="28.05" customHeight="1" x14ac:dyDescent="0.3">
      <c r="A1" s="127" t="s">
        <v>243</v>
      </c>
      <c r="B1" s="127" t="s">
        <v>435</v>
      </c>
      <c r="C1" s="127" t="s">
        <v>241</v>
      </c>
      <c r="D1" s="127" t="s">
        <v>88</v>
      </c>
      <c r="E1" s="127" t="s">
        <v>244</v>
      </c>
      <c r="F1" s="127" t="s">
        <v>436</v>
      </c>
      <c r="G1" s="127" t="s">
        <v>437</v>
      </c>
      <c r="H1" s="127" t="s">
        <v>438</v>
      </c>
      <c r="I1" s="127" t="s">
        <v>248</v>
      </c>
      <c r="J1" s="127" t="s">
        <v>439</v>
      </c>
      <c r="K1" s="127" t="s">
        <v>440</v>
      </c>
      <c r="L1" s="127" t="s">
        <v>441</v>
      </c>
      <c r="M1" s="127" t="s">
        <v>442</v>
      </c>
      <c r="N1" s="127" t="s">
        <v>443</v>
      </c>
      <c r="O1" s="127" t="s">
        <v>444</v>
      </c>
      <c r="P1" s="127" t="s">
        <v>445</v>
      </c>
      <c r="Q1" s="127" t="s">
        <v>446</v>
      </c>
      <c r="R1" s="127" t="s">
        <v>447</v>
      </c>
      <c r="S1" s="128" t="s">
        <v>448</v>
      </c>
      <c r="T1" s="128" t="s">
        <v>449</v>
      </c>
      <c r="U1" s="128" t="s">
        <v>450</v>
      </c>
      <c r="V1" s="128" t="s">
        <v>1075</v>
      </c>
      <c r="W1" s="128" t="s">
        <v>1076</v>
      </c>
      <c r="X1" s="128" t="s">
        <v>1077</v>
      </c>
      <c r="Z1" s="131" t="s">
        <v>1106</v>
      </c>
    </row>
    <row r="2" spans="1:26" x14ac:dyDescent="0.3">
      <c r="A2" t="s">
        <v>451</v>
      </c>
      <c r="C2" s="126"/>
      <c r="F2" s="137"/>
      <c r="G2" s="138"/>
      <c r="H2" s="138"/>
      <c r="I2" s="139"/>
      <c r="J2" s="137"/>
      <c r="K2" s="137"/>
      <c r="M2" s="126"/>
      <c r="O2" s="137" t="str">
        <f>IFERROR((F2-G2)/G2*100,"")</f>
        <v/>
      </c>
      <c r="P2" s="137" t="str">
        <f>IF(O2="","",ABS(O2))</f>
        <v/>
      </c>
      <c r="Q2" s="126"/>
      <c r="S2" t="str">
        <f>IF($W2&lt;&gt;"NAO ACEITO","",COUNTIFS($W$2:$W2,"NAO ACEITO"))</f>
        <v/>
      </c>
      <c r="T2" t="str">
        <f>IF($B2="","",IF(COUNTIF($B$2:$B2,$B2)=1,MAX($T$1:$T1)+1,""))</f>
        <v/>
      </c>
      <c r="U2" t="str">
        <f>IF($D2="","",IF(COUNTIF($D$2:$D2,$D2)=1,MAX($U$1:$U1)+1,""))</f>
        <v/>
      </c>
      <c r="V2" t="str">
        <f>IF($D2="","",IF(COUNTIFS($B$2:$B2,$B2,$D$2:$D2,$D2)=1,1,0))</f>
        <v/>
      </c>
      <c r="W2" t="str">
        <f>IF($D2="","",mEQA.PadronizarStatus($L2))</f>
        <v/>
      </c>
      <c r="X2" t="str">
        <f>IF(OR($D2="",$W2&lt;&gt;"NAO ACEITO"),"",IF(COUNTIFS($D$2:$D2,$D2,$W$2:$W2,"NAO ACEITO")=1,1,0))</f>
        <v/>
      </c>
      <c r="Z2" t="str">
        <f>mEQA.CarimboEQA()</f>
        <v>consolidado: 2026-08-22 18:48:37 | CAP 545 | Controllab 0 | total 545 | sem analito canonico 20 | chaves repetidas 0</v>
      </c>
    </row>
    <row r="3" spans="1:26" x14ac:dyDescent="0.3">
      <c r="C3" s="126"/>
      <c r="F3" s="137"/>
      <c r="G3" s="138"/>
      <c r="H3" s="138"/>
      <c r="I3" s="139"/>
      <c r="J3" s="137"/>
      <c r="K3" s="137"/>
      <c r="M3" s="126"/>
      <c r="O3" s="137"/>
      <c r="P3" s="137"/>
      <c r="Q3" s="126"/>
      <c r="Z3" s="131" t="str">
        <f>IF(COUNTA($D$2:$D$5000)=COUNTIF(EQA_Base!$A$2:$A$5001,"Controllab"),"base em dia","BASE DESATUALIZADA — clique em Consolidar na EQA_Base")</f>
        <v>base em dia</v>
      </c>
    </row>
    <row r="4" spans="1:26" x14ac:dyDescent="0.3">
      <c r="C4" s="126"/>
      <c r="F4" s="137"/>
      <c r="G4" s="138"/>
      <c r="H4" s="138"/>
      <c r="I4" s="139"/>
      <c r="J4" s="137"/>
      <c r="K4" s="137"/>
      <c r="M4" s="126"/>
      <c r="O4" s="137"/>
      <c r="P4" s="137"/>
      <c r="Q4" s="126"/>
    </row>
    <row r="5" spans="1:26" x14ac:dyDescent="0.3">
      <c r="C5" s="126"/>
      <c r="F5" s="137"/>
      <c r="G5" s="138"/>
      <c r="H5" s="138"/>
      <c r="I5" s="139"/>
      <c r="J5" s="137"/>
      <c r="K5" s="137"/>
      <c r="M5" s="126"/>
      <c r="O5" s="137"/>
      <c r="P5" s="137"/>
      <c r="Q5" s="126"/>
    </row>
    <row r="6" spans="1:26" x14ac:dyDescent="0.3">
      <c r="C6" s="126"/>
      <c r="F6" s="137"/>
      <c r="G6" s="138"/>
      <c r="H6" s="138"/>
      <c r="I6" s="139"/>
      <c r="J6" s="137"/>
      <c r="K6" s="137"/>
      <c r="M6" s="126"/>
      <c r="O6" s="137"/>
      <c r="P6" s="137"/>
      <c r="Q6" s="126"/>
    </row>
    <row r="7" spans="1:26" x14ac:dyDescent="0.3">
      <c r="C7" s="126"/>
      <c r="F7" s="137"/>
      <c r="G7" s="138"/>
      <c r="H7" s="138"/>
      <c r="I7" s="139"/>
      <c r="J7" s="137"/>
      <c r="K7" s="137"/>
      <c r="M7" s="126"/>
      <c r="O7" s="137"/>
      <c r="P7" s="137"/>
      <c r="Q7" s="126"/>
    </row>
    <row r="8" spans="1:26" x14ac:dyDescent="0.3">
      <c r="C8" s="126"/>
      <c r="F8" s="137"/>
      <c r="G8" s="138"/>
      <c r="H8" s="138"/>
      <c r="I8" s="139"/>
      <c r="J8" s="137"/>
      <c r="K8" s="137"/>
      <c r="M8" s="126"/>
      <c r="O8" s="137"/>
      <c r="P8" s="137"/>
      <c r="Q8" s="126"/>
    </row>
    <row r="9" spans="1:26" x14ac:dyDescent="0.3">
      <c r="C9" s="126"/>
      <c r="F9" s="137"/>
      <c r="G9" s="138"/>
      <c r="H9" s="138"/>
      <c r="I9" s="139"/>
      <c r="J9" s="137"/>
      <c r="K9" s="137"/>
      <c r="M9" s="126"/>
      <c r="O9" s="137"/>
      <c r="P9" s="137"/>
      <c r="Q9" s="126"/>
    </row>
    <row r="10" spans="1:26" x14ac:dyDescent="0.3">
      <c r="C10" s="126"/>
      <c r="F10" s="137"/>
      <c r="G10" s="138"/>
      <c r="H10" s="138"/>
      <c r="I10" s="139"/>
      <c r="J10" s="137"/>
      <c r="K10" s="137"/>
      <c r="M10" s="126"/>
      <c r="O10" s="137"/>
      <c r="P10" s="137"/>
      <c r="Q10" s="126"/>
    </row>
    <row r="11" spans="1:26" x14ac:dyDescent="0.3">
      <c r="C11" s="126"/>
      <c r="F11" s="137"/>
      <c r="G11" s="138"/>
      <c r="H11" s="138"/>
      <c r="I11" s="139"/>
      <c r="J11" s="137"/>
      <c r="K11" s="137"/>
      <c r="M11" s="126"/>
      <c r="O11" s="137"/>
      <c r="P11" s="137"/>
      <c r="Q11" s="126"/>
    </row>
    <row r="12" spans="1:26" x14ac:dyDescent="0.3">
      <c r="C12" s="126"/>
      <c r="F12" s="137"/>
      <c r="G12" s="138"/>
      <c r="H12" s="138"/>
      <c r="I12" s="139"/>
      <c r="J12" s="137"/>
      <c r="K12" s="137"/>
      <c r="M12" s="126"/>
      <c r="O12" s="137"/>
      <c r="P12" s="137"/>
      <c r="Q12" s="126"/>
    </row>
    <row r="13" spans="1:26" x14ac:dyDescent="0.3">
      <c r="C13" s="126"/>
      <c r="F13" s="137"/>
      <c r="G13" s="138"/>
      <c r="H13" s="138"/>
      <c r="I13" s="139"/>
      <c r="J13" s="137"/>
      <c r="K13" s="137"/>
      <c r="M13" s="126"/>
      <c r="O13" s="137"/>
      <c r="P13" s="137"/>
      <c r="Q13" s="126"/>
    </row>
    <row r="14" spans="1:26" x14ac:dyDescent="0.3">
      <c r="C14" s="126"/>
      <c r="F14" s="137"/>
      <c r="G14" s="138"/>
      <c r="H14" s="138"/>
      <c r="I14" s="139"/>
      <c r="J14" s="137"/>
      <c r="K14" s="137"/>
      <c r="M14" s="126"/>
      <c r="O14" s="137"/>
      <c r="P14" s="137"/>
      <c r="Q14" s="126"/>
    </row>
    <row r="15" spans="1:26" x14ac:dyDescent="0.3">
      <c r="C15" s="126"/>
      <c r="F15" s="137"/>
      <c r="G15" s="138"/>
      <c r="H15" s="138"/>
      <c r="I15" s="139"/>
      <c r="J15" s="137"/>
      <c r="K15" s="137"/>
      <c r="M15" s="126"/>
      <c r="O15" s="137"/>
      <c r="P15" s="137"/>
      <c r="Q15" s="126"/>
    </row>
    <row r="16" spans="1:26" x14ac:dyDescent="0.3">
      <c r="C16" s="126"/>
      <c r="F16" s="137"/>
      <c r="G16" s="138"/>
      <c r="H16" s="138"/>
      <c r="I16" s="139"/>
      <c r="J16" s="137"/>
      <c r="K16" s="137"/>
      <c r="M16" s="126"/>
      <c r="O16" s="137"/>
      <c r="P16" s="137"/>
      <c r="Q16" s="126"/>
    </row>
    <row r="17" spans="3:17" x14ac:dyDescent="0.3">
      <c r="C17" s="126"/>
      <c r="F17" s="137"/>
      <c r="G17" s="138"/>
      <c r="H17" s="138"/>
      <c r="I17" s="139"/>
      <c r="J17" s="137"/>
      <c r="K17" s="137"/>
      <c r="M17" s="126"/>
      <c r="O17" s="137"/>
      <c r="P17" s="137"/>
      <c r="Q17" s="126"/>
    </row>
    <row r="18" spans="3:17" x14ac:dyDescent="0.3">
      <c r="C18" s="126"/>
      <c r="F18" s="137"/>
      <c r="G18" s="138"/>
      <c r="H18" s="138"/>
      <c r="I18" s="139"/>
      <c r="J18" s="137"/>
      <c r="K18" s="137"/>
      <c r="M18" s="126"/>
      <c r="O18" s="137"/>
      <c r="P18" s="137"/>
      <c r="Q18" s="126"/>
    </row>
    <row r="19" spans="3:17" x14ac:dyDescent="0.3">
      <c r="C19" s="126"/>
      <c r="F19" s="137"/>
      <c r="G19" s="138"/>
      <c r="H19" s="138"/>
      <c r="I19" s="139"/>
      <c r="J19" s="137"/>
      <c r="K19" s="137"/>
      <c r="M19" s="126"/>
      <c r="O19" s="137"/>
      <c r="P19" s="137"/>
      <c r="Q19" s="126"/>
    </row>
    <row r="20" spans="3:17" x14ac:dyDescent="0.3">
      <c r="C20" s="126"/>
      <c r="F20" s="137"/>
      <c r="G20" s="138"/>
      <c r="H20" s="138"/>
      <c r="I20" s="139"/>
      <c r="J20" s="137"/>
      <c r="K20" s="137"/>
      <c r="M20" s="126"/>
      <c r="O20" s="137"/>
      <c r="P20" s="137"/>
      <c r="Q20" s="126"/>
    </row>
    <row r="21" spans="3:17" x14ac:dyDescent="0.3">
      <c r="C21" s="126"/>
      <c r="F21" s="137"/>
      <c r="G21" s="138"/>
      <c r="H21" s="138"/>
      <c r="I21" s="139"/>
      <c r="J21" s="137"/>
      <c r="K21" s="137"/>
      <c r="M21" s="126"/>
      <c r="O21" s="137"/>
      <c r="P21" s="137"/>
      <c r="Q21" s="126"/>
    </row>
    <row r="22" spans="3:17" x14ac:dyDescent="0.3">
      <c r="C22" s="126"/>
      <c r="F22" s="137"/>
      <c r="G22" s="138"/>
      <c r="H22" s="138"/>
      <c r="I22" s="139"/>
      <c r="J22" s="137"/>
      <c r="K22" s="137"/>
      <c r="M22" s="126"/>
      <c r="O22" s="137"/>
      <c r="P22" s="137"/>
      <c r="Q22" s="126"/>
    </row>
    <row r="23" spans="3:17" x14ac:dyDescent="0.3">
      <c r="C23" s="126"/>
      <c r="F23" s="137"/>
      <c r="G23" s="138"/>
      <c r="H23" s="138"/>
      <c r="I23" s="139"/>
      <c r="J23" s="137"/>
      <c r="K23" s="137"/>
      <c r="M23" s="126"/>
      <c r="O23" s="137"/>
      <c r="P23" s="137"/>
      <c r="Q23" s="126"/>
    </row>
    <row r="24" spans="3:17" x14ac:dyDescent="0.3">
      <c r="C24" s="126"/>
      <c r="F24" s="137"/>
      <c r="G24" s="138"/>
      <c r="H24" s="138"/>
      <c r="I24" s="139"/>
      <c r="J24" s="137"/>
      <c r="K24" s="137"/>
      <c r="M24" s="126"/>
      <c r="O24" s="137"/>
      <c r="P24" s="137"/>
      <c r="Q24" s="126"/>
    </row>
    <row r="25" spans="3:17" x14ac:dyDescent="0.3">
      <c r="C25" s="126"/>
      <c r="F25" s="137"/>
      <c r="G25" s="138"/>
      <c r="H25" s="138"/>
      <c r="I25" s="139"/>
      <c r="J25" s="137"/>
      <c r="K25" s="137"/>
      <c r="M25" s="126"/>
      <c r="O25" s="137"/>
      <c r="P25" s="137"/>
      <c r="Q25" s="126"/>
    </row>
    <row r="26" spans="3:17" x14ac:dyDescent="0.3">
      <c r="C26" s="126"/>
      <c r="F26" s="137"/>
      <c r="G26" s="138"/>
      <c r="H26" s="138"/>
      <c r="I26" s="139"/>
      <c r="J26" s="137"/>
      <c r="K26" s="137"/>
      <c r="M26" s="126"/>
      <c r="O26" s="137"/>
      <c r="P26" s="137"/>
      <c r="Q26" s="126"/>
    </row>
    <row r="27" spans="3:17" x14ac:dyDescent="0.3">
      <c r="C27" s="126"/>
      <c r="F27" s="137"/>
      <c r="G27" s="138"/>
      <c r="H27" s="138"/>
      <c r="I27" s="139"/>
      <c r="J27" s="137"/>
      <c r="K27" s="137"/>
      <c r="M27" s="126"/>
      <c r="O27" s="137"/>
      <c r="P27" s="137"/>
      <c r="Q27" s="126"/>
    </row>
    <row r="28" spans="3:17" x14ac:dyDescent="0.3">
      <c r="C28" s="126"/>
      <c r="F28" s="137"/>
      <c r="G28" s="138"/>
      <c r="H28" s="138"/>
      <c r="I28" s="139"/>
      <c r="J28" s="137"/>
      <c r="K28" s="137"/>
      <c r="M28" s="126"/>
      <c r="O28" s="137"/>
      <c r="P28" s="137"/>
      <c r="Q28" s="126"/>
    </row>
    <row r="29" spans="3:17" x14ac:dyDescent="0.3">
      <c r="C29" s="126"/>
      <c r="F29" s="137"/>
      <c r="G29" s="138"/>
      <c r="H29" s="138"/>
      <c r="I29" s="139"/>
      <c r="J29" s="137"/>
      <c r="K29" s="137"/>
      <c r="M29" s="126"/>
      <c r="O29" s="137"/>
      <c r="P29" s="137"/>
      <c r="Q29" s="126"/>
    </row>
    <row r="30" spans="3:17" x14ac:dyDescent="0.3">
      <c r="C30" s="126"/>
      <c r="F30" s="137"/>
      <c r="G30" s="138"/>
      <c r="H30" s="138"/>
      <c r="I30" s="139"/>
      <c r="J30" s="137"/>
      <c r="K30" s="137"/>
      <c r="M30" s="126"/>
      <c r="O30" s="137"/>
      <c r="P30" s="137"/>
      <c r="Q30" s="126"/>
    </row>
    <row r="31" spans="3:17" x14ac:dyDescent="0.3">
      <c r="C31" s="126"/>
      <c r="F31" s="137"/>
      <c r="G31" s="138"/>
      <c r="H31" s="138"/>
      <c r="I31" s="139"/>
      <c r="J31" s="137"/>
      <c r="K31" s="137"/>
      <c r="M31" s="126"/>
      <c r="O31" s="137"/>
      <c r="P31" s="137"/>
      <c r="Q31" s="126"/>
    </row>
    <row r="32" spans="3:17" x14ac:dyDescent="0.3">
      <c r="C32" s="126"/>
      <c r="F32" s="137"/>
      <c r="G32" s="138"/>
      <c r="H32" s="138"/>
      <c r="I32" s="139"/>
      <c r="J32" s="137"/>
      <c r="K32" s="137"/>
      <c r="M32" s="126"/>
      <c r="O32" s="137"/>
      <c r="P32" s="137"/>
      <c r="Q32" s="126"/>
    </row>
    <row r="33" spans="3:17" x14ac:dyDescent="0.3">
      <c r="C33" s="126"/>
      <c r="F33" s="137"/>
      <c r="G33" s="138"/>
      <c r="H33" s="138"/>
      <c r="I33" s="139"/>
      <c r="J33" s="137"/>
      <c r="K33" s="137"/>
      <c r="M33" s="126"/>
      <c r="O33" s="137"/>
      <c r="P33" s="137"/>
      <c r="Q33" s="126"/>
    </row>
    <row r="34" spans="3:17" x14ac:dyDescent="0.3">
      <c r="C34" s="126"/>
      <c r="F34" s="137"/>
      <c r="G34" s="138"/>
      <c r="H34" s="138"/>
      <c r="I34" s="139"/>
      <c r="J34" s="137"/>
      <c r="K34" s="137"/>
      <c r="M34" s="126"/>
      <c r="O34" s="137"/>
      <c r="P34" s="137"/>
      <c r="Q34" s="126"/>
    </row>
    <row r="35" spans="3:17" x14ac:dyDescent="0.3">
      <c r="C35" s="126"/>
      <c r="F35" s="137"/>
      <c r="G35" s="138"/>
      <c r="H35" s="138"/>
      <c r="I35" s="139"/>
      <c r="J35" s="137"/>
      <c r="K35" s="137"/>
      <c r="M35" s="126"/>
      <c r="O35" s="137"/>
      <c r="P35" s="137"/>
      <c r="Q35" s="126"/>
    </row>
    <row r="36" spans="3:17" x14ac:dyDescent="0.3">
      <c r="C36" s="126"/>
      <c r="F36" s="137"/>
      <c r="G36" s="138"/>
      <c r="H36" s="138"/>
      <c r="I36" s="139"/>
      <c r="J36" s="137"/>
      <c r="K36" s="137"/>
      <c r="M36" s="126"/>
      <c r="O36" s="137"/>
      <c r="P36" s="137"/>
      <c r="Q36" s="126"/>
    </row>
    <row r="37" spans="3:17" x14ac:dyDescent="0.3">
      <c r="C37" s="126"/>
      <c r="F37" s="137"/>
      <c r="G37" s="138"/>
      <c r="H37" s="138"/>
      <c r="I37" s="139"/>
      <c r="J37" s="137"/>
      <c r="K37" s="137"/>
      <c r="M37" s="126"/>
      <c r="O37" s="137"/>
      <c r="P37" s="137"/>
      <c r="Q37" s="126"/>
    </row>
    <row r="38" spans="3:17" x14ac:dyDescent="0.3">
      <c r="C38" s="126"/>
      <c r="F38" s="137"/>
      <c r="G38" s="138"/>
      <c r="H38" s="138"/>
      <c r="I38" s="139"/>
      <c r="J38" s="137"/>
      <c r="K38" s="137"/>
      <c r="M38" s="126"/>
      <c r="O38" s="137"/>
      <c r="P38" s="137"/>
      <c r="Q38" s="126"/>
    </row>
    <row r="39" spans="3:17" x14ac:dyDescent="0.3">
      <c r="C39" s="126"/>
      <c r="F39" s="137"/>
      <c r="G39" s="138"/>
      <c r="H39" s="138"/>
      <c r="I39" s="139"/>
      <c r="J39" s="137"/>
      <c r="K39" s="137"/>
      <c r="M39" s="126"/>
      <c r="O39" s="137"/>
      <c r="P39" s="137"/>
      <c r="Q39" s="126"/>
    </row>
    <row r="40" spans="3:17" x14ac:dyDescent="0.3">
      <c r="C40" s="126"/>
      <c r="F40" s="137"/>
      <c r="G40" s="138"/>
      <c r="H40" s="138"/>
      <c r="I40" s="139"/>
      <c r="J40" s="137"/>
      <c r="K40" s="137"/>
      <c r="M40" s="126"/>
      <c r="O40" s="137"/>
      <c r="P40" s="137"/>
      <c r="Q40" s="126"/>
    </row>
    <row r="41" spans="3:17" x14ac:dyDescent="0.3">
      <c r="C41" s="126"/>
      <c r="F41" s="137"/>
      <c r="G41" s="138"/>
      <c r="H41" s="138"/>
      <c r="I41" s="139"/>
      <c r="J41" s="137"/>
      <c r="K41" s="137"/>
      <c r="M41" s="126"/>
      <c r="O41" s="137"/>
      <c r="P41" s="137"/>
      <c r="Q41" s="126"/>
    </row>
    <row r="42" spans="3:17" x14ac:dyDescent="0.3">
      <c r="C42" s="126"/>
      <c r="F42" s="137"/>
      <c r="G42" s="138"/>
      <c r="H42" s="138"/>
      <c r="I42" s="139"/>
      <c r="J42" s="137"/>
      <c r="K42" s="137"/>
      <c r="M42" s="126"/>
      <c r="O42" s="137"/>
      <c r="P42" s="137"/>
      <c r="Q42" s="126"/>
    </row>
    <row r="43" spans="3:17" x14ac:dyDescent="0.3">
      <c r="C43" s="126"/>
      <c r="F43" s="137"/>
      <c r="G43" s="138"/>
      <c r="H43" s="138"/>
      <c r="I43" s="139"/>
      <c r="J43" s="137"/>
      <c r="K43" s="137"/>
      <c r="M43" s="126"/>
      <c r="O43" s="137"/>
      <c r="P43" s="137"/>
      <c r="Q43" s="126"/>
    </row>
    <row r="44" spans="3:17" x14ac:dyDescent="0.3">
      <c r="C44" s="126"/>
      <c r="F44" s="137"/>
      <c r="G44" s="138"/>
      <c r="H44" s="138"/>
      <c r="I44" s="139"/>
      <c r="J44" s="137"/>
      <c r="K44" s="137"/>
      <c r="M44" s="126"/>
      <c r="O44" s="137"/>
      <c r="P44" s="137"/>
      <c r="Q44" s="126"/>
    </row>
    <row r="45" spans="3:17" x14ac:dyDescent="0.3">
      <c r="C45" s="126"/>
      <c r="F45" s="137"/>
      <c r="G45" s="138"/>
      <c r="H45" s="138"/>
      <c r="I45" s="139"/>
      <c r="J45" s="137"/>
      <c r="K45" s="137"/>
      <c r="M45" s="126"/>
      <c r="O45" s="137"/>
      <c r="P45" s="137"/>
      <c r="Q45" s="126"/>
    </row>
    <row r="46" spans="3:17" x14ac:dyDescent="0.3">
      <c r="C46" s="126"/>
      <c r="F46" s="137"/>
      <c r="G46" s="138"/>
      <c r="H46" s="138"/>
      <c r="I46" s="139"/>
      <c r="J46" s="137"/>
      <c r="K46" s="137"/>
      <c r="M46" s="126"/>
      <c r="O46" s="137"/>
      <c r="P46" s="137"/>
      <c r="Q46" s="126"/>
    </row>
    <row r="47" spans="3:17" x14ac:dyDescent="0.3">
      <c r="C47" s="126"/>
      <c r="F47" s="137"/>
      <c r="G47" s="138"/>
      <c r="H47" s="138"/>
      <c r="I47" s="139"/>
      <c r="J47" s="137"/>
      <c r="K47" s="137"/>
      <c r="M47" s="126"/>
      <c r="O47" s="137"/>
      <c r="P47" s="137"/>
      <c r="Q47" s="126"/>
    </row>
    <row r="48" spans="3:17" x14ac:dyDescent="0.3">
      <c r="C48" s="126"/>
      <c r="F48" s="137"/>
      <c r="G48" s="138"/>
      <c r="H48" s="138"/>
      <c r="I48" s="139"/>
      <c r="J48" s="137"/>
      <c r="K48" s="137"/>
      <c r="M48" s="126"/>
      <c r="O48" s="137"/>
      <c r="P48" s="137"/>
      <c r="Q48" s="126"/>
    </row>
    <row r="49" spans="3:17" x14ac:dyDescent="0.3">
      <c r="C49" s="126"/>
      <c r="F49" s="137"/>
      <c r="G49" s="138"/>
      <c r="H49" s="138"/>
      <c r="I49" s="139"/>
      <c r="J49" s="137"/>
      <c r="K49" s="137"/>
      <c r="M49" s="126"/>
      <c r="O49" s="137"/>
      <c r="P49" s="137"/>
      <c r="Q49" s="126"/>
    </row>
    <row r="50" spans="3:17" x14ac:dyDescent="0.3">
      <c r="C50" s="126"/>
      <c r="F50" s="137"/>
      <c r="G50" s="138"/>
      <c r="H50" s="138"/>
      <c r="I50" s="139"/>
      <c r="J50" s="137"/>
      <c r="K50" s="137"/>
      <c r="M50" s="126"/>
      <c r="O50" s="137"/>
      <c r="P50" s="137"/>
      <c r="Q50" s="126"/>
    </row>
    <row r="51" spans="3:17" x14ac:dyDescent="0.3">
      <c r="C51" s="126"/>
      <c r="F51" s="137"/>
      <c r="G51" s="138"/>
      <c r="H51" s="138"/>
      <c r="I51" s="139"/>
      <c r="J51" s="137"/>
      <c r="K51" s="137"/>
      <c r="M51" s="126"/>
      <c r="O51" s="137"/>
      <c r="P51" s="137"/>
      <c r="Q51" s="126"/>
    </row>
    <row r="52" spans="3:17" x14ac:dyDescent="0.3">
      <c r="C52" s="126"/>
      <c r="F52" s="137"/>
      <c r="G52" s="138"/>
      <c r="H52" s="138"/>
      <c r="I52" s="139"/>
      <c r="J52" s="137"/>
      <c r="K52" s="137"/>
      <c r="M52" s="126"/>
      <c r="O52" s="137"/>
      <c r="P52" s="137"/>
      <c r="Q52" s="126"/>
    </row>
    <row r="53" spans="3:17" x14ac:dyDescent="0.3">
      <c r="C53" s="126"/>
      <c r="F53" s="137"/>
      <c r="G53" s="138"/>
      <c r="H53" s="138"/>
      <c r="I53" s="139"/>
      <c r="J53" s="137"/>
      <c r="K53" s="137"/>
      <c r="M53" s="126"/>
      <c r="O53" s="137"/>
      <c r="P53" s="137"/>
      <c r="Q53" s="126"/>
    </row>
    <row r="54" spans="3:17" x14ac:dyDescent="0.3">
      <c r="C54" s="126"/>
      <c r="F54" s="137"/>
      <c r="G54" s="138"/>
      <c r="H54" s="138"/>
      <c r="I54" s="139"/>
      <c r="J54" s="137"/>
      <c r="K54" s="137"/>
      <c r="M54" s="126"/>
      <c r="O54" s="137"/>
      <c r="P54" s="137"/>
      <c r="Q54" s="126"/>
    </row>
    <row r="55" spans="3:17" x14ac:dyDescent="0.3">
      <c r="C55" s="126"/>
      <c r="F55" s="137"/>
      <c r="G55" s="138"/>
      <c r="H55" s="138"/>
      <c r="I55" s="139"/>
      <c r="J55" s="137"/>
      <c r="K55" s="137"/>
      <c r="M55" s="126"/>
      <c r="O55" s="137"/>
      <c r="P55" s="137"/>
      <c r="Q55" s="126"/>
    </row>
    <row r="56" spans="3:17" x14ac:dyDescent="0.3">
      <c r="C56" s="126"/>
      <c r="F56" s="137"/>
      <c r="G56" s="138"/>
      <c r="H56" s="138"/>
      <c r="I56" s="139"/>
      <c r="J56" s="137"/>
      <c r="K56" s="137"/>
      <c r="M56" s="126"/>
      <c r="O56" s="137"/>
      <c r="P56" s="137"/>
      <c r="Q56" s="126"/>
    </row>
    <row r="57" spans="3:17" x14ac:dyDescent="0.3">
      <c r="C57" s="126"/>
      <c r="F57" s="137"/>
      <c r="G57" s="138"/>
      <c r="H57" s="138"/>
      <c r="I57" s="139"/>
      <c r="J57" s="137"/>
      <c r="K57" s="137"/>
      <c r="M57" s="126"/>
      <c r="O57" s="137"/>
      <c r="P57" s="137"/>
      <c r="Q57" s="126"/>
    </row>
    <row r="58" spans="3:17" x14ac:dyDescent="0.3">
      <c r="C58" s="126"/>
      <c r="F58" s="137"/>
      <c r="G58" s="138"/>
      <c r="H58" s="138"/>
      <c r="I58" s="139"/>
      <c r="J58" s="137"/>
      <c r="K58" s="137"/>
      <c r="M58" s="126"/>
      <c r="O58" s="137"/>
      <c r="P58" s="137"/>
      <c r="Q58" s="126"/>
    </row>
    <row r="59" spans="3:17" x14ac:dyDescent="0.3">
      <c r="C59" s="126"/>
      <c r="F59" s="137"/>
      <c r="G59" s="138"/>
      <c r="H59" s="138"/>
      <c r="I59" s="139"/>
      <c r="J59" s="137"/>
      <c r="K59" s="137"/>
      <c r="M59" s="126"/>
      <c r="O59" s="137"/>
      <c r="P59" s="137"/>
      <c r="Q59" s="126"/>
    </row>
    <row r="60" spans="3:17" x14ac:dyDescent="0.3">
      <c r="C60" s="126"/>
      <c r="F60" s="137"/>
      <c r="G60" s="138"/>
      <c r="H60" s="138"/>
      <c r="I60" s="139"/>
      <c r="J60" s="137"/>
      <c r="K60" s="137"/>
      <c r="M60" s="126"/>
      <c r="O60" s="137"/>
      <c r="P60" s="137"/>
      <c r="Q60" s="126"/>
    </row>
    <row r="61" spans="3:17" x14ac:dyDescent="0.3">
      <c r="C61" s="126"/>
      <c r="F61" s="137"/>
      <c r="G61" s="138"/>
      <c r="H61" s="138"/>
      <c r="I61" s="139"/>
      <c r="J61" s="137"/>
      <c r="K61" s="137"/>
      <c r="M61" s="126"/>
      <c r="O61" s="137"/>
      <c r="P61" s="137"/>
      <c r="Q61" s="126"/>
    </row>
    <row r="62" spans="3:17" x14ac:dyDescent="0.3">
      <c r="C62" s="126"/>
      <c r="F62" s="137"/>
      <c r="G62" s="138"/>
      <c r="H62" s="138"/>
      <c r="I62" s="139"/>
      <c r="J62" s="137"/>
      <c r="K62" s="137"/>
      <c r="M62" s="126"/>
      <c r="O62" s="137"/>
      <c r="P62" s="137"/>
      <c r="Q62" s="126"/>
    </row>
    <row r="63" spans="3:17" x14ac:dyDescent="0.3">
      <c r="C63" s="126"/>
      <c r="F63" s="137"/>
      <c r="G63" s="138"/>
      <c r="H63" s="138"/>
      <c r="I63" s="139"/>
      <c r="J63" s="137"/>
      <c r="K63" s="137"/>
      <c r="M63" s="126"/>
      <c r="O63" s="137"/>
      <c r="P63" s="137"/>
      <c r="Q63" s="126"/>
    </row>
    <row r="64" spans="3:17" x14ac:dyDescent="0.3">
      <c r="C64" s="126"/>
      <c r="F64" s="137"/>
      <c r="G64" s="138"/>
      <c r="H64" s="138"/>
      <c r="I64" s="139"/>
      <c r="J64" s="137"/>
      <c r="K64" s="137"/>
      <c r="M64" s="126"/>
      <c r="O64" s="137"/>
      <c r="P64" s="137"/>
      <c r="Q64" s="126"/>
    </row>
    <row r="65" spans="3:17" x14ac:dyDescent="0.3">
      <c r="C65" s="126"/>
      <c r="F65" s="137"/>
      <c r="G65" s="138"/>
      <c r="H65" s="138"/>
      <c r="I65" s="139"/>
      <c r="J65" s="137"/>
      <c r="K65" s="137"/>
      <c r="M65" s="126"/>
      <c r="O65" s="137"/>
      <c r="P65" s="137"/>
      <c r="Q65" s="126"/>
    </row>
    <row r="66" spans="3:17" x14ac:dyDescent="0.3">
      <c r="C66" s="126"/>
      <c r="F66" s="137"/>
      <c r="G66" s="138"/>
      <c r="H66" s="138"/>
      <c r="I66" s="139"/>
      <c r="J66" s="137"/>
      <c r="K66" s="137"/>
      <c r="M66" s="126"/>
      <c r="O66" s="137"/>
      <c r="P66" s="137"/>
      <c r="Q66" s="126"/>
    </row>
    <row r="67" spans="3:17" x14ac:dyDescent="0.3">
      <c r="C67" s="126"/>
      <c r="F67" s="137"/>
      <c r="G67" s="138"/>
      <c r="H67" s="138"/>
      <c r="I67" s="139"/>
      <c r="J67" s="137"/>
      <c r="K67" s="137"/>
      <c r="M67" s="126"/>
      <c r="O67" s="137"/>
      <c r="P67" s="137"/>
      <c r="Q67" s="126"/>
    </row>
    <row r="68" spans="3:17" x14ac:dyDescent="0.3">
      <c r="C68" s="126"/>
      <c r="F68" s="137"/>
      <c r="G68" s="138"/>
      <c r="H68" s="138"/>
      <c r="I68" s="139"/>
      <c r="J68" s="137"/>
      <c r="K68" s="137"/>
      <c r="M68" s="126"/>
      <c r="O68" s="137"/>
      <c r="P68" s="137"/>
      <c r="Q68" s="126"/>
    </row>
    <row r="69" spans="3:17" x14ac:dyDescent="0.3">
      <c r="C69" s="126"/>
      <c r="F69" s="137"/>
      <c r="G69" s="138"/>
      <c r="H69" s="138"/>
      <c r="I69" s="139"/>
      <c r="J69" s="137"/>
      <c r="K69" s="137"/>
      <c r="M69" s="126"/>
      <c r="O69" s="137"/>
      <c r="P69" s="137"/>
      <c r="Q69" s="126"/>
    </row>
    <row r="70" spans="3:17" x14ac:dyDescent="0.3">
      <c r="C70" s="126"/>
      <c r="F70" s="137"/>
      <c r="G70" s="138"/>
      <c r="H70" s="138"/>
      <c r="I70" s="139"/>
      <c r="J70" s="137"/>
      <c r="K70" s="137"/>
      <c r="M70" s="126"/>
      <c r="O70" s="137"/>
      <c r="P70" s="137"/>
      <c r="Q70" s="126"/>
    </row>
    <row r="71" spans="3:17" x14ac:dyDescent="0.3">
      <c r="C71" s="126"/>
      <c r="F71" s="137"/>
      <c r="G71" s="138"/>
      <c r="H71" s="138"/>
      <c r="I71" s="139"/>
      <c r="J71" s="137"/>
      <c r="K71" s="137"/>
      <c r="M71" s="126"/>
      <c r="O71" s="137"/>
      <c r="P71" s="137"/>
      <c r="Q71" s="126"/>
    </row>
    <row r="72" spans="3:17" x14ac:dyDescent="0.3">
      <c r="C72" s="126"/>
      <c r="F72" s="137"/>
      <c r="G72" s="138"/>
      <c r="H72" s="138"/>
      <c r="I72" s="139"/>
      <c r="J72" s="137"/>
      <c r="K72" s="137"/>
      <c r="M72" s="126"/>
      <c r="O72" s="137"/>
      <c r="P72" s="137"/>
      <c r="Q72" s="126"/>
    </row>
    <row r="73" spans="3:17" x14ac:dyDescent="0.3">
      <c r="C73" s="126"/>
      <c r="F73" s="137"/>
      <c r="G73" s="138"/>
      <c r="H73" s="138"/>
      <c r="I73" s="139"/>
      <c r="J73" s="137"/>
      <c r="K73" s="137"/>
      <c r="M73" s="126"/>
      <c r="O73" s="137"/>
      <c r="P73" s="137"/>
      <c r="Q73" s="126"/>
    </row>
    <row r="74" spans="3:17" x14ac:dyDescent="0.3">
      <c r="C74" s="126"/>
      <c r="F74" s="137"/>
      <c r="G74" s="138"/>
      <c r="H74" s="138"/>
      <c r="I74" s="139"/>
      <c r="J74" s="137"/>
      <c r="K74" s="137"/>
      <c r="M74" s="126"/>
      <c r="O74" s="137"/>
      <c r="P74" s="137"/>
      <c r="Q74" s="126"/>
    </row>
    <row r="75" spans="3:17" x14ac:dyDescent="0.3">
      <c r="C75" s="126"/>
      <c r="F75" s="137"/>
      <c r="G75" s="138"/>
      <c r="H75" s="138"/>
      <c r="I75" s="139"/>
      <c r="J75" s="137"/>
      <c r="K75" s="137"/>
      <c r="M75" s="126"/>
      <c r="O75" s="137"/>
      <c r="P75" s="137"/>
      <c r="Q75" s="126"/>
    </row>
    <row r="76" spans="3:17" x14ac:dyDescent="0.3">
      <c r="C76" s="126"/>
      <c r="F76" s="137"/>
      <c r="G76" s="138"/>
      <c r="H76" s="138"/>
      <c r="I76" s="139"/>
      <c r="J76" s="137"/>
      <c r="K76" s="137"/>
      <c r="M76" s="126"/>
      <c r="O76" s="137"/>
      <c r="P76" s="137"/>
      <c r="Q76" s="126"/>
    </row>
    <row r="77" spans="3:17" x14ac:dyDescent="0.3">
      <c r="C77" s="126"/>
      <c r="F77" s="137"/>
      <c r="G77" s="138"/>
      <c r="H77" s="138"/>
      <c r="I77" s="139"/>
      <c r="J77" s="137"/>
      <c r="K77" s="137"/>
      <c r="M77" s="126"/>
      <c r="O77" s="137"/>
      <c r="P77" s="137"/>
      <c r="Q77" s="126"/>
    </row>
    <row r="78" spans="3:17" x14ac:dyDescent="0.3">
      <c r="C78" s="126"/>
      <c r="F78" s="137"/>
      <c r="G78" s="138"/>
      <c r="H78" s="138"/>
      <c r="I78" s="139"/>
      <c r="J78" s="137"/>
      <c r="K78" s="137"/>
      <c r="M78" s="126"/>
      <c r="O78" s="137"/>
      <c r="P78" s="137"/>
      <c r="Q78" s="126"/>
    </row>
    <row r="79" spans="3:17" x14ac:dyDescent="0.3">
      <c r="C79" s="126"/>
      <c r="F79" s="137"/>
      <c r="G79" s="138"/>
      <c r="H79" s="138"/>
      <c r="I79" s="139"/>
      <c r="J79" s="137"/>
      <c r="K79" s="137"/>
      <c r="M79" s="126"/>
      <c r="O79" s="137"/>
      <c r="P79" s="137"/>
      <c r="Q79" s="126"/>
    </row>
    <row r="80" spans="3:17" x14ac:dyDescent="0.3">
      <c r="C80" s="126"/>
      <c r="F80" s="137"/>
      <c r="G80" s="138"/>
      <c r="H80" s="138"/>
      <c r="I80" s="139"/>
      <c r="J80" s="137"/>
      <c r="K80" s="137"/>
      <c r="M80" s="126"/>
      <c r="O80" s="137"/>
      <c r="P80" s="137"/>
      <c r="Q80" s="126"/>
    </row>
    <row r="81" spans="3:17" x14ac:dyDescent="0.3">
      <c r="C81" s="126"/>
      <c r="F81" s="137"/>
      <c r="G81" s="138"/>
      <c r="H81" s="138"/>
      <c r="I81" s="139"/>
      <c r="J81" s="137"/>
      <c r="K81" s="137"/>
      <c r="M81" s="126"/>
      <c r="O81" s="137"/>
      <c r="P81" s="137"/>
      <c r="Q81" s="126"/>
    </row>
    <row r="82" spans="3:17" x14ac:dyDescent="0.3">
      <c r="C82" s="126"/>
      <c r="F82" s="137"/>
      <c r="G82" s="138"/>
      <c r="H82" s="138"/>
      <c r="I82" s="139"/>
      <c r="J82" s="137"/>
      <c r="K82" s="137"/>
      <c r="M82" s="126"/>
      <c r="O82" s="137"/>
      <c r="P82" s="137"/>
      <c r="Q82" s="126"/>
    </row>
    <row r="83" spans="3:17" x14ac:dyDescent="0.3">
      <c r="C83" s="126"/>
      <c r="F83" s="137"/>
      <c r="G83" s="138"/>
      <c r="H83" s="138"/>
      <c r="I83" s="139"/>
      <c r="J83" s="137"/>
      <c r="K83" s="137"/>
      <c r="M83" s="126"/>
      <c r="O83" s="137"/>
      <c r="P83" s="137"/>
      <c r="Q83" s="126"/>
    </row>
    <row r="84" spans="3:17" x14ac:dyDescent="0.3">
      <c r="C84" s="126"/>
      <c r="F84" s="137"/>
      <c r="G84" s="138"/>
      <c r="H84" s="138"/>
      <c r="I84" s="139"/>
      <c r="J84" s="137"/>
      <c r="K84" s="137"/>
      <c r="M84" s="126"/>
      <c r="O84" s="137"/>
      <c r="P84" s="137"/>
      <c r="Q84" s="126"/>
    </row>
    <row r="85" spans="3:17" x14ac:dyDescent="0.3">
      <c r="C85" s="126"/>
      <c r="F85" s="137"/>
      <c r="G85" s="138"/>
      <c r="H85" s="138"/>
      <c r="I85" s="139"/>
      <c r="J85" s="137"/>
      <c r="K85" s="137"/>
      <c r="M85" s="126"/>
      <c r="O85" s="137"/>
      <c r="P85" s="137"/>
      <c r="Q85" s="126"/>
    </row>
    <row r="86" spans="3:17" x14ac:dyDescent="0.3">
      <c r="C86" s="126"/>
      <c r="F86" s="137"/>
      <c r="G86" s="138"/>
      <c r="H86" s="138"/>
      <c r="I86" s="139"/>
      <c r="J86" s="137"/>
      <c r="K86" s="137"/>
      <c r="M86" s="126"/>
      <c r="O86" s="137"/>
      <c r="P86" s="137"/>
      <c r="Q86" s="126"/>
    </row>
    <row r="87" spans="3:17" x14ac:dyDescent="0.3">
      <c r="C87" s="126"/>
      <c r="F87" s="137"/>
      <c r="G87" s="138"/>
      <c r="H87" s="138"/>
      <c r="I87" s="139"/>
      <c r="J87" s="137"/>
      <c r="K87" s="137"/>
      <c r="M87" s="126"/>
      <c r="O87" s="137"/>
      <c r="P87" s="137"/>
      <c r="Q87" s="126"/>
    </row>
    <row r="88" spans="3:17" x14ac:dyDescent="0.3">
      <c r="C88" s="126"/>
      <c r="F88" s="137"/>
      <c r="G88" s="138"/>
      <c r="H88" s="138"/>
      <c r="I88" s="139"/>
      <c r="J88" s="137"/>
      <c r="K88" s="137"/>
      <c r="M88" s="126"/>
      <c r="O88" s="137"/>
      <c r="P88" s="137"/>
      <c r="Q88" s="126"/>
    </row>
    <row r="89" spans="3:17" x14ac:dyDescent="0.3">
      <c r="C89" s="126"/>
      <c r="F89" s="137"/>
      <c r="G89" s="138"/>
      <c r="H89" s="138"/>
      <c r="I89" s="139"/>
      <c r="J89" s="137"/>
      <c r="K89" s="137"/>
      <c r="M89" s="126"/>
      <c r="O89" s="137"/>
      <c r="P89" s="137"/>
      <c r="Q89" s="126"/>
    </row>
    <row r="90" spans="3:17" x14ac:dyDescent="0.3">
      <c r="C90" s="126"/>
      <c r="F90" s="137"/>
      <c r="G90" s="138"/>
      <c r="H90" s="138"/>
      <c r="I90" s="139"/>
      <c r="J90" s="137"/>
      <c r="K90" s="137"/>
      <c r="M90" s="126"/>
      <c r="O90" s="137"/>
      <c r="P90" s="137"/>
      <c r="Q90" s="126"/>
    </row>
    <row r="91" spans="3:17" x14ac:dyDescent="0.3">
      <c r="C91" s="126"/>
      <c r="F91" s="137"/>
      <c r="G91" s="138"/>
      <c r="H91" s="138"/>
      <c r="I91" s="139"/>
      <c r="J91" s="137"/>
      <c r="K91" s="137"/>
      <c r="M91" s="126"/>
      <c r="O91" s="137"/>
      <c r="P91" s="137"/>
      <c r="Q91" s="126"/>
    </row>
    <row r="92" spans="3:17" x14ac:dyDescent="0.3">
      <c r="C92" s="126"/>
      <c r="F92" s="137"/>
      <c r="G92" s="138"/>
      <c r="H92" s="138"/>
      <c r="I92" s="139"/>
      <c r="J92" s="137"/>
      <c r="K92" s="137"/>
      <c r="M92" s="126"/>
      <c r="O92" s="137"/>
      <c r="P92" s="137"/>
      <c r="Q92" s="126"/>
    </row>
    <row r="93" spans="3:17" x14ac:dyDescent="0.3">
      <c r="C93" s="126"/>
      <c r="F93" s="137"/>
      <c r="G93" s="138"/>
      <c r="H93" s="138"/>
      <c r="I93" s="139"/>
      <c r="J93" s="137"/>
      <c r="K93" s="137"/>
      <c r="M93" s="126"/>
      <c r="O93" s="137"/>
      <c r="P93" s="137"/>
      <c r="Q93" s="126"/>
    </row>
    <row r="94" spans="3:17" x14ac:dyDescent="0.3">
      <c r="C94" s="126"/>
      <c r="F94" s="137"/>
      <c r="G94" s="138"/>
      <c r="H94" s="138"/>
      <c r="I94" s="139"/>
      <c r="J94" s="137"/>
      <c r="K94" s="137"/>
      <c r="M94" s="126"/>
      <c r="O94" s="137"/>
      <c r="P94" s="137"/>
      <c r="Q94" s="126"/>
    </row>
    <row r="95" spans="3:17" x14ac:dyDescent="0.3">
      <c r="C95" s="126"/>
      <c r="F95" s="137"/>
      <c r="G95" s="138"/>
      <c r="H95" s="138"/>
      <c r="I95" s="139"/>
      <c r="J95" s="137"/>
      <c r="K95" s="137"/>
      <c r="M95" s="126"/>
      <c r="O95" s="137"/>
      <c r="P95" s="137"/>
      <c r="Q95" s="126"/>
    </row>
    <row r="96" spans="3:17" x14ac:dyDescent="0.3">
      <c r="C96" s="126"/>
      <c r="F96" s="137"/>
      <c r="G96" s="138"/>
      <c r="H96" s="138"/>
      <c r="I96" s="139"/>
      <c r="J96" s="137"/>
      <c r="K96" s="137"/>
      <c r="M96" s="126"/>
      <c r="O96" s="137"/>
      <c r="P96" s="137"/>
      <c r="Q96" s="126"/>
    </row>
    <row r="97" spans="3:17" x14ac:dyDescent="0.3">
      <c r="C97" s="126"/>
      <c r="F97" s="137"/>
      <c r="G97" s="138"/>
      <c r="H97" s="138"/>
      <c r="I97" s="139"/>
      <c r="J97" s="137"/>
      <c r="K97" s="137"/>
      <c r="M97" s="126"/>
      <c r="O97" s="137"/>
      <c r="P97" s="137"/>
      <c r="Q97" s="126"/>
    </row>
    <row r="98" spans="3:17" x14ac:dyDescent="0.3">
      <c r="C98" s="126"/>
      <c r="F98" s="137"/>
      <c r="G98" s="138"/>
      <c r="H98" s="138"/>
      <c r="I98" s="139"/>
      <c r="J98" s="137"/>
      <c r="K98" s="137"/>
      <c r="M98" s="126"/>
      <c r="O98" s="137"/>
      <c r="P98" s="137"/>
      <c r="Q98" s="126"/>
    </row>
    <row r="99" spans="3:17" x14ac:dyDescent="0.3">
      <c r="C99" s="126"/>
      <c r="F99" s="137"/>
      <c r="G99" s="138"/>
      <c r="H99" s="138"/>
      <c r="I99" s="139"/>
      <c r="J99" s="137"/>
      <c r="K99" s="137"/>
      <c r="M99" s="126"/>
      <c r="O99" s="137"/>
      <c r="P99" s="137"/>
      <c r="Q99" s="126"/>
    </row>
    <row r="100" spans="3:17" x14ac:dyDescent="0.3">
      <c r="C100" s="126"/>
      <c r="F100" s="137"/>
      <c r="G100" s="138"/>
      <c r="H100" s="138"/>
      <c r="I100" s="139"/>
      <c r="J100" s="137"/>
      <c r="K100" s="137"/>
      <c r="M100" s="126"/>
      <c r="O100" s="137"/>
      <c r="P100" s="137"/>
      <c r="Q100" s="126"/>
    </row>
    <row r="101" spans="3:17" x14ac:dyDescent="0.3">
      <c r="C101" s="126"/>
      <c r="F101" s="137"/>
      <c r="G101" s="138"/>
      <c r="H101" s="138"/>
      <c r="I101" s="139"/>
      <c r="J101" s="137"/>
      <c r="K101" s="137"/>
      <c r="M101" s="126"/>
      <c r="O101" s="137"/>
      <c r="P101" s="137"/>
      <c r="Q101" s="126"/>
    </row>
    <row r="102" spans="3:17" x14ac:dyDescent="0.3">
      <c r="C102" s="126"/>
      <c r="F102" s="137"/>
      <c r="G102" s="138"/>
      <c r="H102" s="138"/>
      <c r="I102" s="139"/>
      <c r="J102" s="137"/>
      <c r="K102" s="137"/>
      <c r="M102" s="126"/>
      <c r="O102" s="137"/>
      <c r="P102" s="137"/>
      <c r="Q102" s="126"/>
    </row>
    <row r="103" spans="3:17" x14ac:dyDescent="0.3">
      <c r="C103" s="126"/>
      <c r="F103" s="137"/>
      <c r="G103" s="138"/>
      <c r="H103" s="138"/>
      <c r="I103" s="139"/>
      <c r="J103" s="137"/>
      <c r="K103" s="137"/>
      <c r="M103" s="126"/>
      <c r="O103" s="137"/>
      <c r="P103" s="137"/>
      <c r="Q103" s="126"/>
    </row>
    <row r="104" spans="3:17" x14ac:dyDescent="0.3">
      <c r="C104" s="126"/>
      <c r="F104" s="137"/>
      <c r="G104" s="138"/>
      <c r="H104" s="138"/>
      <c r="I104" s="139"/>
      <c r="J104" s="137"/>
      <c r="K104" s="137"/>
      <c r="M104" s="126"/>
      <c r="O104" s="137"/>
      <c r="P104" s="137"/>
      <c r="Q104" s="126"/>
    </row>
    <row r="105" spans="3:17" x14ac:dyDescent="0.3">
      <c r="C105" s="126"/>
      <c r="F105" s="137"/>
      <c r="G105" s="138"/>
      <c r="H105" s="138"/>
      <c r="I105" s="139"/>
      <c r="J105" s="137"/>
      <c r="K105" s="137"/>
      <c r="M105" s="126"/>
      <c r="O105" s="137"/>
      <c r="P105" s="137"/>
      <c r="Q105" s="126"/>
    </row>
    <row r="106" spans="3:17" x14ac:dyDescent="0.3">
      <c r="C106" s="126"/>
      <c r="F106" s="137"/>
      <c r="G106" s="138"/>
      <c r="H106" s="138"/>
      <c r="I106" s="139"/>
      <c r="J106" s="137"/>
      <c r="K106" s="137"/>
      <c r="M106" s="126"/>
      <c r="O106" s="137"/>
      <c r="P106" s="137"/>
      <c r="Q106" s="126"/>
    </row>
    <row r="107" spans="3:17" x14ac:dyDescent="0.3">
      <c r="C107" s="126"/>
      <c r="F107" s="137"/>
      <c r="G107" s="138"/>
      <c r="H107" s="138"/>
      <c r="I107" s="139"/>
      <c r="J107" s="137"/>
      <c r="K107" s="137"/>
      <c r="M107" s="126"/>
      <c r="O107" s="137"/>
      <c r="P107" s="137"/>
      <c r="Q107" s="126"/>
    </row>
    <row r="108" spans="3:17" x14ac:dyDescent="0.3">
      <c r="C108" s="126"/>
      <c r="F108" s="137"/>
      <c r="G108" s="138"/>
      <c r="H108" s="138"/>
      <c r="I108" s="139"/>
      <c r="J108" s="137"/>
      <c r="K108" s="137"/>
      <c r="M108" s="126"/>
      <c r="O108" s="137"/>
      <c r="P108" s="137"/>
      <c r="Q108" s="126"/>
    </row>
    <row r="109" spans="3:17" x14ac:dyDescent="0.3">
      <c r="C109" s="126"/>
      <c r="F109" s="137"/>
      <c r="G109" s="138"/>
      <c r="H109" s="138"/>
      <c r="I109" s="139"/>
      <c r="J109" s="137"/>
      <c r="K109" s="137"/>
      <c r="M109" s="126"/>
      <c r="O109" s="137"/>
      <c r="P109" s="137"/>
      <c r="Q109" s="126"/>
    </row>
    <row r="110" spans="3:17" x14ac:dyDescent="0.3">
      <c r="C110" s="126"/>
      <c r="F110" s="137"/>
      <c r="G110" s="138"/>
      <c r="H110" s="138"/>
      <c r="I110" s="139"/>
      <c r="J110" s="137"/>
      <c r="K110" s="137"/>
      <c r="M110" s="126"/>
      <c r="O110" s="137"/>
      <c r="P110" s="137"/>
      <c r="Q110" s="126"/>
    </row>
    <row r="111" spans="3:17" x14ac:dyDescent="0.3">
      <c r="C111" s="126"/>
      <c r="F111" s="137"/>
      <c r="G111" s="138"/>
      <c r="H111" s="138"/>
      <c r="I111" s="139"/>
      <c r="J111" s="137"/>
      <c r="K111" s="137"/>
      <c r="M111" s="126"/>
      <c r="O111" s="137"/>
      <c r="P111" s="137"/>
      <c r="Q111" s="126"/>
    </row>
    <row r="112" spans="3:17" x14ac:dyDescent="0.3">
      <c r="C112" s="126"/>
      <c r="F112" s="137"/>
      <c r="G112" s="138"/>
      <c r="H112" s="138"/>
      <c r="I112" s="139"/>
      <c r="J112" s="137"/>
      <c r="K112" s="137"/>
      <c r="M112" s="126"/>
      <c r="O112" s="137"/>
      <c r="P112" s="137"/>
      <c r="Q112" s="126"/>
    </row>
    <row r="113" spans="3:17" x14ac:dyDescent="0.3">
      <c r="C113" s="126"/>
      <c r="F113" s="137"/>
      <c r="G113" s="138"/>
      <c r="H113" s="138"/>
      <c r="I113" s="139"/>
      <c r="J113" s="137"/>
      <c r="K113" s="137"/>
      <c r="M113" s="126"/>
      <c r="O113" s="137"/>
      <c r="P113" s="137"/>
      <c r="Q113" s="126"/>
    </row>
    <row r="114" spans="3:17" x14ac:dyDescent="0.3">
      <c r="C114" s="126"/>
      <c r="F114" s="137"/>
      <c r="G114" s="138"/>
      <c r="H114" s="138"/>
      <c r="I114" s="139"/>
      <c r="J114" s="137"/>
      <c r="K114" s="137"/>
      <c r="M114" s="126"/>
      <c r="O114" s="137"/>
      <c r="P114" s="137"/>
      <c r="Q114" s="126"/>
    </row>
    <row r="115" spans="3:17" x14ac:dyDescent="0.3">
      <c r="C115" s="126"/>
      <c r="F115" s="137"/>
      <c r="G115" s="138"/>
      <c r="H115" s="138"/>
      <c r="I115" s="139"/>
      <c r="J115" s="137"/>
      <c r="K115" s="137"/>
      <c r="M115" s="126"/>
      <c r="O115" s="137"/>
      <c r="P115" s="137"/>
      <c r="Q115" s="126"/>
    </row>
    <row r="116" spans="3:17" x14ac:dyDescent="0.3">
      <c r="C116" s="126"/>
      <c r="F116" s="137"/>
      <c r="G116" s="138"/>
      <c r="H116" s="138"/>
      <c r="I116" s="139"/>
      <c r="J116" s="137"/>
      <c r="K116" s="137"/>
      <c r="M116" s="126"/>
      <c r="O116" s="137"/>
      <c r="P116" s="137"/>
      <c r="Q116" s="126"/>
    </row>
    <row r="117" spans="3:17" x14ac:dyDescent="0.3">
      <c r="C117" s="126"/>
      <c r="F117" s="137"/>
      <c r="G117" s="138"/>
      <c r="H117" s="138"/>
      <c r="I117" s="139"/>
      <c r="J117" s="137"/>
      <c r="K117" s="137"/>
      <c r="M117" s="126"/>
      <c r="O117" s="137"/>
      <c r="P117" s="137"/>
      <c r="Q117" s="126"/>
    </row>
    <row r="118" spans="3:17" x14ac:dyDescent="0.3">
      <c r="C118" s="126"/>
      <c r="F118" s="137"/>
      <c r="G118" s="138"/>
      <c r="H118" s="138"/>
      <c r="I118" s="139"/>
      <c r="J118" s="137"/>
      <c r="K118" s="137"/>
      <c r="M118" s="126"/>
      <c r="O118" s="137"/>
      <c r="P118" s="137"/>
      <c r="Q118" s="126"/>
    </row>
    <row r="119" spans="3:17" x14ac:dyDescent="0.3">
      <c r="C119" s="126"/>
      <c r="F119" s="137"/>
      <c r="G119" s="138"/>
      <c r="H119" s="138"/>
      <c r="I119" s="139"/>
      <c r="J119" s="137"/>
      <c r="K119" s="137"/>
      <c r="M119" s="126"/>
      <c r="O119" s="137"/>
      <c r="P119" s="137"/>
      <c r="Q119" s="126"/>
    </row>
    <row r="120" spans="3:17" x14ac:dyDescent="0.3">
      <c r="C120" s="126"/>
      <c r="F120" s="137"/>
      <c r="G120" s="138"/>
      <c r="H120" s="138"/>
      <c r="I120" s="139"/>
      <c r="J120" s="137"/>
      <c r="K120" s="137"/>
      <c r="M120" s="126"/>
      <c r="O120" s="137"/>
      <c r="P120" s="137"/>
      <c r="Q120" s="126"/>
    </row>
    <row r="121" spans="3:17" x14ac:dyDescent="0.3">
      <c r="C121" s="126"/>
      <c r="F121" s="137"/>
      <c r="G121" s="138"/>
      <c r="H121" s="138"/>
      <c r="I121" s="139"/>
      <c r="J121" s="137"/>
      <c r="K121" s="137"/>
      <c r="M121" s="126"/>
      <c r="O121" s="137"/>
      <c r="P121" s="137"/>
      <c r="Q121" s="126"/>
    </row>
    <row r="122" spans="3:17" x14ac:dyDescent="0.3">
      <c r="C122" s="126"/>
      <c r="F122" s="137"/>
      <c r="G122" s="138"/>
      <c r="H122" s="138"/>
      <c r="I122" s="139"/>
      <c r="J122" s="137"/>
      <c r="K122" s="137"/>
      <c r="M122" s="126"/>
      <c r="O122" s="137"/>
      <c r="P122" s="137"/>
      <c r="Q122" s="126"/>
    </row>
    <row r="123" spans="3:17" x14ac:dyDescent="0.3">
      <c r="C123" s="126"/>
      <c r="F123" s="137"/>
      <c r="G123" s="138"/>
      <c r="H123" s="138"/>
      <c r="I123" s="139"/>
      <c r="J123" s="137"/>
      <c r="K123" s="137"/>
      <c r="M123" s="126"/>
      <c r="O123" s="137"/>
      <c r="P123" s="137"/>
      <c r="Q123" s="126"/>
    </row>
    <row r="124" spans="3:17" x14ac:dyDescent="0.3">
      <c r="C124" s="126"/>
      <c r="F124" s="137"/>
      <c r="G124" s="138"/>
      <c r="H124" s="138"/>
      <c r="I124" s="139"/>
      <c r="J124" s="137"/>
      <c r="K124" s="137"/>
      <c r="M124" s="126"/>
      <c r="O124" s="137"/>
      <c r="P124" s="137"/>
      <c r="Q124" s="126"/>
    </row>
    <row r="125" spans="3:17" x14ac:dyDescent="0.3">
      <c r="C125" s="126"/>
      <c r="F125" s="137"/>
      <c r="G125" s="138"/>
      <c r="H125" s="138"/>
      <c r="I125" s="139"/>
      <c r="J125" s="137"/>
      <c r="K125" s="137"/>
      <c r="M125" s="126"/>
      <c r="O125" s="137"/>
      <c r="P125" s="137"/>
      <c r="Q125" s="126"/>
    </row>
    <row r="126" spans="3:17" x14ac:dyDescent="0.3">
      <c r="C126" s="126"/>
      <c r="F126" s="137"/>
      <c r="G126" s="138"/>
      <c r="H126" s="138"/>
      <c r="I126" s="139"/>
      <c r="J126" s="137"/>
      <c r="K126" s="137"/>
      <c r="M126" s="126"/>
      <c r="O126" s="137"/>
      <c r="P126" s="137"/>
      <c r="Q126" s="126"/>
    </row>
    <row r="127" spans="3:17" x14ac:dyDescent="0.3">
      <c r="C127" s="126"/>
      <c r="F127" s="137"/>
      <c r="G127" s="138"/>
      <c r="H127" s="138"/>
      <c r="I127" s="139"/>
      <c r="J127" s="137"/>
      <c r="K127" s="137"/>
      <c r="M127" s="126"/>
      <c r="O127" s="137"/>
      <c r="P127" s="137"/>
      <c r="Q127" s="126"/>
    </row>
    <row r="128" spans="3:17" x14ac:dyDescent="0.3">
      <c r="C128" s="126"/>
      <c r="F128" s="137"/>
      <c r="G128" s="138"/>
      <c r="H128" s="138"/>
      <c r="I128" s="139"/>
      <c r="J128" s="137"/>
      <c r="K128" s="137"/>
      <c r="M128" s="126"/>
      <c r="O128" s="137"/>
      <c r="P128" s="137"/>
      <c r="Q128" s="126"/>
    </row>
    <row r="129" spans="3:17" x14ac:dyDescent="0.3">
      <c r="C129" s="126"/>
      <c r="F129" s="137"/>
      <c r="G129" s="138"/>
      <c r="H129" s="138"/>
      <c r="I129" s="139"/>
      <c r="J129" s="137"/>
      <c r="K129" s="137"/>
      <c r="M129" s="126"/>
      <c r="O129" s="137"/>
      <c r="P129" s="137"/>
      <c r="Q129" s="126"/>
    </row>
    <row r="130" spans="3:17" x14ac:dyDescent="0.3">
      <c r="C130" s="126"/>
      <c r="F130" s="137"/>
      <c r="G130" s="138"/>
      <c r="H130" s="138"/>
      <c r="I130" s="139"/>
      <c r="J130" s="137"/>
      <c r="K130" s="137"/>
      <c r="M130" s="126"/>
      <c r="O130" s="137"/>
      <c r="P130" s="137"/>
      <c r="Q130" s="126"/>
    </row>
    <row r="131" spans="3:17" x14ac:dyDescent="0.3">
      <c r="C131" s="126"/>
      <c r="F131" s="137"/>
      <c r="G131" s="138"/>
      <c r="H131" s="138"/>
      <c r="I131" s="139"/>
      <c r="J131" s="137"/>
      <c r="K131" s="137"/>
      <c r="M131" s="126"/>
      <c r="O131" s="137"/>
      <c r="P131" s="137"/>
      <c r="Q131" s="126"/>
    </row>
    <row r="132" spans="3:17" x14ac:dyDescent="0.3">
      <c r="C132" s="126"/>
      <c r="F132" s="137"/>
      <c r="G132" s="138"/>
      <c r="H132" s="138"/>
      <c r="I132" s="139"/>
      <c r="J132" s="137"/>
      <c r="K132" s="137"/>
      <c r="M132" s="126"/>
      <c r="O132" s="137"/>
      <c r="P132" s="137"/>
      <c r="Q132" s="126"/>
    </row>
    <row r="133" spans="3:17" x14ac:dyDescent="0.3">
      <c r="C133" s="126"/>
      <c r="F133" s="137"/>
      <c r="G133" s="138"/>
      <c r="H133" s="138"/>
      <c r="I133" s="139"/>
      <c r="J133" s="137"/>
      <c r="K133" s="137"/>
      <c r="M133" s="126"/>
      <c r="O133" s="137"/>
      <c r="P133" s="137"/>
      <c r="Q133" s="126"/>
    </row>
    <row r="134" spans="3:17" x14ac:dyDescent="0.3">
      <c r="C134" s="126"/>
      <c r="F134" s="137"/>
      <c r="G134" s="138"/>
      <c r="H134" s="138"/>
      <c r="I134" s="139"/>
      <c r="J134" s="137"/>
      <c r="K134" s="137"/>
      <c r="M134" s="126"/>
      <c r="O134" s="137"/>
      <c r="P134" s="137"/>
      <c r="Q134" s="126"/>
    </row>
    <row r="135" spans="3:17" x14ac:dyDescent="0.3">
      <c r="C135" s="126"/>
      <c r="F135" s="137"/>
      <c r="G135" s="138"/>
      <c r="H135" s="138"/>
      <c r="I135" s="139"/>
      <c r="J135" s="137"/>
      <c r="K135" s="137"/>
      <c r="M135" s="126"/>
      <c r="O135" s="137"/>
      <c r="P135" s="137"/>
      <c r="Q135" s="126"/>
    </row>
    <row r="136" spans="3:17" x14ac:dyDescent="0.3">
      <c r="C136" s="126"/>
      <c r="F136" s="137"/>
      <c r="G136" s="138"/>
      <c r="H136" s="138"/>
      <c r="I136" s="139"/>
      <c r="J136" s="137"/>
      <c r="K136" s="137"/>
      <c r="M136" s="126"/>
      <c r="O136" s="137"/>
      <c r="P136" s="137"/>
      <c r="Q136" s="126"/>
    </row>
    <row r="137" spans="3:17" x14ac:dyDescent="0.3">
      <c r="C137" s="126"/>
      <c r="F137" s="137"/>
      <c r="G137" s="138"/>
      <c r="H137" s="138"/>
      <c r="I137" s="139"/>
      <c r="J137" s="137"/>
      <c r="K137" s="137"/>
      <c r="M137" s="126"/>
      <c r="O137" s="137"/>
      <c r="P137" s="137"/>
      <c r="Q137" s="126"/>
    </row>
    <row r="138" spans="3:17" x14ac:dyDescent="0.3">
      <c r="C138" s="126"/>
      <c r="F138" s="137"/>
      <c r="G138" s="138"/>
      <c r="H138" s="138"/>
      <c r="I138" s="139"/>
      <c r="J138" s="137"/>
      <c r="K138" s="137"/>
      <c r="M138" s="126"/>
      <c r="O138" s="137"/>
      <c r="P138" s="137"/>
      <c r="Q138" s="126"/>
    </row>
    <row r="139" spans="3:17" x14ac:dyDescent="0.3">
      <c r="C139" s="126"/>
      <c r="F139" s="137"/>
      <c r="G139" s="138"/>
      <c r="H139" s="138"/>
      <c r="I139" s="139"/>
      <c r="J139" s="137"/>
      <c r="K139" s="137"/>
      <c r="M139" s="126"/>
      <c r="O139" s="137"/>
      <c r="P139" s="137"/>
      <c r="Q139" s="126"/>
    </row>
    <row r="140" spans="3:17" x14ac:dyDescent="0.3">
      <c r="C140" s="126"/>
      <c r="F140" s="137"/>
      <c r="G140" s="138"/>
      <c r="H140" s="138"/>
      <c r="I140" s="139"/>
      <c r="J140" s="137"/>
      <c r="K140" s="137"/>
      <c r="M140" s="126"/>
      <c r="O140" s="137"/>
      <c r="P140" s="137"/>
      <c r="Q140" s="126"/>
    </row>
    <row r="141" spans="3:17" x14ac:dyDescent="0.3">
      <c r="C141" s="126"/>
      <c r="F141" s="137"/>
      <c r="G141" s="138"/>
      <c r="H141" s="138"/>
      <c r="I141" s="139"/>
      <c r="J141" s="137"/>
      <c r="K141" s="137"/>
      <c r="M141" s="126"/>
      <c r="O141" s="137"/>
      <c r="P141" s="137"/>
      <c r="Q141" s="126"/>
    </row>
    <row r="142" spans="3:17" x14ac:dyDescent="0.3">
      <c r="C142" s="126"/>
      <c r="F142" s="137"/>
      <c r="G142" s="138"/>
      <c r="H142" s="138"/>
      <c r="I142" s="139"/>
      <c r="J142" s="137"/>
      <c r="K142" s="137"/>
      <c r="M142" s="126"/>
      <c r="O142" s="137"/>
      <c r="P142" s="137"/>
      <c r="Q142" s="126"/>
    </row>
    <row r="143" spans="3:17" x14ac:dyDescent="0.3">
      <c r="C143" s="126"/>
      <c r="F143" s="137"/>
      <c r="G143" s="138"/>
      <c r="H143" s="138"/>
      <c r="I143" s="139"/>
      <c r="J143" s="137"/>
      <c r="K143" s="137"/>
      <c r="M143" s="126"/>
      <c r="O143" s="137"/>
      <c r="P143" s="137"/>
      <c r="Q143" s="126"/>
    </row>
    <row r="144" spans="3:17" x14ac:dyDescent="0.3">
      <c r="C144" s="126"/>
      <c r="F144" s="137"/>
      <c r="G144" s="138"/>
      <c r="H144" s="138"/>
      <c r="I144" s="139"/>
      <c r="J144" s="137"/>
      <c r="K144" s="137"/>
      <c r="M144" s="126"/>
      <c r="O144" s="137"/>
      <c r="P144" s="137"/>
      <c r="Q144" s="126"/>
    </row>
    <row r="145" spans="3:17" x14ac:dyDescent="0.3">
      <c r="C145" s="126"/>
      <c r="F145" s="137"/>
      <c r="G145" s="138"/>
      <c r="H145" s="138"/>
      <c r="I145" s="139"/>
      <c r="J145" s="137"/>
      <c r="K145" s="137"/>
      <c r="M145" s="126"/>
      <c r="O145" s="137"/>
      <c r="P145" s="137"/>
      <c r="Q145" s="126"/>
    </row>
    <row r="146" spans="3:17" x14ac:dyDescent="0.3">
      <c r="C146" s="126"/>
      <c r="F146" s="137"/>
      <c r="G146" s="138"/>
      <c r="H146" s="138"/>
      <c r="I146" s="139"/>
      <c r="J146" s="137"/>
      <c r="K146" s="137"/>
      <c r="M146" s="126"/>
      <c r="O146" s="137"/>
      <c r="P146" s="137"/>
      <c r="Q146" s="126"/>
    </row>
    <row r="147" spans="3:17" x14ac:dyDescent="0.3">
      <c r="C147" s="126"/>
      <c r="F147" s="137"/>
      <c r="G147" s="138"/>
      <c r="H147" s="138"/>
      <c r="I147" s="139"/>
      <c r="J147" s="137"/>
      <c r="K147" s="137"/>
      <c r="M147" s="126"/>
      <c r="O147" s="137"/>
      <c r="P147" s="137"/>
      <c r="Q147" s="126"/>
    </row>
    <row r="148" spans="3:17" x14ac:dyDescent="0.3">
      <c r="C148" s="126"/>
      <c r="F148" s="137"/>
      <c r="G148" s="138"/>
      <c r="H148" s="138"/>
      <c r="I148" s="139"/>
      <c r="J148" s="137"/>
      <c r="K148" s="137"/>
      <c r="M148" s="126"/>
      <c r="O148" s="137"/>
      <c r="P148" s="137"/>
      <c r="Q148" s="126"/>
    </row>
    <row r="149" spans="3:17" x14ac:dyDescent="0.3">
      <c r="C149" s="126"/>
      <c r="F149" s="137"/>
      <c r="G149" s="138"/>
      <c r="H149" s="138"/>
      <c r="I149" s="139"/>
      <c r="J149" s="137"/>
      <c r="K149" s="137"/>
      <c r="M149" s="126"/>
      <c r="O149" s="137"/>
      <c r="P149" s="137"/>
      <c r="Q149" s="126"/>
    </row>
    <row r="150" spans="3:17" x14ac:dyDescent="0.3">
      <c r="C150" s="126"/>
      <c r="F150" s="137"/>
      <c r="G150" s="138"/>
      <c r="H150" s="138"/>
      <c r="I150" s="139"/>
      <c r="J150" s="137"/>
      <c r="K150" s="137"/>
      <c r="M150" s="126"/>
      <c r="O150" s="137"/>
      <c r="P150" s="137"/>
      <c r="Q150" s="126"/>
    </row>
    <row r="151" spans="3:17" x14ac:dyDescent="0.3">
      <c r="C151" s="126"/>
      <c r="F151" s="137"/>
      <c r="G151" s="138"/>
      <c r="H151" s="138"/>
      <c r="I151" s="139"/>
      <c r="J151" s="137"/>
      <c r="K151" s="137"/>
      <c r="M151" s="126"/>
      <c r="O151" s="137"/>
      <c r="P151" s="137"/>
      <c r="Q151" s="126"/>
    </row>
    <row r="152" spans="3:17" x14ac:dyDescent="0.3">
      <c r="C152" s="126"/>
      <c r="F152" s="137"/>
      <c r="G152" s="138"/>
      <c r="H152" s="138"/>
      <c r="I152" s="139"/>
      <c r="J152" s="137"/>
      <c r="K152" s="137"/>
      <c r="M152" s="126"/>
      <c r="O152" s="137"/>
      <c r="P152" s="137"/>
      <c r="Q152" s="126"/>
    </row>
    <row r="153" spans="3:17" x14ac:dyDescent="0.3">
      <c r="C153" s="126"/>
      <c r="F153" s="137"/>
      <c r="G153" s="138"/>
      <c r="H153" s="138"/>
      <c r="I153" s="139"/>
      <c r="J153" s="137"/>
      <c r="K153" s="137"/>
      <c r="M153" s="126"/>
      <c r="O153" s="137"/>
      <c r="P153" s="137"/>
      <c r="Q153" s="126"/>
    </row>
    <row r="154" spans="3:17" x14ac:dyDescent="0.3">
      <c r="C154" s="126"/>
      <c r="F154" s="137"/>
      <c r="G154" s="138"/>
      <c r="H154" s="138"/>
      <c r="I154" s="139"/>
      <c r="J154" s="137"/>
      <c r="K154" s="137"/>
      <c r="M154" s="126"/>
      <c r="O154" s="137"/>
      <c r="P154" s="137"/>
      <c r="Q154" s="126"/>
    </row>
    <row r="155" spans="3:17" x14ac:dyDescent="0.3">
      <c r="C155" s="126"/>
      <c r="F155" s="137"/>
      <c r="G155" s="138"/>
      <c r="H155" s="138"/>
      <c r="I155" s="139"/>
      <c r="J155" s="137"/>
      <c r="K155" s="137"/>
      <c r="M155" s="126"/>
      <c r="O155" s="137"/>
      <c r="P155" s="137"/>
      <c r="Q155" s="126"/>
    </row>
    <row r="156" spans="3:17" x14ac:dyDescent="0.3">
      <c r="C156" s="126"/>
      <c r="F156" s="137"/>
      <c r="G156" s="138"/>
      <c r="H156" s="138"/>
      <c r="I156" s="139"/>
      <c r="J156" s="137"/>
      <c r="K156" s="137"/>
      <c r="M156" s="126"/>
      <c r="O156" s="137"/>
      <c r="P156" s="137"/>
      <c r="Q156" s="126"/>
    </row>
    <row r="157" spans="3:17" x14ac:dyDescent="0.3">
      <c r="C157" s="126"/>
      <c r="F157" s="137"/>
      <c r="G157" s="138"/>
      <c r="H157" s="138"/>
      <c r="I157" s="139"/>
      <c r="J157" s="137"/>
      <c r="K157" s="137"/>
      <c r="M157" s="126"/>
      <c r="O157" s="137"/>
      <c r="P157" s="137"/>
      <c r="Q157" s="126"/>
    </row>
    <row r="158" spans="3:17" x14ac:dyDescent="0.3">
      <c r="C158" s="126"/>
      <c r="F158" s="137"/>
      <c r="G158" s="138"/>
      <c r="H158" s="138"/>
      <c r="I158" s="139"/>
      <c r="J158" s="137"/>
      <c r="K158" s="137"/>
      <c r="M158" s="126"/>
      <c r="O158" s="137"/>
      <c r="P158" s="137"/>
      <c r="Q158" s="126"/>
    </row>
    <row r="159" spans="3:17" x14ac:dyDescent="0.3">
      <c r="C159" s="126"/>
      <c r="F159" s="137"/>
      <c r="G159" s="138"/>
      <c r="H159" s="138"/>
      <c r="I159" s="139"/>
      <c r="J159" s="137"/>
      <c r="K159" s="137"/>
      <c r="M159" s="126"/>
      <c r="O159" s="137"/>
      <c r="P159" s="137"/>
      <c r="Q159" s="126"/>
    </row>
    <row r="160" spans="3:17" x14ac:dyDescent="0.3">
      <c r="C160" s="126"/>
      <c r="F160" s="137"/>
      <c r="G160" s="138"/>
      <c r="H160" s="138"/>
      <c r="I160" s="139"/>
      <c r="J160" s="137"/>
      <c r="K160" s="137"/>
      <c r="M160" s="126"/>
      <c r="O160" s="137"/>
      <c r="P160" s="137"/>
      <c r="Q160" s="126"/>
    </row>
    <row r="161" spans="3:17" x14ac:dyDescent="0.3">
      <c r="C161" s="126"/>
      <c r="F161" s="137"/>
      <c r="G161" s="138"/>
      <c r="H161" s="138"/>
      <c r="I161" s="139"/>
      <c r="J161" s="137"/>
      <c r="K161" s="137"/>
      <c r="M161" s="126"/>
      <c r="O161" s="137"/>
      <c r="P161" s="137"/>
      <c r="Q161" s="126"/>
    </row>
    <row r="162" spans="3:17" x14ac:dyDescent="0.3">
      <c r="C162" s="126"/>
      <c r="F162" s="137"/>
      <c r="G162" s="138"/>
      <c r="H162" s="138"/>
      <c r="I162" s="139"/>
      <c r="J162" s="137"/>
      <c r="K162" s="137"/>
      <c r="M162" s="126"/>
      <c r="O162" s="137"/>
      <c r="P162" s="137"/>
      <c r="Q162" s="126"/>
    </row>
    <row r="163" spans="3:17" x14ac:dyDescent="0.3">
      <c r="C163" s="126"/>
      <c r="F163" s="137"/>
      <c r="G163" s="138"/>
      <c r="H163" s="138"/>
      <c r="I163" s="139"/>
      <c r="J163" s="137"/>
      <c r="K163" s="137"/>
      <c r="M163" s="126"/>
      <c r="O163" s="137"/>
      <c r="P163" s="137"/>
      <c r="Q163" s="126"/>
    </row>
    <row r="164" spans="3:17" x14ac:dyDescent="0.3">
      <c r="C164" s="126"/>
      <c r="F164" s="137"/>
      <c r="G164" s="138"/>
      <c r="H164" s="138"/>
      <c r="I164" s="139"/>
      <c r="J164" s="137"/>
      <c r="K164" s="137"/>
      <c r="M164" s="126"/>
      <c r="O164" s="137"/>
      <c r="P164" s="137"/>
      <c r="Q164" s="126"/>
    </row>
    <row r="165" spans="3:17" x14ac:dyDescent="0.3">
      <c r="C165" s="126"/>
      <c r="F165" s="137"/>
      <c r="G165" s="138"/>
      <c r="H165" s="138"/>
      <c r="I165" s="139"/>
      <c r="J165" s="137"/>
      <c r="K165" s="137"/>
      <c r="M165" s="126"/>
      <c r="O165" s="137"/>
      <c r="P165" s="137"/>
      <c r="Q165" s="126"/>
    </row>
    <row r="166" spans="3:17" x14ac:dyDescent="0.3">
      <c r="C166" s="126"/>
      <c r="F166" s="137"/>
      <c r="G166" s="138"/>
      <c r="H166" s="138"/>
      <c r="I166" s="139"/>
      <c r="J166" s="137"/>
      <c r="K166" s="137"/>
      <c r="M166" s="126"/>
      <c r="O166" s="137"/>
      <c r="P166" s="137"/>
      <c r="Q166" s="126"/>
    </row>
    <row r="167" spans="3:17" x14ac:dyDescent="0.3">
      <c r="C167" s="126"/>
      <c r="F167" s="137"/>
      <c r="G167" s="138"/>
      <c r="H167" s="138"/>
      <c r="I167" s="139"/>
      <c r="J167" s="137"/>
      <c r="K167" s="137"/>
      <c r="M167" s="126"/>
      <c r="O167" s="137"/>
      <c r="P167" s="137"/>
      <c r="Q167" s="126"/>
    </row>
    <row r="168" spans="3:17" x14ac:dyDescent="0.3">
      <c r="C168" s="126"/>
      <c r="F168" s="137"/>
      <c r="G168" s="138"/>
      <c r="H168" s="138"/>
      <c r="I168" s="139"/>
      <c r="J168" s="137"/>
      <c r="K168" s="137"/>
      <c r="M168" s="126"/>
      <c r="O168" s="137"/>
      <c r="P168" s="137"/>
      <c r="Q168" s="126"/>
    </row>
    <row r="169" spans="3:17" x14ac:dyDescent="0.3">
      <c r="C169" s="126"/>
      <c r="F169" s="137"/>
      <c r="G169" s="138"/>
      <c r="H169" s="138"/>
      <c r="I169" s="139"/>
      <c r="J169" s="137"/>
      <c r="K169" s="137"/>
      <c r="M169" s="126"/>
      <c r="O169" s="137"/>
      <c r="P169" s="137"/>
      <c r="Q169" s="126"/>
    </row>
    <row r="170" spans="3:17" x14ac:dyDescent="0.3">
      <c r="C170" s="126"/>
      <c r="F170" s="137"/>
      <c r="G170" s="138"/>
      <c r="H170" s="138"/>
      <c r="I170" s="139"/>
      <c r="J170" s="137"/>
      <c r="K170" s="137"/>
      <c r="M170" s="126"/>
      <c r="O170" s="137"/>
      <c r="P170" s="137"/>
      <c r="Q170" s="126"/>
    </row>
    <row r="171" spans="3:17" x14ac:dyDescent="0.3">
      <c r="C171" s="126"/>
      <c r="F171" s="137"/>
      <c r="G171" s="138"/>
      <c r="H171" s="138"/>
      <c r="I171" s="139"/>
      <c r="J171" s="137"/>
      <c r="K171" s="137"/>
      <c r="M171" s="126"/>
      <c r="O171" s="137"/>
      <c r="P171" s="137"/>
      <c r="Q171" s="126"/>
    </row>
    <row r="172" spans="3:17" x14ac:dyDescent="0.3">
      <c r="C172" s="126"/>
      <c r="F172" s="137"/>
      <c r="G172" s="138"/>
      <c r="H172" s="138"/>
      <c r="I172" s="139"/>
      <c r="J172" s="137"/>
      <c r="K172" s="137"/>
      <c r="M172" s="126"/>
      <c r="O172" s="137"/>
      <c r="P172" s="137"/>
      <c r="Q172" s="126"/>
    </row>
    <row r="173" spans="3:17" x14ac:dyDescent="0.3">
      <c r="C173" s="126"/>
      <c r="F173" s="137"/>
      <c r="G173" s="138"/>
      <c r="H173" s="138"/>
      <c r="I173" s="139"/>
      <c r="J173" s="137"/>
      <c r="K173" s="137"/>
      <c r="M173" s="126"/>
      <c r="O173" s="137"/>
      <c r="P173" s="137"/>
      <c r="Q173" s="126"/>
    </row>
    <row r="174" spans="3:17" x14ac:dyDescent="0.3">
      <c r="C174" s="126"/>
      <c r="F174" s="137"/>
      <c r="G174" s="138"/>
      <c r="H174" s="138"/>
      <c r="I174" s="139"/>
      <c r="J174" s="137"/>
      <c r="K174" s="137"/>
      <c r="M174" s="126"/>
      <c r="O174" s="137"/>
      <c r="P174" s="137"/>
      <c r="Q174" s="126"/>
    </row>
    <row r="175" spans="3:17" x14ac:dyDescent="0.3">
      <c r="C175" s="126"/>
      <c r="F175" s="137"/>
      <c r="G175" s="138"/>
      <c r="H175" s="138"/>
      <c r="I175" s="139"/>
      <c r="J175" s="137"/>
      <c r="K175" s="137"/>
      <c r="M175" s="126"/>
      <c r="O175" s="137"/>
      <c r="P175" s="137"/>
      <c r="Q175" s="126"/>
    </row>
    <row r="176" spans="3:17" x14ac:dyDescent="0.3">
      <c r="C176" s="126"/>
      <c r="F176" s="137"/>
      <c r="G176" s="138"/>
      <c r="H176" s="138"/>
      <c r="I176" s="139"/>
      <c r="J176" s="137"/>
      <c r="K176" s="137"/>
      <c r="M176" s="126"/>
      <c r="O176" s="137"/>
      <c r="P176" s="137"/>
      <c r="Q176" s="126"/>
    </row>
    <row r="177" spans="3:17" x14ac:dyDescent="0.3">
      <c r="C177" s="126"/>
      <c r="F177" s="137"/>
      <c r="G177" s="138"/>
      <c r="H177" s="138"/>
      <c r="I177" s="139"/>
      <c r="J177" s="137"/>
      <c r="K177" s="137"/>
      <c r="M177" s="126"/>
      <c r="O177" s="137"/>
      <c r="P177" s="137"/>
      <c r="Q177" s="126"/>
    </row>
    <row r="178" spans="3:17" x14ac:dyDescent="0.3">
      <c r="C178" s="126"/>
      <c r="F178" s="137"/>
      <c r="G178" s="138"/>
      <c r="H178" s="138"/>
      <c r="I178" s="139"/>
      <c r="J178" s="137"/>
      <c r="K178" s="137"/>
      <c r="M178" s="126"/>
      <c r="O178" s="137"/>
      <c r="P178" s="137"/>
      <c r="Q178" s="126"/>
    </row>
    <row r="179" spans="3:17" x14ac:dyDescent="0.3">
      <c r="C179" s="126"/>
      <c r="F179" s="137"/>
      <c r="G179" s="138"/>
      <c r="H179" s="138"/>
      <c r="I179" s="139"/>
      <c r="J179" s="137"/>
      <c r="K179" s="137"/>
      <c r="M179" s="126"/>
      <c r="O179" s="137"/>
      <c r="P179" s="137"/>
      <c r="Q179" s="126"/>
    </row>
    <row r="180" spans="3:17" x14ac:dyDescent="0.3">
      <c r="C180" s="126"/>
      <c r="F180" s="137"/>
      <c r="G180" s="138"/>
      <c r="H180" s="138"/>
      <c r="I180" s="139"/>
      <c r="J180" s="137"/>
      <c r="K180" s="137"/>
      <c r="M180" s="126"/>
      <c r="O180" s="137"/>
      <c r="P180" s="137"/>
      <c r="Q180" s="126"/>
    </row>
    <row r="181" spans="3:17" x14ac:dyDescent="0.3">
      <c r="C181" s="126"/>
      <c r="F181" s="137"/>
      <c r="G181" s="138"/>
      <c r="H181" s="138"/>
      <c r="I181" s="139"/>
      <c r="J181" s="137"/>
      <c r="K181" s="137"/>
      <c r="M181" s="126"/>
      <c r="O181" s="137"/>
      <c r="P181" s="137"/>
      <c r="Q181" s="126"/>
    </row>
    <row r="182" spans="3:17" x14ac:dyDescent="0.3">
      <c r="C182" s="126"/>
      <c r="F182" s="137"/>
      <c r="G182" s="138"/>
      <c r="H182" s="138"/>
      <c r="I182" s="139"/>
      <c r="J182" s="137"/>
      <c r="K182" s="137"/>
      <c r="M182" s="126"/>
      <c r="O182" s="137"/>
      <c r="P182" s="137"/>
      <c r="Q182" s="126"/>
    </row>
    <row r="183" spans="3:17" x14ac:dyDescent="0.3">
      <c r="C183" s="126"/>
      <c r="F183" s="137"/>
      <c r="G183" s="138"/>
      <c r="H183" s="138"/>
      <c r="I183" s="139"/>
      <c r="J183" s="137"/>
      <c r="K183" s="137"/>
      <c r="M183" s="126"/>
      <c r="O183" s="137"/>
      <c r="P183" s="137"/>
      <c r="Q183" s="126"/>
    </row>
    <row r="184" spans="3:17" x14ac:dyDescent="0.3">
      <c r="C184" s="126"/>
      <c r="F184" s="137"/>
      <c r="G184" s="138"/>
      <c r="H184" s="138"/>
      <c r="I184" s="139"/>
      <c r="J184" s="137"/>
      <c r="K184" s="137"/>
      <c r="M184" s="126"/>
      <c r="O184" s="137"/>
      <c r="P184" s="137"/>
      <c r="Q184" s="126"/>
    </row>
    <row r="185" spans="3:17" x14ac:dyDescent="0.3">
      <c r="C185" s="126"/>
      <c r="F185" s="137"/>
      <c r="G185" s="138"/>
      <c r="H185" s="138"/>
      <c r="I185" s="139"/>
      <c r="J185" s="137"/>
      <c r="K185" s="137"/>
      <c r="M185" s="126"/>
      <c r="O185" s="137"/>
      <c r="P185" s="137"/>
      <c r="Q185" s="126"/>
    </row>
    <row r="186" spans="3:17" x14ac:dyDescent="0.3">
      <c r="C186" s="126"/>
      <c r="F186" s="137"/>
      <c r="G186" s="138"/>
      <c r="H186" s="138"/>
      <c r="I186" s="139"/>
      <c r="J186" s="137"/>
      <c r="K186" s="137"/>
      <c r="M186" s="126"/>
      <c r="O186" s="137"/>
      <c r="P186" s="137"/>
      <c r="Q186" s="126"/>
    </row>
    <row r="187" spans="3:17" x14ac:dyDescent="0.3">
      <c r="C187" s="126"/>
      <c r="F187" s="137"/>
      <c r="G187" s="138"/>
      <c r="H187" s="138"/>
      <c r="I187" s="139"/>
      <c r="J187" s="137"/>
      <c r="K187" s="137"/>
      <c r="M187" s="126"/>
      <c r="O187" s="137"/>
      <c r="P187" s="137"/>
      <c r="Q187" s="126"/>
    </row>
    <row r="188" spans="3:17" x14ac:dyDescent="0.3">
      <c r="C188" s="126"/>
      <c r="F188" s="137"/>
      <c r="G188" s="138"/>
      <c r="H188" s="138"/>
      <c r="I188" s="139"/>
      <c r="J188" s="137"/>
      <c r="K188" s="137"/>
      <c r="M188" s="126"/>
      <c r="O188" s="137"/>
      <c r="P188" s="137"/>
      <c r="Q188" s="126"/>
    </row>
    <row r="189" spans="3:17" x14ac:dyDescent="0.3">
      <c r="C189" s="126"/>
      <c r="F189" s="137"/>
      <c r="G189" s="138"/>
      <c r="H189" s="138"/>
      <c r="I189" s="139"/>
      <c r="J189" s="137"/>
      <c r="K189" s="137"/>
      <c r="M189" s="126"/>
      <c r="O189" s="137"/>
      <c r="P189" s="137"/>
      <c r="Q189" s="126"/>
    </row>
    <row r="190" spans="3:17" x14ac:dyDescent="0.3">
      <c r="C190" s="126"/>
      <c r="F190" s="137"/>
      <c r="G190" s="138"/>
      <c r="H190" s="138"/>
      <c r="I190" s="139"/>
      <c r="J190" s="137"/>
      <c r="K190" s="137"/>
      <c r="M190" s="126"/>
      <c r="O190" s="137"/>
      <c r="P190" s="137"/>
      <c r="Q190" s="126"/>
    </row>
    <row r="191" spans="3:17" x14ac:dyDescent="0.3">
      <c r="C191" s="126"/>
      <c r="F191" s="137"/>
      <c r="G191" s="138"/>
      <c r="H191" s="138"/>
      <c r="I191" s="139"/>
      <c r="J191" s="137"/>
      <c r="K191" s="137"/>
      <c r="M191" s="126"/>
      <c r="O191" s="137"/>
      <c r="P191" s="137"/>
      <c r="Q191" s="126"/>
    </row>
    <row r="192" spans="3:17" x14ac:dyDescent="0.3">
      <c r="C192" s="126"/>
      <c r="F192" s="137"/>
      <c r="G192" s="138"/>
      <c r="H192" s="138"/>
      <c r="I192" s="139"/>
      <c r="J192" s="137"/>
      <c r="K192" s="137"/>
      <c r="M192" s="126"/>
      <c r="O192" s="137"/>
      <c r="P192" s="137"/>
      <c r="Q192" s="126"/>
    </row>
    <row r="193" spans="3:17" x14ac:dyDescent="0.3">
      <c r="C193" s="126"/>
      <c r="F193" s="137"/>
      <c r="G193" s="138"/>
      <c r="H193" s="138"/>
      <c r="I193" s="139"/>
      <c r="J193" s="137"/>
      <c r="K193" s="137"/>
      <c r="M193" s="126"/>
      <c r="O193" s="137"/>
      <c r="P193" s="137"/>
      <c r="Q193" s="126"/>
    </row>
    <row r="194" spans="3:17" x14ac:dyDescent="0.3">
      <c r="C194" s="126"/>
      <c r="F194" s="137"/>
      <c r="G194" s="138"/>
      <c r="H194" s="138"/>
      <c r="I194" s="139"/>
      <c r="J194" s="137"/>
      <c r="K194" s="137"/>
      <c r="M194" s="126"/>
      <c r="O194" s="137"/>
      <c r="P194" s="137"/>
      <c r="Q194" s="126"/>
    </row>
    <row r="195" spans="3:17" x14ac:dyDescent="0.3">
      <c r="C195" s="126"/>
      <c r="F195" s="137"/>
      <c r="G195" s="138"/>
      <c r="H195" s="138"/>
      <c r="I195" s="139"/>
      <c r="J195" s="137"/>
      <c r="K195" s="137"/>
      <c r="M195" s="126"/>
      <c r="O195" s="137"/>
      <c r="P195" s="137"/>
      <c r="Q195" s="126"/>
    </row>
    <row r="196" spans="3:17" x14ac:dyDescent="0.3">
      <c r="C196" s="126"/>
      <c r="F196" s="137"/>
      <c r="G196" s="138"/>
      <c r="H196" s="138"/>
      <c r="I196" s="139"/>
      <c r="J196" s="137"/>
      <c r="K196" s="137"/>
      <c r="M196" s="126"/>
      <c r="O196" s="137"/>
      <c r="P196" s="137"/>
      <c r="Q196" s="126"/>
    </row>
    <row r="197" spans="3:17" x14ac:dyDescent="0.3">
      <c r="C197" s="126"/>
      <c r="F197" s="137"/>
      <c r="G197" s="138"/>
      <c r="H197" s="138"/>
      <c r="I197" s="139"/>
      <c r="J197" s="137"/>
      <c r="K197" s="137"/>
      <c r="M197" s="126"/>
      <c r="O197" s="137"/>
      <c r="P197" s="137"/>
      <c r="Q197" s="126"/>
    </row>
    <row r="198" spans="3:17" x14ac:dyDescent="0.3">
      <c r="C198" s="126"/>
      <c r="F198" s="137"/>
      <c r="G198" s="138"/>
      <c r="H198" s="138"/>
      <c r="I198" s="139"/>
      <c r="J198" s="137"/>
      <c r="K198" s="137"/>
      <c r="M198" s="126"/>
      <c r="O198" s="137"/>
      <c r="P198" s="137"/>
      <c r="Q198" s="126"/>
    </row>
    <row r="199" spans="3:17" x14ac:dyDescent="0.3">
      <c r="C199" s="126"/>
      <c r="F199" s="137"/>
      <c r="G199" s="138"/>
      <c r="H199" s="138"/>
      <c r="I199" s="139"/>
      <c r="J199" s="137"/>
      <c r="K199" s="137"/>
      <c r="M199" s="126"/>
      <c r="O199" s="137"/>
      <c r="P199" s="137"/>
      <c r="Q199" s="126"/>
    </row>
    <row r="200" spans="3:17" x14ac:dyDescent="0.3">
      <c r="C200" s="126"/>
      <c r="F200" s="137"/>
      <c r="G200" s="138"/>
      <c r="H200" s="138"/>
      <c r="I200" s="139"/>
      <c r="J200" s="137"/>
      <c r="K200" s="137"/>
      <c r="M200" s="126"/>
      <c r="O200" s="137"/>
      <c r="P200" s="137"/>
      <c r="Q200" s="126"/>
    </row>
    <row r="201" spans="3:17" x14ac:dyDescent="0.3">
      <c r="C201" s="126"/>
      <c r="F201" s="137"/>
      <c r="G201" s="138"/>
      <c r="H201" s="138"/>
      <c r="I201" s="139"/>
      <c r="J201" s="137"/>
      <c r="K201" s="137"/>
      <c r="M201" s="126"/>
      <c r="O201" s="137"/>
      <c r="P201" s="137"/>
      <c r="Q201" s="126"/>
    </row>
    <row r="202" spans="3:17" x14ac:dyDescent="0.3">
      <c r="C202" s="126"/>
      <c r="F202" s="137"/>
      <c r="G202" s="138"/>
      <c r="H202" s="138"/>
      <c r="I202" s="139"/>
      <c r="J202" s="137"/>
      <c r="K202" s="137"/>
      <c r="M202" s="126"/>
      <c r="O202" s="137"/>
      <c r="P202" s="137"/>
      <c r="Q202" s="126"/>
    </row>
    <row r="203" spans="3:17" x14ac:dyDescent="0.3">
      <c r="C203" s="126"/>
      <c r="F203" s="137"/>
      <c r="G203" s="138"/>
      <c r="H203" s="138"/>
      <c r="I203" s="139"/>
      <c r="J203" s="137"/>
      <c r="K203" s="137"/>
      <c r="M203" s="126"/>
      <c r="O203" s="137"/>
      <c r="P203" s="137"/>
      <c r="Q203" s="126"/>
    </row>
    <row r="204" spans="3:17" x14ac:dyDescent="0.3">
      <c r="C204" s="126"/>
      <c r="F204" s="137"/>
      <c r="G204" s="138"/>
      <c r="H204" s="138"/>
      <c r="I204" s="139"/>
      <c r="J204" s="137"/>
      <c r="K204" s="137"/>
      <c r="M204" s="126"/>
      <c r="O204" s="137"/>
      <c r="P204" s="137"/>
      <c r="Q204" s="126"/>
    </row>
    <row r="205" spans="3:17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3:17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3:17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3:17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  <row r="211" spans="3:17" x14ac:dyDescent="0.3">
      <c r="C211" s="126"/>
      <c r="F211" s="137"/>
      <c r="G211" s="138"/>
      <c r="H211" s="138"/>
      <c r="I211" s="139"/>
      <c r="J211" s="137"/>
      <c r="K211" s="137"/>
      <c r="M211" s="126"/>
      <c r="O211" s="137"/>
      <c r="P211" s="137"/>
      <c r="Q211" s="126"/>
    </row>
    <row r="212" spans="3:17" x14ac:dyDescent="0.3">
      <c r="C212" s="126"/>
      <c r="F212" s="137"/>
      <c r="G212" s="138"/>
      <c r="H212" s="138"/>
      <c r="I212" s="139"/>
      <c r="J212" s="137"/>
      <c r="K212" s="137"/>
      <c r="M212" s="126"/>
      <c r="O212" s="137"/>
      <c r="P212" s="137"/>
      <c r="Q212" s="126"/>
    </row>
    <row r="213" spans="3:17" x14ac:dyDescent="0.3">
      <c r="C213" s="126"/>
      <c r="F213" s="137"/>
      <c r="G213" s="138"/>
      <c r="H213" s="138"/>
      <c r="I213" s="139"/>
      <c r="J213" s="137"/>
      <c r="K213" s="137"/>
      <c r="M213" s="126"/>
      <c r="O213" s="137"/>
      <c r="P213" s="137"/>
      <c r="Q213" s="126"/>
    </row>
    <row r="214" spans="3:17" x14ac:dyDescent="0.3">
      <c r="C214" s="126"/>
      <c r="F214" s="137"/>
      <c r="G214" s="138"/>
      <c r="H214" s="138"/>
      <c r="I214" s="139"/>
      <c r="J214" s="137"/>
      <c r="K214" s="137"/>
      <c r="M214" s="126"/>
      <c r="O214" s="137"/>
      <c r="P214" s="137"/>
      <c r="Q214" s="126"/>
    </row>
    <row r="215" spans="3:17" x14ac:dyDescent="0.3">
      <c r="C215" s="126"/>
      <c r="F215" s="137"/>
      <c r="G215" s="138"/>
      <c r="H215" s="138"/>
      <c r="I215" s="139"/>
      <c r="J215" s="137"/>
      <c r="K215" s="137"/>
      <c r="M215" s="126"/>
      <c r="O215" s="137"/>
      <c r="P215" s="137"/>
      <c r="Q215" s="126"/>
    </row>
    <row r="216" spans="3:17" x14ac:dyDescent="0.3">
      <c r="C216" s="126"/>
      <c r="F216" s="137"/>
      <c r="G216" s="138"/>
      <c r="H216" s="138"/>
      <c r="I216" s="139"/>
      <c r="J216" s="137"/>
      <c r="K216" s="137"/>
      <c r="M216" s="126"/>
      <c r="O216" s="137"/>
      <c r="P216" s="137"/>
      <c r="Q216" s="126"/>
    </row>
    <row r="217" spans="3:17" x14ac:dyDescent="0.3">
      <c r="C217" s="126"/>
      <c r="F217" s="137"/>
      <c r="G217" s="138"/>
      <c r="H217" s="138"/>
      <c r="I217" s="139"/>
      <c r="J217" s="137"/>
      <c r="K217" s="137"/>
      <c r="M217" s="126"/>
      <c r="O217" s="137"/>
      <c r="P217" s="137"/>
      <c r="Q217" s="126"/>
    </row>
    <row r="218" spans="3:17" x14ac:dyDescent="0.3">
      <c r="C218" s="126"/>
      <c r="F218" s="137"/>
      <c r="G218" s="138"/>
      <c r="H218" s="138"/>
      <c r="I218" s="139"/>
      <c r="J218" s="137"/>
      <c r="K218" s="137"/>
      <c r="M218" s="126"/>
      <c r="O218" s="137"/>
      <c r="P218" s="137"/>
      <c r="Q218" s="126"/>
    </row>
    <row r="219" spans="3:17" x14ac:dyDescent="0.3">
      <c r="C219" s="126"/>
      <c r="F219" s="137"/>
      <c r="G219" s="138"/>
      <c r="H219" s="138"/>
      <c r="I219" s="139"/>
      <c r="J219" s="137"/>
      <c r="K219" s="137"/>
      <c r="M219" s="126"/>
      <c r="O219" s="137"/>
      <c r="P219" s="137"/>
      <c r="Q219" s="126"/>
    </row>
    <row r="220" spans="3:17" x14ac:dyDescent="0.3">
      <c r="C220" s="126"/>
      <c r="F220" s="137"/>
      <c r="G220" s="138"/>
      <c r="H220" s="138"/>
      <c r="I220" s="139"/>
      <c r="J220" s="137"/>
      <c r="K220" s="137"/>
      <c r="M220" s="126"/>
      <c r="O220" s="137"/>
      <c r="P220" s="137"/>
      <c r="Q220" s="126"/>
    </row>
    <row r="221" spans="3:17" x14ac:dyDescent="0.3">
      <c r="C221" s="126"/>
      <c r="F221" s="137"/>
      <c r="G221" s="138"/>
      <c r="H221" s="138"/>
      <c r="I221" s="139"/>
      <c r="J221" s="137"/>
      <c r="K221" s="137"/>
      <c r="M221" s="126"/>
      <c r="O221" s="137"/>
      <c r="P221" s="137"/>
      <c r="Q221" s="126"/>
    </row>
    <row r="222" spans="3:17" x14ac:dyDescent="0.3">
      <c r="C222" s="126"/>
      <c r="F222" s="137"/>
      <c r="G222" s="138"/>
      <c r="H222" s="138"/>
      <c r="I222" s="139"/>
      <c r="J222" s="137"/>
      <c r="K222" s="137"/>
      <c r="M222" s="126"/>
      <c r="O222" s="137"/>
      <c r="P222" s="137"/>
      <c r="Q222" s="126"/>
    </row>
    <row r="223" spans="3:17" x14ac:dyDescent="0.3">
      <c r="C223" s="126"/>
      <c r="F223" s="137"/>
      <c r="G223" s="138"/>
      <c r="H223" s="138"/>
      <c r="I223" s="139"/>
      <c r="J223" s="137"/>
      <c r="K223" s="137"/>
      <c r="M223" s="126"/>
      <c r="O223" s="137"/>
      <c r="P223" s="137"/>
      <c r="Q223" s="126"/>
    </row>
    <row r="224" spans="3:17" x14ac:dyDescent="0.3">
      <c r="C224" s="126"/>
      <c r="F224" s="137"/>
      <c r="G224" s="138"/>
      <c r="H224" s="138"/>
      <c r="I224" s="139"/>
      <c r="J224" s="137"/>
      <c r="K224" s="137"/>
      <c r="M224" s="126"/>
      <c r="O224" s="137"/>
      <c r="P224" s="137"/>
      <c r="Q224" s="126"/>
    </row>
    <row r="225" spans="3:17" x14ac:dyDescent="0.3">
      <c r="C225" s="126"/>
      <c r="F225" s="137"/>
      <c r="G225" s="138"/>
      <c r="H225" s="138"/>
      <c r="I225" s="139"/>
      <c r="J225" s="137"/>
      <c r="K225" s="137"/>
      <c r="M225" s="126"/>
      <c r="O225" s="137"/>
      <c r="P225" s="137"/>
      <c r="Q225" s="126"/>
    </row>
    <row r="226" spans="3:17" x14ac:dyDescent="0.3">
      <c r="C226" s="126"/>
      <c r="F226" s="137"/>
      <c r="G226" s="138"/>
      <c r="H226" s="138"/>
      <c r="I226" s="139"/>
      <c r="J226" s="137"/>
      <c r="K226" s="137"/>
      <c r="M226" s="126"/>
      <c r="O226" s="137"/>
      <c r="P226" s="137"/>
      <c r="Q226" s="126"/>
    </row>
    <row r="227" spans="3:17" x14ac:dyDescent="0.3">
      <c r="C227" s="126"/>
      <c r="F227" s="137"/>
      <c r="G227" s="138"/>
      <c r="H227" s="138"/>
      <c r="I227" s="139"/>
      <c r="J227" s="137"/>
      <c r="K227" s="137"/>
      <c r="M227" s="126"/>
      <c r="O227" s="137"/>
      <c r="P227" s="137"/>
      <c r="Q227" s="126"/>
    </row>
    <row r="228" spans="3:17" x14ac:dyDescent="0.3">
      <c r="C228" s="126"/>
      <c r="F228" s="137"/>
      <c r="G228" s="138"/>
      <c r="H228" s="138"/>
      <c r="I228" s="139"/>
      <c r="J228" s="137"/>
      <c r="K228" s="137"/>
      <c r="M228" s="126"/>
      <c r="O228" s="137"/>
      <c r="P228" s="137"/>
      <c r="Q228" s="126"/>
    </row>
    <row r="229" spans="3:17" x14ac:dyDescent="0.3">
      <c r="C229" s="126"/>
      <c r="F229" s="137"/>
      <c r="G229" s="138"/>
      <c r="H229" s="138"/>
      <c r="I229" s="139"/>
      <c r="J229" s="137"/>
      <c r="K229" s="137"/>
      <c r="M229" s="126"/>
      <c r="O229" s="137"/>
      <c r="P229" s="137"/>
      <c r="Q229" s="126"/>
    </row>
    <row r="230" spans="3:17" x14ac:dyDescent="0.3">
      <c r="C230" s="126"/>
      <c r="F230" s="137"/>
      <c r="G230" s="138"/>
      <c r="H230" s="138"/>
      <c r="I230" s="139"/>
      <c r="J230" s="137"/>
      <c r="K230" s="137"/>
      <c r="M230" s="126"/>
      <c r="O230" s="137"/>
      <c r="P230" s="137"/>
      <c r="Q230" s="126"/>
    </row>
    <row r="231" spans="3:17" x14ac:dyDescent="0.3">
      <c r="C231" s="126"/>
      <c r="F231" s="137"/>
      <c r="G231" s="138"/>
      <c r="H231" s="138"/>
      <c r="I231" s="139"/>
      <c r="J231" s="137"/>
      <c r="K231" s="137"/>
      <c r="M231" s="126"/>
      <c r="O231" s="137"/>
      <c r="P231" s="137"/>
      <c r="Q231" s="126"/>
    </row>
    <row r="232" spans="3:17" x14ac:dyDescent="0.3">
      <c r="C232" s="126"/>
      <c r="F232" s="137"/>
      <c r="G232" s="138"/>
      <c r="H232" s="138"/>
      <c r="I232" s="139"/>
      <c r="J232" s="137"/>
      <c r="K232" s="137"/>
      <c r="M232" s="126"/>
      <c r="O232" s="137"/>
      <c r="P232" s="137"/>
      <c r="Q232" s="126"/>
    </row>
    <row r="233" spans="3:17" x14ac:dyDescent="0.3">
      <c r="C233" s="126"/>
      <c r="F233" s="137"/>
      <c r="G233" s="138"/>
      <c r="H233" s="138"/>
      <c r="I233" s="139"/>
      <c r="J233" s="137"/>
      <c r="K233" s="137"/>
      <c r="M233" s="126"/>
      <c r="O233" s="137"/>
      <c r="P233" s="137"/>
      <c r="Q233" s="126"/>
    </row>
    <row r="234" spans="3:17" x14ac:dyDescent="0.3">
      <c r="C234" s="126"/>
      <c r="F234" s="137"/>
      <c r="G234" s="138"/>
      <c r="H234" s="138"/>
      <c r="I234" s="139"/>
      <c r="J234" s="137"/>
      <c r="K234" s="137"/>
      <c r="M234" s="126"/>
      <c r="O234" s="137"/>
      <c r="P234" s="137"/>
      <c r="Q234" s="126"/>
    </row>
    <row r="235" spans="3:17" x14ac:dyDescent="0.3">
      <c r="C235" s="126"/>
      <c r="F235" s="137"/>
      <c r="G235" s="138"/>
      <c r="H235" s="138"/>
      <c r="I235" s="139"/>
      <c r="J235" s="137"/>
      <c r="K235" s="137"/>
      <c r="M235" s="126"/>
      <c r="O235" s="137"/>
      <c r="P235" s="137"/>
      <c r="Q235" s="126"/>
    </row>
    <row r="236" spans="3:17" x14ac:dyDescent="0.3">
      <c r="C236" s="126"/>
      <c r="F236" s="137"/>
      <c r="G236" s="138"/>
      <c r="H236" s="138"/>
      <c r="I236" s="139"/>
      <c r="J236" s="137"/>
      <c r="K236" s="137"/>
      <c r="M236" s="126"/>
      <c r="O236" s="137"/>
      <c r="P236" s="137"/>
      <c r="Q236" s="126"/>
    </row>
    <row r="237" spans="3:17" x14ac:dyDescent="0.3">
      <c r="C237" s="126"/>
      <c r="F237" s="137"/>
      <c r="G237" s="138"/>
      <c r="H237" s="138"/>
      <c r="I237" s="139"/>
      <c r="J237" s="137"/>
      <c r="K237" s="137"/>
      <c r="M237" s="126"/>
      <c r="O237" s="137"/>
      <c r="P237" s="137"/>
      <c r="Q237" s="126"/>
    </row>
    <row r="238" spans="3:17" x14ac:dyDescent="0.3">
      <c r="C238" s="126"/>
      <c r="F238" s="137"/>
      <c r="G238" s="138"/>
      <c r="H238" s="138"/>
      <c r="I238" s="139"/>
      <c r="J238" s="137"/>
      <c r="K238" s="137"/>
      <c r="M238" s="126"/>
      <c r="O238" s="137"/>
      <c r="P238" s="137"/>
      <c r="Q238" s="126"/>
    </row>
    <row r="239" spans="3:17" x14ac:dyDescent="0.3">
      <c r="C239" s="126"/>
      <c r="F239" s="137"/>
      <c r="G239" s="138"/>
      <c r="H239" s="138"/>
      <c r="I239" s="139"/>
      <c r="J239" s="137"/>
      <c r="K239" s="137"/>
      <c r="M239" s="126"/>
      <c r="O239" s="137"/>
      <c r="P239" s="137"/>
      <c r="Q239" s="126"/>
    </row>
    <row r="240" spans="3:17" x14ac:dyDescent="0.3">
      <c r="C240" s="126"/>
      <c r="F240" s="137"/>
      <c r="G240" s="138"/>
      <c r="H240" s="138"/>
      <c r="I240" s="139"/>
      <c r="J240" s="137"/>
      <c r="K240" s="137"/>
      <c r="M240" s="126"/>
      <c r="O240" s="137"/>
      <c r="P240" s="137"/>
      <c r="Q240" s="126"/>
    </row>
    <row r="241" spans="3:17" x14ac:dyDescent="0.3">
      <c r="C241" s="126"/>
      <c r="F241" s="137"/>
      <c r="G241" s="138"/>
      <c r="H241" s="138"/>
      <c r="I241" s="139"/>
      <c r="J241" s="137"/>
      <c r="K241" s="137"/>
      <c r="M241" s="126"/>
      <c r="O241" s="137"/>
      <c r="P241" s="137"/>
      <c r="Q241" s="126"/>
    </row>
    <row r="242" spans="3:17" x14ac:dyDescent="0.3">
      <c r="C242" s="126"/>
      <c r="F242" s="137"/>
      <c r="G242" s="138"/>
      <c r="H242" s="138"/>
      <c r="I242" s="139"/>
      <c r="J242" s="137"/>
      <c r="K242" s="137"/>
      <c r="M242" s="126"/>
      <c r="O242" s="137"/>
      <c r="P242" s="137"/>
      <c r="Q242" s="126"/>
    </row>
    <row r="243" spans="3:17" x14ac:dyDescent="0.3">
      <c r="C243" s="126"/>
      <c r="F243" s="137"/>
      <c r="G243" s="138"/>
      <c r="H243" s="138"/>
      <c r="I243" s="139"/>
      <c r="J243" s="137"/>
      <c r="K243" s="137"/>
      <c r="M243" s="126"/>
      <c r="O243" s="137"/>
      <c r="P243" s="137"/>
      <c r="Q243" s="126"/>
    </row>
    <row r="244" spans="3:17" x14ac:dyDescent="0.3">
      <c r="C244" s="126"/>
      <c r="F244" s="137"/>
      <c r="G244" s="138"/>
      <c r="H244" s="138"/>
      <c r="I244" s="139"/>
      <c r="J244" s="137"/>
      <c r="K244" s="137"/>
      <c r="M244" s="126"/>
      <c r="O244" s="137"/>
      <c r="P244" s="137"/>
      <c r="Q244" s="126"/>
    </row>
    <row r="245" spans="3:17" x14ac:dyDescent="0.3">
      <c r="C245" s="126"/>
      <c r="F245" s="137"/>
      <c r="G245" s="138"/>
      <c r="H245" s="138"/>
      <c r="I245" s="139"/>
      <c r="J245" s="137"/>
      <c r="K245" s="137"/>
      <c r="M245" s="126"/>
      <c r="O245" s="137"/>
      <c r="P245" s="137"/>
      <c r="Q245" s="126"/>
    </row>
    <row r="246" spans="3:17" x14ac:dyDescent="0.3">
      <c r="C246" s="126"/>
      <c r="F246" s="137"/>
      <c r="G246" s="138"/>
      <c r="H246" s="138"/>
      <c r="I246" s="139"/>
      <c r="J246" s="137"/>
      <c r="K246" s="137"/>
      <c r="M246" s="126"/>
      <c r="O246" s="137"/>
      <c r="P246" s="137"/>
      <c r="Q246" s="126"/>
    </row>
    <row r="247" spans="3:17" x14ac:dyDescent="0.3">
      <c r="C247" s="126"/>
      <c r="F247" s="137"/>
      <c r="G247" s="138"/>
      <c r="H247" s="138"/>
      <c r="I247" s="139"/>
      <c r="J247" s="137"/>
      <c r="K247" s="137"/>
      <c r="M247" s="126"/>
      <c r="O247" s="137"/>
      <c r="P247" s="137"/>
      <c r="Q247" s="126"/>
    </row>
    <row r="248" spans="3:17" x14ac:dyDescent="0.3">
      <c r="C248" s="126"/>
      <c r="F248" s="137"/>
      <c r="G248" s="138"/>
      <c r="H248" s="138"/>
      <c r="I248" s="139"/>
      <c r="J248" s="137"/>
      <c r="K248" s="137"/>
      <c r="M248" s="126"/>
      <c r="O248" s="137"/>
      <c r="P248" s="137"/>
      <c r="Q248" s="126"/>
    </row>
    <row r="249" spans="3:17" x14ac:dyDescent="0.3">
      <c r="C249" s="126"/>
      <c r="F249" s="137"/>
      <c r="G249" s="138"/>
      <c r="H249" s="138"/>
      <c r="I249" s="139"/>
      <c r="J249" s="137"/>
      <c r="K249" s="137"/>
      <c r="M249" s="126"/>
      <c r="O249" s="137"/>
      <c r="P249" s="137"/>
      <c r="Q249" s="126"/>
    </row>
    <row r="250" spans="3:17" x14ac:dyDescent="0.3">
      <c r="C250" s="126"/>
      <c r="F250" s="137"/>
      <c r="G250" s="138"/>
      <c r="H250" s="138"/>
      <c r="I250" s="139"/>
      <c r="J250" s="137"/>
      <c r="K250" s="137"/>
      <c r="M250" s="126"/>
      <c r="O250" s="137"/>
      <c r="P250" s="137"/>
      <c r="Q250" s="126"/>
    </row>
    <row r="251" spans="3:17" x14ac:dyDescent="0.3">
      <c r="C251" s="126"/>
      <c r="F251" s="137"/>
      <c r="G251" s="138"/>
      <c r="H251" s="138"/>
      <c r="I251" s="139"/>
      <c r="J251" s="137"/>
      <c r="K251" s="137"/>
      <c r="M251" s="126"/>
      <c r="O251" s="137"/>
      <c r="P251" s="137"/>
      <c r="Q251" s="126"/>
    </row>
    <row r="252" spans="3:17" x14ac:dyDescent="0.3">
      <c r="C252" s="126"/>
      <c r="F252" s="137"/>
      <c r="G252" s="138"/>
      <c r="H252" s="138"/>
      <c r="I252" s="139"/>
      <c r="J252" s="137"/>
      <c r="K252" s="137"/>
      <c r="M252" s="126"/>
      <c r="O252" s="137"/>
      <c r="P252" s="137"/>
      <c r="Q252" s="126"/>
    </row>
    <row r="253" spans="3:17" x14ac:dyDescent="0.3">
      <c r="C253" s="126"/>
      <c r="F253" s="137"/>
      <c r="G253" s="138"/>
      <c r="H253" s="138"/>
      <c r="I253" s="139"/>
      <c r="J253" s="137"/>
      <c r="K253" s="137"/>
      <c r="M253" s="126"/>
      <c r="O253" s="137"/>
      <c r="P253" s="137"/>
      <c r="Q253" s="126"/>
    </row>
    <row r="254" spans="3:17" x14ac:dyDescent="0.3">
      <c r="C254" s="126"/>
      <c r="F254" s="137"/>
      <c r="G254" s="138"/>
      <c r="H254" s="138"/>
      <c r="I254" s="139"/>
      <c r="J254" s="137"/>
      <c r="K254" s="137"/>
      <c r="M254" s="126"/>
      <c r="O254" s="137"/>
      <c r="P254" s="137"/>
      <c r="Q254" s="126"/>
    </row>
    <row r="255" spans="3:17" x14ac:dyDescent="0.3">
      <c r="C255" s="126"/>
      <c r="F255" s="137"/>
      <c r="G255" s="138"/>
      <c r="H255" s="138"/>
      <c r="I255" s="139"/>
      <c r="J255" s="137"/>
      <c r="K255" s="137"/>
      <c r="M255" s="126"/>
      <c r="O255" s="137"/>
      <c r="P255" s="137"/>
      <c r="Q255" s="126"/>
    </row>
    <row r="256" spans="3:17" x14ac:dyDescent="0.3">
      <c r="C256" s="126"/>
      <c r="F256" s="137"/>
      <c r="G256" s="138"/>
      <c r="H256" s="138"/>
      <c r="I256" s="139"/>
      <c r="J256" s="137"/>
      <c r="K256" s="137"/>
      <c r="M256" s="126"/>
      <c r="O256" s="137"/>
      <c r="P256" s="137"/>
      <c r="Q256" s="126"/>
    </row>
    <row r="257" spans="3:17" x14ac:dyDescent="0.3">
      <c r="C257" s="126"/>
      <c r="F257" s="137"/>
      <c r="G257" s="138"/>
      <c r="H257" s="138"/>
      <c r="I257" s="139"/>
      <c r="J257" s="137"/>
      <c r="K257" s="137"/>
      <c r="M257" s="126"/>
      <c r="O257" s="137"/>
      <c r="P257" s="137"/>
      <c r="Q257" s="126"/>
    </row>
    <row r="258" spans="3:17" x14ac:dyDescent="0.3">
      <c r="C258" s="126"/>
      <c r="F258" s="137"/>
      <c r="G258" s="138"/>
      <c r="H258" s="138"/>
      <c r="I258" s="139"/>
      <c r="J258" s="137"/>
      <c r="K258" s="137"/>
      <c r="M258" s="126"/>
      <c r="O258" s="137"/>
      <c r="P258" s="137"/>
      <c r="Q258" s="126"/>
    </row>
    <row r="259" spans="3:17" x14ac:dyDescent="0.3">
      <c r="C259" s="126"/>
      <c r="F259" s="137"/>
      <c r="G259" s="138"/>
      <c r="H259" s="138"/>
      <c r="I259" s="139"/>
      <c r="J259" s="137"/>
      <c r="K259" s="137"/>
      <c r="M259" s="126"/>
      <c r="O259" s="137"/>
      <c r="P259" s="137"/>
      <c r="Q259" s="126"/>
    </row>
    <row r="260" spans="3:17" x14ac:dyDescent="0.3">
      <c r="C260" s="126"/>
      <c r="F260" s="137"/>
      <c r="G260" s="138"/>
      <c r="H260" s="138"/>
      <c r="I260" s="139"/>
      <c r="J260" s="137"/>
      <c r="K260" s="137"/>
      <c r="M260" s="126"/>
      <c r="O260" s="137"/>
      <c r="P260" s="137"/>
      <c r="Q260" s="126"/>
    </row>
    <row r="261" spans="3:17" x14ac:dyDescent="0.3">
      <c r="C261" s="126"/>
      <c r="F261" s="137"/>
      <c r="G261" s="138"/>
      <c r="H261" s="138"/>
      <c r="I261" s="139"/>
      <c r="J261" s="137"/>
      <c r="K261" s="137"/>
      <c r="M261" s="126"/>
      <c r="O261" s="137"/>
      <c r="P261" s="137"/>
      <c r="Q261" s="126"/>
    </row>
    <row r="262" spans="3:17" x14ac:dyDescent="0.3">
      <c r="C262" s="126"/>
      <c r="F262" s="137"/>
      <c r="G262" s="138"/>
      <c r="H262" s="138"/>
      <c r="I262" s="139"/>
      <c r="J262" s="137"/>
      <c r="K262" s="137"/>
      <c r="M262" s="126"/>
      <c r="O262" s="137"/>
      <c r="P262" s="137"/>
      <c r="Q262" s="126"/>
    </row>
    <row r="263" spans="3:17" x14ac:dyDescent="0.3">
      <c r="C263" s="126"/>
      <c r="F263" s="137"/>
      <c r="G263" s="138"/>
      <c r="H263" s="138"/>
      <c r="I263" s="139"/>
      <c r="J263" s="137"/>
      <c r="K263" s="137"/>
      <c r="M263" s="126"/>
      <c r="O263" s="137"/>
      <c r="P263" s="137"/>
      <c r="Q263" s="126"/>
    </row>
    <row r="264" spans="3:17" x14ac:dyDescent="0.3">
      <c r="C264" s="126"/>
      <c r="F264" s="137"/>
      <c r="G264" s="138"/>
      <c r="H264" s="138"/>
      <c r="I264" s="139"/>
      <c r="J264" s="137"/>
      <c r="K264" s="137"/>
      <c r="M264" s="126"/>
      <c r="O264" s="137"/>
      <c r="P264" s="137"/>
      <c r="Q264" s="126"/>
    </row>
    <row r="265" spans="3:17" x14ac:dyDescent="0.3">
      <c r="C265" s="126"/>
      <c r="F265" s="137"/>
      <c r="G265" s="138"/>
      <c r="H265" s="138"/>
      <c r="I265" s="139"/>
      <c r="J265" s="137"/>
      <c r="K265" s="137"/>
      <c r="M265" s="126"/>
      <c r="O265" s="137"/>
      <c r="P265" s="137"/>
      <c r="Q265" s="126"/>
    </row>
    <row r="266" spans="3:17" x14ac:dyDescent="0.3">
      <c r="C266" s="126"/>
      <c r="F266" s="137"/>
      <c r="G266" s="138"/>
      <c r="H266" s="138"/>
      <c r="I266" s="139"/>
      <c r="J266" s="137"/>
      <c r="K266" s="137"/>
      <c r="M266" s="126"/>
      <c r="O266" s="137"/>
      <c r="P266" s="137"/>
      <c r="Q266" s="126"/>
    </row>
    <row r="267" spans="3:17" x14ac:dyDescent="0.3">
      <c r="C267" s="126"/>
      <c r="F267" s="137"/>
      <c r="G267" s="138"/>
      <c r="H267" s="138"/>
      <c r="I267" s="139"/>
      <c r="J267" s="137"/>
      <c r="K267" s="137"/>
      <c r="M267" s="126"/>
      <c r="O267" s="137"/>
      <c r="P267" s="137"/>
      <c r="Q267" s="126"/>
    </row>
    <row r="268" spans="3:17" x14ac:dyDescent="0.3">
      <c r="C268" s="126"/>
      <c r="F268" s="137"/>
      <c r="G268" s="138"/>
      <c r="H268" s="138"/>
      <c r="I268" s="139"/>
      <c r="J268" s="137"/>
      <c r="K268" s="137"/>
      <c r="M268" s="126"/>
      <c r="O268" s="137"/>
      <c r="P268" s="137"/>
      <c r="Q268" s="126"/>
    </row>
    <row r="269" spans="3:17" x14ac:dyDescent="0.3">
      <c r="C269" s="126"/>
      <c r="F269" s="137"/>
      <c r="G269" s="138"/>
      <c r="H269" s="138"/>
      <c r="I269" s="139"/>
      <c r="J269" s="137"/>
      <c r="K269" s="137"/>
      <c r="M269" s="126"/>
      <c r="O269" s="137"/>
      <c r="P269" s="137"/>
      <c r="Q269" s="126"/>
    </row>
    <row r="270" spans="3:17" x14ac:dyDescent="0.3">
      <c r="C270" s="126"/>
      <c r="F270" s="137"/>
      <c r="G270" s="138"/>
      <c r="H270" s="138"/>
      <c r="I270" s="139"/>
      <c r="J270" s="137"/>
      <c r="K270" s="137"/>
      <c r="M270" s="126"/>
      <c r="O270" s="137"/>
      <c r="P270" s="137"/>
      <c r="Q270" s="126"/>
    </row>
    <row r="271" spans="3:17" x14ac:dyDescent="0.3">
      <c r="C271" s="126"/>
      <c r="F271" s="137"/>
      <c r="G271" s="138"/>
      <c r="H271" s="138"/>
      <c r="I271" s="139"/>
      <c r="J271" s="137"/>
      <c r="K271" s="137"/>
      <c r="M271" s="126"/>
      <c r="O271" s="137"/>
      <c r="P271" s="137"/>
      <c r="Q271" s="126"/>
    </row>
    <row r="272" spans="3:17" x14ac:dyDescent="0.3">
      <c r="C272" s="126"/>
      <c r="F272" s="137"/>
      <c r="G272" s="138"/>
      <c r="H272" s="138"/>
      <c r="I272" s="139"/>
      <c r="J272" s="137"/>
      <c r="K272" s="137"/>
      <c r="M272" s="126"/>
      <c r="O272" s="137"/>
      <c r="P272" s="137"/>
      <c r="Q272" s="126"/>
    </row>
    <row r="273" spans="3:17" x14ac:dyDescent="0.3">
      <c r="C273" s="126"/>
      <c r="F273" s="137"/>
      <c r="G273" s="138"/>
      <c r="H273" s="138"/>
      <c r="I273" s="139"/>
      <c r="J273" s="137"/>
      <c r="K273" s="137"/>
      <c r="M273" s="126"/>
      <c r="O273" s="137"/>
      <c r="P273" s="137"/>
      <c r="Q273" s="126"/>
    </row>
    <row r="274" spans="3:17" x14ac:dyDescent="0.3">
      <c r="C274" s="126"/>
      <c r="F274" s="137"/>
      <c r="G274" s="138"/>
      <c r="H274" s="138"/>
      <c r="I274" s="139"/>
      <c r="J274" s="137"/>
      <c r="K274" s="137"/>
      <c r="M274" s="126"/>
      <c r="O274" s="137"/>
      <c r="P274" s="137"/>
      <c r="Q274" s="126"/>
    </row>
    <row r="275" spans="3:17" x14ac:dyDescent="0.3">
      <c r="C275" s="126"/>
      <c r="F275" s="137"/>
      <c r="G275" s="138"/>
      <c r="H275" s="138"/>
      <c r="I275" s="139"/>
      <c r="J275" s="137"/>
      <c r="K275" s="137"/>
      <c r="M275" s="126"/>
      <c r="O275" s="137"/>
      <c r="P275" s="137"/>
      <c r="Q275" s="126"/>
    </row>
    <row r="276" spans="3:17" x14ac:dyDescent="0.3">
      <c r="C276" s="126"/>
      <c r="F276" s="137"/>
      <c r="G276" s="138"/>
      <c r="H276" s="138"/>
      <c r="I276" s="139"/>
      <c r="J276" s="137"/>
      <c r="K276" s="137"/>
      <c r="M276" s="126"/>
      <c r="O276" s="137"/>
      <c r="P276" s="137"/>
      <c r="Q276" s="126"/>
    </row>
    <row r="277" spans="3:17" x14ac:dyDescent="0.3">
      <c r="C277" s="126"/>
      <c r="F277" s="137"/>
      <c r="G277" s="138"/>
      <c r="H277" s="138"/>
      <c r="I277" s="139"/>
      <c r="J277" s="137"/>
      <c r="K277" s="137"/>
      <c r="M277" s="126"/>
      <c r="O277" s="137"/>
      <c r="P277" s="137"/>
      <c r="Q277" s="126"/>
    </row>
    <row r="278" spans="3:17" x14ac:dyDescent="0.3">
      <c r="C278" s="126"/>
      <c r="F278" s="137"/>
      <c r="G278" s="138"/>
      <c r="H278" s="138"/>
      <c r="I278" s="139"/>
      <c r="J278" s="137"/>
      <c r="K278" s="137"/>
      <c r="M278" s="126"/>
      <c r="O278" s="137"/>
      <c r="P278" s="137"/>
      <c r="Q278" s="126"/>
    </row>
    <row r="279" spans="3:17" x14ac:dyDescent="0.3">
      <c r="C279" s="126"/>
      <c r="F279" s="137"/>
      <c r="G279" s="138"/>
      <c r="H279" s="138"/>
      <c r="I279" s="139"/>
      <c r="J279" s="137"/>
      <c r="K279" s="137"/>
      <c r="M279" s="126"/>
      <c r="O279" s="137"/>
      <c r="P279" s="137"/>
      <c r="Q279" s="126"/>
    </row>
    <row r="280" spans="3:17" x14ac:dyDescent="0.3">
      <c r="C280" s="126"/>
      <c r="F280" s="137"/>
      <c r="G280" s="138"/>
      <c r="H280" s="138"/>
      <c r="I280" s="139"/>
      <c r="J280" s="137"/>
      <c r="K280" s="137"/>
      <c r="M280" s="126"/>
      <c r="O280" s="137"/>
      <c r="P280" s="137"/>
      <c r="Q280" s="126"/>
    </row>
    <row r="281" spans="3:17" x14ac:dyDescent="0.3">
      <c r="C281" s="126"/>
      <c r="F281" s="137"/>
      <c r="G281" s="138"/>
      <c r="H281" s="138"/>
      <c r="I281" s="139"/>
      <c r="J281" s="137"/>
      <c r="K281" s="137"/>
      <c r="M281" s="126"/>
      <c r="O281" s="137"/>
      <c r="P281" s="137"/>
      <c r="Q281" s="126"/>
    </row>
    <row r="282" spans="3:17" x14ac:dyDescent="0.3">
      <c r="C282" s="126"/>
      <c r="F282" s="137"/>
      <c r="G282" s="138"/>
      <c r="H282" s="138"/>
      <c r="I282" s="139"/>
      <c r="J282" s="137"/>
      <c r="K282" s="137"/>
      <c r="M282" s="126"/>
      <c r="O282" s="137"/>
      <c r="P282" s="137"/>
      <c r="Q282" s="126"/>
    </row>
    <row r="283" spans="3:17" x14ac:dyDescent="0.3">
      <c r="C283" s="126"/>
      <c r="F283" s="137"/>
      <c r="G283" s="138"/>
      <c r="H283" s="138"/>
      <c r="I283" s="139"/>
      <c r="J283" s="137"/>
      <c r="K283" s="137"/>
      <c r="M283" s="126"/>
      <c r="O283" s="137"/>
      <c r="P283" s="137"/>
      <c r="Q283" s="126"/>
    </row>
    <row r="284" spans="3:17" x14ac:dyDescent="0.3">
      <c r="C284" s="126"/>
      <c r="F284" s="137"/>
      <c r="G284" s="138"/>
      <c r="H284" s="138"/>
      <c r="I284" s="139"/>
      <c r="J284" s="137"/>
      <c r="K284" s="137"/>
      <c r="M284" s="126"/>
      <c r="O284" s="137"/>
      <c r="P284" s="137"/>
      <c r="Q284" s="126"/>
    </row>
    <row r="285" spans="3:17" x14ac:dyDescent="0.3">
      <c r="C285" s="126"/>
      <c r="F285" s="137"/>
      <c r="G285" s="138"/>
      <c r="H285" s="138"/>
      <c r="I285" s="139"/>
      <c r="J285" s="137"/>
      <c r="K285" s="137"/>
      <c r="M285" s="126"/>
      <c r="O285" s="137"/>
      <c r="P285" s="137"/>
      <c r="Q285" s="126"/>
    </row>
    <row r="286" spans="3:17" x14ac:dyDescent="0.3">
      <c r="C286" s="126"/>
      <c r="F286" s="137"/>
      <c r="G286" s="138"/>
      <c r="H286" s="138"/>
      <c r="I286" s="139"/>
      <c r="J286" s="137"/>
      <c r="K286" s="137"/>
      <c r="M286" s="126"/>
      <c r="O286" s="137"/>
      <c r="P286" s="137"/>
      <c r="Q286" s="126"/>
    </row>
    <row r="287" spans="3:17" x14ac:dyDescent="0.3">
      <c r="C287" s="126"/>
      <c r="F287" s="137"/>
      <c r="G287" s="138"/>
      <c r="H287" s="138"/>
      <c r="I287" s="139"/>
      <c r="J287" s="137"/>
      <c r="K287" s="137"/>
      <c r="M287" s="126"/>
      <c r="O287" s="137"/>
      <c r="P287" s="137"/>
      <c r="Q287" s="126"/>
    </row>
    <row r="288" spans="3:17" x14ac:dyDescent="0.3">
      <c r="C288" s="126"/>
      <c r="F288" s="137"/>
      <c r="G288" s="138"/>
      <c r="H288" s="138"/>
      <c r="I288" s="139"/>
      <c r="J288" s="137"/>
      <c r="K288" s="137"/>
      <c r="M288" s="126"/>
      <c r="O288" s="137"/>
      <c r="P288" s="137"/>
      <c r="Q288" s="126"/>
    </row>
    <row r="289" spans="3:17" x14ac:dyDescent="0.3">
      <c r="C289" s="126"/>
      <c r="F289" s="137"/>
      <c r="G289" s="138"/>
      <c r="H289" s="138"/>
      <c r="I289" s="139"/>
      <c r="J289" s="137"/>
      <c r="K289" s="137"/>
      <c r="M289" s="126"/>
      <c r="O289" s="137"/>
      <c r="P289" s="137"/>
      <c r="Q289" s="126"/>
    </row>
    <row r="290" spans="3:17" x14ac:dyDescent="0.3">
      <c r="C290" s="126"/>
      <c r="F290" s="137"/>
      <c r="G290" s="138"/>
      <c r="H290" s="138"/>
      <c r="I290" s="139"/>
      <c r="J290" s="137"/>
      <c r="K290" s="137"/>
      <c r="M290" s="126"/>
      <c r="O290" s="137"/>
      <c r="P290" s="137"/>
      <c r="Q290" s="126"/>
    </row>
    <row r="291" spans="3:17" x14ac:dyDescent="0.3">
      <c r="C291" s="126"/>
      <c r="F291" s="137"/>
      <c r="G291" s="138"/>
      <c r="H291" s="138"/>
      <c r="I291" s="139"/>
      <c r="J291" s="137"/>
      <c r="K291" s="137"/>
      <c r="M291" s="126"/>
      <c r="O291" s="137"/>
      <c r="P291" s="137"/>
      <c r="Q291" s="126"/>
    </row>
    <row r="292" spans="3:17" x14ac:dyDescent="0.3">
      <c r="C292" s="126"/>
      <c r="F292" s="137"/>
      <c r="G292" s="138"/>
      <c r="H292" s="138"/>
      <c r="I292" s="139"/>
      <c r="J292" s="137"/>
      <c r="K292" s="137"/>
      <c r="M292" s="126"/>
      <c r="O292" s="137"/>
      <c r="P292" s="137"/>
      <c r="Q292" s="126"/>
    </row>
    <row r="293" spans="3:17" x14ac:dyDescent="0.3">
      <c r="C293" s="126"/>
      <c r="F293" s="137"/>
      <c r="G293" s="138"/>
      <c r="H293" s="138"/>
      <c r="I293" s="139"/>
      <c r="J293" s="137"/>
      <c r="K293" s="137"/>
      <c r="M293" s="126"/>
      <c r="O293" s="137"/>
      <c r="P293" s="137"/>
      <c r="Q293" s="126"/>
    </row>
    <row r="294" spans="3:17" x14ac:dyDescent="0.3">
      <c r="C294" s="126"/>
      <c r="F294" s="137"/>
      <c r="G294" s="138"/>
      <c r="H294" s="138"/>
      <c r="I294" s="139"/>
      <c r="J294" s="137"/>
      <c r="K294" s="137"/>
      <c r="M294" s="126"/>
      <c r="O294" s="137"/>
      <c r="P294" s="137"/>
      <c r="Q294" s="126"/>
    </row>
    <row r="295" spans="3:17" x14ac:dyDescent="0.3">
      <c r="C295" s="126"/>
      <c r="F295" s="137"/>
      <c r="G295" s="138"/>
      <c r="H295" s="138"/>
      <c r="I295" s="139"/>
      <c r="J295" s="137"/>
      <c r="K295" s="137"/>
      <c r="M295" s="126"/>
      <c r="O295" s="137"/>
      <c r="P295" s="137"/>
      <c r="Q295" s="126"/>
    </row>
    <row r="296" spans="3:17" x14ac:dyDescent="0.3">
      <c r="C296" s="126"/>
      <c r="F296" s="137"/>
      <c r="G296" s="138"/>
      <c r="H296" s="138"/>
      <c r="I296" s="139"/>
      <c r="J296" s="137"/>
      <c r="K296" s="137"/>
      <c r="M296" s="126"/>
      <c r="O296" s="137"/>
      <c r="P296" s="137"/>
      <c r="Q296" s="126"/>
    </row>
    <row r="297" spans="3:17" x14ac:dyDescent="0.3">
      <c r="C297" s="126"/>
      <c r="F297" s="137"/>
      <c r="G297" s="138"/>
      <c r="H297" s="138"/>
      <c r="I297" s="139"/>
      <c r="J297" s="137"/>
      <c r="K297" s="137"/>
      <c r="M297" s="126"/>
      <c r="O297" s="137"/>
      <c r="P297" s="137"/>
      <c r="Q297" s="126"/>
    </row>
    <row r="298" spans="3:17" x14ac:dyDescent="0.3">
      <c r="C298" s="126"/>
      <c r="F298" s="137"/>
      <c r="G298" s="138"/>
      <c r="H298" s="138"/>
      <c r="I298" s="139"/>
      <c r="J298" s="137"/>
      <c r="K298" s="137"/>
      <c r="M298" s="126"/>
      <c r="O298" s="137"/>
      <c r="P298" s="137"/>
      <c r="Q298" s="126"/>
    </row>
    <row r="299" spans="3:17" x14ac:dyDescent="0.3">
      <c r="C299" s="126"/>
      <c r="F299" s="137"/>
      <c r="G299" s="138"/>
      <c r="H299" s="138"/>
      <c r="I299" s="139"/>
      <c r="J299" s="137"/>
      <c r="K299" s="137"/>
      <c r="M299" s="126"/>
      <c r="O299" s="137"/>
      <c r="P299" s="137"/>
      <c r="Q299" s="126"/>
    </row>
    <row r="300" spans="3:17" x14ac:dyDescent="0.3">
      <c r="C300" s="126"/>
      <c r="F300" s="137"/>
      <c r="G300" s="138"/>
      <c r="H300" s="138"/>
      <c r="I300" s="139"/>
      <c r="J300" s="137"/>
      <c r="K300" s="137"/>
      <c r="M300" s="126"/>
      <c r="O300" s="137"/>
      <c r="P300" s="137"/>
      <c r="Q300" s="126"/>
    </row>
    <row r="301" spans="3:17" x14ac:dyDescent="0.3">
      <c r="C301" s="126"/>
      <c r="F301" s="137"/>
      <c r="G301" s="138"/>
      <c r="H301" s="138"/>
      <c r="I301" s="139"/>
      <c r="J301" s="137"/>
      <c r="K301" s="137"/>
      <c r="M301" s="126"/>
      <c r="O301" s="137"/>
      <c r="P301" s="137"/>
      <c r="Q301" s="126"/>
    </row>
    <row r="302" spans="3:17" x14ac:dyDescent="0.3">
      <c r="C302" s="126"/>
      <c r="F302" s="137"/>
      <c r="G302" s="138"/>
      <c r="H302" s="138"/>
      <c r="I302" s="139"/>
      <c r="J302" s="137"/>
      <c r="K302" s="137"/>
      <c r="M302" s="126"/>
      <c r="O302" s="137"/>
      <c r="P302" s="137"/>
      <c r="Q302" s="126"/>
    </row>
    <row r="303" spans="3:17" x14ac:dyDescent="0.3">
      <c r="C303" s="126"/>
      <c r="F303" s="137"/>
      <c r="G303" s="138"/>
      <c r="H303" s="138"/>
      <c r="I303" s="139"/>
      <c r="J303" s="137"/>
      <c r="K303" s="137"/>
      <c r="M303" s="126"/>
      <c r="O303" s="137"/>
      <c r="P303" s="137"/>
      <c r="Q303" s="126"/>
    </row>
    <row r="304" spans="3:17" x14ac:dyDescent="0.3">
      <c r="C304" s="126"/>
      <c r="F304" s="137"/>
      <c r="G304" s="138"/>
      <c r="H304" s="138"/>
      <c r="I304" s="139"/>
      <c r="J304" s="137"/>
      <c r="K304" s="137"/>
      <c r="M304" s="126"/>
      <c r="O304" s="137"/>
      <c r="P304" s="137"/>
      <c r="Q304" s="126"/>
    </row>
    <row r="305" spans="3:17" x14ac:dyDescent="0.3">
      <c r="C305" s="126"/>
      <c r="F305" s="137"/>
      <c r="G305" s="138"/>
      <c r="H305" s="138"/>
      <c r="I305" s="139"/>
      <c r="J305" s="137"/>
      <c r="K305" s="137"/>
      <c r="M305" s="126"/>
      <c r="O305" s="137"/>
      <c r="P305" s="137"/>
      <c r="Q305" s="126"/>
    </row>
    <row r="306" spans="3:17" x14ac:dyDescent="0.3">
      <c r="C306" s="126"/>
      <c r="F306" s="137"/>
      <c r="G306" s="138"/>
      <c r="H306" s="138"/>
      <c r="I306" s="139"/>
      <c r="J306" s="137"/>
      <c r="K306" s="137"/>
      <c r="M306" s="126"/>
      <c r="O306" s="137"/>
      <c r="P306" s="137"/>
      <c r="Q306" s="126"/>
    </row>
    <row r="307" spans="3:17" x14ac:dyDescent="0.3">
      <c r="C307" s="126"/>
      <c r="F307" s="137"/>
      <c r="G307" s="138"/>
      <c r="H307" s="138"/>
      <c r="I307" s="139"/>
      <c r="J307" s="137"/>
      <c r="K307" s="137"/>
      <c r="M307" s="126"/>
      <c r="O307" s="137"/>
      <c r="P307" s="137"/>
      <c r="Q307" s="126"/>
    </row>
    <row r="308" spans="3:17" x14ac:dyDescent="0.3">
      <c r="C308" s="126"/>
      <c r="F308" s="137"/>
      <c r="G308" s="138"/>
      <c r="H308" s="138"/>
      <c r="I308" s="139"/>
      <c r="J308" s="137"/>
      <c r="K308" s="137"/>
      <c r="M308" s="126"/>
      <c r="O308" s="137"/>
      <c r="P308" s="137"/>
      <c r="Q308" s="126"/>
    </row>
    <row r="309" spans="3:17" x14ac:dyDescent="0.3">
      <c r="C309" s="126"/>
      <c r="F309" s="137"/>
      <c r="G309" s="138"/>
      <c r="H309" s="138"/>
      <c r="I309" s="139"/>
      <c r="J309" s="137"/>
      <c r="K309" s="137"/>
      <c r="M309" s="126"/>
      <c r="O309" s="137"/>
      <c r="P309" s="137"/>
      <c r="Q309" s="126"/>
    </row>
    <row r="310" spans="3:17" x14ac:dyDescent="0.3">
      <c r="C310" s="126"/>
      <c r="F310" s="137"/>
      <c r="G310" s="138"/>
      <c r="H310" s="138"/>
      <c r="I310" s="139"/>
      <c r="J310" s="137"/>
      <c r="K310" s="137"/>
      <c r="M310" s="126"/>
      <c r="O310" s="137"/>
      <c r="P310" s="137"/>
      <c r="Q310" s="126"/>
    </row>
    <row r="311" spans="3:17" x14ac:dyDescent="0.3">
      <c r="C311" s="126"/>
      <c r="F311" s="137"/>
      <c r="G311" s="138"/>
      <c r="H311" s="138"/>
      <c r="I311" s="139"/>
      <c r="J311" s="137"/>
      <c r="K311" s="137"/>
      <c r="M311" s="126"/>
      <c r="O311" s="137"/>
      <c r="P311" s="137"/>
      <c r="Q311" s="126"/>
    </row>
    <row r="312" spans="3:17" x14ac:dyDescent="0.3">
      <c r="C312" s="126"/>
      <c r="F312" s="137"/>
      <c r="G312" s="138"/>
      <c r="H312" s="138"/>
      <c r="I312" s="139"/>
      <c r="J312" s="137"/>
      <c r="K312" s="137"/>
      <c r="M312" s="126"/>
      <c r="O312" s="137"/>
      <c r="P312" s="137"/>
      <c r="Q312" s="126"/>
    </row>
    <row r="313" spans="3:17" x14ac:dyDescent="0.3">
      <c r="C313" s="126"/>
      <c r="F313" s="137"/>
      <c r="G313" s="138"/>
      <c r="H313" s="138"/>
      <c r="I313" s="139"/>
      <c r="J313" s="137"/>
      <c r="K313" s="137"/>
      <c r="M313" s="126"/>
      <c r="O313" s="137"/>
      <c r="P313" s="137"/>
      <c r="Q313" s="126"/>
    </row>
    <row r="314" spans="3:17" x14ac:dyDescent="0.3">
      <c r="C314" s="126"/>
      <c r="F314" s="137"/>
      <c r="G314" s="138"/>
      <c r="H314" s="138"/>
      <c r="I314" s="139"/>
      <c r="J314" s="137"/>
      <c r="K314" s="137"/>
      <c r="M314" s="126"/>
      <c r="O314" s="137"/>
      <c r="P314" s="137"/>
      <c r="Q314" s="126"/>
    </row>
    <row r="315" spans="3:17" x14ac:dyDescent="0.3">
      <c r="C315" s="126"/>
      <c r="F315" s="137"/>
      <c r="G315" s="138"/>
      <c r="H315" s="138"/>
      <c r="I315" s="139"/>
      <c r="J315" s="137"/>
      <c r="K315" s="137"/>
      <c r="M315" s="126"/>
      <c r="O315" s="137"/>
      <c r="P315" s="137"/>
      <c r="Q315" s="126"/>
    </row>
    <row r="316" spans="3:17" x14ac:dyDescent="0.3">
      <c r="C316" s="126"/>
      <c r="F316" s="137"/>
      <c r="G316" s="138"/>
      <c r="H316" s="138"/>
      <c r="I316" s="139"/>
      <c r="J316" s="137"/>
      <c r="K316" s="137"/>
      <c r="M316" s="126"/>
      <c r="O316" s="137"/>
      <c r="P316" s="137"/>
      <c r="Q316" s="126"/>
    </row>
    <row r="317" spans="3:17" x14ac:dyDescent="0.3">
      <c r="C317" s="126"/>
      <c r="F317" s="137"/>
      <c r="G317" s="138"/>
      <c r="H317" s="138"/>
      <c r="I317" s="139"/>
      <c r="J317" s="137"/>
      <c r="K317" s="137"/>
      <c r="M317" s="126"/>
      <c r="O317" s="137"/>
      <c r="P317" s="137"/>
      <c r="Q317" s="126"/>
    </row>
    <row r="318" spans="3:17" x14ac:dyDescent="0.3">
      <c r="C318" s="126"/>
      <c r="F318" s="137"/>
      <c r="G318" s="138"/>
      <c r="H318" s="138"/>
      <c r="I318" s="139"/>
      <c r="J318" s="137"/>
      <c r="K318" s="137"/>
      <c r="M318" s="126"/>
      <c r="O318" s="137"/>
      <c r="P318" s="137"/>
      <c r="Q318" s="126"/>
    </row>
    <row r="319" spans="3:17" x14ac:dyDescent="0.3">
      <c r="C319" s="126"/>
      <c r="F319" s="137"/>
      <c r="G319" s="138"/>
      <c r="H319" s="138"/>
      <c r="I319" s="139"/>
      <c r="J319" s="137"/>
      <c r="K319" s="137"/>
      <c r="M319" s="126"/>
      <c r="O319" s="137"/>
      <c r="P319" s="137"/>
      <c r="Q319" s="126"/>
    </row>
    <row r="320" spans="3:17" x14ac:dyDescent="0.3">
      <c r="C320" s="126"/>
      <c r="F320" s="137"/>
      <c r="G320" s="138"/>
      <c r="H320" s="138"/>
      <c r="I320" s="139"/>
      <c r="J320" s="137"/>
      <c r="K320" s="137"/>
      <c r="M320" s="126"/>
      <c r="O320" s="137"/>
      <c r="P320" s="137"/>
      <c r="Q320" s="126"/>
    </row>
    <row r="321" spans="3:17" x14ac:dyDescent="0.3">
      <c r="C321" s="126"/>
      <c r="F321" s="137"/>
      <c r="G321" s="138"/>
      <c r="H321" s="138"/>
      <c r="I321" s="139"/>
      <c r="J321" s="137"/>
      <c r="K321" s="137"/>
      <c r="M321" s="126"/>
      <c r="O321" s="137"/>
      <c r="P321" s="137"/>
      <c r="Q321" s="126"/>
    </row>
    <row r="322" spans="3:17" x14ac:dyDescent="0.3">
      <c r="C322" s="126"/>
      <c r="F322" s="137"/>
      <c r="G322" s="138"/>
      <c r="H322" s="138"/>
      <c r="I322" s="139"/>
      <c r="J322" s="137"/>
      <c r="K322" s="137"/>
      <c r="M322" s="126"/>
      <c r="O322" s="137"/>
      <c r="P322" s="137"/>
      <c r="Q322" s="126"/>
    </row>
    <row r="323" spans="3:17" x14ac:dyDescent="0.3">
      <c r="C323" s="126"/>
      <c r="F323" s="137"/>
      <c r="G323" s="138"/>
      <c r="H323" s="138"/>
      <c r="I323" s="139"/>
      <c r="J323" s="137"/>
      <c r="K323" s="137"/>
      <c r="M323" s="126"/>
      <c r="O323" s="137"/>
      <c r="P323" s="137"/>
      <c r="Q323" s="126"/>
    </row>
    <row r="324" spans="3:17" x14ac:dyDescent="0.3">
      <c r="C324" s="126"/>
      <c r="F324" s="137"/>
      <c r="G324" s="138"/>
      <c r="H324" s="138"/>
      <c r="I324" s="139"/>
      <c r="J324" s="137"/>
      <c r="K324" s="137"/>
      <c r="M324" s="126"/>
      <c r="O324" s="137"/>
      <c r="P324" s="137"/>
      <c r="Q324" s="126"/>
    </row>
    <row r="325" spans="3:17" x14ac:dyDescent="0.3">
      <c r="C325" s="126"/>
      <c r="F325" s="137"/>
      <c r="G325" s="138"/>
      <c r="H325" s="138"/>
      <c r="I325" s="139"/>
      <c r="J325" s="137"/>
      <c r="K325" s="137"/>
      <c r="M325" s="126"/>
      <c r="O325" s="137"/>
      <c r="P325" s="137"/>
      <c r="Q325" s="126"/>
    </row>
    <row r="326" spans="3:17" x14ac:dyDescent="0.3">
      <c r="C326" s="126"/>
      <c r="F326" s="137"/>
      <c r="G326" s="138"/>
      <c r="H326" s="138"/>
      <c r="I326" s="139"/>
      <c r="J326" s="137"/>
      <c r="K326" s="137"/>
      <c r="M326" s="126"/>
      <c r="O326" s="137"/>
      <c r="P326" s="137"/>
      <c r="Q326" s="126"/>
    </row>
    <row r="327" spans="3:17" x14ac:dyDescent="0.3">
      <c r="C327" s="126"/>
      <c r="F327" s="137"/>
      <c r="G327" s="138"/>
      <c r="H327" s="138"/>
      <c r="I327" s="139"/>
      <c r="J327" s="137"/>
      <c r="K327" s="137"/>
      <c r="M327" s="126"/>
      <c r="O327" s="137"/>
      <c r="P327" s="137"/>
      <c r="Q327" s="126"/>
    </row>
    <row r="328" spans="3:17" x14ac:dyDescent="0.3">
      <c r="C328" s="126"/>
      <c r="F328" s="137"/>
      <c r="G328" s="138"/>
      <c r="H328" s="138"/>
      <c r="I328" s="139"/>
      <c r="J328" s="137"/>
      <c r="K328" s="137"/>
      <c r="M328" s="126"/>
      <c r="O328" s="137"/>
      <c r="P328" s="137"/>
      <c r="Q328" s="126"/>
    </row>
    <row r="329" spans="3:17" x14ac:dyDescent="0.3">
      <c r="C329" s="126"/>
      <c r="F329" s="137"/>
      <c r="G329" s="138"/>
      <c r="H329" s="138"/>
      <c r="I329" s="139"/>
      <c r="J329" s="137"/>
      <c r="K329" s="137"/>
      <c r="M329" s="126"/>
      <c r="O329" s="137"/>
      <c r="P329" s="137"/>
      <c r="Q329" s="126"/>
    </row>
    <row r="330" spans="3:17" x14ac:dyDescent="0.3">
      <c r="C330" s="126"/>
      <c r="F330" s="137"/>
      <c r="G330" s="138"/>
      <c r="H330" s="138"/>
      <c r="I330" s="139"/>
      <c r="J330" s="137"/>
      <c r="K330" s="137"/>
      <c r="M330" s="126"/>
      <c r="O330" s="137"/>
      <c r="P330" s="137"/>
      <c r="Q330" s="126"/>
    </row>
    <row r="331" spans="3:17" x14ac:dyDescent="0.3">
      <c r="C331" s="126"/>
      <c r="F331" s="137"/>
      <c r="G331" s="138"/>
      <c r="H331" s="138"/>
      <c r="I331" s="139"/>
      <c r="J331" s="137"/>
      <c r="K331" s="137"/>
      <c r="M331" s="126"/>
      <c r="O331" s="137"/>
      <c r="P331" s="137"/>
      <c r="Q331" s="126"/>
    </row>
    <row r="332" spans="3:17" x14ac:dyDescent="0.3">
      <c r="C332" s="126"/>
      <c r="F332" s="137"/>
      <c r="G332" s="138"/>
      <c r="H332" s="138"/>
      <c r="I332" s="139"/>
      <c r="J332" s="137"/>
      <c r="K332" s="137"/>
      <c r="M332" s="126"/>
      <c r="O332" s="137"/>
      <c r="P332" s="137"/>
      <c r="Q332" s="126"/>
    </row>
    <row r="333" spans="3:17" x14ac:dyDescent="0.3">
      <c r="C333" s="126"/>
      <c r="F333" s="137"/>
      <c r="G333" s="138"/>
      <c r="H333" s="138"/>
      <c r="I333" s="139"/>
      <c r="J333" s="137"/>
      <c r="K333" s="137"/>
      <c r="M333" s="126"/>
      <c r="O333" s="137"/>
      <c r="P333" s="137"/>
      <c r="Q333" s="126"/>
    </row>
    <row r="334" spans="3:17" x14ac:dyDescent="0.3">
      <c r="C334" s="126"/>
      <c r="F334" s="137"/>
      <c r="G334" s="138"/>
      <c r="H334" s="138"/>
      <c r="I334" s="139"/>
      <c r="J334" s="137"/>
      <c r="K334" s="137"/>
      <c r="M334" s="126"/>
      <c r="O334" s="137"/>
      <c r="P334" s="137"/>
      <c r="Q334" s="126"/>
    </row>
    <row r="335" spans="3:17" x14ac:dyDescent="0.3">
      <c r="C335" s="126"/>
      <c r="F335" s="137"/>
      <c r="G335" s="138"/>
      <c r="H335" s="138"/>
      <c r="I335" s="139"/>
      <c r="J335" s="137"/>
      <c r="K335" s="137"/>
      <c r="M335" s="126"/>
      <c r="O335" s="137"/>
      <c r="P335" s="137"/>
      <c r="Q335" s="126"/>
    </row>
    <row r="336" spans="3:17" x14ac:dyDescent="0.3">
      <c r="C336" s="126"/>
      <c r="F336" s="137"/>
      <c r="G336" s="138"/>
      <c r="H336" s="138"/>
      <c r="I336" s="139"/>
      <c r="J336" s="137"/>
      <c r="K336" s="137"/>
      <c r="M336" s="126"/>
      <c r="O336" s="137"/>
      <c r="P336" s="137"/>
      <c r="Q336" s="126"/>
    </row>
    <row r="337" spans="3:17" x14ac:dyDescent="0.3">
      <c r="C337" s="126"/>
      <c r="F337" s="137"/>
      <c r="G337" s="138"/>
      <c r="H337" s="138"/>
      <c r="I337" s="139"/>
      <c r="J337" s="137"/>
      <c r="K337" s="137"/>
      <c r="M337" s="126"/>
      <c r="O337" s="137"/>
      <c r="P337" s="137"/>
      <c r="Q337" s="126"/>
    </row>
    <row r="338" spans="3:17" x14ac:dyDescent="0.3">
      <c r="C338" s="126"/>
      <c r="F338" s="137"/>
      <c r="G338" s="138"/>
      <c r="H338" s="138"/>
      <c r="I338" s="139"/>
      <c r="J338" s="137"/>
      <c r="K338" s="137"/>
      <c r="M338" s="126"/>
      <c r="O338" s="137"/>
      <c r="P338" s="137"/>
      <c r="Q338" s="126"/>
    </row>
    <row r="339" spans="3:17" x14ac:dyDescent="0.3">
      <c r="C339" s="126"/>
      <c r="F339" s="137"/>
      <c r="G339" s="138"/>
      <c r="H339" s="138"/>
      <c r="I339" s="139"/>
      <c r="J339" s="137"/>
      <c r="K339" s="137"/>
      <c r="M339" s="126"/>
      <c r="O339" s="137"/>
      <c r="P339" s="137"/>
      <c r="Q339" s="126"/>
    </row>
    <row r="340" spans="3:17" x14ac:dyDescent="0.3">
      <c r="C340" s="126"/>
      <c r="F340" s="137"/>
      <c r="G340" s="138"/>
      <c r="H340" s="138"/>
      <c r="I340" s="139"/>
      <c r="J340" s="137"/>
      <c r="K340" s="137"/>
      <c r="M340" s="126"/>
      <c r="O340" s="137"/>
      <c r="P340" s="137"/>
      <c r="Q340" s="126"/>
    </row>
    <row r="341" spans="3:17" x14ac:dyDescent="0.3">
      <c r="C341" s="126"/>
      <c r="F341" s="137"/>
      <c r="G341" s="138"/>
      <c r="H341" s="138"/>
      <c r="I341" s="139"/>
      <c r="J341" s="137"/>
      <c r="K341" s="137"/>
      <c r="M341" s="126"/>
      <c r="O341" s="137"/>
      <c r="P341" s="137"/>
      <c r="Q341" s="126"/>
    </row>
    <row r="342" spans="3:17" x14ac:dyDescent="0.3">
      <c r="C342" s="126"/>
      <c r="F342" s="137"/>
      <c r="G342" s="138"/>
      <c r="H342" s="138"/>
      <c r="I342" s="139"/>
      <c r="J342" s="137"/>
      <c r="K342" s="137"/>
      <c r="M342" s="126"/>
      <c r="O342" s="137"/>
      <c r="P342" s="137"/>
      <c r="Q342" s="126"/>
    </row>
    <row r="343" spans="3:17" x14ac:dyDescent="0.3">
      <c r="C343" s="126"/>
      <c r="F343" s="137"/>
      <c r="G343" s="138"/>
      <c r="H343" s="138"/>
      <c r="I343" s="139"/>
      <c r="J343" s="137"/>
      <c r="K343" s="137"/>
      <c r="M343" s="126"/>
      <c r="O343" s="137"/>
      <c r="P343" s="137"/>
      <c r="Q343" s="126"/>
    </row>
    <row r="344" spans="3:17" x14ac:dyDescent="0.3">
      <c r="C344" s="126"/>
      <c r="F344" s="137"/>
      <c r="G344" s="138"/>
      <c r="H344" s="138"/>
      <c r="I344" s="139"/>
      <c r="J344" s="137"/>
      <c r="K344" s="137"/>
      <c r="M344" s="126"/>
      <c r="O344" s="137"/>
      <c r="P344" s="137"/>
      <c r="Q344" s="126"/>
    </row>
    <row r="345" spans="3:17" x14ac:dyDescent="0.3">
      <c r="C345" s="126"/>
      <c r="F345" s="137"/>
      <c r="G345" s="138"/>
      <c r="H345" s="138"/>
      <c r="I345" s="139"/>
      <c r="J345" s="137"/>
      <c r="K345" s="137"/>
      <c r="M345" s="126"/>
      <c r="O345" s="137"/>
      <c r="P345" s="137"/>
      <c r="Q345" s="126"/>
    </row>
    <row r="346" spans="3:17" x14ac:dyDescent="0.3">
      <c r="C346" s="126"/>
      <c r="F346" s="137"/>
      <c r="G346" s="138"/>
      <c r="H346" s="138"/>
      <c r="I346" s="139"/>
      <c r="J346" s="137"/>
      <c r="K346" s="137"/>
      <c r="M346" s="126"/>
      <c r="O346" s="137"/>
      <c r="P346" s="137"/>
      <c r="Q346" s="126"/>
    </row>
    <row r="347" spans="3:17" x14ac:dyDescent="0.3">
      <c r="C347" s="126"/>
      <c r="F347" s="137"/>
      <c r="G347" s="138"/>
      <c r="H347" s="138"/>
      <c r="I347" s="139"/>
      <c r="J347" s="137"/>
      <c r="K347" s="137"/>
      <c r="M347" s="126"/>
      <c r="O347" s="137"/>
      <c r="P347" s="137"/>
      <c r="Q347" s="126"/>
    </row>
    <row r="348" spans="3:17" x14ac:dyDescent="0.3">
      <c r="C348" s="126"/>
      <c r="F348" s="137"/>
      <c r="G348" s="138"/>
      <c r="H348" s="138"/>
      <c r="I348" s="139"/>
      <c r="J348" s="137"/>
      <c r="K348" s="137"/>
      <c r="M348" s="126"/>
      <c r="O348" s="137"/>
      <c r="P348" s="137"/>
      <c r="Q348" s="126"/>
    </row>
    <row r="349" spans="3:17" x14ac:dyDescent="0.3">
      <c r="C349" s="126"/>
      <c r="F349" s="137"/>
      <c r="G349" s="138"/>
      <c r="H349" s="138"/>
      <c r="I349" s="139"/>
      <c r="J349" s="137"/>
      <c r="K349" s="137"/>
      <c r="M349" s="126"/>
      <c r="O349" s="137"/>
      <c r="P349" s="137"/>
      <c r="Q349" s="126"/>
    </row>
    <row r="350" spans="3:17" x14ac:dyDescent="0.3">
      <c r="C350" s="126"/>
      <c r="F350" s="137"/>
      <c r="G350" s="138"/>
      <c r="H350" s="138"/>
      <c r="I350" s="139"/>
      <c r="J350" s="137"/>
      <c r="K350" s="137"/>
      <c r="M350" s="126"/>
      <c r="O350" s="137"/>
      <c r="P350" s="137"/>
      <c r="Q350" s="126"/>
    </row>
    <row r="351" spans="3:17" x14ac:dyDescent="0.3">
      <c r="C351" s="126"/>
      <c r="F351" s="137"/>
      <c r="G351" s="138"/>
      <c r="H351" s="138"/>
      <c r="I351" s="139"/>
      <c r="J351" s="137"/>
      <c r="K351" s="137"/>
      <c r="M351" s="126"/>
      <c r="O351" s="137"/>
      <c r="P351" s="137"/>
      <c r="Q351" s="126"/>
    </row>
    <row r="352" spans="3:17" x14ac:dyDescent="0.3">
      <c r="C352" s="126"/>
      <c r="F352" s="137"/>
      <c r="G352" s="138"/>
      <c r="H352" s="138"/>
      <c r="I352" s="139"/>
      <c r="J352" s="137"/>
      <c r="K352" s="137"/>
      <c r="M352" s="126"/>
      <c r="O352" s="137"/>
      <c r="P352" s="137"/>
      <c r="Q352" s="126"/>
    </row>
    <row r="353" spans="3:17" x14ac:dyDescent="0.3">
      <c r="C353" s="126"/>
      <c r="F353" s="137"/>
      <c r="G353" s="138"/>
      <c r="H353" s="138"/>
      <c r="I353" s="139"/>
      <c r="J353" s="137"/>
      <c r="K353" s="137"/>
      <c r="M353" s="126"/>
      <c r="O353" s="137"/>
      <c r="P353" s="137"/>
      <c r="Q353" s="126"/>
    </row>
    <row r="354" spans="3:17" x14ac:dyDescent="0.3">
      <c r="C354" s="126"/>
      <c r="F354" s="137"/>
      <c r="G354" s="138"/>
      <c r="H354" s="138"/>
      <c r="I354" s="139"/>
      <c r="J354" s="137"/>
      <c r="K354" s="137"/>
      <c r="M354" s="126"/>
      <c r="O354" s="137"/>
      <c r="P354" s="137"/>
      <c r="Q354" s="126"/>
    </row>
    <row r="355" spans="3:17" x14ac:dyDescent="0.3">
      <c r="C355" s="126"/>
      <c r="F355" s="137"/>
      <c r="G355" s="138"/>
      <c r="H355" s="138"/>
      <c r="I355" s="139"/>
      <c r="J355" s="137"/>
      <c r="K355" s="137"/>
      <c r="M355" s="126"/>
      <c r="O355" s="137"/>
      <c r="P355" s="137"/>
      <c r="Q355" s="126"/>
    </row>
    <row r="356" spans="3:17" x14ac:dyDescent="0.3">
      <c r="C356" s="126"/>
      <c r="F356" s="137"/>
      <c r="G356" s="138"/>
      <c r="H356" s="138"/>
      <c r="I356" s="139"/>
      <c r="J356" s="137"/>
      <c r="K356" s="137"/>
      <c r="M356" s="126"/>
      <c r="O356" s="137"/>
      <c r="P356" s="137"/>
      <c r="Q356" s="126"/>
    </row>
    <row r="357" spans="3:17" x14ac:dyDescent="0.3">
      <c r="C357" s="126"/>
      <c r="F357" s="137"/>
      <c r="G357" s="138"/>
      <c r="H357" s="138"/>
      <c r="I357" s="139"/>
      <c r="J357" s="137"/>
      <c r="K357" s="137"/>
      <c r="M357" s="126"/>
      <c r="O357" s="137"/>
      <c r="P357" s="137"/>
      <c r="Q357" s="126"/>
    </row>
    <row r="358" spans="3:17" x14ac:dyDescent="0.3">
      <c r="C358" s="126"/>
      <c r="F358" s="137"/>
      <c r="G358" s="138"/>
      <c r="H358" s="138"/>
      <c r="I358" s="139"/>
      <c r="J358" s="137"/>
      <c r="K358" s="137"/>
      <c r="M358" s="126"/>
      <c r="O358" s="137"/>
      <c r="P358" s="137"/>
      <c r="Q358" s="126"/>
    </row>
    <row r="359" spans="3:17" x14ac:dyDescent="0.3">
      <c r="C359" s="126"/>
      <c r="F359" s="137"/>
      <c r="G359" s="138"/>
      <c r="H359" s="138"/>
      <c r="I359" s="139"/>
      <c r="J359" s="137"/>
      <c r="K359" s="137"/>
      <c r="M359" s="126"/>
      <c r="O359" s="137"/>
      <c r="P359" s="137"/>
      <c r="Q359" s="126"/>
    </row>
    <row r="360" spans="3:17" x14ac:dyDescent="0.3">
      <c r="C360" s="126"/>
      <c r="F360" s="137"/>
      <c r="G360" s="138"/>
      <c r="H360" s="138"/>
      <c r="I360" s="139"/>
      <c r="J360" s="137"/>
      <c r="K360" s="137"/>
      <c r="M360" s="126"/>
      <c r="O360" s="137"/>
      <c r="P360" s="137"/>
      <c r="Q360" s="126"/>
    </row>
    <row r="361" spans="3:17" x14ac:dyDescent="0.3">
      <c r="C361" s="126"/>
      <c r="F361" s="137"/>
      <c r="G361" s="138"/>
      <c r="H361" s="138"/>
      <c r="I361" s="139"/>
      <c r="J361" s="137"/>
      <c r="K361" s="137"/>
      <c r="M361" s="126"/>
      <c r="O361" s="137"/>
      <c r="P361" s="137"/>
      <c r="Q361" s="126"/>
    </row>
    <row r="362" spans="3:17" x14ac:dyDescent="0.3">
      <c r="C362" s="126"/>
      <c r="F362" s="137"/>
      <c r="G362" s="138"/>
      <c r="H362" s="138"/>
      <c r="I362" s="139"/>
      <c r="J362" s="137"/>
      <c r="K362" s="137"/>
      <c r="M362" s="126"/>
      <c r="O362" s="137"/>
      <c r="P362" s="137"/>
      <c r="Q362" s="126"/>
    </row>
    <row r="363" spans="3:17" x14ac:dyDescent="0.3">
      <c r="C363" s="126"/>
      <c r="F363" s="137"/>
      <c r="G363" s="138"/>
      <c r="H363" s="138"/>
      <c r="I363" s="139"/>
      <c r="J363" s="137"/>
      <c r="K363" s="137"/>
      <c r="M363" s="126"/>
      <c r="O363" s="137"/>
      <c r="P363" s="137"/>
      <c r="Q363" s="126"/>
    </row>
    <row r="364" spans="3:17" x14ac:dyDescent="0.3">
      <c r="C364" s="126"/>
      <c r="F364" s="137"/>
      <c r="G364" s="138"/>
      <c r="H364" s="138"/>
      <c r="I364" s="139"/>
      <c r="J364" s="137"/>
      <c r="K364" s="137"/>
      <c r="M364" s="126"/>
      <c r="O364" s="137"/>
      <c r="P364" s="137"/>
      <c r="Q364" s="126"/>
    </row>
    <row r="365" spans="3:17" x14ac:dyDescent="0.3">
      <c r="C365" s="126"/>
      <c r="F365" s="137"/>
      <c r="G365" s="138"/>
      <c r="H365" s="138"/>
      <c r="I365" s="139"/>
      <c r="J365" s="137"/>
      <c r="K365" s="137"/>
      <c r="M365" s="126"/>
      <c r="O365" s="137"/>
      <c r="P365" s="137"/>
      <c r="Q365" s="126"/>
    </row>
    <row r="366" spans="3:17" x14ac:dyDescent="0.3">
      <c r="C366" s="126"/>
      <c r="F366" s="137"/>
      <c r="G366" s="138"/>
      <c r="H366" s="138"/>
      <c r="I366" s="139"/>
      <c r="J366" s="137"/>
      <c r="K366" s="137"/>
      <c r="M366" s="126"/>
      <c r="O366" s="137"/>
      <c r="P366" s="137"/>
      <c r="Q366" s="126"/>
    </row>
    <row r="367" spans="3:17" x14ac:dyDescent="0.3">
      <c r="C367" s="126"/>
      <c r="F367" s="137"/>
      <c r="G367" s="138"/>
      <c r="H367" s="138"/>
      <c r="I367" s="139"/>
      <c r="J367" s="137"/>
      <c r="K367" s="137"/>
      <c r="M367" s="126"/>
      <c r="O367" s="137"/>
      <c r="P367" s="137"/>
      <c r="Q367" s="126"/>
    </row>
    <row r="368" spans="3:17" x14ac:dyDescent="0.3">
      <c r="C368" s="126"/>
      <c r="F368" s="137"/>
      <c r="G368" s="138"/>
      <c r="H368" s="138"/>
      <c r="I368" s="139"/>
      <c r="J368" s="137"/>
      <c r="K368" s="137"/>
      <c r="M368" s="126"/>
      <c r="O368" s="137"/>
      <c r="P368" s="137"/>
      <c r="Q368" s="126"/>
    </row>
    <row r="369" spans="3:17" x14ac:dyDescent="0.3">
      <c r="C369" s="126"/>
      <c r="F369" s="137"/>
      <c r="G369" s="138"/>
      <c r="H369" s="138"/>
      <c r="I369" s="139"/>
      <c r="J369" s="137"/>
      <c r="K369" s="137"/>
      <c r="M369" s="126"/>
      <c r="O369" s="137"/>
      <c r="P369" s="137"/>
      <c r="Q369" s="126"/>
    </row>
    <row r="370" spans="3:17" x14ac:dyDescent="0.3">
      <c r="C370" s="126"/>
      <c r="F370" s="137"/>
      <c r="G370" s="138"/>
      <c r="H370" s="138"/>
      <c r="I370" s="139"/>
      <c r="J370" s="137"/>
      <c r="K370" s="137"/>
      <c r="M370" s="126"/>
      <c r="O370" s="137"/>
      <c r="P370" s="137"/>
      <c r="Q370" s="126"/>
    </row>
    <row r="371" spans="3:17" x14ac:dyDescent="0.3">
      <c r="C371" s="126"/>
      <c r="F371" s="137"/>
      <c r="G371" s="138"/>
      <c r="H371" s="138"/>
      <c r="I371" s="139"/>
      <c r="J371" s="137"/>
      <c r="K371" s="137"/>
      <c r="M371" s="126"/>
      <c r="O371" s="137"/>
      <c r="P371" s="137"/>
      <c r="Q371" s="126"/>
    </row>
    <row r="372" spans="3:17" x14ac:dyDescent="0.3">
      <c r="C372" s="126"/>
      <c r="F372" s="137"/>
      <c r="G372" s="138"/>
      <c r="H372" s="138"/>
      <c r="I372" s="139"/>
      <c r="J372" s="137"/>
      <c r="K372" s="137"/>
      <c r="M372" s="126"/>
      <c r="O372" s="137"/>
      <c r="P372" s="137"/>
      <c r="Q372" s="126"/>
    </row>
    <row r="373" spans="3:17" x14ac:dyDescent="0.3">
      <c r="C373" s="126"/>
      <c r="F373" s="137"/>
      <c r="G373" s="138"/>
      <c r="H373" s="138"/>
      <c r="I373" s="139"/>
      <c r="J373" s="137"/>
      <c r="K373" s="137"/>
      <c r="M373" s="126"/>
      <c r="O373" s="137"/>
      <c r="P373" s="137"/>
      <c r="Q373" s="126"/>
    </row>
    <row r="374" spans="3:17" x14ac:dyDescent="0.3">
      <c r="C374" s="126"/>
      <c r="F374" s="137"/>
      <c r="G374" s="138"/>
      <c r="H374" s="138"/>
      <c r="I374" s="139"/>
      <c r="J374" s="137"/>
      <c r="K374" s="137"/>
      <c r="M374" s="126"/>
      <c r="O374" s="137"/>
      <c r="P374" s="137"/>
      <c r="Q374" s="126"/>
    </row>
    <row r="375" spans="3:17" x14ac:dyDescent="0.3">
      <c r="C375" s="126"/>
      <c r="F375" s="137"/>
      <c r="G375" s="138"/>
      <c r="H375" s="138"/>
      <c r="I375" s="139"/>
      <c r="J375" s="137"/>
      <c r="K375" s="137"/>
      <c r="M375" s="126"/>
      <c r="O375" s="137"/>
      <c r="P375" s="137"/>
      <c r="Q375" s="126"/>
    </row>
    <row r="376" spans="3:17" x14ac:dyDescent="0.3">
      <c r="C376" s="126"/>
      <c r="F376" s="137"/>
      <c r="G376" s="138"/>
      <c r="H376" s="138"/>
      <c r="I376" s="139"/>
      <c r="J376" s="137"/>
      <c r="K376" s="137"/>
      <c r="M376" s="126"/>
      <c r="O376" s="137"/>
      <c r="P376" s="137"/>
      <c r="Q376" s="126"/>
    </row>
    <row r="377" spans="3:17" x14ac:dyDescent="0.3">
      <c r="C377" s="126"/>
      <c r="F377" s="137"/>
      <c r="G377" s="138"/>
      <c r="H377" s="138"/>
      <c r="I377" s="139"/>
      <c r="J377" s="137"/>
      <c r="K377" s="137"/>
      <c r="M377" s="126"/>
      <c r="O377" s="137"/>
      <c r="P377" s="137"/>
      <c r="Q377" s="126"/>
    </row>
    <row r="378" spans="3:17" x14ac:dyDescent="0.3">
      <c r="C378" s="126"/>
      <c r="F378" s="137"/>
      <c r="G378" s="138"/>
      <c r="H378" s="138"/>
      <c r="I378" s="139"/>
      <c r="J378" s="137"/>
      <c r="K378" s="137"/>
      <c r="M378" s="126"/>
      <c r="O378" s="137"/>
      <c r="P378" s="137"/>
      <c r="Q378" s="126"/>
    </row>
    <row r="379" spans="3:17" x14ac:dyDescent="0.3">
      <c r="C379" s="126"/>
      <c r="F379" s="137"/>
      <c r="G379" s="138"/>
      <c r="H379" s="138"/>
      <c r="I379" s="139"/>
      <c r="J379" s="137"/>
      <c r="K379" s="137"/>
      <c r="M379" s="126"/>
      <c r="O379" s="137"/>
      <c r="P379" s="137"/>
      <c r="Q379" s="126"/>
    </row>
    <row r="380" spans="3:17" x14ac:dyDescent="0.3">
      <c r="C380" s="126"/>
      <c r="F380" s="137"/>
      <c r="G380" s="138"/>
      <c r="H380" s="138"/>
      <c r="I380" s="139"/>
      <c r="J380" s="137"/>
      <c r="K380" s="137"/>
      <c r="M380" s="126"/>
      <c r="O380" s="137"/>
      <c r="P380" s="137"/>
      <c r="Q380" s="126"/>
    </row>
    <row r="381" spans="3:17" x14ac:dyDescent="0.3">
      <c r="C381" s="126"/>
      <c r="F381" s="137"/>
      <c r="G381" s="138"/>
      <c r="H381" s="138"/>
      <c r="I381" s="139"/>
      <c r="J381" s="137"/>
      <c r="K381" s="137"/>
      <c r="M381" s="126"/>
      <c r="O381" s="137"/>
      <c r="P381" s="137"/>
      <c r="Q381" s="126"/>
    </row>
    <row r="382" spans="3:17" x14ac:dyDescent="0.3">
      <c r="C382" s="126"/>
      <c r="F382" s="137"/>
      <c r="G382" s="138"/>
      <c r="H382" s="138"/>
      <c r="I382" s="139"/>
      <c r="J382" s="137"/>
      <c r="K382" s="137"/>
      <c r="M382" s="126"/>
      <c r="O382" s="137"/>
      <c r="P382" s="137"/>
      <c r="Q382" s="126"/>
    </row>
    <row r="383" spans="3:17" x14ac:dyDescent="0.3">
      <c r="C383" s="126"/>
      <c r="F383" s="137"/>
      <c r="G383" s="138"/>
      <c r="H383" s="138"/>
      <c r="I383" s="139"/>
      <c r="J383" s="137"/>
      <c r="K383" s="137"/>
      <c r="M383" s="126"/>
      <c r="O383" s="137"/>
      <c r="P383" s="137"/>
      <c r="Q383" s="126"/>
    </row>
    <row r="384" spans="3:17" x14ac:dyDescent="0.3">
      <c r="C384" s="126"/>
      <c r="F384" s="137"/>
      <c r="G384" s="138"/>
      <c r="H384" s="138"/>
      <c r="I384" s="139"/>
      <c r="J384" s="137"/>
      <c r="K384" s="137"/>
      <c r="M384" s="126"/>
      <c r="O384" s="137"/>
      <c r="P384" s="137"/>
      <c r="Q384" s="126"/>
    </row>
    <row r="385" spans="3:17" x14ac:dyDescent="0.3">
      <c r="C385" s="126"/>
      <c r="F385" s="137"/>
      <c r="G385" s="138"/>
      <c r="H385" s="138"/>
      <c r="I385" s="139"/>
      <c r="J385" s="137"/>
      <c r="K385" s="137"/>
      <c r="M385" s="126"/>
      <c r="O385" s="137"/>
      <c r="P385" s="137"/>
      <c r="Q385" s="126"/>
    </row>
    <row r="386" spans="3:17" x14ac:dyDescent="0.3">
      <c r="C386" s="126"/>
      <c r="F386" s="137"/>
      <c r="G386" s="138"/>
      <c r="H386" s="138"/>
      <c r="I386" s="139"/>
      <c r="J386" s="137"/>
      <c r="K386" s="137"/>
      <c r="M386" s="126"/>
      <c r="O386" s="137"/>
      <c r="P386" s="137"/>
      <c r="Q386" s="126"/>
    </row>
    <row r="387" spans="3:17" x14ac:dyDescent="0.3">
      <c r="C387" s="126"/>
      <c r="F387" s="137"/>
      <c r="G387" s="138"/>
      <c r="H387" s="138"/>
      <c r="I387" s="139"/>
      <c r="J387" s="137"/>
      <c r="K387" s="137"/>
      <c r="M387" s="126"/>
      <c r="O387" s="137"/>
      <c r="P387" s="137"/>
      <c r="Q387" s="126"/>
    </row>
    <row r="388" spans="3:17" x14ac:dyDescent="0.3">
      <c r="C388" s="126"/>
      <c r="F388" s="137"/>
      <c r="G388" s="138"/>
      <c r="H388" s="138"/>
      <c r="I388" s="139"/>
      <c r="J388" s="137"/>
      <c r="K388" s="137"/>
      <c r="M388" s="126"/>
      <c r="O388" s="137"/>
      <c r="P388" s="137"/>
      <c r="Q388" s="126"/>
    </row>
    <row r="389" spans="3:17" x14ac:dyDescent="0.3">
      <c r="C389" s="126"/>
      <c r="F389" s="137"/>
      <c r="G389" s="138"/>
      <c r="H389" s="138"/>
      <c r="I389" s="139"/>
      <c r="J389" s="137"/>
      <c r="K389" s="137"/>
      <c r="M389" s="126"/>
      <c r="O389" s="137"/>
      <c r="P389" s="137"/>
      <c r="Q389" s="126"/>
    </row>
    <row r="390" spans="3:17" x14ac:dyDescent="0.3">
      <c r="C390" s="126"/>
      <c r="F390" s="137"/>
      <c r="G390" s="138"/>
      <c r="H390" s="138"/>
      <c r="I390" s="139"/>
      <c r="J390" s="137"/>
      <c r="K390" s="137"/>
      <c r="M390" s="126"/>
      <c r="O390" s="137"/>
      <c r="P390" s="137"/>
      <c r="Q390" s="126"/>
    </row>
    <row r="391" spans="3:17" x14ac:dyDescent="0.3">
      <c r="C391" s="126"/>
      <c r="F391" s="137"/>
      <c r="G391" s="138"/>
      <c r="H391" s="138"/>
      <c r="I391" s="139"/>
      <c r="J391" s="137"/>
      <c r="K391" s="137"/>
      <c r="M391" s="126"/>
      <c r="O391" s="137"/>
      <c r="P391" s="137"/>
      <c r="Q391" s="126"/>
    </row>
    <row r="392" spans="3:17" x14ac:dyDescent="0.3">
      <c r="C392" s="126"/>
      <c r="F392" s="137"/>
      <c r="G392" s="138"/>
      <c r="H392" s="138"/>
      <c r="I392" s="139"/>
      <c r="J392" s="137"/>
      <c r="K392" s="137"/>
      <c r="M392" s="126"/>
      <c r="O392" s="137"/>
      <c r="P392" s="137"/>
      <c r="Q392" s="126"/>
    </row>
    <row r="393" spans="3:17" x14ac:dyDescent="0.3">
      <c r="C393" s="126"/>
      <c r="F393" s="137"/>
      <c r="G393" s="138"/>
      <c r="H393" s="138"/>
      <c r="I393" s="139"/>
      <c r="J393" s="137"/>
      <c r="K393" s="137"/>
      <c r="M393" s="126"/>
      <c r="O393" s="137"/>
      <c r="P393" s="137"/>
      <c r="Q393" s="126"/>
    </row>
    <row r="394" spans="3:17" x14ac:dyDescent="0.3">
      <c r="C394" s="126"/>
      <c r="F394" s="137"/>
      <c r="G394" s="138"/>
      <c r="H394" s="138"/>
      <c r="I394" s="139"/>
      <c r="J394" s="137"/>
      <c r="K394" s="137"/>
      <c r="M394" s="126"/>
      <c r="O394" s="137"/>
      <c r="P394" s="137"/>
      <c r="Q394" s="126"/>
    </row>
    <row r="395" spans="3:17" x14ac:dyDescent="0.3">
      <c r="C395" s="126"/>
      <c r="F395" s="137"/>
      <c r="G395" s="138"/>
      <c r="H395" s="138"/>
      <c r="I395" s="139"/>
      <c r="J395" s="137"/>
      <c r="K395" s="137"/>
      <c r="M395" s="126"/>
      <c r="O395" s="137"/>
      <c r="P395" s="137"/>
      <c r="Q395" s="126"/>
    </row>
    <row r="396" spans="3:17" x14ac:dyDescent="0.3">
      <c r="C396" s="126"/>
      <c r="F396" s="137"/>
      <c r="G396" s="138"/>
      <c r="H396" s="138"/>
      <c r="I396" s="139"/>
      <c r="J396" s="137"/>
      <c r="K396" s="137"/>
      <c r="M396" s="126"/>
      <c r="O396" s="137"/>
      <c r="P396" s="137"/>
      <c r="Q396" s="126"/>
    </row>
    <row r="397" spans="3:17" x14ac:dyDescent="0.3">
      <c r="C397" s="126"/>
      <c r="F397" s="137"/>
      <c r="G397" s="138"/>
      <c r="H397" s="138"/>
      <c r="I397" s="139"/>
      <c r="J397" s="137"/>
      <c r="K397" s="137"/>
      <c r="M397" s="126"/>
      <c r="O397" s="137"/>
      <c r="P397" s="137"/>
      <c r="Q397" s="126"/>
    </row>
    <row r="398" spans="3:17" x14ac:dyDescent="0.3">
      <c r="C398" s="126"/>
      <c r="F398" s="137"/>
      <c r="G398" s="138"/>
      <c r="H398" s="138"/>
      <c r="I398" s="139"/>
      <c r="J398" s="137"/>
      <c r="K398" s="137"/>
      <c r="M398" s="126"/>
      <c r="O398" s="137"/>
      <c r="P398" s="137"/>
      <c r="Q398" s="126"/>
    </row>
    <row r="399" spans="3:17" x14ac:dyDescent="0.3">
      <c r="C399" s="126"/>
      <c r="F399" s="137"/>
      <c r="G399" s="138"/>
      <c r="H399" s="138"/>
      <c r="I399" s="139"/>
      <c r="J399" s="137"/>
      <c r="K399" s="137"/>
      <c r="M399" s="126"/>
      <c r="O399" s="137"/>
      <c r="P399" s="137"/>
      <c r="Q399" s="126"/>
    </row>
    <row r="400" spans="3:17" x14ac:dyDescent="0.3">
      <c r="C400" s="126"/>
      <c r="F400" s="137"/>
      <c r="G400" s="138"/>
      <c r="H400" s="138"/>
      <c r="I400" s="139"/>
      <c r="J400" s="137"/>
      <c r="K400" s="137"/>
      <c r="M400" s="126"/>
      <c r="O400" s="137"/>
      <c r="P400" s="137"/>
      <c r="Q400" s="126"/>
    </row>
    <row r="401" spans="3:17" x14ac:dyDescent="0.3">
      <c r="C401" s="126"/>
      <c r="F401" s="137"/>
      <c r="G401" s="138"/>
      <c r="H401" s="138"/>
      <c r="I401" s="139"/>
      <c r="J401" s="137"/>
      <c r="K401" s="137"/>
      <c r="M401" s="126"/>
      <c r="O401" s="137"/>
      <c r="P401" s="137"/>
      <c r="Q401" s="126"/>
    </row>
    <row r="402" spans="3:17" x14ac:dyDescent="0.3">
      <c r="C402" s="126"/>
      <c r="F402" s="137"/>
      <c r="G402" s="138"/>
      <c r="H402" s="138"/>
      <c r="I402" s="139"/>
      <c r="J402" s="137"/>
      <c r="K402" s="137"/>
      <c r="M402" s="126"/>
      <c r="O402" s="137"/>
      <c r="P402" s="137"/>
      <c r="Q402" s="126"/>
    </row>
    <row r="403" spans="3:17" x14ac:dyDescent="0.3">
      <c r="C403" s="126"/>
      <c r="F403" s="137"/>
      <c r="G403" s="138"/>
      <c r="H403" s="138"/>
      <c r="I403" s="139"/>
      <c r="J403" s="137"/>
      <c r="K403" s="137"/>
      <c r="M403" s="126"/>
      <c r="O403" s="137"/>
      <c r="P403" s="137"/>
      <c r="Q403" s="126"/>
    </row>
    <row r="404" spans="3:17" x14ac:dyDescent="0.3">
      <c r="C404" s="126"/>
      <c r="F404" s="137"/>
      <c r="G404" s="138"/>
      <c r="H404" s="138"/>
      <c r="I404" s="139"/>
      <c r="J404" s="137"/>
      <c r="K404" s="137"/>
      <c r="M404" s="126"/>
      <c r="O404" s="137"/>
      <c r="P404" s="137"/>
      <c r="Q404" s="126"/>
    </row>
    <row r="405" spans="3:17" x14ac:dyDescent="0.3">
      <c r="C405" s="126"/>
      <c r="F405" s="137"/>
      <c r="G405" s="138"/>
      <c r="H405" s="138"/>
      <c r="I405" s="139"/>
      <c r="J405" s="137"/>
      <c r="K405" s="137"/>
      <c r="M405" s="126"/>
      <c r="O405" s="137"/>
      <c r="P405" s="137"/>
      <c r="Q405" s="126"/>
    </row>
    <row r="406" spans="3:17" x14ac:dyDescent="0.3">
      <c r="C406" s="126"/>
      <c r="F406" s="137"/>
      <c r="G406" s="138"/>
      <c r="H406" s="138"/>
      <c r="I406" s="139"/>
      <c r="J406" s="137"/>
      <c r="K406" s="137"/>
      <c r="M406" s="126"/>
      <c r="O406" s="137"/>
      <c r="P406" s="137"/>
      <c r="Q406" s="126"/>
    </row>
    <row r="407" spans="3:17" x14ac:dyDescent="0.3">
      <c r="C407" s="126"/>
      <c r="F407" s="137"/>
      <c r="G407" s="138"/>
      <c r="H407" s="138"/>
      <c r="I407" s="139"/>
      <c r="J407" s="137"/>
      <c r="K407" s="137"/>
      <c r="M407" s="126"/>
      <c r="O407" s="137"/>
      <c r="P407" s="137"/>
      <c r="Q407" s="126"/>
    </row>
    <row r="408" spans="3:17" x14ac:dyDescent="0.3">
      <c r="C408" s="126"/>
      <c r="F408" s="137"/>
      <c r="G408" s="138"/>
      <c r="H408" s="138"/>
      <c r="I408" s="139"/>
      <c r="J408" s="137"/>
      <c r="K408" s="137"/>
      <c r="M408" s="126"/>
      <c r="O408" s="137"/>
      <c r="P408" s="137"/>
      <c r="Q408" s="126"/>
    </row>
    <row r="409" spans="3:17" x14ac:dyDescent="0.3">
      <c r="C409" s="126"/>
      <c r="F409" s="137"/>
      <c r="G409" s="138"/>
      <c r="H409" s="138"/>
      <c r="I409" s="139"/>
      <c r="J409" s="137"/>
      <c r="K409" s="137"/>
      <c r="M409" s="126"/>
      <c r="O409" s="137"/>
      <c r="P409" s="137"/>
      <c r="Q409" s="126"/>
    </row>
    <row r="410" spans="3:17" x14ac:dyDescent="0.3">
      <c r="C410" s="126"/>
      <c r="F410" s="137"/>
      <c r="G410" s="138"/>
      <c r="H410" s="138"/>
      <c r="I410" s="139"/>
      <c r="J410" s="137"/>
      <c r="K410" s="137"/>
      <c r="M410" s="126"/>
      <c r="O410" s="137"/>
      <c r="P410" s="137"/>
      <c r="Q410" s="126"/>
    </row>
    <row r="411" spans="3:17" x14ac:dyDescent="0.3">
      <c r="C411" s="126"/>
      <c r="F411" s="137"/>
      <c r="G411" s="138"/>
      <c r="H411" s="138"/>
      <c r="I411" s="139"/>
      <c r="J411" s="137"/>
      <c r="K411" s="137"/>
      <c r="M411" s="126"/>
      <c r="O411" s="137"/>
      <c r="P411" s="137"/>
      <c r="Q411" s="126"/>
    </row>
    <row r="412" spans="3:17" x14ac:dyDescent="0.3">
      <c r="C412" s="126"/>
      <c r="F412" s="137"/>
      <c r="G412" s="138"/>
      <c r="H412" s="138"/>
      <c r="I412" s="139"/>
      <c r="J412" s="137"/>
      <c r="K412" s="137"/>
      <c r="M412" s="126"/>
      <c r="O412" s="137"/>
      <c r="P412" s="137"/>
      <c r="Q412" s="126"/>
    </row>
    <row r="413" spans="3:17" x14ac:dyDescent="0.3">
      <c r="C413" s="126"/>
      <c r="F413" s="137"/>
      <c r="G413" s="138"/>
      <c r="H413" s="138"/>
      <c r="I413" s="139"/>
      <c r="J413" s="137"/>
      <c r="K413" s="137"/>
      <c r="M413" s="126"/>
      <c r="O413" s="137"/>
      <c r="P413" s="137"/>
      <c r="Q413" s="126"/>
    </row>
    <row r="414" spans="3:17" x14ac:dyDescent="0.3">
      <c r="C414" s="126"/>
      <c r="F414" s="137"/>
      <c r="G414" s="138"/>
      <c r="H414" s="138"/>
      <c r="I414" s="139"/>
      <c r="J414" s="137"/>
      <c r="K414" s="137"/>
      <c r="M414" s="126"/>
      <c r="O414" s="137"/>
      <c r="P414" s="137"/>
      <c r="Q414" s="126"/>
    </row>
    <row r="415" spans="3:17" x14ac:dyDescent="0.3">
      <c r="C415" s="126"/>
      <c r="F415" s="137"/>
      <c r="G415" s="138"/>
      <c r="H415" s="138"/>
      <c r="I415" s="139"/>
      <c r="J415" s="137"/>
      <c r="K415" s="137"/>
      <c r="M415" s="126"/>
      <c r="O415" s="137"/>
      <c r="P415" s="137"/>
      <c r="Q415" s="126"/>
    </row>
    <row r="416" spans="3:17" x14ac:dyDescent="0.3">
      <c r="C416" s="126"/>
      <c r="F416" s="137"/>
      <c r="G416" s="138"/>
      <c r="H416" s="138"/>
      <c r="I416" s="139"/>
      <c r="J416" s="137"/>
      <c r="K416" s="137"/>
      <c r="M416" s="126"/>
      <c r="O416" s="137"/>
      <c r="P416" s="137"/>
      <c r="Q416" s="126"/>
    </row>
    <row r="417" spans="3:17" x14ac:dyDescent="0.3">
      <c r="C417" s="126"/>
      <c r="F417" s="137"/>
      <c r="G417" s="138"/>
      <c r="H417" s="138"/>
      <c r="I417" s="139"/>
      <c r="J417" s="137"/>
      <c r="K417" s="137"/>
      <c r="M417" s="126"/>
      <c r="O417" s="137"/>
      <c r="P417" s="137"/>
      <c r="Q417" s="126"/>
    </row>
    <row r="418" spans="3:17" x14ac:dyDescent="0.3">
      <c r="C418" s="126"/>
      <c r="F418" s="137"/>
      <c r="G418" s="138"/>
      <c r="H418" s="138"/>
      <c r="I418" s="139"/>
      <c r="J418" s="137"/>
      <c r="K418" s="137"/>
      <c r="M418" s="126"/>
      <c r="O418" s="137"/>
      <c r="P418" s="137"/>
      <c r="Q418" s="126"/>
    </row>
    <row r="419" spans="3:17" x14ac:dyDescent="0.3">
      <c r="C419" s="126"/>
      <c r="F419" s="137"/>
      <c r="G419" s="138"/>
      <c r="H419" s="138"/>
      <c r="I419" s="139"/>
      <c r="J419" s="137"/>
      <c r="K419" s="137"/>
      <c r="M419" s="126"/>
      <c r="O419" s="137"/>
      <c r="P419" s="137"/>
      <c r="Q419" s="126"/>
    </row>
    <row r="420" spans="3:17" x14ac:dyDescent="0.3">
      <c r="C420" s="126"/>
      <c r="F420" s="137"/>
      <c r="G420" s="138"/>
      <c r="H420" s="138"/>
      <c r="I420" s="139"/>
      <c r="J420" s="137"/>
      <c r="K420" s="137"/>
      <c r="M420" s="126"/>
      <c r="O420" s="137"/>
      <c r="P420" s="137"/>
      <c r="Q420" s="126"/>
    </row>
    <row r="421" spans="3:17" x14ac:dyDescent="0.3">
      <c r="C421" s="126"/>
      <c r="F421" s="137"/>
      <c r="G421" s="138"/>
      <c r="H421" s="138"/>
      <c r="I421" s="139"/>
      <c r="J421" s="137"/>
      <c r="K421" s="137"/>
      <c r="M421" s="126"/>
      <c r="O421" s="137"/>
      <c r="P421" s="137"/>
      <c r="Q421" s="126"/>
    </row>
    <row r="422" spans="3:17" x14ac:dyDescent="0.3">
      <c r="C422" s="126"/>
      <c r="F422" s="137"/>
      <c r="G422" s="138"/>
      <c r="H422" s="138"/>
      <c r="I422" s="139"/>
      <c r="J422" s="137"/>
      <c r="K422" s="137"/>
      <c r="M422" s="126"/>
      <c r="O422" s="137"/>
      <c r="P422" s="137"/>
      <c r="Q422" s="126"/>
    </row>
    <row r="423" spans="3:17" x14ac:dyDescent="0.3">
      <c r="C423" s="126"/>
      <c r="F423" s="137"/>
      <c r="G423" s="138"/>
      <c r="H423" s="138"/>
      <c r="I423" s="139"/>
      <c r="J423" s="137"/>
      <c r="K423" s="137"/>
      <c r="M423" s="126"/>
      <c r="O423" s="137"/>
      <c r="P423" s="137"/>
      <c r="Q423" s="126"/>
    </row>
    <row r="424" spans="3:17" x14ac:dyDescent="0.3">
      <c r="C424" s="126"/>
      <c r="F424" s="137"/>
      <c r="G424" s="138"/>
      <c r="H424" s="138"/>
      <c r="I424" s="139"/>
      <c r="J424" s="137"/>
      <c r="K424" s="137"/>
      <c r="M424" s="126"/>
      <c r="O424" s="137"/>
      <c r="P424" s="137"/>
      <c r="Q424" s="126"/>
    </row>
    <row r="425" spans="3:17" x14ac:dyDescent="0.3">
      <c r="C425" s="126"/>
      <c r="F425" s="137"/>
      <c r="G425" s="138"/>
      <c r="H425" s="138"/>
      <c r="I425" s="139"/>
      <c r="J425" s="137"/>
      <c r="K425" s="137"/>
      <c r="M425" s="126"/>
      <c r="O425" s="137"/>
      <c r="P425" s="137"/>
      <c r="Q425" s="126"/>
    </row>
    <row r="426" spans="3:17" x14ac:dyDescent="0.3">
      <c r="C426" s="126"/>
      <c r="F426" s="137"/>
      <c r="G426" s="138"/>
      <c r="H426" s="138"/>
      <c r="I426" s="139"/>
      <c r="J426" s="137"/>
      <c r="K426" s="137"/>
      <c r="M426" s="126"/>
      <c r="O426" s="137"/>
      <c r="P426" s="137"/>
      <c r="Q426" s="126"/>
    </row>
    <row r="427" spans="3:17" x14ac:dyDescent="0.3">
      <c r="C427" s="126"/>
      <c r="F427" s="137"/>
      <c r="G427" s="138"/>
      <c r="H427" s="138"/>
      <c r="I427" s="139"/>
      <c r="J427" s="137"/>
      <c r="K427" s="137"/>
      <c r="M427" s="126"/>
      <c r="O427" s="137"/>
      <c r="P427" s="137"/>
      <c r="Q427" s="126"/>
    </row>
    <row r="428" spans="3:17" x14ac:dyDescent="0.3">
      <c r="C428" s="126"/>
      <c r="F428" s="137"/>
      <c r="G428" s="138"/>
      <c r="H428" s="138"/>
      <c r="I428" s="139"/>
      <c r="J428" s="137"/>
      <c r="K428" s="137"/>
      <c r="M428" s="126"/>
      <c r="O428" s="137"/>
      <c r="P428" s="137"/>
      <c r="Q428" s="126"/>
    </row>
    <row r="429" spans="3:17" x14ac:dyDescent="0.3">
      <c r="C429" s="126"/>
      <c r="F429" s="137"/>
      <c r="G429" s="138"/>
      <c r="H429" s="138"/>
      <c r="I429" s="139"/>
      <c r="J429" s="137"/>
      <c r="K429" s="137"/>
      <c r="M429" s="126"/>
      <c r="O429" s="137"/>
      <c r="P429" s="137"/>
      <c r="Q429" s="126"/>
    </row>
    <row r="430" spans="3:17" x14ac:dyDescent="0.3">
      <c r="C430" s="126"/>
      <c r="F430" s="137"/>
      <c r="G430" s="138"/>
      <c r="H430" s="138"/>
      <c r="I430" s="139"/>
      <c r="J430" s="137"/>
      <c r="K430" s="137"/>
      <c r="M430" s="126"/>
      <c r="O430" s="137"/>
      <c r="P430" s="137"/>
      <c r="Q430" s="126"/>
    </row>
    <row r="431" spans="3:17" x14ac:dyDescent="0.3">
      <c r="C431" s="126"/>
      <c r="F431" s="137"/>
      <c r="G431" s="138"/>
      <c r="H431" s="138"/>
      <c r="I431" s="139"/>
      <c r="J431" s="137"/>
      <c r="K431" s="137"/>
      <c r="M431" s="126"/>
      <c r="O431" s="137"/>
      <c r="P431" s="137"/>
      <c r="Q431" s="126"/>
    </row>
    <row r="432" spans="3:17" x14ac:dyDescent="0.3">
      <c r="C432" s="126"/>
      <c r="F432" s="137"/>
      <c r="G432" s="138"/>
      <c r="H432" s="138"/>
      <c r="I432" s="139"/>
      <c r="J432" s="137"/>
      <c r="K432" s="137"/>
      <c r="M432" s="126"/>
      <c r="O432" s="137"/>
      <c r="P432" s="137"/>
      <c r="Q432" s="126"/>
    </row>
    <row r="433" spans="3:17" x14ac:dyDescent="0.3">
      <c r="C433" s="126"/>
      <c r="F433" s="137"/>
      <c r="G433" s="138"/>
      <c r="H433" s="138"/>
      <c r="I433" s="139"/>
      <c r="J433" s="137"/>
      <c r="K433" s="137"/>
      <c r="M433" s="126"/>
      <c r="O433" s="137"/>
      <c r="P433" s="137"/>
      <c r="Q433" s="126"/>
    </row>
    <row r="434" spans="3:17" x14ac:dyDescent="0.3">
      <c r="C434" s="126"/>
      <c r="F434" s="137"/>
      <c r="G434" s="138"/>
      <c r="H434" s="138"/>
      <c r="I434" s="139"/>
      <c r="J434" s="137"/>
      <c r="K434" s="137"/>
      <c r="M434" s="126"/>
      <c r="O434" s="137"/>
      <c r="P434" s="137"/>
      <c r="Q434" s="126"/>
    </row>
    <row r="435" spans="3:17" x14ac:dyDescent="0.3">
      <c r="C435" s="126"/>
      <c r="F435" s="137"/>
      <c r="G435" s="138"/>
      <c r="H435" s="138"/>
      <c r="I435" s="139"/>
      <c r="J435" s="137"/>
      <c r="K435" s="137"/>
      <c r="M435" s="126"/>
      <c r="O435" s="137"/>
      <c r="P435" s="137"/>
      <c r="Q435" s="126"/>
    </row>
    <row r="436" spans="3:17" x14ac:dyDescent="0.3">
      <c r="C436" s="126"/>
      <c r="F436" s="137"/>
      <c r="G436" s="138"/>
      <c r="H436" s="138"/>
      <c r="I436" s="139"/>
      <c r="J436" s="137"/>
      <c r="K436" s="137"/>
      <c r="M436" s="126"/>
      <c r="O436" s="137"/>
      <c r="P436" s="137"/>
      <c r="Q436" s="126"/>
    </row>
    <row r="437" spans="3:17" x14ac:dyDescent="0.3">
      <c r="C437" s="126"/>
      <c r="F437" s="137"/>
      <c r="G437" s="138"/>
      <c r="H437" s="138"/>
      <c r="I437" s="139"/>
      <c r="J437" s="137"/>
      <c r="K437" s="137"/>
      <c r="M437" s="126"/>
      <c r="O437" s="137"/>
      <c r="P437" s="137"/>
      <c r="Q437" s="126"/>
    </row>
    <row r="438" spans="3:17" x14ac:dyDescent="0.3">
      <c r="C438" s="126"/>
      <c r="F438" s="137"/>
      <c r="G438" s="138"/>
      <c r="H438" s="138"/>
      <c r="I438" s="139"/>
      <c r="J438" s="137"/>
      <c r="K438" s="137"/>
      <c r="M438" s="126"/>
      <c r="O438" s="137"/>
      <c r="P438" s="137"/>
      <c r="Q438" s="126"/>
    </row>
    <row r="439" spans="3:17" x14ac:dyDescent="0.3">
      <c r="C439" s="126"/>
      <c r="F439" s="137"/>
      <c r="G439" s="138"/>
      <c r="H439" s="138"/>
      <c r="I439" s="139"/>
      <c r="J439" s="137"/>
      <c r="K439" s="137"/>
      <c r="M439" s="126"/>
      <c r="O439" s="137"/>
      <c r="P439" s="137"/>
      <c r="Q439" s="126"/>
    </row>
    <row r="440" spans="3:17" x14ac:dyDescent="0.3">
      <c r="C440" s="126"/>
      <c r="F440" s="137"/>
      <c r="G440" s="138"/>
      <c r="H440" s="138"/>
      <c r="I440" s="139"/>
      <c r="J440" s="137"/>
      <c r="K440" s="137"/>
      <c r="M440" s="126"/>
      <c r="O440" s="137"/>
      <c r="P440" s="137"/>
      <c r="Q440" s="126"/>
    </row>
    <row r="441" spans="3:17" x14ac:dyDescent="0.3">
      <c r="C441" s="126"/>
      <c r="F441" s="137"/>
      <c r="G441" s="138"/>
      <c r="H441" s="138"/>
      <c r="I441" s="139"/>
      <c r="J441" s="137"/>
      <c r="K441" s="137"/>
      <c r="M441" s="126"/>
      <c r="O441" s="137"/>
      <c r="P441" s="137"/>
      <c r="Q441" s="126"/>
    </row>
    <row r="442" spans="3:17" x14ac:dyDescent="0.3">
      <c r="C442" s="126"/>
      <c r="F442" s="137"/>
      <c r="G442" s="138"/>
      <c r="H442" s="138"/>
      <c r="I442" s="139"/>
      <c r="J442" s="137"/>
      <c r="K442" s="137"/>
      <c r="M442" s="126"/>
      <c r="O442" s="137"/>
      <c r="P442" s="137"/>
      <c r="Q442" s="126"/>
    </row>
    <row r="443" spans="3:17" x14ac:dyDescent="0.3">
      <c r="C443" s="126"/>
      <c r="F443" s="137"/>
      <c r="G443" s="138"/>
      <c r="H443" s="138"/>
      <c r="I443" s="139"/>
      <c r="J443" s="137"/>
      <c r="K443" s="137"/>
      <c r="M443" s="126"/>
      <c r="O443" s="137"/>
      <c r="P443" s="137"/>
      <c r="Q443" s="126"/>
    </row>
    <row r="444" spans="3:17" x14ac:dyDescent="0.3">
      <c r="C444" s="126"/>
      <c r="F444" s="137"/>
      <c r="G444" s="138"/>
      <c r="H444" s="138"/>
      <c r="I444" s="139"/>
      <c r="J444" s="137"/>
      <c r="K444" s="137"/>
      <c r="M444" s="126"/>
      <c r="O444" s="137"/>
      <c r="P444" s="137"/>
      <c r="Q444" s="126"/>
    </row>
    <row r="445" spans="3:17" x14ac:dyDescent="0.3">
      <c r="C445" s="126"/>
      <c r="F445" s="137"/>
      <c r="G445" s="138"/>
      <c r="H445" s="138"/>
      <c r="I445" s="139"/>
      <c r="J445" s="137"/>
      <c r="K445" s="137"/>
      <c r="M445" s="126"/>
      <c r="O445" s="137"/>
      <c r="P445" s="137"/>
      <c r="Q445" s="126"/>
    </row>
    <row r="446" spans="3:17" x14ac:dyDescent="0.3">
      <c r="C446" s="126"/>
      <c r="F446" s="137"/>
      <c r="G446" s="138"/>
      <c r="H446" s="138"/>
      <c r="I446" s="139"/>
      <c r="J446" s="137"/>
      <c r="K446" s="137"/>
      <c r="M446" s="126"/>
      <c r="O446" s="137"/>
      <c r="P446" s="137"/>
      <c r="Q446" s="126"/>
    </row>
    <row r="447" spans="3:17" x14ac:dyDescent="0.3">
      <c r="C447" s="126"/>
      <c r="F447" s="137"/>
      <c r="G447" s="138"/>
      <c r="H447" s="138"/>
      <c r="I447" s="139"/>
      <c r="J447" s="137"/>
      <c r="K447" s="137"/>
      <c r="M447" s="126"/>
      <c r="O447" s="137"/>
      <c r="P447" s="137"/>
      <c r="Q447" s="126"/>
    </row>
    <row r="448" spans="3:17" x14ac:dyDescent="0.3">
      <c r="C448" s="126"/>
      <c r="F448" s="137"/>
      <c r="G448" s="138"/>
      <c r="H448" s="138"/>
      <c r="I448" s="139"/>
      <c r="J448" s="137"/>
      <c r="K448" s="137"/>
      <c r="M448" s="126"/>
      <c r="O448" s="137"/>
      <c r="P448" s="137"/>
      <c r="Q448" s="126"/>
    </row>
    <row r="449" spans="3:17" x14ac:dyDescent="0.3">
      <c r="C449" s="126"/>
      <c r="F449" s="137"/>
      <c r="G449" s="138"/>
      <c r="H449" s="138"/>
      <c r="I449" s="139"/>
      <c r="J449" s="137"/>
      <c r="K449" s="137"/>
      <c r="M449" s="126"/>
      <c r="O449" s="137"/>
      <c r="P449" s="137"/>
      <c r="Q449" s="126"/>
    </row>
    <row r="450" spans="3:17" x14ac:dyDescent="0.3">
      <c r="C450" s="126"/>
      <c r="F450" s="137"/>
      <c r="G450" s="138"/>
      <c r="H450" s="138"/>
      <c r="I450" s="139"/>
      <c r="J450" s="137"/>
      <c r="K450" s="137"/>
      <c r="M450" s="126"/>
      <c r="O450" s="137"/>
      <c r="P450" s="137"/>
      <c r="Q450" s="126"/>
    </row>
    <row r="451" spans="3:17" x14ac:dyDescent="0.3">
      <c r="C451" s="126"/>
      <c r="F451" s="137"/>
      <c r="G451" s="138"/>
      <c r="H451" s="138"/>
      <c r="I451" s="139"/>
      <c r="J451" s="137"/>
      <c r="K451" s="137"/>
      <c r="M451" s="126"/>
      <c r="O451" s="137"/>
      <c r="P451" s="137"/>
      <c r="Q451" s="126"/>
    </row>
    <row r="452" spans="3:17" x14ac:dyDescent="0.3">
      <c r="C452" s="126"/>
      <c r="F452" s="137"/>
      <c r="G452" s="138"/>
      <c r="H452" s="138"/>
      <c r="I452" s="139"/>
      <c r="J452" s="137"/>
      <c r="K452" s="137"/>
      <c r="M452" s="126"/>
      <c r="O452" s="137"/>
      <c r="P452" s="137"/>
      <c r="Q452" s="126"/>
    </row>
    <row r="453" spans="3:17" x14ac:dyDescent="0.3">
      <c r="C453" s="126"/>
      <c r="F453" s="137"/>
      <c r="G453" s="138"/>
      <c r="H453" s="138"/>
      <c r="I453" s="139"/>
      <c r="J453" s="137"/>
      <c r="K453" s="137"/>
      <c r="M453" s="126"/>
      <c r="O453" s="137"/>
      <c r="P453" s="137"/>
      <c r="Q453" s="126"/>
    </row>
    <row r="454" spans="3:17" x14ac:dyDescent="0.3">
      <c r="C454" s="126"/>
      <c r="F454" s="137"/>
      <c r="G454" s="138"/>
      <c r="H454" s="138"/>
      <c r="I454" s="139"/>
      <c r="J454" s="137"/>
      <c r="K454" s="137"/>
      <c r="M454" s="126"/>
      <c r="O454" s="137"/>
      <c r="P454" s="137"/>
      <c r="Q454" s="126"/>
    </row>
    <row r="455" spans="3:17" x14ac:dyDescent="0.3">
      <c r="C455" s="126"/>
      <c r="F455" s="137"/>
      <c r="G455" s="138"/>
      <c r="H455" s="138"/>
      <c r="I455" s="139"/>
      <c r="J455" s="137"/>
      <c r="K455" s="137"/>
      <c r="M455" s="126"/>
      <c r="O455" s="137"/>
      <c r="P455" s="137"/>
      <c r="Q455" s="126"/>
    </row>
    <row r="456" spans="3:17" x14ac:dyDescent="0.3">
      <c r="C456" s="126"/>
      <c r="F456" s="137"/>
      <c r="G456" s="138"/>
      <c r="H456" s="138"/>
      <c r="I456" s="139"/>
      <c r="J456" s="137"/>
      <c r="K456" s="137"/>
      <c r="M456" s="126"/>
      <c r="O456" s="137"/>
      <c r="P456" s="137"/>
      <c r="Q456" s="126"/>
    </row>
    <row r="457" spans="3:17" x14ac:dyDescent="0.3">
      <c r="C457" s="126"/>
      <c r="F457" s="137"/>
      <c r="G457" s="138"/>
      <c r="H457" s="138"/>
      <c r="I457" s="139"/>
      <c r="J457" s="137"/>
      <c r="K457" s="137"/>
      <c r="M457" s="126"/>
      <c r="O457" s="137"/>
      <c r="P457" s="137"/>
      <c r="Q457" s="126"/>
    </row>
    <row r="458" spans="3:17" x14ac:dyDescent="0.3">
      <c r="C458" s="126"/>
      <c r="F458" s="137"/>
      <c r="G458" s="138"/>
      <c r="H458" s="138"/>
      <c r="I458" s="139"/>
      <c r="J458" s="137"/>
      <c r="K458" s="137"/>
      <c r="M458" s="126"/>
      <c r="O458" s="137"/>
      <c r="P458" s="137"/>
      <c r="Q458" s="126"/>
    </row>
    <row r="459" spans="3:17" x14ac:dyDescent="0.3">
      <c r="C459" s="126"/>
      <c r="F459" s="137"/>
      <c r="G459" s="138"/>
      <c r="H459" s="138"/>
      <c r="I459" s="139"/>
      <c r="J459" s="137"/>
      <c r="K459" s="137"/>
      <c r="M459" s="126"/>
      <c r="O459" s="137"/>
      <c r="P459" s="137"/>
      <c r="Q459" s="126"/>
    </row>
    <row r="460" spans="3:17" x14ac:dyDescent="0.3">
      <c r="C460" s="126"/>
      <c r="F460" s="137"/>
      <c r="G460" s="138"/>
      <c r="H460" s="138"/>
      <c r="I460" s="139"/>
      <c r="J460" s="137"/>
      <c r="K460" s="137"/>
      <c r="M460" s="126"/>
      <c r="O460" s="137"/>
      <c r="P460" s="137"/>
      <c r="Q460" s="126"/>
    </row>
    <row r="461" spans="3:17" x14ac:dyDescent="0.3">
      <c r="C461" s="126"/>
      <c r="F461" s="137"/>
      <c r="G461" s="138"/>
      <c r="H461" s="138"/>
      <c r="I461" s="139"/>
      <c r="J461" s="137"/>
      <c r="K461" s="137"/>
      <c r="M461" s="126"/>
      <c r="O461" s="137"/>
      <c r="P461" s="137"/>
      <c r="Q461" s="126"/>
    </row>
    <row r="462" spans="3:17" x14ac:dyDescent="0.3">
      <c r="C462" s="126"/>
      <c r="F462" s="137"/>
      <c r="G462" s="138"/>
      <c r="H462" s="138"/>
      <c r="I462" s="139"/>
      <c r="J462" s="137"/>
      <c r="K462" s="137"/>
      <c r="M462" s="126"/>
      <c r="O462" s="137"/>
      <c r="P462" s="137"/>
      <c r="Q462" s="126"/>
    </row>
    <row r="463" spans="3:17" x14ac:dyDescent="0.3">
      <c r="C463" s="126"/>
      <c r="F463" s="137"/>
      <c r="G463" s="138"/>
      <c r="H463" s="138"/>
      <c r="I463" s="139"/>
      <c r="J463" s="137"/>
      <c r="K463" s="137"/>
      <c r="M463" s="126"/>
      <c r="O463" s="137"/>
      <c r="P463" s="137"/>
      <c r="Q463" s="126"/>
    </row>
    <row r="464" spans="3:17" x14ac:dyDescent="0.3">
      <c r="C464" s="126"/>
      <c r="F464" s="137"/>
      <c r="G464" s="138"/>
      <c r="H464" s="138"/>
      <c r="I464" s="139"/>
      <c r="J464" s="137"/>
      <c r="K464" s="137"/>
      <c r="M464" s="126"/>
      <c r="O464" s="137"/>
      <c r="P464" s="137"/>
      <c r="Q464" s="126"/>
    </row>
    <row r="465" spans="3:17" x14ac:dyDescent="0.3">
      <c r="C465" s="126"/>
      <c r="F465" s="137"/>
      <c r="G465" s="138"/>
      <c r="H465" s="138"/>
      <c r="I465" s="139"/>
      <c r="J465" s="137"/>
      <c r="K465" s="137"/>
      <c r="M465" s="126"/>
      <c r="O465" s="137"/>
      <c r="P465" s="137"/>
      <c r="Q465" s="126"/>
    </row>
    <row r="466" spans="3:17" x14ac:dyDescent="0.3">
      <c r="C466" s="126"/>
      <c r="F466" s="137"/>
      <c r="G466" s="138"/>
      <c r="H466" s="138"/>
      <c r="I466" s="139"/>
      <c r="J466" s="137"/>
      <c r="K466" s="137"/>
      <c r="M466" s="126"/>
      <c r="O466" s="137"/>
      <c r="P466" s="137"/>
      <c r="Q466" s="126"/>
    </row>
    <row r="467" spans="3:17" x14ac:dyDescent="0.3">
      <c r="C467" s="126"/>
      <c r="F467" s="137"/>
      <c r="G467" s="138"/>
      <c r="H467" s="138"/>
      <c r="I467" s="139"/>
      <c r="J467" s="137"/>
      <c r="K467" s="137"/>
      <c r="M467" s="126"/>
      <c r="O467" s="137"/>
      <c r="P467" s="137"/>
      <c r="Q467" s="126"/>
    </row>
    <row r="468" spans="3:17" x14ac:dyDescent="0.3">
      <c r="C468" s="126"/>
      <c r="F468" s="137"/>
      <c r="G468" s="138"/>
      <c r="H468" s="138"/>
      <c r="I468" s="139"/>
      <c r="J468" s="137"/>
      <c r="K468" s="137"/>
      <c r="M468" s="126"/>
      <c r="O468" s="137"/>
      <c r="P468" s="137"/>
      <c r="Q468" s="126"/>
    </row>
    <row r="469" spans="3:17" x14ac:dyDescent="0.3">
      <c r="C469" s="126"/>
      <c r="F469" s="137"/>
      <c r="G469" s="138"/>
      <c r="H469" s="138"/>
      <c r="I469" s="139"/>
      <c r="J469" s="137"/>
      <c r="K469" s="137"/>
      <c r="M469" s="126"/>
      <c r="O469" s="137"/>
      <c r="P469" s="137"/>
      <c r="Q469" s="126"/>
    </row>
    <row r="470" spans="3:17" x14ac:dyDescent="0.3">
      <c r="C470" s="126"/>
      <c r="F470" s="137"/>
      <c r="G470" s="138"/>
      <c r="H470" s="138"/>
      <c r="I470" s="139"/>
      <c r="J470" s="137"/>
      <c r="K470" s="137"/>
      <c r="M470" s="126"/>
      <c r="O470" s="137"/>
      <c r="P470" s="137"/>
      <c r="Q470" s="126"/>
    </row>
    <row r="471" spans="3:17" x14ac:dyDescent="0.3">
      <c r="C471" s="126"/>
      <c r="F471" s="137"/>
      <c r="G471" s="138"/>
      <c r="H471" s="138"/>
      <c r="I471" s="139"/>
      <c r="J471" s="137"/>
      <c r="K471" s="137"/>
      <c r="M471" s="126"/>
      <c r="O471" s="137"/>
      <c r="P471" s="137"/>
      <c r="Q471" s="126"/>
    </row>
    <row r="472" spans="3:17" x14ac:dyDescent="0.3">
      <c r="C472" s="126"/>
      <c r="F472" s="137"/>
      <c r="G472" s="138"/>
      <c r="H472" s="138"/>
      <c r="I472" s="139"/>
      <c r="J472" s="137"/>
      <c r="K472" s="137"/>
      <c r="M472" s="126"/>
      <c r="O472" s="137"/>
      <c r="P472" s="137"/>
      <c r="Q472" s="126"/>
    </row>
    <row r="473" spans="3:17" x14ac:dyDescent="0.3">
      <c r="C473" s="126"/>
      <c r="F473" s="137"/>
      <c r="G473" s="138"/>
      <c r="H473" s="138"/>
      <c r="I473" s="139"/>
      <c r="J473" s="137"/>
      <c r="K473" s="137"/>
      <c r="M473" s="126"/>
      <c r="O473" s="137"/>
      <c r="P473" s="137"/>
      <c r="Q473" s="126"/>
    </row>
    <row r="474" spans="3:17" x14ac:dyDescent="0.3">
      <c r="C474" s="126"/>
      <c r="F474" s="137"/>
      <c r="G474" s="138"/>
      <c r="H474" s="138"/>
      <c r="I474" s="139"/>
      <c r="J474" s="137"/>
      <c r="K474" s="137"/>
      <c r="M474" s="126"/>
      <c r="O474" s="137"/>
      <c r="P474" s="137"/>
      <c r="Q474" s="126"/>
    </row>
    <row r="475" spans="3:17" x14ac:dyDescent="0.3">
      <c r="C475" s="126"/>
      <c r="F475" s="137"/>
      <c r="G475" s="138"/>
      <c r="H475" s="138"/>
      <c r="I475" s="139"/>
      <c r="J475" s="137"/>
      <c r="K475" s="137"/>
      <c r="M475" s="126"/>
      <c r="O475" s="137"/>
      <c r="P475" s="137"/>
      <c r="Q475" s="126"/>
    </row>
    <row r="476" spans="3:17" x14ac:dyDescent="0.3">
      <c r="C476" s="126"/>
      <c r="F476" s="137"/>
      <c r="G476" s="138"/>
      <c r="H476" s="138"/>
      <c r="I476" s="139"/>
      <c r="J476" s="137"/>
      <c r="K476" s="137"/>
      <c r="M476" s="126"/>
      <c r="O476" s="137"/>
      <c r="P476" s="137"/>
      <c r="Q476" s="126"/>
    </row>
    <row r="477" spans="3:17" x14ac:dyDescent="0.3">
      <c r="C477" s="126"/>
      <c r="F477" s="137"/>
      <c r="G477" s="138"/>
      <c r="H477" s="138"/>
      <c r="I477" s="139"/>
      <c r="J477" s="137"/>
      <c r="K477" s="137"/>
      <c r="M477" s="126"/>
      <c r="O477" s="137"/>
      <c r="P477" s="137"/>
      <c r="Q477" s="126"/>
    </row>
    <row r="478" spans="3:17" x14ac:dyDescent="0.3">
      <c r="C478" s="126"/>
      <c r="F478" s="137"/>
      <c r="G478" s="138"/>
      <c r="H478" s="138"/>
      <c r="I478" s="139"/>
      <c r="J478" s="137"/>
      <c r="K478" s="137"/>
      <c r="M478" s="126"/>
      <c r="O478" s="137"/>
      <c r="P478" s="137"/>
      <c r="Q478" s="126"/>
    </row>
    <row r="479" spans="3:17" x14ac:dyDescent="0.3">
      <c r="C479" s="126"/>
      <c r="F479" s="137"/>
      <c r="G479" s="138"/>
      <c r="H479" s="138"/>
      <c r="I479" s="139"/>
      <c r="J479" s="137"/>
      <c r="K479" s="137"/>
      <c r="M479" s="126"/>
      <c r="O479" s="137"/>
      <c r="P479" s="137"/>
      <c r="Q479" s="126"/>
    </row>
    <row r="480" spans="3:17" x14ac:dyDescent="0.3">
      <c r="C480" s="126"/>
      <c r="F480" s="137"/>
      <c r="G480" s="138"/>
      <c r="H480" s="138"/>
      <c r="I480" s="139"/>
      <c r="J480" s="137"/>
      <c r="K480" s="137"/>
      <c r="M480" s="126"/>
      <c r="O480" s="137"/>
      <c r="P480" s="137"/>
      <c r="Q480" s="126"/>
    </row>
    <row r="481" spans="3:17" x14ac:dyDescent="0.3">
      <c r="C481" s="126"/>
      <c r="F481" s="137"/>
      <c r="G481" s="138"/>
      <c r="H481" s="138"/>
      <c r="I481" s="139"/>
      <c r="J481" s="137"/>
      <c r="K481" s="137"/>
      <c r="M481" s="126"/>
      <c r="O481" s="137"/>
      <c r="P481" s="137"/>
      <c r="Q481" s="126"/>
    </row>
    <row r="482" spans="3:17" x14ac:dyDescent="0.3">
      <c r="C482" s="126"/>
      <c r="F482" s="137"/>
      <c r="G482" s="138"/>
      <c r="H482" s="138"/>
      <c r="I482" s="139"/>
      <c r="J482" s="137"/>
      <c r="K482" s="137"/>
      <c r="M482" s="126"/>
      <c r="O482" s="137"/>
      <c r="P482" s="137"/>
      <c r="Q482" s="126"/>
    </row>
    <row r="483" spans="3:17" x14ac:dyDescent="0.3">
      <c r="C483" s="126"/>
      <c r="F483" s="137"/>
      <c r="G483" s="138"/>
      <c r="H483" s="138"/>
      <c r="I483" s="139"/>
      <c r="J483" s="137"/>
      <c r="K483" s="137"/>
      <c r="M483" s="126"/>
      <c r="O483" s="137"/>
      <c r="P483" s="137"/>
      <c r="Q483" s="126"/>
    </row>
    <row r="484" spans="3:17" x14ac:dyDescent="0.3">
      <c r="C484" s="126"/>
      <c r="F484" s="137"/>
      <c r="G484" s="138"/>
      <c r="H484" s="138"/>
      <c r="I484" s="139"/>
      <c r="J484" s="137"/>
      <c r="K484" s="137"/>
      <c r="M484" s="126"/>
      <c r="O484" s="137"/>
      <c r="P484" s="137"/>
      <c r="Q484" s="126"/>
    </row>
    <row r="485" spans="3:17" x14ac:dyDescent="0.3">
      <c r="C485" s="126"/>
      <c r="F485" s="137"/>
      <c r="G485" s="138"/>
      <c r="H485" s="138"/>
      <c r="I485" s="139"/>
      <c r="J485" s="137"/>
      <c r="K485" s="137"/>
      <c r="M485" s="126"/>
      <c r="O485" s="137"/>
      <c r="P485" s="137"/>
      <c r="Q485" s="126"/>
    </row>
    <row r="486" spans="3:17" x14ac:dyDescent="0.3">
      <c r="C486" s="126"/>
      <c r="F486" s="137"/>
      <c r="G486" s="138"/>
      <c r="H486" s="138"/>
      <c r="I486" s="139"/>
      <c r="J486" s="137"/>
      <c r="K486" s="137"/>
      <c r="M486" s="126"/>
      <c r="O486" s="137"/>
      <c r="P486" s="137"/>
      <c r="Q486" s="126"/>
    </row>
    <row r="487" spans="3:17" x14ac:dyDescent="0.3">
      <c r="C487" s="126"/>
      <c r="F487" s="137"/>
      <c r="G487" s="138"/>
      <c r="H487" s="138"/>
      <c r="I487" s="139"/>
      <c r="J487" s="137"/>
      <c r="K487" s="137"/>
      <c r="M487" s="126"/>
      <c r="O487" s="137"/>
      <c r="P487" s="137"/>
      <c r="Q487" s="126"/>
    </row>
    <row r="488" spans="3:17" x14ac:dyDescent="0.3">
      <c r="C488" s="126"/>
      <c r="F488" s="137"/>
      <c r="G488" s="138"/>
      <c r="H488" s="138"/>
      <c r="I488" s="139"/>
      <c r="J488" s="137"/>
      <c r="K488" s="137"/>
      <c r="M488" s="126"/>
      <c r="O488" s="137"/>
      <c r="P488" s="137"/>
      <c r="Q488" s="126"/>
    </row>
    <row r="489" spans="3:17" x14ac:dyDescent="0.3">
      <c r="C489" s="126"/>
      <c r="F489" s="137"/>
      <c r="G489" s="138"/>
      <c r="H489" s="138"/>
      <c r="I489" s="139"/>
      <c r="J489" s="137"/>
      <c r="K489" s="137"/>
      <c r="M489" s="126"/>
      <c r="O489" s="137"/>
      <c r="P489" s="137"/>
      <c r="Q489" s="126"/>
    </row>
    <row r="490" spans="3:17" x14ac:dyDescent="0.3">
      <c r="C490" s="126"/>
      <c r="F490" s="137"/>
      <c r="G490" s="138"/>
      <c r="H490" s="138"/>
      <c r="I490" s="139"/>
      <c r="J490" s="137"/>
      <c r="K490" s="137"/>
      <c r="M490" s="126"/>
      <c r="O490" s="137"/>
      <c r="P490" s="137"/>
      <c r="Q490" s="126"/>
    </row>
    <row r="491" spans="3:17" x14ac:dyDescent="0.3">
      <c r="C491" s="126"/>
      <c r="F491" s="137"/>
      <c r="G491" s="138"/>
      <c r="H491" s="138"/>
      <c r="I491" s="139"/>
      <c r="J491" s="137"/>
      <c r="K491" s="137"/>
      <c r="M491" s="126"/>
      <c r="O491" s="137"/>
      <c r="P491" s="137"/>
      <c r="Q491" s="126"/>
    </row>
    <row r="492" spans="3:17" x14ac:dyDescent="0.3">
      <c r="C492" s="126"/>
      <c r="F492" s="137"/>
      <c r="G492" s="138"/>
      <c r="H492" s="138"/>
      <c r="I492" s="139"/>
      <c r="J492" s="137"/>
      <c r="K492" s="137"/>
      <c r="M492" s="126"/>
      <c r="O492" s="137"/>
      <c r="P492" s="137"/>
      <c r="Q492" s="126"/>
    </row>
    <row r="493" spans="3:17" x14ac:dyDescent="0.3">
      <c r="C493" s="126"/>
      <c r="F493" s="137"/>
      <c r="G493" s="138"/>
      <c r="H493" s="138"/>
      <c r="I493" s="139"/>
      <c r="J493" s="137"/>
      <c r="K493" s="137"/>
      <c r="M493" s="126"/>
      <c r="O493" s="137"/>
      <c r="P493" s="137"/>
      <c r="Q493" s="126"/>
    </row>
    <row r="494" spans="3:17" x14ac:dyDescent="0.3">
      <c r="C494" s="126"/>
      <c r="F494" s="137"/>
      <c r="G494" s="138"/>
      <c r="H494" s="138"/>
      <c r="I494" s="139"/>
      <c r="J494" s="137"/>
      <c r="K494" s="137"/>
      <c r="M494" s="126"/>
      <c r="O494" s="137"/>
      <c r="P494" s="137"/>
      <c r="Q494" s="126"/>
    </row>
    <row r="495" spans="3:17" x14ac:dyDescent="0.3">
      <c r="C495" s="126"/>
      <c r="F495" s="137"/>
      <c r="G495" s="138"/>
      <c r="H495" s="138"/>
      <c r="I495" s="139"/>
      <c r="J495" s="137"/>
      <c r="K495" s="137"/>
      <c r="M495" s="126"/>
      <c r="O495" s="137"/>
      <c r="P495" s="137"/>
      <c r="Q495" s="126"/>
    </row>
    <row r="496" spans="3:17" x14ac:dyDescent="0.3">
      <c r="C496" s="126"/>
      <c r="F496" s="137"/>
      <c r="G496" s="138"/>
      <c r="H496" s="138"/>
      <c r="I496" s="139"/>
      <c r="J496" s="137"/>
      <c r="K496" s="137"/>
      <c r="M496" s="126"/>
      <c r="O496" s="137"/>
      <c r="P496" s="137"/>
      <c r="Q496" s="126"/>
    </row>
    <row r="497" spans="3:17" x14ac:dyDescent="0.3">
      <c r="C497" s="126"/>
      <c r="F497" s="137"/>
      <c r="G497" s="138"/>
      <c r="H497" s="138"/>
      <c r="I497" s="139"/>
      <c r="J497" s="137"/>
      <c r="K497" s="137"/>
      <c r="M497" s="126"/>
      <c r="O497" s="137"/>
      <c r="P497" s="137"/>
      <c r="Q497" s="126"/>
    </row>
    <row r="498" spans="3:17" x14ac:dyDescent="0.3">
      <c r="C498" s="126"/>
      <c r="F498" s="137"/>
      <c r="G498" s="138"/>
      <c r="H498" s="138"/>
      <c r="I498" s="139"/>
      <c r="J498" s="137"/>
      <c r="K498" s="137"/>
      <c r="M498" s="126"/>
      <c r="O498" s="137"/>
      <c r="P498" s="137"/>
      <c r="Q498" s="126"/>
    </row>
    <row r="499" spans="3:17" x14ac:dyDescent="0.3">
      <c r="C499" s="126"/>
      <c r="F499" s="137"/>
      <c r="G499" s="138"/>
      <c r="H499" s="138"/>
      <c r="I499" s="139"/>
      <c r="J499" s="137"/>
      <c r="K499" s="137"/>
      <c r="M499" s="126"/>
      <c r="O499" s="137"/>
      <c r="P499" s="137"/>
      <c r="Q499" s="126"/>
    </row>
    <row r="500" spans="3:17" x14ac:dyDescent="0.3">
      <c r="C500" s="126"/>
      <c r="F500" s="137"/>
      <c r="G500" s="138"/>
      <c r="H500" s="138"/>
      <c r="I500" s="139"/>
      <c r="J500" s="137"/>
      <c r="K500" s="137"/>
      <c r="M500" s="126"/>
      <c r="O500" s="137"/>
      <c r="P500" s="137"/>
      <c r="Q500" s="126"/>
    </row>
    <row r="501" spans="3:17" x14ac:dyDescent="0.3">
      <c r="C501" s="126"/>
      <c r="F501" s="137"/>
      <c r="G501" s="138"/>
      <c r="H501" s="138"/>
      <c r="I501" s="139"/>
      <c r="J501" s="137"/>
      <c r="K501" s="137"/>
      <c r="M501" s="126"/>
      <c r="O501" s="137"/>
      <c r="P501" s="137"/>
      <c r="Q501" s="126"/>
    </row>
    <row r="502" spans="3:17" x14ac:dyDescent="0.3">
      <c r="C502" s="126"/>
      <c r="F502" s="137"/>
      <c r="G502" s="138"/>
      <c r="H502" s="138"/>
      <c r="I502" s="139"/>
      <c r="J502" s="137"/>
      <c r="K502" s="137"/>
      <c r="M502" s="126"/>
      <c r="O502" s="137"/>
      <c r="P502" s="137"/>
      <c r="Q502" s="126"/>
    </row>
    <row r="503" spans="3:17" x14ac:dyDescent="0.3">
      <c r="C503" s="126"/>
      <c r="F503" s="137"/>
      <c r="G503" s="138"/>
      <c r="H503" s="138"/>
      <c r="I503" s="139"/>
      <c r="J503" s="137"/>
      <c r="K503" s="137"/>
      <c r="M503" s="126"/>
      <c r="O503" s="137"/>
      <c r="P503" s="137"/>
      <c r="Q503" s="126"/>
    </row>
    <row r="504" spans="3:17" x14ac:dyDescent="0.3">
      <c r="C504" s="126"/>
      <c r="F504" s="137"/>
      <c r="G504" s="138"/>
      <c r="H504" s="138"/>
      <c r="I504" s="139"/>
      <c r="J504" s="137"/>
      <c r="K504" s="137"/>
      <c r="M504" s="126"/>
      <c r="O504" s="137"/>
      <c r="P504" s="137"/>
      <c r="Q504" s="126"/>
    </row>
    <row r="505" spans="3:17" x14ac:dyDescent="0.3">
      <c r="C505" s="126"/>
      <c r="F505" s="137"/>
      <c r="G505" s="138"/>
      <c r="H505" s="138"/>
      <c r="I505" s="139"/>
      <c r="J505" s="137"/>
      <c r="K505" s="137"/>
      <c r="M505" s="126"/>
      <c r="O505" s="137"/>
      <c r="P505" s="137"/>
      <c r="Q505" s="126"/>
    </row>
    <row r="506" spans="3:17" x14ac:dyDescent="0.3">
      <c r="C506" s="126"/>
      <c r="F506" s="137"/>
      <c r="G506" s="138"/>
      <c r="H506" s="138"/>
      <c r="I506" s="139"/>
      <c r="J506" s="137"/>
      <c r="K506" s="137"/>
      <c r="M506" s="126"/>
      <c r="O506" s="137"/>
      <c r="P506" s="137"/>
      <c r="Q506" s="126"/>
    </row>
    <row r="507" spans="3:17" x14ac:dyDescent="0.3">
      <c r="C507" s="126"/>
      <c r="F507" s="137"/>
      <c r="G507" s="138"/>
      <c r="H507" s="138"/>
      <c r="I507" s="139"/>
      <c r="J507" s="137"/>
      <c r="K507" s="137"/>
      <c r="M507" s="126"/>
      <c r="O507" s="137"/>
      <c r="P507" s="137"/>
      <c r="Q507" s="126"/>
    </row>
    <row r="508" spans="3:17" x14ac:dyDescent="0.3">
      <c r="C508" s="126"/>
      <c r="F508" s="137"/>
      <c r="G508" s="138"/>
      <c r="H508" s="138"/>
      <c r="I508" s="139"/>
      <c r="J508" s="137"/>
      <c r="K508" s="137"/>
      <c r="M508" s="126"/>
      <c r="O508" s="137"/>
      <c r="P508" s="137"/>
      <c r="Q508" s="126"/>
    </row>
    <row r="509" spans="3:17" x14ac:dyDescent="0.3">
      <c r="C509" s="126"/>
      <c r="F509" s="137"/>
      <c r="G509" s="138"/>
      <c r="H509" s="138"/>
      <c r="I509" s="139"/>
      <c r="J509" s="137"/>
      <c r="K509" s="137"/>
      <c r="M509" s="126"/>
      <c r="O509" s="137"/>
      <c r="P509" s="137"/>
      <c r="Q509" s="126"/>
    </row>
    <row r="510" spans="3:17" x14ac:dyDescent="0.3">
      <c r="C510" s="126"/>
      <c r="F510" s="137"/>
      <c r="G510" s="138"/>
      <c r="H510" s="138"/>
      <c r="I510" s="139"/>
      <c r="J510" s="137"/>
      <c r="K510" s="137"/>
      <c r="M510" s="126"/>
      <c r="O510" s="137"/>
      <c r="P510" s="137"/>
      <c r="Q510" s="126"/>
    </row>
    <row r="511" spans="3:17" x14ac:dyDescent="0.3">
      <c r="C511" s="126"/>
      <c r="F511" s="137"/>
      <c r="G511" s="138"/>
      <c r="H511" s="138"/>
      <c r="I511" s="139"/>
      <c r="J511" s="137"/>
      <c r="K511" s="137"/>
      <c r="M511" s="126"/>
      <c r="O511" s="137"/>
      <c r="P511" s="137"/>
      <c r="Q511" s="126"/>
    </row>
    <row r="512" spans="3:17" x14ac:dyDescent="0.3">
      <c r="C512" s="126"/>
      <c r="F512" s="137"/>
      <c r="G512" s="138"/>
      <c r="H512" s="138"/>
      <c r="I512" s="139"/>
      <c r="J512" s="137"/>
      <c r="K512" s="137"/>
      <c r="M512" s="126"/>
      <c r="O512" s="137"/>
      <c r="P512" s="137"/>
      <c r="Q512" s="126"/>
    </row>
    <row r="513" spans="3:17" x14ac:dyDescent="0.3">
      <c r="C513" s="126"/>
      <c r="F513" s="137"/>
      <c r="G513" s="138"/>
      <c r="H513" s="138"/>
      <c r="I513" s="139"/>
      <c r="J513" s="137"/>
      <c r="K513" s="137"/>
      <c r="M513" s="126"/>
      <c r="O513" s="137"/>
      <c r="P513" s="137"/>
      <c r="Q513" s="126"/>
    </row>
    <row r="514" spans="3:17" x14ac:dyDescent="0.3">
      <c r="C514" s="126"/>
      <c r="F514" s="137"/>
      <c r="G514" s="138"/>
      <c r="H514" s="138"/>
      <c r="I514" s="139"/>
      <c r="J514" s="137"/>
      <c r="K514" s="137"/>
      <c r="M514" s="126"/>
      <c r="O514" s="137"/>
      <c r="P514" s="137"/>
      <c r="Q514" s="126"/>
    </row>
    <row r="515" spans="3:17" x14ac:dyDescent="0.3">
      <c r="C515" s="126"/>
      <c r="F515" s="137"/>
      <c r="G515" s="138"/>
      <c r="H515" s="138"/>
      <c r="I515" s="139"/>
      <c r="J515" s="137"/>
      <c r="K515" s="137"/>
      <c r="M515" s="126"/>
      <c r="O515" s="137"/>
      <c r="P515" s="137"/>
      <c r="Q515" s="126"/>
    </row>
    <row r="516" spans="3:17" x14ac:dyDescent="0.3">
      <c r="C516" s="126"/>
      <c r="F516" s="137"/>
      <c r="G516" s="138"/>
      <c r="H516" s="138"/>
      <c r="I516" s="139"/>
      <c r="J516" s="137"/>
      <c r="K516" s="137"/>
      <c r="M516" s="126"/>
      <c r="O516" s="137"/>
      <c r="P516" s="137"/>
      <c r="Q516" s="126"/>
    </row>
    <row r="517" spans="3:17" x14ac:dyDescent="0.3">
      <c r="C517" s="126"/>
      <c r="F517" s="137"/>
      <c r="G517" s="138"/>
      <c r="H517" s="138"/>
      <c r="I517" s="139"/>
      <c r="J517" s="137"/>
      <c r="K517" s="137"/>
      <c r="M517" s="126"/>
      <c r="O517" s="137"/>
      <c r="P517" s="137"/>
      <c r="Q517" s="126"/>
    </row>
    <row r="518" spans="3:17" x14ac:dyDescent="0.3">
      <c r="C518" s="126"/>
      <c r="F518" s="137"/>
      <c r="G518" s="138"/>
      <c r="H518" s="138"/>
      <c r="I518" s="139"/>
      <c r="J518" s="137"/>
      <c r="K518" s="137"/>
      <c r="M518" s="126"/>
      <c r="O518" s="137"/>
      <c r="P518" s="137"/>
      <c r="Q518" s="126"/>
    </row>
    <row r="519" spans="3:17" x14ac:dyDescent="0.3">
      <c r="C519" s="126"/>
      <c r="F519" s="137"/>
      <c r="G519" s="138"/>
      <c r="H519" s="138"/>
      <c r="I519" s="139"/>
      <c r="J519" s="137"/>
      <c r="K519" s="137"/>
      <c r="M519" s="126"/>
      <c r="O519" s="137"/>
      <c r="P519" s="137"/>
      <c r="Q519" s="126"/>
    </row>
    <row r="520" spans="3:17" x14ac:dyDescent="0.3">
      <c r="C520" s="126"/>
      <c r="F520" s="137"/>
      <c r="G520" s="138"/>
      <c r="H520" s="138"/>
      <c r="I520" s="139"/>
      <c r="J520" s="137"/>
      <c r="K520" s="137"/>
      <c r="M520" s="126"/>
      <c r="O520" s="137"/>
      <c r="P520" s="137"/>
      <c r="Q520" s="126"/>
    </row>
    <row r="521" spans="3:17" x14ac:dyDescent="0.3">
      <c r="C521" s="126"/>
      <c r="F521" s="137"/>
      <c r="G521" s="138"/>
      <c r="H521" s="138"/>
      <c r="I521" s="139"/>
      <c r="J521" s="137"/>
      <c r="K521" s="137"/>
      <c r="M521" s="126"/>
      <c r="O521" s="137"/>
      <c r="P521" s="137"/>
      <c r="Q521" s="126"/>
    </row>
    <row r="522" spans="3:17" x14ac:dyDescent="0.3">
      <c r="C522" s="126"/>
      <c r="F522" s="137"/>
      <c r="G522" s="138"/>
      <c r="H522" s="138"/>
      <c r="I522" s="139"/>
      <c r="J522" s="137"/>
      <c r="K522" s="137"/>
      <c r="M522" s="126"/>
      <c r="O522" s="137"/>
      <c r="P522" s="137"/>
      <c r="Q522" s="126"/>
    </row>
    <row r="523" spans="3:17" x14ac:dyDescent="0.3">
      <c r="C523" s="126"/>
      <c r="F523" s="137"/>
      <c r="G523" s="138"/>
      <c r="H523" s="138"/>
      <c r="I523" s="139"/>
      <c r="J523" s="137"/>
      <c r="K523" s="137"/>
      <c r="M523" s="126"/>
      <c r="O523" s="137"/>
      <c r="P523" s="137"/>
      <c r="Q523" s="126"/>
    </row>
    <row r="524" spans="3:17" x14ac:dyDescent="0.3">
      <c r="C524" s="126"/>
      <c r="F524" s="137"/>
      <c r="G524" s="138"/>
      <c r="H524" s="138"/>
      <c r="I524" s="139"/>
      <c r="J524" s="137"/>
      <c r="K524" s="137"/>
      <c r="M524" s="126"/>
      <c r="O524" s="137"/>
      <c r="P524" s="137"/>
      <c r="Q524" s="126"/>
    </row>
    <row r="525" spans="3:17" x14ac:dyDescent="0.3">
      <c r="C525" s="126"/>
      <c r="F525" s="137"/>
      <c r="G525" s="138"/>
      <c r="H525" s="138"/>
      <c r="I525" s="139"/>
      <c r="J525" s="137"/>
      <c r="K525" s="137"/>
      <c r="M525" s="126"/>
      <c r="O525" s="137"/>
      <c r="P525" s="137"/>
      <c r="Q525" s="126"/>
    </row>
    <row r="526" spans="3:17" x14ac:dyDescent="0.3">
      <c r="C526" s="126"/>
      <c r="F526" s="137"/>
      <c r="G526" s="138"/>
      <c r="H526" s="138"/>
      <c r="I526" s="139"/>
      <c r="J526" s="137"/>
      <c r="K526" s="137"/>
      <c r="M526" s="126"/>
      <c r="O526" s="137"/>
      <c r="P526" s="137"/>
      <c r="Q526" s="126"/>
    </row>
    <row r="527" spans="3:17" x14ac:dyDescent="0.3">
      <c r="C527" s="126"/>
      <c r="F527" s="137"/>
      <c r="G527" s="138"/>
      <c r="H527" s="138"/>
      <c r="I527" s="139"/>
      <c r="J527" s="137"/>
      <c r="K527" s="137"/>
      <c r="M527" s="126"/>
      <c r="O527" s="137"/>
      <c r="P527" s="137"/>
      <c r="Q527" s="126"/>
    </row>
    <row r="528" spans="3:17" x14ac:dyDescent="0.3">
      <c r="C528" s="126"/>
      <c r="F528" s="137"/>
      <c r="G528" s="138"/>
      <c r="H528" s="138"/>
      <c r="I528" s="139"/>
      <c r="J528" s="137"/>
      <c r="K528" s="137"/>
      <c r="M528" s="126"/>
      <c r="O528" s="137"/>
      <c r="P528" s="137"/>
      <c r="Q528" s="126"/>
    </row>
    <row r="529" spans="3:17" x14ac:dyDescent="0.3">
      <c r="C529" s="126"/>
      <c r="F529" s="137"/>
      <c r="G529" s="138"/>
      <c r="H529" s="138"/>
      <c r="I529" s="139"/>
      <c r="J529" s="137"/>
      <c r="K529" s="137"/>
      <c r="M529" s="126"/>
      <c r="O529" s="137"/>
      <c r="P529" s="137"/>
      <c r="Q529" s="126"/>
    </row>
    <row r="530" spans="3:17" x14ac:dyDescent="0.3">
      <c r="C530" s="126"/>
      <c r="F530" s="137"/>
      <c r="G530" s="138"/>
      <c r="H530" s="138"/>
      <c r="I530" s="139"/>
      <c r="J530" s="137"/>
      <c r="K530" s="137"/>
      <c r="M530" s="126"/>
      <c r="O530" s="137"/>
      <c r="P530" s="137"/>
      <c r="Q530" s="126"/>
    </row>
    <row r="531" spans="3:17" x14ac:dyDescent="0.3">
      <c r="C531" s="126"/>
      <c r="F531" s="137"/>
      <c r="G531" s="138"/>
      <c r="H531" s="138"/>
      <c r="I531" s="139"/>
      <c r="J531" s="137"/>
      <c r="K531" s="137"/>
      <c r="M531" s="126"/>
      <c r="O531" s="137"/>
      <c r="P531" s="137"/>
      <c r="Q531" s="126"/>
    </row>
    <row r="532" spans="3:17" x14ac:dyDescent="0.3">
      <c r="C532" s="126"/>
      <c r="F532" s="137"/>
      <c r="G532" s="138"/>
      <c r="H532" s="138"/>
      <c r="I532" s="139"/>
      <c r="J532" s="137"/>
      <c r="K532" s="137"/>
      <c r="M532" s="126"/>
      <c r="O532" s="137"/>
      <c r="P532" s="137"/>
      <c r="Q532" s="126"/>
    </row>
    <row r="533" spans="3:17" x14ac:dyDescent="0.3">
      <c r="C533" s="126"/>
      <c r="F533" s="137"/>
      <c r="G533" s="138"/>
      <c r="H533" s="138"/>
      <c r="I533" s="139"/>
      <c r="J533" s="137"/>
      <c r="K533" s="137"/>
      <c r="M533" s="126"/>
      <c r="O533" s="137"/>
      <c r="P533" s="137"/>
      <c r="Q533" s="126"/>
    </row>
    <row r="534" spans="3:17" x14ac:dyDescent="0.3">
      <c r="C534" s="126"/>
      <c r="F534" s="137"/>
      <c r="G534" s="138"/>
      <c r="H534" s="138"/>
      <c r="I534" s="139"/>
      <c r="J534" s="137"/>
      <c r="K534" s="137"/>
      <c r="M534" s="126"/>
      <c r="O534" s="137"/>
      <c r="P534" s="137"/>
      <c r="Q534" s="126"/>
    </row>
    <row r="535" spans="3:17" x14ac:dyDescent="0.3">
      <c r="C535" s="126"/>
      <c r="F535" s="137"/>
      <c r="G535" s="138"/>
      <c r="H535" s="138"/>
      <c r="I535" s="139"/>
      <c r="J535" s="137"/>
      <c r="K535" s="137"/>
      <c r="M535" s="126"/>
      <c r="O535" s="137"/>
      <c r="P535" s="137"/>
      <c r="Q535" s="126"/>
    </row>
    <row r="536" spans="3:17" x14ac:dyDescent="0.3">
      <c r="C536" s="126"/>
      <c r="F536" s="137"/>
      <c r="G536" s="138"/>
      <c r="H536" s="138"/>
      <c r="I536" s="139"/>
      <c r="J536" s="137"/>
      <c r="K536" s="137"/>
      <c r="M536" s="126"/>
      <c r="O536" s="137"/>
      <c r="P536" s="137"/>
      <c r="Q536" s="126"/>
    </row>
    <row r="537" spans="3:17" x14ac:dyDescent="0.3">
      <c r="C537" s="126"/>
      <c r="F537" s="137"/>
      <c r="G537" s="138"/>
      <c r="H537" s="138"/>
      <c r="I537" s="139"/>
      <c r="J537" s="137"/>
      <c r="K537" s="137"/>
      <c r="M537" s="126"/>
      <c r="O537" s="137"/>
      <c r="P537" s="137"/>
      <c r="Q537" s="126"/>
    </row>
    <row r="538" spans="3:17" x14ac:dyDescent="0.3">
      <c r="C538" s="126"/>
      <c r="F538" s="137"/>
      <c r="G538" s="138"/>
      <c r="H538" s="138"/>
      <c r="I538" s="139"/>
      <c r="J538" s="137"/>
      <c r="K538" s="137"/>
      <c r="M538" s="126"/>
      <c r="O538" s="137"/>
      <c r="P538" s="137"/>
      <c r="Q538" s="126"/>
    </row>
    <row r="539" spans="3:17" x14ac:dyDescent="0.3">
      <c r="C539" s="126"/>
      <c r="F539" s="137"/>
      <c r="G539" s="138"/>
      <c r="H539" s="138"/>
      <c r="I539" s="139"/>
      <c r="J539" s="137"/>
      <c r="K539" s="137"/>
      <c r="M539" s="126"/>
      <c r="O539" s="137"/>
      <c r="P539" s="137"/>
      <c r="Q539" s="126"/>
    </row>
    <row r="540" spans="3:17" x14ac:dyDescent="0.3">
      <c r="C540" s="126"/>
      <c r="F540" s="137"/>
      <c r="G540" s="138"/>
      <c r="H540" s="138"/>
      <c r="I540" s="139"/>
      <c r="J540" s="137"/>
      <c r="K540" s="137"/>
      <c r="M540" s="126"/>
      <c r="O540" s="137"/>
      <c r="P540" s="137"/>
      <c r="Q540" s="126"/>
    </row>
    <row r="541" spans="3:17" x14ac:dyDescent="0.3">
      <c r="C541" s="126"/>
      <c r="F541" s="137"/>
      <c r="G541" s="138"/>
      <c r="H541" s="138"/>
      <c r="I541" s="139"/>
      <c r="J541" s="137"/>
      <c r="K541" s="137"/>
      <c r="M541" s="126"/>
      <c r="O541" s="137"/>
      <c r="P541" s="137"/>
      <c r="Q541" s="126"/>
    </row>
    <row r="542" spans="3:17" x14ac:dyDescent="0.3">
      <c r="C542" s="126"/>
      <c r="F542" s="137"/>
      <c r="G542" s="138"/>
      <c r="H542" s="138"/>
      <c r="I542" s="139"/>
      <c r="J542" s="137"/>
      <c r="K542" s="137"/>
      <c r="M542" s="126"/>
      <c r="O542" s="137"/>
      <c r="P542" s="137"/>
      <c r="Q542" s="126"/>
    </row>
    <row r="543" spans="3:17" x14ac:dyDescent="0.3">
      <c r="C543" s="126"/>
      <c r="F543" s="137"/>
      <c r="G543" s="138"/>
      <c r="H543" s="138"/>
      <c r="I543" s="139"/>
      <c r="J543" s="137"/>
      <c r="K543" s="137"/>
      <c r="M543" s="126"/>
      <c r="O543" s="137"/>
      <c r="P543" s="137"/>
      <c r="Q543" s="126"/>
    </row>
    <row r="544" spans="3:17" x14ac:dyDescent="0.3">
      <c r="C544" s="126"/>
      <c r="F544" s="137"/>
      <c r="G544" s="138"/>
      <c r="H544" s="138"/>
      <c r="I544" s="139"/>
      <c r="J544" s="137"/>
      <c r="K544" s="137"/>
      <c r="M544" s="126"/>
      <c r="O544" s="137"/>
      <c r="P544" s="137"/>
      <c r="Q544" s="126"/>
    </row>
    <row r="545" spans="3:17" x14ac:dyDescent="0.3">
      <c r="C545" s="126"/>
      <c r="F545" s="137"/>
      <c r="G545" s="138"/>
      <c r="H545" s="138"/>
      <c r="I545" s="139"/>
      <c r="J545" s="137"/>
      <c r="K545" s="137"/>
      <c r="M545" s="126"/>
      <c r="O545" s="137"/>
      <c r="P545" s="137"/>
      <c r="Q545" s="126"/>
    </row>
    <row r="546" spans="3:17" x14ac:dyDescent="0.3">
      <c r="C546" s="126"/>
      <c r="F546" s="137"/>
      <c r="G546" s="138"/>
      <c r="H546" s="138"/>
      <c r="I546" s="139"/>
      <c r="J546" s="137"/>
      <c r="K546" s="137"/>
      <c r="M546" s="126"/>
      <c r="O546" s="137"/>
      <c r="P546" s="137"/>
      <c r="Q546" s="126"/>
    </row>
    <row r="547" spans="3:17" x14ac:dyDescent="0.3">
      <c r="C547" s="126"/>
      <c r="F547" s="137"/>
      <c r="G547" s="138"/>
      <c r="H547" s="138"/>
      <c r="I547" s="139"/>
      <c r="J547" s="137"/>
      <c r="K547" s="137"/>
      <c r="M547" s="126"/>
      <c r="O547" s="137"/>
      <c r="P547" s="137"/>
      <c r="Q547" s="126"/>
    </row>
    <row r="548" spans="3:17" x14ac:dyDescent="0.3">
      <c r="C548" s="126"/>
      <c r="F548" s="137"/>
      <c r="G548" s="138"/>
      <c r="H548" s="138"/>
      <c r="I548" s="139"/>
      <c r="J548" s="137"/>
      <c r="K548" s="137"/>
      <c r="M548" s="126"/>
      <c r="O548" s="137"/>
      <c r="P548" s="137"/>
      <c r="Q548" s="126"/>
    </row>
    <row r="549" spans="3:17" x14ac:dyDescent="0.3">
      <c r="C549" s="126"/>
      <c r="F549" s="137"/>
      <c r="G549" s="138"/>
      <c r="H549" s="138"/>
      <c r="I549" s="139"/>
      <c r="J549" s="137"/>
      <c r="K549" s="137"/>
      <c r="M549" s="126"/>
      <c r="O549" s="137"/>
      <c r="P549" s="137"/>
      <c r="Q549" s="126"/>
    </row>
    <row r="550" spans="3:17" x14ac:dyDescent="0.3">
      <c r="C550" s="126"/>
      <c r="F550" s="137"/>
      <c r="G550" s="138"/>
      <c r="H550" s="138"/>
      <c r="I550" s="139"/>
      <c r="J550" s="137"/>
      <c r="K550" s="137"/>
      <c r="M550" s="126"/>
      <c r="O550" s="137"/>
      <c r="P550" s="137"/>
      <c r="Q550" s="126"/>
    </row>
    <row r="551" spans="3:17" x14ac:dyDescent="0.3">
      <c r="C551" s="126"/>
      <c r="F551" s="137"/>
      <c r="G551" s="138"/>
      <c r="H551" s="138"/>
      <c r="I551" s="139"/>
      <c r="J551" s="137"/>
      <c r="K551" s="137"/>
      <c r="M551" s="126"/>
      <c r="O551" s="137"/>
      <c r="P551" s="137"/>
      <c r="Q551" s="126"/>
    </row>
    <row r="552" spans="3:17" x14ac:dyDescent="0.3">
      <c r="C552" s="126"/>
      <c r="F552" s="137"/>
      <c r="G552" s="138"/>
      <c r="H552" s="138"/>
      <c r="I552" s="139"/>
      <c r="J552" s="137"/>
      <c r="K552" s="137"/>
      <c r="M552" s="126"/>
      <c r="O552" s="137"/>
      <c r="P552" s="137"/>
      <c r="Q552" s="126"/>
    </row>
    <row r="553" spans="3:17" x14ac:dyDescent="0.3">
      <c r="C553" s="126"/>
      <c r="F553" s="137"/>
      <c r="G553" s="138"/>
      <c r="H553" s="138"/>
      <c r="I553" s="139"/>
      <c r="J553" s="137"/>
      <c r="K553" s="137"/>
      <c r="M553" s="126"/>
      <c r="O553" s="137"/>
      <c r="P553" s="137"/>
      <c r="Q553" s="126"/>
    </row>
    <row r="554" spans="3:17" x14ac:dyDescent="0.3">
      <c r="C554" s="126"/>
      <c r="F554" s="137"/>
      <c r="G554" s="138"/>
      <c r="H554" s="138"/>
      <c r="I554" s="139"/>
      <c r="J554" s="137"/>
      <c r="K554" s="137"/>
      <c r="M554" s="126"/>
      <c r="O554" s="137"/>
      <c r="P554" s="137"/>
      <c r="Q554" s="126"/>
    </row>
    <row r="555" spans="3:17" x14ac:dyDescent="0.3">
      <c r="C555" s="126"/>
      <c r="F555" s="137"/>
      <c r="G555" s="138"/>
      <c r="H555" s="138"/>
      <c r="I555" s="139"/>
      <c r="J555" s="137"/>
      <c r="K555" s="137"/>
      <c r="M555" s="126"/>
      <c r="O555" s="137"/>
      <c r="P555" s="137"/>
      <c r="Q555" s="126"/>
    </row>
    <row r="556" spans="3:17" x14ac:dyDescent="0.3">
      <c r="C556" s="126"/>
      <c r="F556" s="137"/>
      <c r="G556" s="138"/>
      <c r="H556" s="138"/>
      <c r="I556" s="139"/>
      <c r="J556" s="137"/>
      <c r="K556" s="137"/>
      <c r="M556" s="126"/>
      <c r="O556" s="137"/>
      <c r="P556" s="137"/>
      <c r="Q556" s="126"/>
    </row>
    <row r="557" spans="3:17" x14ac:dyDescent="0.3">
      <c r="C557" s="126"/>
      <c r="F557" s="137"/>
      <c r="G557" s="138"/>
      <c r="H557" s="138"/>
      <c r="I557" s="139"/>
      <c r="J557" s="137"/>
      <c r="K557" s="137"/>
      <c r="M557" s="126"/>
      <c r="O557" s="137"/>
      <c r="P557" s="137"/>
      <c r="Q557" s="126"/>
    </row>
    <row r="558" spans="3:17" x14ac:dyDescent="0.3">
      <c r="C558" s="126"/>
      <c r="F558" s="137"/>
      <c r="G558" s="138"/>
      <c r="H558" s="138"/>
      <c r="I558" s="139"/>
      <c r="J558" s="137"/>
      <c r="K558" s="137"/>
      <c r="M558" s="126"/>
      <c r="O558" s="137"/>
      <c r="P558" s="137"/>
      <c r="Q558" s="126"/>
    </row>
    <row r="559" spans="3:17" x14ac:dyDescent="0.3">
      <c r="C559" s="126"/>
      <c r="F559" s="137"/>
      <c r="G559" s="138"/>
      <c r="H559" s="138"/>
      <c r="I559" s="139"/>
      <c r="J559" s="137"/>
      <c r="K559" s="137"/>
      <c r="M559" s="126"/>
      <c r="O559" s="137"/>
      <c r="P559" s="137"/>
      <c r="Q559" s="126"/>
    </row>
    <row r="560" spans="3:17" x14ac:dyDescent="0.3">
      <c r="C560" s="126"/>
      <c r="F560" s="137"/>
      <c r="G560" s="138"/>
      <c r="H560" s="138"/>
      <c r="I560" s="139"/>
      <c r="J560" s="137"/>
      <c r="K560" s="137"/>
      <c r="M560" s="126"/>
      <c r="O560" s="137"/>
      <c r="P560" s="137"/>
      <c r="Q560" s="126"/>
    </row>
    <row r="561" spans="3:17" x14ac:dyDescent="0.3">
      <c r="C561" s="126"/>
      <c r="F561" s="137"/>
      <c r="G561" s="138"/>
      <c r="H561" s="138"/>
      <c r="I561" s="139"/>
      <c r="J561" s="137"/>
      <c r="K561" s="137"/>
      <c r="M561" s="126"/>
      <c r="O561" s="137"/>
      <c r="P561" s="137"/>
      <c r="Q561" s="126"/>
    </row>
    <row r="562" spans="3:17" x14ac:dyDescent="0.3">
      <c r="C562" s="126"/>
      <c r="F562" s="137"/>
      <c r="G562" s="138"/>
      <c r="H562" s="138"/>
      <c r="I562" s="139"/>
      <c r="J562" s="137"/>
      <c r="K562" s="137"/>
      <c r="M562" s="126"/>
      <c r="O562" s="137"/>
      <c r="P562" s="137"/>
      <c r="Q562" s="126"/>
    </row>
    <row r="563" spans="3:17" x14ac:dyDescent="0.3">
      <c r="C563" s="126"/>
      <c r="F563" s="137"/>
      <c r="G563" s="138"/>
      <c r="H563" s="138"/>
      <c r="I563" s="139"/>
      <c r="J563" s="137"/>
      <c r="K563" s="137"/>
      <c r="M563" s="126"/>
      <c r="O563" s="137"/>
      <c r="P563" s="137"/>
      <c r="Q563" s="126"/>
    </row>
    <row r="564" spans="3:17" x14ac:dyDescent="0.3">
      <c r="C564" s="126"/>
      <c r="F564" s="137"/>
      <c r="G564" s="138"/>
      <c r="H564" s="138"/>
      <c r="I564" s="139"/>
      <c r="J564" s="137"/>
      <c r="K564" s="137"/>
      <c r="M564" s="126"/>
      <c r="O564" s="137"/>
      <c r="P564" s="137"/>
      <c r="Q564" s="126"/>
    </row>
    <row r="565" spans="3:17" x14ac:dyDescent="0.3">
      <c r="C565" s="126"/>
      <c r="F565" s="137"/>
      <c r="G565" s="138"/>
      <c r="H565" s="138"/>
      <c r="I565" s="139"/>
      <c r="J565" s="137"/>
      <c r="K565" s="137"/>
      <c r="M565" s="126"/>
      <c r="O565" s="137"/>
      <c r="P565" s="137"/>
      <c r="Q565" s="126"/>
    </row>
    <row r="566" spans="3:17" x14ac:dyDescent="0.3">
      <c r="C566" s="126"/>
      <c r="F566" s="137"/>
      <c r="G566" s="138"/>
      <c r="H566" s="138"/>
      <c r="I566" s="139"/>
      <c r="J566" s="137"/>
      <c r="K566" s="137"/>
      <c r="M566" s="126"/>
      <c r="O566" s="137"/>
      <c r="P566" s="137"/>
      <c r="Q566" s="126"/>
    </row>
    <row r="567" spans="3:17" x14ac:dyDescent="0.3">
      <c r="C567" s="126"/>
      <c r="F567" s="137"/>
      <c r="G567" s="138"/>
      <c r="H567" s="138"/>
      <c r="I567" s="139"/>
      <c r="J567" s="137"/>
      <c r="K567" s="137"/>
      <c r="M567" s="126"/>
      <c r="O567" s="137"/>
      <c r="P567" s="137"/>
      <c r="Q567" s="126"/>
    </row>
    <row r="568" spans="3:17" x14ac:dyDescent="0.3">
      <c r="C568" s="126"/>
      <c r="F568" s="137"/>
      <c r="G568" s="138"/>
      <c r="H568" s="138"/>
      <c r="I568" s="139"/>
      <c r="J568" s="137"/>
      <c r="K568" s="137"/>
      <c r="M568" s="126"/>
      <c r="O568" s="137"/>
      <c r="P568" s="137"/>
      <c r="Q568" s="126"/>
    </row>
    <row r="569" spans="3:17" x14ac:dyDescent="0.3">
      <c r="C569" s="126"/>
      <c r="F569" s="137"/>
      <c r="G569" s="138"/>
      <c r="H569" s="138"/>
      <c r="I569" s="139"/>
      <c r="J569" s="137"/>
      <c r="K569" s="137"/>
      <c r="M569" s="126"/>
      <c r="O569" s="137"/>
      <c r="P569" s="137"/>
      <c r="Q569" s="126"/>
    </row>
    <row r="570" spans="3:17" x14ac:dyDescent="0.3">
      <c r="C570" s="126"/>
      <c r="F570" s="137"/>
      <c r="G570" s="138"/>
      <c r="H570" s="138"/>
      <c r="I570" s="139"/>
      <c r="J570" s="137"/>
      <c r="K570" s="137"/>
      <c r="M570" s="126"/>
      <c r="O570" s="137"/>
      <c r="P570" s="137"/>
      <c r="Q570" s="126"/>
    </row>
    <row r="571" spans="3:17" x14ac:dyDescent="0.3">
      <c r="C571" s="126"/>
      <c r="F571" s="137"/>
      <c r="G571" s="138"/>
      <c r="H571" s="138"/>
      <c r="I571" s="139"/>
      <c r="J571" s="137"/>
      <c r="K571" s="137"/>
      <c r="M571" s="126"/>
      <c r="O571" s="137"/>
      <c r="P571" s="137"/>
      <c r="Q571" s="126"/>
    </row>
    <row r="572" spans="3:17" x14ac:dyDescent="0.3">
      <c r="C572" s="126"/>
      <c r="F572" s="137"/>
      <c r="G572" s="138"/>
      <c r="H572" s="138"/>
      <c r="I572" s="139"/>
      <c r="J572" s="137"/>
      <c r="K572" s="137"/>
      <c r="M572" s="126"/>
      <c r="O572" s="137"/>
      <c r="P572" s="137"/>
      <c r="Q572" s="126"/>
    </row>
    <row r="573" spans="3:17" x14ac:dyDescent="0.3">
      <c r="C573" s="126"/>
      <c r="F573" s="137"/>
      <c r="G573" s="138"/>
      <c r="H573" s="138"/>
      <c r="I573" s="139"/>
      <c r="J573" s="137"/>
      <c r="K573" s="137"/>
      <c r="M573" s="126"/>
      <c r="O573" s="137"/>
      <c r="P573" s="137"/>
      <c r="Q573" s="126"/>
    </row>
    <row r="574" spans="3:17" x14ac:dyDescent="0.3">
      <c r="C574" s="126"/>
      <c r="F574" s="137"/>
      <c r="G574" s="138"/>
      <c r="H574" s="138"/>
      <c r="I574" s="139"/>
      <c r="J574" s="137"/>
      <c r="K574" s="137"/>
      <c r="M574" s="126"/>
      <c r="O574" s="137"/>
      <c r="P574" s="137"/>
      <c r="Q574" s="126"/>
    </row>
    <row r="575" spans="3:17" x14ac:dyDescent="0.3">
      <c r="C575" s="126"/>
      <c r="F575" s="137"/>
      <c r="G575" s="138"/>
      <c r="H575" s="138"/>
      <c r="I575" s="139"/>
      <c r="J575" s="137"/>
      <c r="K575" s="137"/>
      <c r="M575" s="126"/>
      <c r="O575" s="137"/>
      <c r="P575" s="137"/>
      <c r="Q575" s="126"/>
    </row>
    <row r="576" spans="3:17" x14ac:dyDescent="0.3">
      <c r="C576" s="126"/>
      <c r="F576" s="137"/>
      <c r="G576" s="138"/>
      <c r="H576" s="138"/>
      <c r="I576" s="139"/>
      <c r="J576" s="137"/>
      <c r="K576" s="137"/>
      <c r="M576" s="126"/>
      <c r="O576" s="137"/>
      <c r="P576" s="137"/>
      <c r="Q576" s="126"/>
    </row>
    <row r="577" spans="3:17" x14ac:dyDescent="0.3">
      <c r="C577" s="126"/>
      <c r="F577" s="137"/>
      <c r="G577" s="138"/>
      <c r="H577" s="138"/>
      <c r="I577" s="139"/>
      <c r="J577" s="137"/>
      <c r="K577" s="137"/>
      <c r="M577" s="126"/>
      <c r="O577" s="137"/>
      <c r="P577" s="137"/>
      <c r="Q577" s="126"/>
    </row>
    <row r="578" spans="3:17" x14ac:dyDescent="0.3">
      <c r="C578" s="126"/>
      <c r="F578" s="137"/>
      <c r="G578" s="138"/>
      <c r="H578" s="138"/>
      <c r="I578" s="139"/>
      <c r="J578" s="137"/>
      <c r="K578" s="137"/>
      <c r="M578" s="126"/>
      <c r="O578" s="137"/>
      <c r="P578" s="137"/>
      <c r="Q578" s="126"/>
    </row>
    <row r="579" spans="3:17" x14ac:dyDescent="0.3">
      <c r="C579" s="126"/>
      <c r="F579" s="137"/>
      <c r="G579" s="138"/>
      <c r="H579" s="138"/>
      <c r="I579" s="139"/>
      <c r="J579" s="137"/>
      <c r="K579" s="137"/>
      <c r="M579" s="126"/>
      <c r="O579" s="137"/>
      <c r="P579" s="137"/>
      <c r="Q579" s="126"/>
    </row>
    <row r="580" spans="3:17" x14ac:dyDescent="0.3">
      <c r="C580" s="126"/>
      <c r="F580" s="137"/>
      <c r="G580" s="138"/>
      <c r="H580" s="138"/>
      <c r="I580" s="139"/>
      <c r="J580" s="137"/>
      <c r="K580" s="137"/>
      <c r="M580" s="126"/>
      <c r="O580" s="137"/>
      <c r="P580" s="137"/>
      <c r="Q580" s="126"/>
    </row>
    <row r="581" spans="3:17" x14ac:dyDescent="0.3">
      <c r="C581" s="126"/>
      <c r="F581" s="137"/>
      <c r="G581" s="138"/>
      <c r="H581" s="138"/>
      <c r="I581" s="139"/>
      <c r="J581" s="137"/>
      <c r="K581" s="137"/>
      <c r="M581" s="126"/>
      <c r="O581" s="137"/>
      <c r="P581" s="137"/>
      <c r="Q581" s="126"/>
    </row>
    <row r="582" spans="3:17" x14ac:dyDescent="0.3">
      <c r="C582" s="126"/>
      <c r="F582" s="137"/>
      <c r="G582" s="138"/>
      <c r="H582" s="138"/>
      <c r="I582" s="139"/>
      <c r="J582" s="137"/>
      <c r="K582" s="137"/>
      <c r="M582" s="126"/>
      <c r="O582" s="137"/>
      <c r="P582" s="137"/>
      <c r="Q582" s="126"/>
    </row>
    <row r="583" spans="3:17" x14ac:dyDescent="0.3">
      <c r="C583" s="126"/>
      <c r="F583" s="137"/>
      <c r="G583" s="138"/>
      <c r="H583" s="138"/>
      <c r="I583" s="139"/>
      <c r="J583" s="137"/>
      <c r="K583" s="137"/>
      <c r="M583" s="126"/>
      <c r="O583" s="137"/>
      <c r="P583" s="137"/>
      <c r="Q583" s="126"/>
    </row>
    <row r="584" spans="3:17" x14ac:dyDescent="0.3">
      <c r="C584" s="126"/>
      <c r="F584" s="137"/>
      <c r="G584" s="138"/>
      <c r="H584" s="138"/>
      <c r="I584" s="139"/>
      <c r="J584" s="137"/>
      <c r="K584" s="137"/>
      <c r="M584" s="126"/>
      <c r="O584" s="137"/>
      <c r="P584" s="137"/>
      <c r="Q584" s="126"/>
    </row>
    <row r="585" spans="3:17" x14ac:dyDescent="0.3">
      <c r="C585" s="126"/>
      <c r="F585" s="137"/>
      <c r="G585" s="138"/>
      <c r="H585" s="138"/>
      <c r="I585" s="139"/>
      <c r="J585" s="137"/>
      <c r="K585" s="137"/>
      <c r="M585" s="126"/>
      <c r="O585" s="137"/>
      <c r="P585" s="137"/>
      <c r="Q585" s="126"/>
    </row>
    <row r="586" spans="3:17" x14ac:dyDescent="0.3">
      <c r="C586" s="126"/>
      <c r="F586" s="137"/>
      <c r="G586" s="138"/>
      <c r="H586" s="138"/>
      <c r="I586" s="139"/>
      <c r="J586" s="137"/>
      <c r="K586" s="137"/>
      <c r="M586" s="126"/>
      <c r="O586" s="137"/>
      <c r="P586" s="137"/>
      <c r="Q586" s="126"/>
    </row>
    <row r="587" spans="3:17" x14ac:dyDescent="0.3">
      <c r="C587" s="126"/>
      <c r="F587" s="137"/>
      <c r="G587" s="138"/>
      <c r="H587" s="138"/>
      <c r="I587" s="139"/>
      <c r="J587" s="137"/>
      <c r="K587" s="137"/>
      <c r="M587" s="126"/>
      <c r="O587" s="137"/>
      <c r="P587" s="137"/>
      <c r="Q587" s="126"/>
    </row>
    <row r="588" spans="3:17" x14ac:dyDescent="0.3">
      <c r="C588" s="126"/>
      <c r="F588" s="137"/>
      <c r="G588" s="138"/>
      <c r="H588" s="138"/>
      <c r="I588" s="139"/>
      <c r="J588" s="137"/>
      <c r="K588" s="137"/>
      <c r="M588" s="126"/>
      <c r="O588" s="137"/>
      <c r="P588" s="137"/>
      <c r="Q588" s="126"/>
    </row>
    <row r="589" spans="3:17" x14ac:dyDescent="0.3">
      <c r="C589" s="126"/>
      <c r="F589" s="137"/>
      <c r="G589" s="138"/>
      <c r="H589" s="138"/>
      <c r="I589" s="139"/>
      <c r="J589" s="137"/>
      <c r="K589" s="137"/>
      <c r="M589" s="126"/>
      <c r="O589" s="137"/>
      <c r="P589" s="137"/>
      <c r="Q589" s="126"/>
    </row>
    <row r="590" spans="3:17" x14ac:dyDescent="0.3">
      <c r="C590" s="126"/>
      <c r="F590" s="137"/>
      <c r="G590" s="138"/>
      <c r="H590" s="138"/>
      <c r="I590" s="139"/>
      <c r="J590" s="137"/>
      <c r="K590" s="137"/>
      <c r="M590" s="126"/>
      <c r="O590" s="137"/>
      <c r="P590" s="137"/>
      <c r="Q590" s="126"/>
    </row>
    <row r="591" spans="3:17" x14ac:dyDescent="0.3">
      <c r="C591" s="126"/>
      <c r="F591" s="137"/>
      <c r="G591" s="138"/>
      <c r="H591" s="138"/>
      <c r="I591" s="139"/>
      <c r="J591" s="137"/>
      <c r="K591" s="137"/>
      <c r="M591" s="126"/>
      <c r="O591" s="137"/>
      <c r="P591" s="137"/>
      <c r="Q591" s="126"/>
    </row>
    <row r="592" spans="3:17" x14ac:dyDescent="0.3">
      <c r="C592" s="126"/>
      <c r="F592" s="137"/>
      <c r="G592" s="138"/>
      <c r="H592" s="138"/>
      <c r="I592" s="139"/>
      <c r="J592" s="137"/>
      <c r="K592" s="137"/>
      <c r="M592" s="126"/>
      <c r="O592" s="137"/>
      <c r="P592" s="137"/>
      <c r="Q592" s="126"/>
    </row>
    <row r="593" spans="3:17" x14ac:dyDescent="0.3">
      <c r="C593" s="126"/>
      <c r="F593" s="137"/>
      <c r="G593" s="138"/>
      <c r="H593" s="138"/>
      <c r="I593" s="139"/>
      <c r="J593" s="137"/>
      <c r="K593" s="137"/>
      <c r="M593" s="126"/>
      <c r="O593" s="137"/>
      <c r="P593" s="137"/>
      <c r="Q593" s="126"/>
    </row>
    <row r="594" spans="3:17" x14ac:dyDescent="0.3">
      <c r="C594" s="126"/>
      <c r="F594" s="137"/>
      <c r="G594" s="138"/>
      <c r="H594" s="138"/>
      <c r="I594" s="139"/>
      <c r="J594" s="137"/>
      <c r="K594" s="137"/>
      <c r="M594" s="126"/>
      <c r="O594" s="137"/>
      <c r="P594" s="137"/>
      <c r="Q594" s="126"/>
    </row>
    <row r="595" spans="3:17" x14ac:dyDescent="0.3">
      <c r="C595" s="126"/>
      <c r="F595" s="137"/>
      <c r="G595" s="138"/>
      <c r="H595" s="138"/>
      <c r="I595" s="139"/>
      <c r="J595" s="137"/>
      <c r="K595" s="137"/>
      <c r="M595" s="126"/>
      <c r="O595" s="137"/>
      <c r="P595" s="137"/>
      <c r="Q595" s="126"/>
    </row>
    <row r="596" spans="3:17" x14ac:dyDescent="0.3">
      <c r="C596" s="126"/>
      <c r="F596" s="137"/>
      <c r="G596" s="138"/>
      <c r="H596" s="138"/>
      <c r="I596" s="139"/>
      <c r="J596" s="137"/>
      <c r="K596" s="137"/>
      <c r="M596" s="126"/>
      <c r="O596" s="137"/>
      <c r="P596" s="137"/>
      <c r="Q596" s="126"/>
    </row>
    <row r="597" spans="3:17" x14ac:dyDescent="0.3">
      <c r="C597" s="126"/>
      <c r="F597" s="137"/>
      <c r="G597" s="138"/>
      <c r="H597" s="138"/>
      <c r="I597" s="139"/>
      <c r="J597" s="137"/>
      <c r="K597" s="137"/>
      <c r="M597" s="126"/>
      <c r="O597" s="137"/>
      <c r="P597" s="137"/>
      <c r="Q597" s="126"/>
    </row>
    <row r="598" spans="3:17" x14ac:dyDescent="0.3">
      <c r="C598" s="126"/>
      <c r="F598" s="137"/>
      <c r="G598" s="138"/>
      <c r="H598" s="138"/>
      <c r="I598" s="139"/>
      <c r="J598" s="137"/>
      <c r="K598" s="137"/>
      <c r="M598" s="126"/>
      <c r="O598" s="137"/>
      <c r="P598" s="137"/>
      <c r="Q598" s="126"/>
    </row>
    <row r="599" spans="3:17" x14ac:dyDescent="0.3">
      <c r="C599" s="126"/>
      <c r="F599" s="137"/>
      <c r="G599" s="138"/>
      <c r="H599" s="138"/>
      <c r="I599" s="139"/>
      <c r="J599" s="137"/>
      <c r="K599" s="137"/>
      <c r="M599" s="126"/>
      <c r="O599" s="137"/>
      <c r="P599" s="137"/>
      <c r="Q599" s="126"/>
    </row>
    <row r="600" spans="3:17" x14ac:dyDescent="0.3">
      <c r="C600" s="126"/>
      <c r="F600" s="137"/>
      <c r="G600" s="138"/>
      <c r="H600" s="138"/>
      <c r="I600" s="139"/>
      <c r="J600" s="137"/>
      <c r="K600" s="137"/>
      <c r="M600" s="126"/>
      <c r="O600" s="137"/>
      <c r="P600" s="137"/>
      <c r="Q600" s="126"/>
    </row>
    <row r="601" spans="3:17" x14ac:dyDescent="0.3">
      <c r="C601" s="126"/>
      <c r="F601" s="137"/>
      <c r="G601" s="138"/>
      <c r="H601" s="138"/>
      <c r="I601" s="139"/>
      <c r="J601" s="137"/>
      <c r="K601" s="137"/>
      <c r="M601" s="126"/>
      <c r="O601" s="137"/>
      <c r="P601" s="137"/>
      <c r="Q601" s="126"/>
    </row>
    <row r="602" spans="3:17" x14ac:dyDescent="0.3">
      <c r="C602" s="126"/>
      <c r="F602" s="137"/>
      <c r="G602" s="138"/>
      <c r="H602" s="138"/>
      <c r="I602" s="139"/>
      <c r="J602" s="137"/>
      <c r="K602" s="137"/>
      <c r="M602" s="126"/>
      <c r="O602" s="137"/>
      <c r="P602" s="137"/>
      <c r="Q602" s="126"/>
    </row>
    <row r="603" spans="3:17" x14ac:dyDescent="0.3">
      <c r="C603" s="126"/>
      <c r="F603" s="137"/>
      <c r="G603" s="138"/>
      <c r="H603" s="138"/>
      <c r="I603" s="139"/>
      <c r="J603" s="137"/>
      <c r="K603" s="137"/>
      <c r="M603" s="126"/>
      <c r="O603" s="137"/>
      <c r="P603" s="137"/>
      <c r="Q603" s="126"/>
    </row>
    <row r="604" spans="3:17" x14ac:dyDescent="0.3">
      <c r="C604" s="126"/>
      <c r="F604" s="137"/>
      <c r="G604" s="138"/>
      <c r="H604" s="138"/>
      <c r="I604" s="139"/>
      <c r="J604" s="137"/>
      <c r="K604" s="137"/>
      <c r="M604" s="126"/>
      <c r="O604" s="137"/>
      <c r="P604" s="137"/>
      <c r="Q604" s="126"/>
    </row>
    <row r="605" spans="3:17" x14ac:dyDescent="0.3">
      <c r="C605" s="126"/>
      <c r="F605" s="137"/>
      <c r="G605" s="138"/>
      <c r="H605" s="138"/>
      <c r="I605" s="139"/>
      <c r="J605" s="137"/>
      <c r="K605" s="137"/>
      <c r="M605" s="126"/>
      <c r="O605" s="137"/>
      <c r="P605" s="137"/>
      <c r="Q605" s="126"/>
    </row>
    <row r="606" spans="3:17" x14ac:dyDescent="0.3">
      <c r="C606" s="126"/>
      <c r="F606" s="137"/>
      <c r="G606" s="138"/>
      <c r="H606" s="138"/>
      <c r="I606" s="139"/>
      <c r="J606" s="137"/>
      <c r="K606" s="137"/>
      <c r="M606" s="126"/>
      <c r="O606" s="137"/>
      <c r="P606" s="137"/>
      <c r="Q606" s="126"/>
    </row>
    <row r="607" spans="3:17" x14ac:dyDescent="0.3">
      <c r="C607" s="126"/>
      <c r="F607" s="137"/>
      <c r="G607" s="138"/>
      <c r="H607" s="138"/>
      <c r="I607" s="139"/>
      <c r="J607" s="137"/>
      <c r="K607" s="137"/>
      <c r="M607" s="126"/>
      <c r="O607" s="137"/>
      <c r="P607" s="137"/>
      <c r="Q607" s="126"/>
    </row>
    <row r="608" spans="3:17" x14ac:dyDescent="0.3">
      <c r="C608" s="126"/>
      <c r="F608" s="137"/>
      <c r="G608" s="138"/>
      <c r="H608" s="138"/>
      <c r="I608" s="139"/>
      <c r="J608" s="137"/>
      <c r="K608" s="137"/>
      <c r="M608" s="126"/>
      <c r="O608" s="137"/>
      <c r="P608" s="137"/>
      <c r="Q608" s="126"/>
    </row>
    <row r="609" spans="3:17" x14ac:dyDescent="0.3">
      <c r="C609" s="126"/>
      <c r="F609" s="137"/>
      <c r="G609" s="138"/>
      <c r="H609" s="138"/>
      <c r="I609" s="139"/>
      <c r="J609" s="137"/>
      <c r="K609" s="137"/>
      <c r="M609" s="126"/>
      <c r="O609" s="137"/>
      <c r="P609" s="137"/>
      <c r="Q609" s="126"/>
    </row>
    <row r="610" spans="3:17" x14ac:dyDescent="0.3">
      <c r="C610" s="126"/>
      <c r="F610" s="137"/>
      <c r="G610" s="138"/>
      <c r="H610" s="138"/>
      <c r="I610" s="139"/>
      <c r="J610" s="137"/>
      <c r="K610" s="137"/>
      <c r="M610" s="126"/>
      <c r="O610" s="137"/>
      <c r="P610" s="137"/>
      <c r="Q610" s="126"/>
    </row>
    <row r="611" spans="3:17" x14ac:dyDescent="0.3">
      <c r="C611" s="126"/>
      <c r="F611" s="137"/>
      <c r="G611" s="138"/>
      <c r="H611" s="138"/>
      <c r="I611" s="139"/>
      <c r="J611" s="137"/>
      <c r="K611" s="137"/>
      <c r="M611" s="126"/>
      <c r="O611" s="137"/>
      <c r="P611" s="137"/>
      <c r="Q611" s="126"/>
    </row>
    <row r="612" spans="3:17" x14ac:dyDescent="0.3">
      <c r="C612" s="126"/>
      <c r="F612" s="137"/>
      <c r="G612" s="138"/>
      <c r="H612" s="138"/>
      <c r="I612" s="139"/>
      <c r="J612" s="137"/>
      <c r="K612" s="137"/>
      <c r="M612" s="126"/>
      <c r="O612" s="137"/>
      <c r="P612" s="137"/>
      <c r="Q612" s="126"/>
    </row>
    <row r="613" spans="3:17" x14ac:dyDescent="0.3">
      <c r="C613" s="126"/>
      <c r="F613" s="137"/>
      <c r="G613" s="138"/>
      <c r="H613" s="138"/>
      <c r="I613" s="139"/>
      <c r="J613" s="137"/>
      <c r="K613" s="137"/>
      <c r="M613" s="126"/>
      <c r="O613" s="137"/>
      <c r="P613" s="137"/>
      <c r="Q613" s="126"/>
    </row>
    <row r="614" spans="3:17" x14ac:dyDescent="0.3">
      <c r="C614" s="126"/>
      <c r="F614" s="137"/>
      <c r="G614" s="138"/>
      <c r="H614" s="138"/>
      <c r="I614" s="139"/>
      <c r="J614" s="137"/>
      <c r="K614" s="137"/>
      <c r="M614" s="126"/>
      <c r="O614" s="137"/>
      <c r="P614" s="137"/>
      <c r="Q614" s="126"/>
    </row>
    <row r="615" spans="3:17" x14ac:dyDescent="0.3">
      <c r="C615" s="126"/>
      <c r="F615" s="137"/>
      <c r="G615" s="138"/>
      <c r="H615" s="138"/>
      <c r="I615" s="139"/>
      <c r="J615" s="137"/>
      <c r="K615" s="137"/>
      <c r="M615" s="126"/>
      <c r="O615" s="137"/>
      <c r="P615" s="137"/>
      <c r="Q615" s="126"/>
    </row>
    <row r="616" spans="3:17" x14ac:dyDescent="0.3">
      <c r="C616" s="126"/>
      <c r="F616" s="137"/>
      <c r="G616" s="138"/>
      <c r="H616" s="138"/>
      <c r="I616" s="139"/>
      <c r="J616" s="137"/>
      <c r="K616" s="137"/>
      <c r="M616" s="126"/>
      <c r="O616" s="137"/>
      <c r="P616" s="137"/>
      <c r="Q616" s="126"/>
    </row>
    <row r="617" spans="3:17" x14ac:dyDescent="0.3">
      <c r="C617" s="126"/>
      <c r="F617" s="137"/>
      <c r="G617" s="138"/>
      <c r="H617" s="138"/>
      <c r="I617" s="139"/>
      <c r="J617" s="137"/>
      <c r="K617" s="137"/>
      <c r="M617" s="126"/>
      <c r="O617" s="137"/>
      <c r="P617" s="137"/>
      <c r="Q617" s="126"/>
    </row>
    <row r="618" spans="3:17" x14ac:dyDescent="0.3">
      <c r="C618" s="126"/>
      <c r="F618" s="137"/>
      <c r="G618" s="138"/>
      <c r="H618" s="138"/>
      <c r="I618" s="139"/>
      <c r="J618" s="137"/>
      <c r="K618" s="137"/>
      <c r="M618" s="126"/>
      <c r="O618" s="137"/>
      <c r="P618" s="137"/>
      <c r="Q618" s="126"/>
    </row>
    <row r="619" spans="3:17" x14ac:dyDescent="0.3">
      <c r="C619" s="126"/>
      <c r="F619" s="137"/>
      <c r="G619" s="138"/>
      <c r="H619" s="138"/>
      <c r="I619" s="139"/>
      <c r="J619" s="137"/>
      <c r="K619" s="137"/>
      <c r="M619" s="126"/>
      <c r="O619" s="137"/>
      <c r="P619" s="137"/>
      <c r="Q619" s="126"/>
    </row>
    <row r="620" spans="3:17" x14ac:dyDescent="0.3">
      <c r="C620" s="126"/>
      <c r="F620" s="137"/>
      <c r="G620" s="138"/>
      <c r="H620" s="138"/>
      <c r="I620" s="139"/>
      <c r="J620" s="137"/>
      <c r="K620" s="137"/>
      <c r="M620" s="126"/>
      <c r="O620" s="137"/>
      <c r="P620" s="137"/>
      <c r="Q620" s="126"/>
    </row>
    <row r="621" spans="3:17" x14ac:dyDescent="0.3">
      <c r="C621" s="126"/>
      <c r="F621" s="137"/>
      <c r="G621" s="138"/>
      <c r="H621" s="138"/>
      <c r="I621" s="139"/>
      <c r="J621" s="137"/>
      <c r="K621" s="137"/>
      <c r="M621" s="126"/>
      <c r="O621" s="137"/>
      <c r="P621" s="137"/>
      <c r="Q621" s="126"/>
    </row>
    <row r="622" spans="3:17" x14ac:dyDescent="0.3">
      <c r="C622" s="126"/>
      <c r="F622" s="137"/>
      <c r="G622" s="138"/>
      <c r="H622" s="138"/>
      <c r="I622" s="139"/>
      <c r="J622" s="137"/>
      <c r="K622" s="137"/>
      <c r="M622" s="126"/>
      <c r="O622" s="137"/>
      <c r="P622" s="137"/>
      <c r="Q622" s="126"/>
    </row>
    <row r="623" spans="3:17" x14ac:dyDescent="0.3">
      <c r="C623" s="126"/>
      <c r="F623" s="137"/>
      <c r="G623" s="138"/>
      <c r="H623" s="138"/>
      <c r="I623" s="139"/>
      <c r="J623" s="137"/>
      <c r="K623" s="137"/>
      <c r="M623" s="126"/>
      <c r="O623" s="137"/>
      <c r="P623" s="137"/>
      <c r="Q623" s="126"/>
    </row>
    <row r="624" spans="3:17" x14ac:dyDescent="0.3">
      <c r="C624" s="126"/>
      <c r="F624" s="137"/>
      <c r="G624" s="138"/>
      <c r="H624" s="138"/>
      <c r="I624" s="139"/>
      <c r="J624" s="137"/>
      <c r="K624" s="137"/>
      <c r="M624" s="126"/>
      <c r="O624" s="137"/>
      <c r="P624" s="137"/>
      <c r="Q624" s="126"/>
    </row>
    <row r="625" spans="3:17" x14ac:dyDescent="0.3">
      <c r="C625" s="126"/>
      <c r="F625" s="137"/>
      <c r="G625" s="138"/>
      <c r="H625" s="138"/>
      <c r="I625" s="139"/>
      <c r="J625" s="137"/>
      <c r="K625" s="137"/>
      <c r="M625" s="126"/>
      <c r="O625" s="137"/>
      <c r="P625" s="137"/>
      <c r="Q625" s="126"/>
    </row>
    <row r="626" spans="3:17" x14ac:dyDescent="0.3">
      <c r="C626" s="126"/>
      <c r="F626" s="137"/>
      <c r="G626" s="138"/>
      <c r="H626" s="138"/>
      <c r="I626" s="139"/>
      <c r="J626" s="137"/>
      <c r="K626" s="137"/>
      <c r="M626" s="126"/>
      <c r="O626" s="137"/>
      <c r="P626" s="137"/>
      <c r="Q626" s="126"/>
    </row>
    <row r="627" spans="3:17" x14ac:dyDescent="0.3">
      <c r="C627" s="126"/>
      <c r="F627" s="137"/>
      <c r="G627" s="138"/>
      <c r="H627" s="138"/>
      <c r="I627" s="139"/>
      <c r="J627" s="137"/>
      <c r="K627" s="137"/>
      <c r="M627" s="126"/>
      <c r="O627" s="137"/>
      <c r="P627" s="137"/>
      <c r="Q627" s="126"/>
    </row>
    <row r="628" spans="3:17" x14ac:dyDescent="0.3">
      <c r="C628" s="126"/>
      <c r="F628" s="137"/>
      <c r="G628" s="138"/>
      <c r="H628" s="138"/>
      <c r="I628" s="139"/>
      <c r="J628" s="137"/>
      <c r="K628" s="137"/>
      <c r="M628" s="126"/>
      <c r="O628" s="137"/>
      <c r="P628" s="137"/>
      <c r="Q628" s="126"/>
    </row>
    <row r="629" spans="3:17" x14ac:dyDescent="0.3">
      <c r="C629" s="126"/>
      <c r="F629" s="137"/>
      <c r="G629" s="138"/>
      <c r="H629" s="138"/>
      <c r="I629" s="139"/>
      <c r="J629" s="137"/>
      <c r="K629" s="137"/>
      <c r="M629" s="126"/>
      <c r="O629" s="137"/>
      <c r="P629" s="137"/>
      <c r="Q629" s="126"/>
    </row>
    <row r="630" spans="3:17" x14ac:dyDescent="0.3">
      <c r="C630" s="126"/>
      <c r="F630" s="137"/>
      <c r="G630" s="138"/>
      <c r="H630" s="138"/>
      <c r="I630" s="139"/>
      <c r="J630" s="137"/>
      <c r="K630" s="137"/>
      <c r="M630" s="126"/>
      <c r="O630" s="137"/>
      <c r="P630" s="137"/>
      <c r="Q630" s="126"/>
    </row>
    <row r="631" spans="3:17" x14ac:dyDescent="0.3">
      <c r="C631" s="126"/>
      <c r="F631" s="137"/>
      <c r="G631" s="138"/>
      <c r="H631" s="138"/>
      <c r="I631" s="139"/>
      <c r="J631" s="137"/>
      <c r="K631" s="137"/>
      <c r="M631" s="126"/>
      <c r="O631" s="137"/>
      <c r="P631" s="137"/>
      <c r="Q631" s="126"/>
    </row>
    <row r="632" spans="3:17" x14ac:dyDescent="0.3">
      <c r="C632" s="126"/>
      <c r="F632" s="137"/>
      <c r="G632" s="138"/>
      <c r="H632" s="138"/>
      <c r="I632" s="139"/>
      <c r="J632" s="137"/>
      <c r="K632" s="137"/>
      <c r="M632" s="126"/>
      <c r="O632" s="137"/>
      <c r="P632" s="137"/>
      <c r="Q632" s="126"/>
    </row>
    <row r="633" spans="3:17" x14ac:dyDescent="0.3">
      <c r="C633" s="126"/>
      <c r="F633" s="137"/>
      <c r="G633" s="138"/>
      <c r="H633" s="138"/>
      <c r="I633" s="139"/>
      <c r="J633" s="137"/>
      <c r="K633" s="137"/>
      <c r="M633" s="126"/>
      <c r="O633" s="137"/>
      <c r="P633" s="137"/>
      <c r="Q633" s="126"/>
    </row>
    <row r="634" spans="3:17" x14ac:dyDescent="0.3">
      <c r="C634" s="126"/>
      <c r="F634" s="137"/>
      <c r="G634" s="138"/>
      <c r="H634" s="138"/>
      <c r="I634" s="139"/>
      <c r="J634" s="137"/>
      <c r="K634" s="137"/>
      <c r="M634" s="126"/>
      <c r="O634" s="137"/>
      <c r="P634" s="137"/>
      <c r="Q634" s="126"/>
    </row>
    <row r="635" spans="3:17" x14ac:dyDescent="0.3">
      <c r="C635" s="126"/>
      <c r="F635" s="137"/>
      <c r="G635" s="138"/>
      <c r="H635" s="138"/>
      <c r="I635" s="139"/>
      <c r="J635" s="137"/>
      <c r="K635" s="137"/>
      <c r="M635" s="126"/>
      <c r="O635" s="137"/>
      <c r="P635" s="137"/>
      <c r="Q635" s="126"/>
    </row>
    <row r="636" spans="3:17" x14ac:dyDescent="0.3">
      <c r="C636" s="126"/>
      <c r="F636" s="137"/>
      <c r="G636" s="138"/>
      <c r="H636" s="138"/>
      <c r="I636" s="139"/>
      <c r="J636" s="137"/>
      <c r="K636" s="137"/>
      <c r="M636" s="126"/>
      <c r="O636" s="137"/>
      <c r="P636" s="137"/>
      <c r="Q636" s="126"/>
    </row>
    <row r="637" spans="3:17" x14ac:dyDescent="0.3">
      <c r="C637" s="126"/>
      <c r="F637" s="137"/>
      <c r="G637" s="138"/>
      <c r="H637" s="138"/>
      <c r="I637" s="139"/>
      <c r="J637" s="137"/>
      <c r="K637" s="137"/>
      <c r="M637" s="126"/>
      <c r="O637" s="137"/>
      <c r="P637" s="137"/>
      <c r="Q637" s="126"/>
    </row>
    <row r="638" spans="3:17" x14ac:dyDescent="0.3">
      <c r="C638" s="126"/>
      <c r="F638" s="137"/>
      <c r="G638" s="138"/>
      <c r="H638" s="138"/>
      <c r="I638" s="139"/>
      <c r="J638" s="137"/>
      <c r="K638" s="137"/>
      <c r="M638" s="126"/>
      <c r="O638" s="137"/>
      <c r="P638" s="137"/>
      <c r="Q638" s="126"/>
    </row>
    <row r="639" spans="3:17" x14ac:dyDescent="0.3">
      <c r="C639" s="126"/>
      <c r="F639" s="137"/>
      <c r="G639" s="138"/>
      <c r="H639" s="138"/>
      <c r="I639" s="139"/>
      <c r="J639" s="137"/>
      <c r="K639" s="137"/>
      <c r="M639" s="126"/>
      <c r="O639" s="137"/>
      <c r="P639" s="137"/>
      <c r="Q639" s="126"/>
    </row>
    <row r="640" spans="3:17" x14ac:dyDescent="0.3">
      <c r="C640" s="126"/>
      <c r="F640" s="137"/>
      <c r="G640" s="138"/>
      <c r="H640" s="138"/>
      <c r="I640" s="139"/>
      <c r="J640" s="137"/>
      <c r="K640" s="137"/>
      <c r="M640" s="126"/>
      <c r="O640" s="137"/>
      <c r="P640" s="137"/>
      <c r="Q640" s="126"/>
    </row>
    <row r="641" spans="3:17" x14ac:dyDescent="0.3">
      <c r="C641" s="126"/>
      <c r="F641" s="137"/>
      <c r="G641" s="138"/>
      <c r="H641" s="138"/>
      <c r="I641" s="139"/>
      <c r="J641" s="137"/>
      <c r="K641" s="137"/>
      <c r="M641" s="126"/>
      <c r="O641" s="137"/>
      <c r="P641" s="137"/>
      <c r="Q641" s="126"/>
    </row>
    <row r="642" spans="3:17" x14ac:dyDescent="0.3">
      <c r="C642" s="126"/>
      <c r="F642" s="137"/>
      <c r="G642" s="138"/>
      <c r="H642" s="138"/>
      <c r="I642" s="139"/>
      <c r="J642" s="137"/>
      <c r="K642" s="137"/>
      <c r="M642" s="126"/>
      <c r="O642" s="137"/>
      <c r="P642" s="137"/>
      <c r="Q642" s="126"/>
    </row>
    <row r="643" spans="3:17" x14ac:dyDescent="0.3">
      <c r="C643" s="126"/>
      <c r="F643" s="137"/>
      <c r="G643" s="138"/>
      <c r="H643" s="138"/>
      <c r="I643" s="139"/>
      <c r="J643" s="137"/>
      <c r="K643" s="137"/>
      <c r="M643" s="126"/>
      <c r="O643" s="137"/>
      <c r="P643" s="137"/>
      <c r="Q643" s="126"/>
    </row>
    <row r="644" spans="3:17" x14ac:dyDescent="0.3">
      <c r="C644" s="126"/>
      <c r="F644" s="137"/>
      <c r="G644" s="138"/>
      <c r="H644" s="138"/>
      <c r="I644" s="139"/>
      <c r="J644" s="137"/>
      <c r="K644" s="137"/>
      <c r="M644" s="126"/>
      <c r="O644" s="137"/>
      <c r="P644" s="137"/>
      <c r="Q644" s="126"/>
    </row>
    <row r="645" spans="3:17" x14ac:dyDescent="0.3">
      <c r="C645" s="126"/>
      <c r="F645" s="137"/>
      <c r="G645" s="138"/>
      <c r="H645" s="138"/>
      <c r="I645" s="139"/>
      <c r="J645" s="137"/>
      <c r="K645" s="137"/>
      <c r="M645" s="126"/>
      <c r="O645" s="137"/>
      <c r="P645" s="137"/>
      <c r="Q645" s="126"/>
    </row>
    <row r="646" spans="3:17" x14ac:dyDescent="0.3">
      <c r="C646" s="126"/>
      <c r="F646" s="137"/>
      <c r="G646" s="138"/>
      <c r="H646" s="138"/>
      <c r="I646" s="139"/>
      <c r="J646" s="137"/>
      <c r="K646" s="137"/>
      <c r="M646" s="126"/>
      <c r="O646" s="137"/>
      <c r="P646" s="137"/>
      <c r="Q646" s="126"/>
    </row>
    <row r="647" spans="3:17" x14ac:dyDescent="0.3">
      <c r="C647" s="126"/>
      <c r="F647" s="137"/>
      <c r="G647" s="138"/>
      <c r="H647" s="138"/>
      <c r="I647" s="139"/>
      <c r="J647" s="137"/>
      <c r="K647" s="137"/>
      <c r="M647" s="126"/>
      <c r="O647" s="137"/>
      <c r="P647" s="137"/>
      <c r="Q647" s="126"/>
    </row>
    <row r="648" spans="3:17" x14ac:dyDescent="0.3">
      <c r="C648" s="126"/>
      <c r="F648" s="137"/>
      <c r="G648" s="138"/>
      <c r="H648" s="138"/>
      <c r="I648" s="139"/>
      <c r="J648" s="137"/>
      <c r="K648" s="137"/>
      <c r="M648" s="126"/>
      <c r="O648" s="137"/>
      <c r="P648" s="137"/>
      <c r="Q648" s="126"/>
    </row>
    <row r="649" spans="3:17" x14ac:dyDescent="0.3">
      <c r="C649" s="126"/>
      <c r="F649" s="137"/>
      <c r="G649" s="138"/>
      <c r="H649" s="138"/>
      <c r="I649" s="139"/>
      <c r="J649" s="137"/>
      <c r="K649" s="137"/>
      <c r="M649" s="126"/>
      <c r="O649" s="137"/>
      <c r="P649" s="137"/>
      <c r="Q649" s="126"/>
    </row>
    <row r="650" spans="3:17" x14ac:dyDescent="0.3">
      <c r="C650" s="126"/>
      <c r="F650" s="137"/>
      <c r="G650" s="138"/>
      <c r="H650" s="138"/>
      <c r="I650" s="139"/>
      <c r="J650" s="137"/>
      <c r="K650" s="137"/>
      <c r="M650" s="126"/>
      <c r="O650" s="137"/>
      <c r="P650" s="137"/>
      <c r="Q650" s="126"/>
    </row>
    <row r="651" spans="3:17" x14ac:dyDescent="0.3">
      <c r="C651" s="126"/>
      <c r="F651" s="137"/>
      <c r="G651" s="138"/>
      <c r="H651" s="138"/>
      <c r="I651" s="139"/>
      <c r="J651" s="137"/>
      <c r="K651" s="137"/>
      <c r="M651" s="126"/>
      <c r="O651" s="137"/>
      <c r="P651" s="137"/>
      <c r="Q651" s="126"/>
    </row>
    <row r="652" spans="3:17" x14ac:dyDescent="0.3">
      <c r="C652" s="126"/>
      <c r="F652" s="137"/>
      <c r="G652" s="138"/>
      <c r="H652" s="138"/>
      <c r="I652" s="139"/>
      <c r="J652" s="137"/>
      <c r="K652" s="137"/>
      <c r="M652" s="126"/>
      <c r="O652" s="137"/>
      <c r="P652" s="137"/>
      <c r="Q652" s="126"/>
    </row>
    <row r="653" spans="3:17" x14ac:dyDescent="0.3">
      <c r="C653" s="126"/>
      <c r="F653" s="137"/>
      <c r="G653" s="138"/>
      <c r="H653" s="138"/>
      <c r="I653" s="139"/>
      <c r="J653" s="137"/>
      <c r="K653" s="137"/>
      <c r="M653" s="126"/>
      <c r="O653" s="137"/>
      <c r="P653" s="137"/>
      <c r="Q653" s="126"/>
    </row>
    <row r="654" spans="3:17" x14ac:dyDescent="0.3">
      <c r="C654" s="126"/>
      <c r="F654" s="137"/>
      <c r="G654" s="138"/>
      <c r="H654" s="138"/>
      <c r="I654" s="139"/>
      <c r="J654" s="137"/>
      <c r="K654" s="137"/>
      <c r="M654" s="126"/>
      <c r="O654" s="137"/>
      <c r="P654" s="137"/>
      <c r="Q654" s="126"/>
    </row>
    <row r="655" spans="3:17" x14ac:dyDescent="0.3">
      <c r="C655" s="126"/>
      <c r="F655" s="137"/>
      <c r="G655" s="138"/>
      <c r="H655" s="138"/>
      <c r="I655" s="139"/>
      <c r="J655" s="137"/>
      <c r="K655" s="137"/>
      <c r="M655" s="126"/>
      <c r="O655" s="137"/>
      <c r="P655" s="137"/>
      <c r="Q655" s="126"/>
    </row>
    <row r="656" spans="3:17" x14ac:dyDescent="0.3">
      <c r="C656" s="126"/>
      <c r="F656" s="137"/>
      <c r="G656" s="138"/>
      <c r="H656" s="138"/>
      <c r="I656" s="139"/>
      <c r="J656" s="137"/>
      <c r="K656" s="137"/>
      <c r="M656" s="126"/>
      <c r="O656" s="137"/>
      <c r="P656" s="137"/>
      <c r="Q656" s="126"/>
    </row>
    <row r="657" spans="3:17" x14ac:dyDescent="0.3">
      <c r="C657" s="126"/>
      <c r="F657" s="137"/>
      <c r="G657" s="138"/>
      <c r="H657" s="138"/>
      <c r="I657" s="139"/>
      <c r="J657" s="137"/>
      <c r="K657" s="137"/>
      <c r="M657" s="126"/>
      <c r="O657" s="137"/>
      <c r="P657" s="137"/>
      <c r="Q657" s="126"/>
    </row>
    <row r="658" spans="3:17" x14ac:dyDescent="0.3">
      <c r="C658" s="126"/>
      <c r="F658" s="137"/>
      <c r="G658" s="138"/>
      <c r="H658" s="138"/>
      <c r="I658" s="139"/>
      <c r="J658" s="137"/>
      <c r="K658" s="137"/>
      <c r="M658" s="126"/>
      <c r="O658" s="137"/>
      <c r="P658" s="137"/>
      <c r="Q658" s="126"/>
    </row>
    <row r="659" spans="3:17" x14ac:dyDescent="0.3">
      <c r="C659" s="126"/>
      <c r="F659" s="137"/>
      <c r="G659" s="138"/>
      <c r="H659" s="138"/>
      <c r="I659" s="139"/>
      <c r="J659" s="137"/>
      <c r="K659" s="137"/>
      <c r="M659" s="126"/>
      <c r="O659" s="137"/>
      <c r="P659" s="137"/>
      <c r="Q659" s="126"/>
    </row>
    <row r="660" spans="3:17" x14ac:dyDescent="0.3">
      <c r="C660" s="126"/>
      <c r="F660" s="137"/>
      <c r="G660" s="138"/>
      <c r="H660" s="138"/>
      <c r="I660" s="139"/>
      <c r="J660" s="137"/>
      <c r="K660" s="137"/>
      <c r="M660" s="126"/>
      <c r="O660" s="137"/>
      <c r="P660" s="137"/>
      <c r="Q660" s="126"/>
    </row>
    <row r="661" spans="3:17" x14ac:dyDescent="0.3">
      <c r="C661" s="126"/>
      <c r="F661" s="137"/>
      <c r="G661" s="138"/>
      <c r="H661" s="138"/>
      <c r="I661" s="139"/>
      <c r="J661" s="137"/>
      <c r="K661" s="137"/>
      <c r="M661" s="126"/>
      <c r="O661" s="137"/>
      <c r="P661" s="137"/>
      <c r="Q661" s="126"/>
    </row>
    <row r="662" spans="3:17" x14ac:dyDescent="0.3">
      <c r="C662" s="126"/>
      <c r="F662" s="137"/>
      <c r="G662" s="138"/>
      <c r="H662" s="138"/>
      <c r="I662" s="139"/>
      <c r="J662" s="137"/>
      <c r="K662" s="137"/>
      <c r="M662" s="126"/>
      <c r="O662" s="137"/>
      <c r="P662" s="137"/>
      <c r="Q662" s="126"/>
    </row>
    <row r="663" spans="3:17" x14ac:dyDescent="0.3">
      <c r="C663" s="126"/>
      <c r="F663" s="137"/>
      <c r="G663" s="138"/>
      <c r="H663" s="138"/>
      <c r="I663" s="139"/>
      <c r="J663" s="137"/>
      <c r="K663" s="137"/>
      <c r="M663" s="126"/>
      <c r="O663" s="137"/>
      <c r="P663" s="137"/>
      <c r="Q663" s="126"/>
    </row>
    <row r="664" spans="3:17" x14ac:dyDescent="0.3">
      <c r="C664" s="126"/>
      <c r="F664" s="137"/>
      <c r="G664" s="138"/>
      <c r="H664" s="138"/>
      <c r="I664" s="139"/>
      <c r="J664" s="137"/>
      <c r="K664" s="137"/>
      <c r="M664" s="126"/>
      <c r="O664" s="137"/>
      <c r="P664" s="137"/>
      <c r="Q664" s="126"/>
    </row>
    <row r="665" spans="3:17" x14ac:dyDescent="0.3">
      <c r="C665" s="126"/>
      <c r="F665" s="137"/>
      <c r="G665" s="138"/>
      <c r="H665" s="138"/>
      <c r="I665" s="139"/>
      <c r="J665" s="137"/>
      <c r="K665" s="137"/>
      <c r="M665" s="126"/>
      <c r="O665" s="137"/>
      <c r="P665" s="137"/>
      <c r="Q665" s="126"/>
    </row>
    <row r="666" spans="3:17" x14ac:dyDescent="0.3">
      <c r="C666" s="126"/>
      <c r="F666" s="137"/>
      <c r="G666" s="138"/>
      <c r="H666" s="138"/>
      <c r="I666" s="139"/>
      <c r="J666" s="137"/>
      <c r="K666" s="137"/>
      <c r="M666" s="126"/>
      <c r="O666" s="137"/>
      <c r="P666" s="137"/>
      <c r="Q666" s="126"/>
    </row>
    <row r="667" spans="3:17" x14ac:dyDescent="0.3">
      <c r="C667" s="126"/>
      <c r="F667" s="137"/>
      <c r="G667" s="138"/>
      <c r="H667" s="138"/>
      <c r="I667" s="139"/>
      <c r="J667" s="137"/>
      <c r="K667" s="137"/>
      <c r="M667" s="126"/>
      <c r="O667" s="137"/>
      <c r="P667" s="137"/>
      <c r="Q667" s="126"/>
    </row>
    <row r="668" spans="3:17" x14ac:dyDescent="0.3">
      <c r="C668" s="126"/>
      <c r="F668" s="137"/>
      <c r="G668" s="138"/>
      <c r="H668" s="138"/>
      <c r="I668" s="139"/>
      <c r="J668" s="137"/>
      <c r="K668" s="137"/>
      <c r="M668" s="126"/>
      <c r="O668" s="137"/>
      <c r="P668" s="137"/>
      <c r="Q668" s="126"/>
    </row>
    <row r="669" spans="3:17" x14ac:dyDescent="0.3">
      <c r="C669" s="126"/>
      <c r="F669" s="137"/>
      <c r="G669" s="138"/>
      <c r="H669" s="138"/>
      <c r="I669" s="139"/>
      <c r="J669" s="137"/>
      <c r="K669" s="137"/>
      <c r="M669" s="126"/>
      <c r="O669" s="137"/>
      <c r="P669" s="137"/>
      <c r="Q669" s="126"/>
    </row>
    <row r="670" spans="3:17" x14ac:dyDescent="0.3">
      <c r="C670" s="126"/>
      <c r="F670" s="137"/>
      <c r="G670" s="138"/>
      <c r="H670" s="138"/>
      <c r="I670" s="139"/>
      <c r="J670" s="137"/>
      <c r="K670" s="137"/>
      <c r="M670" s="126"/>
      <c r="O670" s="137"/>
      <c r="P670" s="137"/>
      <c r="Q670" s="126"/>
    </row>
    <row r="671" spans="3:17" x14ac:dyDescent="0.3">
      <c r="C671" s="126"/>
      <c r="F671" s="137"/>
      <c r="G671" s="138"/>
      <c r="H671" s="138"/>
      <c r="I671" s="139"/>
      <c r="J671" s="137"/>
      <c r="K671" s="137"/>
      <c r="M671" s="126"/>
      <c r="O671" s="137"/>
      <c r="P671" s="137"/>
      <c r="Q671" s="126"/>
    </row>
    <row r="672" spans="3:17" x14ac:dyDescent="0.3">
      <c r="C672" s="126"/>
      <c r="F672" s="137"/>
      <c r="G672" s="138"/>
      <c r="H672" s="138"/>
      <c r="I672" s="139"/>
      <c r="J672" s="137"/>
      <c r="K672" s="137"/>
      <c r="M672" s="126"/>
      <c r="O672" s="137"/>
      <c r="P672" s="137"/>
      <c r="Q672" s="126"/>
    </row>
    <row r="673" spans="3:17" x14ac:dyDescent="0.3">
      <c r="C673" s="126"/>
      <c r="F673" s="137"/>
      <c r="G673" s="138"/>
      <c r="H673" s="138"/>
      <c r="I673" s="139"/>
      <c r="J673" s="137"/>
      <c r="K673" s="137"/>
      <c r="M673" s="126"/>
      <c r="O673" s="137"/>
      <c r="P673" s="137"/>
      <c r="Q673" s="126"/>
    </row>
    <row r="674" spans="3:17" x14ac:dyDescent="0.3">
      <c r="C674" s="126"/>
      <c r="F674" s="137"/>
      <c r="G674" s="138"/>
      <c r="H674" s="138"/>
      <c r="I674" s="139"/>
      <c r="J674" s="137"/>
      <c r="K674" s="137"/>
      <c r="M674" s="126"/>
      <c r="O674" s="137"/>
      <c r="P674" s="137"/>
      <c r="Q674" s="126"/>
    </row>
    <row r="675" spans="3:17" x14ac:dyDescent="0.3">
      <c r="C675" s="126"/>
      <c r="F675" s="137"/>
      <c r="G675" s="138"/>
      <c r="H675" s="138"/>
      <c r="I675" s="139"/>
      <c r="J675" s="137"/>
      <c r="K675" s="137"/>
      <c r="M675" s="126"/>
      <c r="O675" s="137"/>
      <c r="P675" s="137"/>
      <c r="Q675" s="126"/>
    </row>
    <row r="676" spans="3:17" x14ac:dyDescent="0.3">
      <c r="C676" s="126"/>
      <c r="F676" s="137"/>
      <c r="G676" s="138"/>
      <c r="H676" s="138"/>
      <c r="I676" s="139"/>
      <c r="J676" s="137"/>
      <c r="K676" s="137"/>
      <c r="M676" s="126"/>
      <c r="O676" s="137"/>
      <c r="P676" s="137"/>
      <c r="Q676" s="126"/>
    </row>
    <row r="677" spans="3:17" x14ac:dyDescent="0.3">
      <c r="C677" s="126"/>
      <c r="F677" s="137"/>
      <c r="G677" s="138"/>
      <c r="H677" s="138"/>
      <c r="I677" s="139"/>
      <c r="J677" s="137"/>
      <c r="K677" s="137"/>
      <c r="M677" s="126"/>
      <c r="O677" s="137"/>
      <c r="P677" s="137"/>
      <c r="Q677" s="126"/>
    </row>
    <row r="678" spans="3:17" x14ac:dyDescent="0.3">
      <c r="C678" s="126"/>
      <c r="F678" s="137"/>
      <c r="G678" s="138"/>
      <c r="H678" s="138"/>
      <c r="I678" s="139"/>
      <c r="J678" s="137"/>
      <c r="K678" s="137"/>
      <c r="M678" s="126"/>
      <c r="O678" s="137"/>
      <c r="P678" s="137"/>
      <c r="Q678" s="126"/>
    </row>
    <row r="679" spans="3:17" x14ac:dyDescent="0.3">
      <c r="C679" s="126"/>
      <c r="F679" s="137"/>
      <c r="G679" s="138"/>
      <c r="H679" s="138"/>
      <c r="I679" s="139"/>
      <c r="J679" s="137"/>
      <c r="K679" s="137"/>
      <c r="M679" s="126"/>
      <c r="O679" s="137"/>
      <c r="P679" s="137"/>
      <c r="Q679" s="126"/>
    </row>
    <row r="680" spans="3:17" x14ac:dyDescent="0.3">
      <c r="C680" s="126"/>
      <c r="F680" s="137"/>
      <c r="G680" s="138"/>
      <c r="H680" s="138"/>
      <c r="I680" s="139"/>
      <c r="J680" s="137"/>
      <c r="K680" s="137"/>
      <c r="M680" s="126"/>
      <c r="O680" s="137"/>
      <c r="P680" s="137"/>
      <c r="Q680" s="126"/>
    </row>
    <row r="681" spans="3:17" x14ac:dyDescent="0.3">
      <c r="C681" s="126"/>
      <c r="F681" s="137"/>
      <c r="G681" s="138"/>
      <c r="H681" s="138"/>
      <c r="I681" s="139"/>
      <c r="J681" s="137"/>
      <c r="K681" s="137"/>
      <c r="M681" s="126"/>
      <c r="O681" s="137"/>
      <c r="P681" s="137"/>
      <c r="Q681" s="126"/>
    </row>
    <row r="682" spans="3:17" x14ac:dyDescent="0.3">
      <c r="C682" s="126"/>
      <c r="F682" s="137"/>
      <c r="G682" s="138"/>
      <c r="H682" s="138"/>
      <c r="I682" s="139"/>
      <c r="J682" s="137"/>
      <c r="K682" s="137"/>
      <c r="M682" s="126"/>
      <c r="O682" s="137"/>
      <c r="P682" s="137"/>
      <c r="Q682" s="126"/>
    </row>
    <row r="683" spans="3:17" x14ac:dyDescent="0.3">
      <c r="C683" s="126"/>
      <c r="F683" s="137"/>
      <c r="G683" s="138"/>
      <c r="H683" s="138"/>
      <c r="I683" s="139"/>
      <c r="J683" s="137"/>
      <c r="K683" s="137"/>
      <c r="M683" s="126"/>
      <c r="O683" s="137"/>
      <c r="P683" s="137"/>
      <c r="Q683" s="126"/>
    </row>
    <row r="684" spans="3:17" x14ac:dyDescent="0.3">
      <c r="C684" s="126"/>
      <c r="F684" s="137"/>
      <c r="G684" s="138"/>
      <c r="H684" s="138"/>
      <c r="I684" s="139"/>
      <c r="J684" s="137"/>
      <c r="K684" s="137"/>
      <c r="M684" s="126"/>
      <c r="O684" s="137"/>
      <c r="P684" s="137"/>
      <c r="Q684" s="126"/>
    </row>
    <row r="685" spans="3:17" x14ac:dyDescent="0.3">
      <c r="C685" s="126"/>
      <c r="F685" s="137"/>
      <c r="G685" s="138"/>
      <c r="H685" s="138"/>
      <c r="I685" s="139"/>
      <c r="J685" s="137"/>
      <c r="K685" s="137"/>
      <c r="M685" s="126"/>
      <c r="O685" s="137"/>
      <c r="P685" s="137"/>
      <c r="Q685" s="126"/>
    </row>
    <row r="686" spans="3:17" x14ac:dyDescent="0.3">
      <c r="C686" s="126"/>
      <c r="F686" s="137"/>
      <c r="G686" s="138"/>
      <c r="H686" s="138"/>
      <c r="I686" s="139"/>
      <c r="J686" s="137"/>
      <c r="K686" s="137"/>
      <c r="M686" s="126"/>
      <c r="O686" s="137"/>
      <c r="P686" s="137"/>
      <c r="Q686" s="126"/>
    </row>
    <row r="687" spans="3:17" x14ac:dyDescent="0.3">
      <c r="C687" s="126"/>
      <c r="F687" s="137"/>
      <c r="G687" s="138"/>
      <c r="H687" s="138"/>
      <c r="I687" s="139"/>
      <c r="J687" s="137"/>
      <c r="K687" s="137"/>
      <c r="M687" s="126"/>
      <c r="O687" s="137"/>
      <c r="P687" s="137"/>
      <c r="Q687" s="126"/>
    </row>
    <row r="688" spans="3:17" x14ac:dyDescent="0.3">
      <c r="C688" s="126"/>
      <c r="F688" s="137"/>
      <c r="G688" s="138"/>
      <c r="H688" s="138"/>
      <c r="I688" s="139"/>
      <c r="J688" s="137"/>
      <c r="K688" s="137"/>
      <c r="M688" s="126"/>
      <c r="O688" s="137"/>
      <c r="P688" s="137"/>
      <c r="Q688" s="126"/>
    </row>
    <row r="689" spans="3:17" x14ac:dyDescent="0.3">
      <c r="C689" s="126"/>
      <c r="F689" s="137"/>
      <c r="G689" s="138"/>
      <c r="H689" s="138"/>
      <c r="I689" s="139"/>
      <c r="J689" s="137"/>
      <c r="K689" s="137"/>
      <c r="M689" s="126"/>
      <c r="O689" s="137"/>
      <c r="P689" s="137"/>
      <c r="Q689" s="126"/>
    </row>
    <row r="690" spans="3:17" x14ac:dyDescent="0.3">
      <c r="C690" s="126"/>
      <c r="F690" s="137"/>
      <c r="G690" s="138"/>
      <c r="H690" s="138"/>
      <c r="I690" s="139"/>
      <c r="J690" s="137"/>
      <c r="K690" s="137"/>
      <c r="M690" s="126"/>
      <c r="O690" s="137"/>
      <c r="P690" s="137"/>
      <c r="Q690" s="126"/>
    </row>
    <row r="691" spans="3:17" x14ac:dyDescent="0.3">
      <c r="C691" s="126"/>
      <c r="F691" s="137"/>
      <c r="G691" s="138"/>
      <c r="H691" s="138"/>
      <c r="I691" s="139"/>
      <c r="J691" s="137"/>
      <c r="K691" s="137"/>
      <c r="M691" s="126"/>
      <c r="O691" s="137"/>
      <c r="P691" s="137"/>
      <c r="Q691" s="126"/>
    </row>
    <row r="692" spans="3:17" x14ac:dyDescent="0.3">
      <c r="C692" s="126"/>
      <c r="F692" s="137"/>
      <c r="G692" s="138"/>
      <c r="H692" s="138"/>
      <c r="I692" s="139"/>
      <c r="J692" s="137"/>
      <c r="K692" s="137"/>
      <c r="M692" s="126"/>
      <c r="O692" s="137"/>
      <c r="P692" s="137"/>
      <c r="Q692" s="126"/>
    </row>
    <row r="693" spans="3:17" x14ac:dyDescent="0.3">
      <c r="C693" s="126"/>
      <c r="F693" s="137"/>
      <c r="G693" s="138"/>
      <c r="H693" s="138"/>
      <c r="I693" s="139"/>
      <c r="J693" s="137"/>
      <c r="K693" s="137"/>
      <c r="M693" s="126"/>
      <c r="O693" s="137"/>
      <c r="P693" s="137"/>
      <c r="Q693" s="126"/>
    </row>
    <row r="694" spans="3:17" x14ac:dyDescent="0.3">
      <c r="C694" s="126"/>
      <c r="F694" s="137"/>
      <c r="G694" s="138"/>
      <c r="H694" s="138"/>
      <c r="I694" s="139"/>
      <c r="J694" s="137"/>
      <c r="K694" s="137"/>
      <c r="M694" s="126"/>
      <c r="O694" s="137"/>
      <c r="P694" s="137"/>
      <c r="Q694" s="126"/>
    </row>
    <row r="695" spans="3:17" x14ac:dyDescent="0.3">
      <c r="C695" s="126"/>
      <c r="F695" s="137"/>
      <c r="G695" s="138"/>
      <c r="H695" s="138"/>
      <c r="I695" s="139"/>
      <c r="J695" s="137"/>
      <c r="K695" s="137"/>
      <c r="M695" s="126"/>
      <c r="O695" s="137"/>
      <c r="P695" s="137"/>
      <c r="Q695" s="126"/>
    </row>
    <row r="696" spans="3:17" x14ac:dyDescent="0.3">
      <c r="C696" s="126"/>
      <c r="F696" s="137"/>
      <c r="G696" s="138"/>
      <c r="H696" s="138"/>
      <c r="I696" s="139"/>
      <c r="J696" s="137"/>
      <c r="K696" s="137"/>
      <c r="M696" s="126"/>
      <c r="O696" s="137"/>
      <c r="P696" s="137"/>
      <c r="Q696" s="126"/>
    </row>
    <row r="697" spans="3:17" x14ac:dyDescent="0.3">
      <c r="C697" s="126"/>
      <c r="F697" s="137"/>
      <c r="G697" s="138"/>
      <c r="H697" s="138"/>
      <c r="I697" s="139"/>
      <c r="J697" s="137"/>
      <c r="K697" s="137"/>
      <c r="M697" s="126"/>
      <c r="O697" s="137"/>
      <c r="P697" s="137"/>
      <c r="Q697" s="126"/>
    </row>
    <row r="698" spans="3:17" x14ac:dyDescent="0.3">
      <c r="C698" s="126"/>
      <c r="F698" s="137"/>
      <c r="G698" s="138"/>
      <c r="H698" s="138"/>
      <c r="I698" s="139"/>
      <c r="J698" s="137"/>
      <c r="K698" s="137"/>
      <c r="M698" s="126"/>
      <c r="O698" s="137"/>
      <c r="P698" s="137"/>
      <c r="Q698" s="126"/>
    </row>
    <row r="699" spans="3:17" x14ac:dyDescent="0.3">
      <c r="C699" s="126"/>
      <c r="F699" s="137"/>
      <c r="G699" s="138"/>
      <c r="H699" s="138"/>
      <c r="I699" s="139"/>
      <c r="J699" s="137"/>
      <c r="K699" s="137"/>
      <c r="M699" s="126"/>
      <c r="O699" s="137"/>
      <c r="P699" s="137"/>
      <c r="Q699" s="126"/>
    </row>
    <row r="700" spans="3:17" x14ac:dyDescent="0.3">
      <c r="C700" s="126"/>
      <c r="F700" s="137"/>
      <c r="G700" s="138"/>
      <c r="H700" s="138"/>
      <c r="I700" s="139"/>
      <c r="J700" s="137"/>
      <c r="K700" s="137"/>
      <c r="M700" s="126"/>
      <c r="O700" s="137"/>
      <c r="P700" s="137"/>
      <c r="Q700" s="126"/>
    </row>
    <row r="701" spans="3:17" x14ac:dyDescent="0.3">
      <c r="C701" s="126"/>
      <c r="F701" s="137"/>
      <c r="G701" s="138"/>
      <c r="H701" s="138"/>
      <c r="I701" s="139"/>
      <c r="J701" s="137"/>
      <c r="K701" s="137"/>
      <c r="M701" s="126"/>
      <c r="O701" s="137"/>
      <c r="P701" s="137"/>
      <c r="Q701" s="126"/>
    </row>
    <row r="702" spans="3:17" x14ac:dyDescent="0.3">
      <c r="C702" s="126"/>
      <c r="F702" s="137"/>
      <c r="G702" s="138"/>
      <c r="H702" s="138"/>
      <c r="I702" s="139"/>
      <c r="J702" s="137"/>
      <c r="K702" s="137"/>
      <c r="M702" s="126"/>
      <c r="O702" s="137"/>
      <c r="P702" s="137"/>
      <c r="Q702" s="126"/>
    </row>
    <row r="703" spans="3:17" x14ac:dyDescent="0.3">
      <c r="C703" s="126"/>
      <c r="F703" s="137"/>
      <c r="G703" s="138"/>
      <c r="H703" s="138"/>
      <c r="I703" s="139"/>
      <c r="J703" s="137"/>
      <c r="K703" s="137"/>
      <c r="M703" s="126"/>
      <c r="O703" s="137"/>
      <c r="P703" s="137"/>
      <c r="Q703" s="126"/>
    </row>
    <row r="704" spans="3:17" x14ac:dyDescent="0.3">
      <c r="C704" s="126"/>
      <c r="F704" s="137"/>
      <c r="G704" s="138"/>
      <c r="H704" s="138"/>
      <c r="I704" s="139"/>
      <c r="J704" s="137"/>
      <c r="K704" s="137"/>
      <c r="M704" s="126"/>
      <c r="O704" s="137"/>
      <c r="P704" s="137"/>
      <c r="Q704" s="126"/>
    </row>
    <row r="705" spans="3:17" x14ac:dyDescent="0.3">
      <c r="C705" s="126"/>
      <c r="F705" s="137"/>
      <c r="G705" s="138"/>
      <c r="H705" s="138"/>
      <c r="I705" s="139"/>
      <c r="J705" s="137"/>
      <c r="K705" s="137"/>
      <c r="M705" s="126"/>
      <c r="O705" s="137"/>
      <c r="P705" s="137"/>
      <c r="Q705" s="126"/>
    </row>
    <row r="706" spans="3:17" x14ac:dyDescent="0.3">
      <c r="C706" s="126"/>
      <c r="F706" s="137"/>
      <c r="G706" s="138"/>
      <c r="H706" s="138"/>
      <c r="I706" s="139"/>
      <c r="J706" s="137"/>
      <c r="K706" s="137"/>
      <c r="M706" s="126"/>
      <c r="O706" s="137"/>
      <c r="P706" s="137"/>
      <c r="Q706" s="126"/>
    </row>
    <row r="707" spans="3:17" x14ac:dyDescent="0.3">
      <c r="C707" s="126"/>
      <c r="F707" s="137"/>
      <c r="G707" s="138"/>
      <c r="H707" s="138"/>
      <c r="I707" s="139"/>
      <c r="J707" s="137"/>
      <c r="K707" s="137"/>
      <c r="M707" s="126"/>
      <c r="O707" s="137"/>
      <c r="P707" s="137"/>
      <c r="Q707" s="126"/>
    </row>
    <row r="708" spans="3:17" x14ac:dyDescent="0.3">
      <c r="C708" s="126"/>
      <c r="F708" s="137"/>
      <c r="G708" s="138"/>
      <c r="H708" s="138"/>
      <c r="I708" s="139"/>
      <c r="J708" s="137"/>
      <c r="K708" s="137"/>
      <c r="M708" s="126"/>
      <c r="O708" s="137"/>
      <c r="P708" s="137"/>
      <c r="Q708" s="126"/>
    </row>
    <row r="709" spans="3:17" x14ac:dyDescent="0.3">
      <c r="C709" s="126"/>
      <c r="F709" s="137"/>
      <c r="G709" s="138"/>
      <c r="H709" s="138"/>
      <c r="I709" s="139"/>
      <c r="J709" s="137"/>
      <c r="K709" s="137"/>
      <c r="M709" s="126"/>
      <c r="O709" s="137"/>
      <c r="P709" s="137"/>
      <c r="Q709" s="126"/>
    </row>
    <row r="710" spans="3:17" x14ac:dyDescent="0.3">
      <c r="C710" s="126"/>
      <c r="F710" s="137"/>
      <c r="G710" s="138"/>
      <c r="H710" s="138"/>
      <c r="I710" s="139"/>
      <c r="J710" s="137"/>
      <c r="K710" s="137"/>
      <c r="M710" s="126"/>
      <c r="O710" s="137"/>
      <c r="P710" s="137"/>
      <c r="Q710" s="126"/>
    </row>
    <row r="711" spans="3:17" x14ac:dyDescent="0.3">
      <c r="C711" s="126"/>
      <c r="F711" s="137"/>
      <c r="G711" s="138"/>
      <c r="H711" s="138"/>
      <c r="I711" s="139"/>
      <c r="J711" s="137"/>
      <c r="K711" s="137"/>
      <c r="M711" s="126"/>
      <c r="O711" s="137"/>
      <c r="P711" s="137"/>
      <c r="Q711" s="126"/>
    </row>
    <row r="712" spans="3:17" x14ac:dyDescent="0.3">
      <c r="C712" s="126"/>
      <c r="F712" s="137"/>
      <c r="G712" s="138"/>
      <c r="H712" s="138"/>
      <c r="I712" s="139"/>
      <c r="J712" s="137"/>
      <c r="K712" s="137"/>
      <c r="M712" s="126"/>
      <c r="O712" s="137"/>
      <c r="P712" s="137"/>
      <c r="Q712" s="126"/>
    </row>
    <row r="713" spans="3:17" x14ac:dyDescent="0.3">
      <c r="C713" s="126"/>
      <c r="F713" s="137"/>
      <c r="G713" s="138"/>
      <c r="H713" s="138"/>
      <c r="I713" s="139"/>
      <c r="J713" s="137"/>
      <c r="K713" s="137"/>
      <c r="M713" s="126"/>
      <c r="O713" s="137"/>
      <c r="P713" s="137"/>
      <c r="Q713" s="126"/>
    </row>
    <row r="714" spans="3:17" x14ac:dyDescent="0.3">
      <c r="C714" s="126"/>
      <c r="F714" s="137"/>
      <c r="G714" s="138"/>
      <c r="H714" s="138"/>
      <c r="I714" s="139"/>
      <c r="J714" s="137"/>
      <c r="K714" s="137"/>
      <c r="M714" s="126"/>
      <c r="O714" s="137"/>
      <c r="P714" s="137"/>
      <c r="Q714" s="126"/>
    </row>
    <row r="715" spans="3:17" x14ac:dyDescent="0.3">
      <c r="C715" s="126"/>
      <c r="F715" s="137"/>
      <c r="G715" s="138"/>
      <c r="H715" s="138"/>
      <c r="I715" s="139"/>
      <c r="J715" s="137"/>
      <c r="K715" s="137"/>
      <c r="M715" s="126"/>
      <c r="O715" s="137"/>
      <c r="P715" s="137"/>
      <c r="Q715" s="126"/>
    </row>
    <row r="716" spans="3:17" x14ac:dyDescent="0.3">
      <c r="C716" s="126"/>
      <c r="F716" s="137"/>
      <c r="G716" s="138"/>
      <c r="H716" s="138"/>
      <c r="I716" s="139"/>
      <c r="J716" s="137"/>
      <c r="K716" s="137"/>
      <c r="M716" s="126"/>
      <c r="O716" s="137"/>
      <c r="P716" s="137"/>
      <c r="Q716" s="126"/>
    </row>
    <row r="717" spans="3:17" x14ac:dyDescent="0.3">
      <c r="C717" s="126"/>
      <c r="F717" s="137"/>
      <c r="G717" s="138"/>
      <c r="H717" s="138"/>
      <c r="I717" s="139"/>
      <c r="J717" s="137"/>
      <c r="K717" s="137"/>
      <c r="M717" s="126"/>
      <c r="O717" s="137"/>
      <c r="P717" s="137"/>
      <c r="Q717" s="126"/>
    </row>
    <row r="718" spans="3:17" x14ac:dyDescent="0.3">
      <c r="C718" s="126"/>
      <c r="F718" s="137"/>
      <c r="G718" s="138"/>
      <c r="H718" s="138"/>
      <c r="I718" s="139"/>
      <c r="J718" s="137"/>
      <c r="K718" s="137"/>
      <c r="M718" s="126"/>
      <c r="O718" s="137"/>
      <c r="P718" s="137"/>
      <c r="Q718" s="126"/>
    </row>
    <row r="719" spans="3:17" x14ac:dyDescent="0.3">
      <c r="C719" s="126"/>
      <c r="F719" s="137"/>
      <c r="G719" s="138"/>
      <c r="H719" s="138"/>
      <c r="I719" s="139"/>
      <c r="J719" s="137"/>
      <c r="K719" s="137"/>
      <c r="M719" s="126"/>
      <c r="O719" s="137"/>
      <c r="P719" s="137"/>
      <c r="Q719" s="126"/>
    </row>
    <row r="720" spans="3:17" x14ac:dyDescent="0.3">
      <c r="C720" s="126"/>
      <c r="F720" s="137"/>
      <c r="G720" s="138"/>
      <c r="H720" s="138"/>
      <c r="I720" s="139"/>
      <c r="J720" s="137"/>
      <c r="K720" s="137"/>
      <c r="M720" s="126"/>
      <c r="O720" s="137"/>
      <c r="P720" s="137"/>
      <c r="Q720" s="126"/>
    </row>
    <row r="721" spans="3:17" x14ac:dyDescent="0.3">
      <c r="C721" s="126"/>
      <c r="F721" s="137"/>
      <c r="G721" s="138"/>
      <c r="H721" s="138"/>
      <c r="I721" s="139"/>
      <c r="J721" s="137"/>
      <c r="K721" s="137"/>
      <c r="M721" s="126"/>
      <c r="O721" s="137"/>
      <c r="P721" s="137"/>
      <c r="Q721" s="126"/>
    </row>
    <row r="722" spans="3:17" x14ac:dyDescent="0.3">
      <c r="C722" s="126"/>
      <c r="F722" s="137"/>
      <c r="G722" s="138"/>
      <c r="H722" s="138"/>
      <c r="I722" s="139"/>
      <c r="J722" s="137"/>
      <c r="K722" s="137"/>
      <c r="M722" s="126"/>
      <c r="O722" s="137"/>
      <c r="P722" s="137"/>
      <c r="Q722" s="126"/>
    </row>
    <row r="723" spans="3:17" x14ac:dyDescent="0.3">
      <c r="C723" s="126"/>
      <c r="F723" s="137"/>
      <c r="G723" s="138"/>
      <c r="H723" s="138"/>
      <c r="I723" s="139"/>
      <c r="J723" s="137"/>
      <c r="K723" s="137"/>
      <c r="M723" s="126"/>
      <c r="O723" s="137"/>
      <c r="P723" s="137"/>
      <c r="Q723" s="126"/>
    </row>
    <row r="724" spans="3:17" x14ac:dyDescent="0.3">
      <c r="C724" s="126"/>
      <c r="F724" s="137"/>
      <c r="G724" s="138"/>
      <c r="H724" s="138"/>
      <c r="I724" s="139"/>
      <c r="J724" s="137"/>
      <c r="K724" s="137"/>
      <c r="M724" s="126"/>
      <c r="O724" s="137"/>
      <c r="P724" s="137"/>
      <c r="Q724" s="126"/>
    </row>
    <row r="725" spans="3:17" x14ac:dyDescent="0.3">
      <c r="C725" s="126"/>
      <c r="F725" s="137"/>
      <c r="G725" s="138"/>
      <c r="H725" s="138"/>
      <c r="I725" s="139"/>
      <c r="J725" s="137"/>
      <c r="K725" s="137"/>
      <c r="M725" s="126"/>
      <c r="O725" s="137"/>
      <c r="P725" s="137"/>
      <c r="Q725" s="126"/>
    </row>
    <row r="726" spans="3:17" x14ac:dyDescent="0.3">
      <c r="C726" s="126"/>
      <c r="F726" s="137"/>
      <c r="G726" s="138"/>
      <c r="H726" s="138"/>
      <c r="I726" s="139"/>
      <c r="J726" s="137"/>
      <c r="K726" s="137"/>
      <c r="M726" s="126"/>
      <c r="O726" s="137"/>
      <c r="P726" s="137"/>
      <c r="Q726" s="126"/>
    </row>
    <row r="727" spans="3:17" x14ac:dyDescent="0.3">
      <c r="C727" s="126"/>
      <c r="F727" s="137"/>
      <c r="G727" s="138"/>
      <c r="H727" s="138"/>
      <c r="I727" s="139"/>
      <c r="J727" s="137"/>
      <c r="K727" s="137"/>
      <c r="M727" s="126"/>
      <c r="O727" s="137"/>
      <c r="P727" s="137"/>
      <c r="Q727" s="126"/>
    </row>
    <row r="728" spans="3:17" x14ac:dyDescent="0.3">
      <c r="C728" s="126"/>
      <c r="F728" s="137"/>
      <c r="G728" s="138"/>
      <c r="H728" s="138"/>
      <c r="I728" s="139"/>
      <c r="J728" s="137"/>
      <c r="K728" s="137"/>
      <c r="M728" s="126"/>
      <c r="O728" s="137"/>
      <c r="P728" s="137"/>
      <c r="Q728" s="126"/>
    </row>
    <row r="729" spans="3:17" x14ac:dyDescent="0.3">
      <c r="C729" s="126"/>
      <c r="F729" s="137"/>
      <c r="G729" s="138"/>
      <c r="H729" s="138"/>
      <c r="I729" s="139"/>
      <c r="J729" s="137"/>
      <c r="K729" s="137"/>
      <c r="M729" s="126"/>
      <c r="O729" s="137"/>
      <c r="P729" s="137"/>
      <c r="Q729" s="126"/>
    </row>
    <row r="730" spans="3:17" x14ac:dyDescent="0.3">
      <c r="C730" s="126"/>
      <c r="F730" s="137"/>
      <c r="G730" s="138"/>
      <c r="H730" s="138"/>
      <c r="I730" s="139"/>
      <c r="J730" s="137"/>
      <c r="K730" s="137"/>
      <c r="M730" s="126"/>
      <c r="O730" s="137"/>
      <c r="P730" s="137"/>
      <c r="Q730" s="126"/>
    </row>
    <row r="731" spans="3:17" x14ac:dyDescent="0.3">
      <c r="C731" s="126"/>
      <c r="F731" s="137"/>
      <c r="G731" s="138"/>
      <c r="H731" s="138"/>
      <c r="I731" s="139"/>
      <c r="J731" s="137"/>
      <c r="K731" s="137"/>
      <c r="M731" s="126"/>
      <c r="O731" s="137"/>
      <c r="P731" s="137"/>
      <c r="Q731" s="126"/>
    </row>
    <row r="732" spans="3:17" x14ac:dyDescent="0.3">
      <c r="C732" s="126"/>
      <c r="F732" s="137"/>
      <c r="G732" s="138"/>
      <c r="H732" s="138"/>
      <c r="I732" s="139"/>
      <c r="J732" s="137"/>
      <c r="K732" s="137"/>
      <c r="M732" s="126"/>
      <c r="O732" s="137"/>
      <c r="P732" s="137"/>
      <c r="Q732" s="126"/>
    </row>
    <row r="733" spans="3:17" x14ac:dyDescent="0.3">
      <c r="C733" s="126"/>
      <c r="F733" s="137"/>
      <c r="G733" s="138"/>
      <c r="H733" s="138"/>
      <c r="I733" s="139"/>
      <c r="J733" s="137"/>
      <c r="K733" s="137"/>
      <c r="M733" s="126"/>
      <c r="O733" s="137"/>
      <c r="P733" s="137"/>
      <c r="Q733" s="126"/>
    </row>
    <row r="734" spans="3:17" x14ac:dyDescent="0.3">
      <c r="C734" s="126"/>
      <c r="F734" s="137"/>
      <c r="G734" s="138"/>
      <c r="H734" s="138"/>
      <c r="I734" s="139"/>
      <c r="J734" s="137"/>
      <c r="K734" s="137"/>
      <c r="M734" s="126"/>
      <c r="O734" s="137"/>
      <c r="P734" s="137"/>
      <c r="Q734" s="126"/>
    </row>
    <row r="735" spans="3:17" x14ac:dyDescent="0.3">
      <c r="C735" s="126"/>
      <c r="F735" s="137"/>
      <c r="G735" s="138"/>
      <c r="H735" s="138"/>
      <c r="I735" s="139"/>
      <c r="J735" s="137"/>
      <c r="K735" s="137"/>
      <c r="M735" s="126"/>
      <c r="O735" s="137"/>
      <c r="P735" s="137"/>
      <c r="Q735" s="126"/>
    </row>
    <row r="736" spans="3:17" x14ac:dyDescent="0.3">
      <c r="C736" s="126"/>
      <c r="F736" s="137"/>
      <c r="G736" s="138"/>
      <c r="H736" s="138"/>
      <c r="I736" s="139"/>
      <c r="J736" s="137"/>
      <c r="K736" s="137"/>
      <c r="M736" s="126"/>
      <c r="O736" s="137"/>
      <c r="P736" s="137"/>
      <c r="Q736" s="126"/>
    </row>
    <row r="737" spans="3:17" x14ac:dyDescent="0.3">
      <c r="C737" s="126"/>
      <c r="F737" s="137"/>
      <c r="G737" s="138"/>
      <c r="H737" s="138"/>
      <c r="I737" s="139"/>
      <c r="J737" s="137"/>
      <c r="K737" s="137"/>
      <c r="M737" s="126"/>
      <c r="O737" s="137"/>
      <c r="P737" s="137"/>
      <c r="Q737" s="126"/>
    </row>
    <row r="738" spans="3:17" x14ac:dyDescent="0.3">
      <c r="C738" s="126"/>
      <c r="F738" s="137"/>
      <c r="G738" s="138"/>
      <c r="H738" s="138"/>
      <c r="I738" s="139"/>
      <c r="J738" s="137"/>
      <c r="K738" s="137"/>
      <c r="M738" s="126"/>
      <c r="O738" s="137"/>
      <c r="P738" s="137"/>
      <c r="Q738" s="126"/>
    </row>
    <row r="739" spans="3:17" x14ac:dyDescent="0.3">
      <c r="C739" s="126"/>
      <c r="F739" s="137"/>
      <c r="G739" s="138"/>
      <c r="H739" s="138"/>
      <c r="I739" s="139"/>
      <c r="J739" s="137"/>
      <c r="K739" s="137"/>
      <c r="M739" s="126"/>
      <c r="O739" s="137"/>
      <c r="P739" s="137"/>
      <c r="Q739" s="126"/>
    </row>
    <row r="740" spans="3:17" x14ac:dyDescent="0.3">
      <c r="C740" s="126"/>
      <c r="F740" s="137"/>
      <c r="G740" s="138"/>
      <c r="H740" s="138"/>
      <c r="I740" s="139"/>
      <c r="J740" s="137"/>
      <c r="K740" s="137"/>
      <c r="M740" s="126"/>
      <c r="O740" s="137"/>
      <c r="P740" s="137"/>
      <c r="Q740" s="126"/>
    </row>
    <row r="741" spans="3:17" x14ac:dyDescent="0.3">
      <c r="C741" s="126"/>
      <c r="F741" s="137"/>
      <c r="G741" s="138"/>
      <c r="H741" s="138"/>
      <c r="I741" s="139"/>
      <c r="J741" s="137"/>
      <c r="K741" s="137"/>
      <c r="M741" s="126"/>
      <c r="O741" s="137"/>
      <c r="P741" s="137"/>
      <c r="Q741" s="126"/>
    </row>
    <row r="742" spans="3:17" x14ac:dyDescent="0.3">
      <c r="C742" s="126"/>
      <c r="F742" s="137"/>
      <c r="G742" s="138"/>
      <c r="H742" s="138"/>
      <c r="I742" s="139"/>
      <c r="J742" s="137"/>
      <c r="K742" s="137"/>
      <c r="M742" s="126"/>
      <c r="O742" s="137"/>
      <c r="P742" s="137"/>
      <c r="Q742" s="126"/>
    </row>
    <row r="743" spans="3:17" x14ac:dyDescent="0.3">
      <c r="C743" s="126"/>
      <c r="F743" s="137"/>
      <c r="G743" s="138"/>
      <c r="H743" s="138"/>
      <c r="I743" s="139"/>
      <c r="J743" s="137"/>
      <c r="K743" s="137"/>
      <c r="M743" s="126"/>
      <c r="O743" s="137"/>
      <c r="P743" s="137"/>
      <c r="Q743" s="126"/>
    </row>
    <row r="744" spans="3:17" x14ac:dyDescent="0.3">
      <c r="C744" s="126"/>
      <c r="F744" s="137"/>
      <c r="G744" s="138"/>
      <c r="H744" s="138"/>
      <c r="I744" s="139"/>
      <c r="J744" s="137"/>
      <c r="K744" s="137"/>
      <c r="M744" s="126"/>
      <c r="O744" s="137"/>
      <c r="P744" s="137"/>
      <c r="Q744" s="126"/>
    </row>
    <row r="745" spans="3:17" x14ac:dyDescent="0.3">
      <c r="C745" s="126"/>
      <c r="F745" s="137"/>
      <c r="G745" s="138"/>
      <c r="H745" s="138"/>
      <c r="I745" s="139"/>
      <c r="J745" s="137"/>
      <c r="K745" s="137"/>
      <c r="M745" s="126"/>
      <c r="O745" s="137"/>
      <c r="P745" s="137"/>
      <c r="Q745" s="126"/>
    </row>
    <row r="746" spans="3:17" x14ac:dyDescent="0.3">
      <c r="C746" s="126"/>
      <c r="F746" s="137"/>
      <c r="G746" s="138"/>
      <c r="H746" s="138"/>
      <c r="I746" s="139"/>
      <c r="J746" s="137"/>
      <c r="K746" s="137"/>
      <c r="M746" s="126"/>
      <c r="O746" s="137"/>
      <c r="P746" s="137"/>
      <c r="Q746" s="126"/>
    </row>
    <row r="747" spans="3:17" x14ac:dyDescent="0.3">
      <c r="C747" s="126"/>
      <c r="F747" s="137"/>
      <c r="G747" s="138"/>
      <c r="H747" s="138"/>
      <c r="I747" s="139"/>
      <c r="J747" s="137"/>
      <c r="K747" s="137"/>
      <c r="M747" s="126"/>
      <c r="O747" s="137"/>
      <c r="P747" s="137"/>
      <c r="Q747" s="126"/>
    </row>
    <row r="748" spans="3:17" x14ac:dyDescent="0.3">
      <c r="C748" s="126"/>
      <c r="F748" s="137"/>
      <c r="G748" s="138"/>
      <c r="H748" s="138"/>
      <c r="I748" s="139"/>
      <c r="J748" s="137"/>
      <c r="K748" s="137"/>
      <c r="M748" s="126"/>
      <c r="O748" s="137"/>
      <c r="P748" s="137"/>
      <c r="Q748" s="126"/>
    </row>
    <row r="749" spans="3:17" x14ac:dyDescent="0.3">
      <c r="C749" s="126"/>
      <c r="F749" s="137"/>
      <c r="G749" s="138"/>
      <c r="H749" s="138"/>
      <c r="I749" s="139"/>
      <c r="J749" s="137"/>
      <c r="K749" s="137"/>
      <c r="M749" s="126"/>
      <c r="O749" s="137"/>
      <c r="P749" s="137"/>
      <c r="Q749" s="126"/>
    </row>
    <row r="750" spans="3:17" x14ac:dyDescent="0.3">
      <c r="C750" s="126"/>
      <c r="F750" s="137"/>
      <c r="G750" s="138"/>
      <c r="H750" s="138"/>
      <c r="I750" s="139"/>
      <c r="J750" s="137"/>
      <c r="K750" s="137"/>
      <c r="M750" s="126"/>
      <c r="O750" s="137"/>
      <c r="P750" s="137"/>
      <c r="Q750" s="126"/>
    </row>
    <row r="751" spans="3:17" x14ac:dyDescent="0.3">
      <c r="C751" s="126"/>
      <c r="F751" s="137"/>
      <c r="G751" s="138"/>
      <c r="H751" s="138"/>
      <c r="I751" s="139"/>
      <c r="J751" s="137"/>
      <c r="K751" s="137"/>
      <c r="M751" s="126"/>
      <c r="O751" s="137"/>
      <c r="P751" s="137"/>
      <c r="Q751" s="126"/>
    </row>
    <row r="752" spans="3:17" x14ac:dyDescent="0.3">
      <c r="C752" s="126"/>
      <c r="F752" s="137"/>
      <c r="G752" s="138"/>
      <c r="H752" s="138"/>
      <c r="I752" s="139"/>
      <c r="J752" s="137"/>
      <c r="K752" s="137"/>
      <c r="M752" s="126"/>
      <c r="O752" s="137"/>
      <c r="P752" s="137"/>
      <c r="Q752" s="126"/>
    </row>
    <row r="753" spans="3:17" x14ac:dyDescent="0.3">
      <c r="C753" s="126"/>
      <c r="F753" s="137"/>
      <c r="G753" s="138"/>
      <c r="H753" s="138"/>
      <c r="I753" s="139"/>
      <c r="J753" s="137"/>
      <c r="K753" s="137"/>
      <c r="M753" s="126"/>
      <c r="O753" s="137"/>
      <c r="P753" s="137"/>
      <c r="Q753" s="126"/>
    </row>
    <row r="754" spans="3:17" x14ac:dyDescent="0.3">
      <c r="C754" s="126"/>
      <c r="F754" s="137"/>
      <c r="G754" s="138"/>
      <c r="H754" s="138"/>
      <c r="I754" s="139"/>
      <c r="J754" s="137"/>
      <c r="K754" s="137"/>
      <c r="M754" s="126"/>
      <c r="O754" s="137"/>
      <c r="P754" s="137"/>
      <c r="Q754" s="126"/>
    </row>
    <row r="755" spans="3:17" x14ac:dyDescent="0.3">
      <c r="C755" s="126"/>
      <c r="F755" s="137"/>
      <c r="G755" s="138"/>
      <c r="H755" s="138"/>
      <c r="I755" s="139"/>
      <c r="J755" s="137"/>
      <c r="K755" s="137"/>
      <c r="M755" s="126"/>
      <c r="O755" s="137"/>
      <c r="P755" s="137"/>
      <c r="Q755" s="126"/>
    </row>
    <row r="756" spans="3:17" x14ac:dyDescent="0.3">
      <c r="C756" s="126"/>
      <c r="F756" s="137"/>
      <c r="G756" s="138"/>
      <c r="H756" s="138"/>
      <c r="I756" s="139"/>
      <c r="J756" s="137"/>
      <c r="K756" s="137"/>
      <c r="M756" s="126"/>
      <c r="O756" s="137"/>
      <c r="P756" s="137"/>
      <c r="Q756" s="126"/>
    </row>
    <row r="757" spans="3:17" x14ac:dyDescent="0.3">
      <c r="C757" s="126"/>
      <c r="F757" s="137"/>
      <c r="G757" s="138"/>
      <c r="H757" s="138"/>
      <c r="I757" s="139"/>
      <c r="J757" s="137"/>
      <c r="K757" s="137"/>
      <c r="M757" s="126"/>
      <c r="O757" s="137"/>
      <c r="P757" s="137"/>
      <c r="Q757" s="126"/>
    </row>
    <row r="758" spans="3:17" x14ac:dyDescent="0.3">
      <c r="C758" s="126"/>
      <c r="F758" s="137"/>
      <c r="G758" s="138"/>
      <c r="H758" s="138"/>
      <c r="I758" s="139"/>
      <c r="J758" s="137"/>
      <c r="K758" s="137"/>
      <c r="M758" s="126"/>
      <c r="O758" s="137"/>
      <c r="P758" s="137"/>
      <c r="Q758" s="126"/>
    </row>
    <row r="759" spans="3:17" x14ac:dyDescent="0.3">
      <c r="C759" s="126"/>
      <c r="F759" s="137"/>
      <c r="G759" s="138"/>
      <c r="H759" s="138"/>
      <c r="I759" s="139"/>
      <c r="J759" s="137"/>
      <c r="K759" s="137"/>
      <c r="M759" s="126"/>
      <c r="O759" s="137"/>
      <c r="P759" s="137"/>
      <c r="Q759" s="126"/>
    </row>
    <row r="760" spans="3:17" x14ac:dyDescent="0.3">
      <c r="C760" s="126"/>
      <c r="F760" s="137"/>
      <c r="G760" s="138"/>
      <c r="H760" s="138"/>
      <c r="I760" s="139"/>
      <c r="J760" s="137"/>
      <c r="K760" s="137"/>
      <c r="M760" s="126"/>
      <c r="O760" s="137"/>
      <c r="P760" s="137"/>
      <c r="Q760" s="126"/>
    </row>
    <row r="761" spans="3:17" x14ac:dyDescent="0.3">
      <c r="C761" s="126"/>
      <c r="F761" s="137"/>
      <c r="G761" s="138"/>
      <c r="H761" s="138"/>
      <c r="I761" s="139"/>
      <c r="J761" s="137"/>
      <c r="K761" s="137"/>
      <c r="M761" s="126"/>
      <c r="O761" s="137"/>
      <c r="P761" s="137"/>
      <c r="Q761" s="126"/>
    </row>
    <row r="762" spans="3:17" x14ac:dyDescent="0.3">
      <c r="C762" s="126"/>
      <c r="F762" s="137"/>
      <c r="G762" s="138"/>
      <c r="H762" s="138"/>
      <c r="I762" s="139"/>
      <c r="J762" s="137"/>
      <c r="K762" s="137"/>
      <c r="M762" s="126"/>
      <c r="O762" s="137"/>
      <c r="P762" s="137"/>
      <c r="Q762" s="126"/>
    </row>
    <row r="763" spans="3:17" x14ac:dyDescent="0.3">
      <c r="C763" s="126"/>
      <c r="F763" s="137"/>
      <c r="G763" s="138"/>
      <c r="H763" s="138"/>
      <c r="I763" s="139"/>
      <c r="J763" s="137"/>
      <c r="K763" s="137"/>
      <c r="M763" s="126"/>
      <c r="O763" s="137"/>
      <c r="P763" s="137"/>
      <c r="Q763" s="126"/>
    </row>
    <row r="764" spans="3:17" x14ac:dyDescent="0.3">
      <c r="C764" s="126"/>
      <c r="F764" s="137"/>
      <c r="G764" s="138"/>
      <c r="H764" s="138"/>
      <c r="I764" s="139"/>
      <c r="J764" s="137"/>
      <c r="K764" s="137"/>
      <c r="M764" s="126"/>
      <c r="O764" s="137"/>
      <c r="P764" s="137"/>
      <c r="Q764" s="126"/>
    </row>
    <row r="765" spans="3:17" x14ac:dyDescent="0.3">
      <c r="C765" s="126"/>
      <c r="F765" s="137"/>
      <c r="G765" s="138"/>
      <c r="H765" s="138"/>
      <c r="I765" s="139"/>
      <c r="J765" s="137"/>
      <c r="K765" s="137"/>
      <c r="M765" s="126"/>
      <c r="O765" s="137"/>
      <c r="P765" s="137"/>
      <c r="Q765" s="126"/>
    </row>
    <row r="766" spans="3:17" x14ac:dyDescent="0.3">
      <c r="C766" s="126"/>
      <c r="F766" s="137"/>
      <c r="G766" s="138"/>
      <c r="H766" s="138"/>
      <c r="I766" s="139"/>
      <c r="J766" s="137"/>
      <c r="K766" s="137"/>
      <c r="M766" s="126"/>
      <c r="O766" s="137"/>
      <c r="P766" s="137"/>
      <c r="Q766" s="126"/>
    </row>
    <row r="767" spans="3:17" x14ac:dyDescent="0.3">
      <c r="C767" s="126"/>
      <c r="F767" s="137"/>
      <c r="G767" s="138"/>
      <c r="H767" s="138"/>
      <c r="I767" s="139"/>
      <c r="J767" s="137"/>
      <c r="K767" s="137"/>
      <c r="M767" s="126"/>
      <c r="O767" s="137"/>
      <c r="P767" s="137"/>
      <c r="Q767" s="126"/>
    </row>
    <row r="768" spans="3:17" x14ac:dyDescent="0.3">
      <c r="C768" s="126"/>
      <c r="F768" s="137"/>
      <c r="G768" s="138"/>
      <c r="H768" s="138"/>
      <c r="I768" s="139"/>
      <c r="J768" s="137"/>
      <c r="K768" s="137"/>
      <c r="M768" s="126"/>
      <c r="O768" s="137"/>
      <c r="P768" s="137"/>
      <c r="Q768" s="126"/>
    </row>
    <row r="769" spans="3:17" x14ac:dyDescent="0.3">
      <c r="C769" s="126"/>
      <c r="F769" s="137"/>
      <c r="G769" s="138"/>
      <c r="H769" s="138"/>
      <c r="I769" s="139"/>
      <c r="J769" s="137"/>
      <c r="K769" s="137"/>
      <c r="M769" s="126"/>
      <c r="O769" s="137"/>
      <c r="P769" s="137"/>
      <c r="Q769" s="126"/>
    </row>
    <row r="770" spans="3:17" x14ac:dyDescent="0.3">
      <c r="C770" s="126"/>
      <c r="F770" s="137"/>
      <c r="G770" s="138"/>
      <c r="H770" s="138"/>
      <c r="I770" s="139"/>
      <c r="J770" s="137"/>
      <c r="K770" s="137"/>
      <c r="M770" s="126"/>
      <c r="O770" s="137"/>
      <c r="P770" s="137"/>
      <c r="Q770" s="126"/>
    </row>
    <row r="771" spans="3:17" x14ac:dyDescent="0.3">
      <c r="C771" s="126"/>
      <c r="F771" s="137"/>
      <c r="G771" s="138"/>
      <c r="H771" s="138"/>
      <c r="I771" s="139"/>
      <c r="J771" s="137"/>
      <c r="K771" s="137"/>
      <c r="M771" s="126"/>
      <c r="O771" s="137"/>
      <c r="P771" s="137"/>
      <c r="Q771" s="126"/>
    </row>
    <row r="772" spans="3:17" x14ac:dyDescent="0.3">
      <c r="C772" s="126"/>
      <c r="F772" s="137"/>
      <c r="G772" s="138"/>
      <c r="H772" s="138"/>
      <c r="I772" s="139"/>
      <c r="J772" s="137"/>
      <c r="K772" s="137"/>
      <c r="M772" s="126"/>
      <c r="O772" s="137"/>
      <c r="P772" s="137"/>
      <c r="Q772" s="126"/>
    </row>
    <row r="773" spans="3:17" x14ac:dyDescent="0.3">
      <c r="C773" s="126"/>
      <c r="F773" s="137"/>
      <c r="G773" s="138"/>
      <c r="H773" s="138"/>
      <c r="I773" s="139"/>
      <c r="J773" s="137"/>
      <c r="K773" s="137"/>
      <c r="M773" s="126"/>
      <c r="O773" s="137"/>
      <c r="P773" s="137"/>
      <c r="Q773" s="126"/>
    </row>
    <row r="774" spans="3:17" x14ac:dyDescent="0.3">
      <c r="C774" s="126"/>
      <c r="F774" s="137"/>
      <c r="G774" s="138"/>
      <c r="H774" s="138"/>
      <c r="I774" s="139"/>
      <c r="J774" s="137"/>
      <c r="K774" s="137"/>
      <c r="M774" s="126"/>
      <c r="O774" s="137"/>
      <c r="P774" s="137"/>
      <c r="Q774" s="126"/>
    </row>
    <row r="775" spans="3:17" x14ac:dyDescent="0.3">
      <c r="C775" s="126"/>
      <c r="F775" s="137"/>
      <c r="G775" s="138"/>
      <c r="H775" s="138"/>
      <c r="I775" s="139"/>
      <c r="J775" s="137"/>
      <c r="K775" s="137"/>
      <c r="M775" s="126"/>
      <c r="O775" s="137"/>
      <c r="P775" s="137"/>
      <c r="Q775" s="126"/>
    </row>
    <row r="776" spans="3:17" x14ac:dyDescent="0.3">
      <c r="C776" s="126"/>
      <c r="F776" s="137"/>
      <c r="G776" s="138"/>
      <c r="H776" s="138"/>
      <c r="I776" s="139"/>
      <c r="J776" s="137"/>
      <c r="K776" s="137"/>
      <c r="M776" s="126"/>
      <c r="O776" s="137"/>
      <c r="P776" s="137"/>
      <c r="Q776" s="126"/>
    </row>
    <row r="777" spans="3:17" x14ac:dyDescent="0.3">
      <c r="C777" s="126"/>
      <c r="F777" s="137"/>
      <c r="G777" s="138"/>
      <c r="H777" s="138"/>
      <c r="I777" s="139"/>
      <c r="J777" s="137"/>
      <c r="K777" s="137"/>
      <c r="M777" s="126"/>
      <c r="O777" s="137"/>
      <c r="P777" s="137"/>
      <c r="Q777" s="126"/>
    </row>
    <row r="778" spans="3:17" x14ac:dyDescent="0.3">
      <c r="C778" s="126"/>
      <c r="F778" s="137"/>
      <c r="G778" s="138"/>
      <c r="H778" s="138"/>
      <c r="I778" s="139"/>
      <c r="J778" s="137"/>
      <c r="K778" s="137"/>
      <c r="M778" s="126"/>
      <c r="O778" s="137"/>
      <c r="P778" s="137"/>
      <c r="Q778" s="126"/>
    </row>
    <row r="779" spans="3:17" x14ac:dyDescent="0.3">
      <c r="C779" s="126"/>
      <c r="F779" s="137"/>
      <c r="G779" s="138"/>
      <c r="H779" s="138"/>
      <c r="I779" s="139"/>
      <c r="J779" s="137"/>
      <c r="K779" s="137"/>
      <c r="M779" s="126"/>
      <c r="O779" s="137"/>
      <c r="P779" s="137"/>
      <c r="Q779" s="126"/>
    </row>
    <row r="780" spans="3:17" x14ac:dyDescent="0.3">
      <c r="C780" s="126"/>
      <c r="F780" s="137"/>
      <c r="G780" s="138"/>
      <c r="H780" s="138"/>
      <c r="I780" s="139"/>
      <c r="J780" s="137"/>
      <c r="K780" s="137"/>
      <c r="M780" s="126"/>
      <c r="O780" s="137"/>
      <c r="P780" s="137"/>
      <c r="Q780" s="126"/>
    </row>
    <row r="781" spans="3:17" x14ac:dyDescent="0.3">
      <c r="C781" s="126"/>
      <c r="F781" s="137"/>
      <c r="G781" s="138"/>
      <c r="H781" s="138"/>
      <c r="I781" s="139"/>
      <c r="J781" s="137"/>
      <c r="K781" s="137"/>
      <c r="M781" s="126"/>
      <c r="O781" s="137"/>
      <c r="P781" s="137"/>
      <c r="Q781" s="126"/>
    </row>
    <row r="782" spans="3:17" x14ac:dyDescent="0.3">
      <c r="C782" s="126"/>
      <c r="F782" s="137"/>
      <c r="G782" s="138"/>
      <c r="H782" s="138"/>
      <c r="I782" s="139"/>
      <c r="J782" s="137"/>
      <c r="K782" s="137"/>
      <c r="M782" s="126"/>
      <c r="O782" s="137"/>
      <c r="P782" s="137"/>
      <c r="Q782" s="126"/>
    </row>
    <row r="783" spans="3:17" x14ac:dyDescent="0.3">
      <c r="C783" s="126"/>
      <c r="F783" s="137"/>
      <c r="G783" s="138"/>
      <c r="H783" s="138"/>
      <c r="I783" s="139"/>
      <c r="J783" s="137"/>
      <c r="K783" s="137"/>
      <c r="M783" s="126"/>
      <c r="O783" s="137"/>
      <c r="P783" s="137"/>
      <c r="Q783" s="126"/>
    </row>
    <row r="784" spans="3:17" x14ac:dyDescent="0.3">
      <c r="C784" s="126"/>
      <c r="F784" s="137"/>
      <c r="G784" s="138"/>
      <c r="H784" s="138"/>
      <c r="I784" s="139"/>
      <c r="J784" s="137"/>
      <c r="K784" s="137"/>
      <c r="M784" s="126"/>
      <c r="O784" s="137"/>
      <c r="P784" s="137"/>
      <c r="Q784" s="126"/>
    </row>
    <row r="785" spans="3:17" x14ac:dyDescent="0.3">
      <c r="C785" s="126"/>
      <c r="F785" s="137"/>
      <c r="G785" s="138"/>
      <c r="H785" s="138"/>
      <c r="I785" s="139"/>
      <c r="J785" s="137"/>
      <c r="K785" s="137"/>
      <c r="M785" s="126"/>
      <c r="O785" s="137"/>
      <c r="P785" s="137"/>
      <c r="Q785" s="126"/>
    </row>
    <row r="786" spans="3:17" x14ac:dyDescent="0.3">
      <c r="C786" s="126"/>
      <c r="F786" s="137"/>
      <c r="G786" s="138"/>
      <c r="H786" s="138"/>
      <c r="I786" s="139"/>
      <c r="J786" s="137"/>
      <c r="K786" s="137"/>
      <c r="M786" s="126"/>
      <c r="O786" s="137"/>
      <c r="P786" s="137"/>
      <c r="Q786" s="126"/>
    </row>
    <row r="787" spans="3:17" x14ac:dyDescent="0.3">
      <c r="C787" s="126"/>
      <c r="F787" s="137"/>
      <c r="G787" s="138"/>
      <c r="H787" s="138"/>
      <c r="I787" s="139"/>
      <c r="J787" s="137"/>
      <c r="K787" s="137"/>
      <c r="M787" s="126"/>
      <c r="O787" s="137"/>
      <c r="P787" s="137"/>
      <c r="Q787" s="126"/>
    </row>
    <row r="788" spans="3:17" x14ac:dyDescent="0.3">
      <c r="C788" s="126"/>
      <c r="F788" s="137"/>
      <c r="G788" s="138"/>
      <c r="H788" s="138"/>
      <c r="I788" s="139"/>
      <c r="J788" s="137"/>
      <c r="K788" s="137"/>
      <c r="M788" s="126"/>
      <c r="O788" s="137"/>
      <c r="P788" s="137"/>
      <c r="Q788" s="126"/>
    </row>
    <row r="789" spans="3:17" x14ac:dyDescent="0.3">
      <c r="C789" s="126"/>
      <c r="F789" s="137"/>
      <c r="G789" s="138"/>
      <c r="H789" s="138"/>
      <c r="I789" s="139"/>
      <c r="J789" s="137"/>
      <c r="K789" s="137"/>
      <c r="M789" s="126"/>
      <c r="O789" s="137"/>
      <c r="P789" s="137"/>
      <c r="Q789" s="126"/>
    </row>
    <row r="790" spans="3:17" x14ac:dyDescent="0.3">
      <c r="C790" s="126"/>
      <c r="F790" s="137"/>
      <c r="G790" s="138"/>
      <c r="H790" s="138"/>
      <c r="I790" s="139"/>
      <c r="J790" s="137"/>
      <c r="K790" s="137"/>
      <c r="M790" s="126"/>
      <c r="O790" s="137"/>
      <c r="P790" s="137"/>
      <c r="Q790" s="126"/>
    </row>
    <row r="791" spans="3:17" x14ac:dyDescent="0.3">
      <c r="C791" s="126"/>
      <c r="F791" s="137"/>
      <c r="G791" s="138"/>
      <c r="H791" s="138"/>
      <c r="I791" s="139"/>
      <c r="J791" s="137"/>
      <c r="K791" s="137"/>
      <c r="M791" s="126"/>
      <c r="O791" s="137"/>
      <c r="P791" s="137"/>
      <c r="Q791" s="126"/>
    </row>
    <row r="792" spans="3:17" x14ac:dyDescent="0.3">
      <c r="C792" s="126"/>
      <c r="F792" s="137"/>
      <c r="G792" s="138"/>
      <c r="H792" s="138"/>
      <c r="I792" s="139"/>
      <c r="J792" s="137"/>
      <c r="K792" s="137"/>
      <c r="M792" s="126"/>
      <c r="O792" s="137"/>
      <c r="P792" s="137"/>
      <c r="Q792" s="126"/>
    </row>
    <row r="793" spans="3:17" x14ac:dyDescent="0.3">
      <c r="C793" s="126"/>
      <c r="F793" s="137"/>
      <c r="G793" s="138"/>
      <c r="H793" s="138"/>
      <c r="I793" s="139"/>
      <c r="J793" s="137"/>
      <c r="K793" s="137"/>
      <c r="M793" s="126"/>
      <c r="O793" s="137"/>
      <c r="P793" s="137"/>
      <c r="Q793" s="126"/>
    </row>
    <row r="794" spans="3:17" x14ac:dyDescent="0.3">
      <c r="C794" s="126"/>
      <c r="F794" s="137"/>
      <c r="G794" s="138"/>
      <c r="H794" s="138"/>
      <c r="I794" s="139"/>
      <c r="J794" s="137"/>
      <c r="K794" s="137"/>
      <c r="M794" s="126"/>
      <c r="O794" s="137"/>
      <c r="P794" s="137"/>
      <c r="Q794" s="126"/>
    </row>
    <row r="795" spans="3:17" x14ac:dyDescent="0.3">
      <c r="C795" s="126"/>
      <c r="F795" s="137"/>
      <c r="G795" s="138"/>
      <c r="H795" s="138"/>
      <c r="I795" s="139"/>
      <c r="J795" s="137"/>
      <c r="K795" s="137"/>
      <c r="M795" s="126"/>
      <c r="O795" s="137"/>
      <c r="P795" s="137"/>
      <c r="Q795" s="126"/>
    </row>
    <row r="796" spans="3:17" x14ac:dyDescent="0.3">
      <c r="C796" s="126"/>
      <c r="F796" s="137"/>
      <c r="G796" s="138"/>
      <c r="H796" s="138"/>
      <c r="I796" s="139"/>
      <c r="J796" s="137"/>
      <c r="K796" s="137"/>
      <c r="M796" s="126"/>
      <c r="O796" s="137"/>
      <c r="P796" s="137"/>
      <c r="Q796" s="126"/>
    </row>
    <row r="797" spans="3:17" x14ac:dyDescent="0.3">
      <c r="C797" s="126"/>
      <c r="F797" s="137"/>
      <c r="G797" s="138"/>
      <c r="H797" s="138"/>
      <c r="I797" s="139"/>
      <c r="J797" s="137"/>
      <c r="K797" s="137"/>
      <c r="M797" s="126"/>
      <c r="O797" s="137"/>
      <c r="P797" s="137"/>
      <c r="Q797" s="126"/>
    </row>
    <row r="798" spans="3:17" x14ac:dyDescent="0.3">
      <c r="C798" s="126"/>
      <c r="F798" s="137"/>
      <c r="G798" s="138"/>
      <c r="H798" s="138"/>
      <c r="I798" s="139"/>
      <c r="J798" s="137"/>
      <c r="K798" s="137"/>
      <c r="M798" s="126"/>
      <c r="O798" s="137"/>
      <c r="P798" s="137"/>
      <c r="Q798" s="126"/>
    </row>
    <row r="799" spans="3:17" x14ac:dyDescent="0.3">
      <c r="C799" s="126"/>
      <c r="F799" s="137"/>
      <c r="G799" s="138"/>
      <c r="H799" s="138"/>
      <c r="I799" s="139"/>
      <c r="J799" s="137"/>
      <c r="K799" s="137"/>
      <c r="M799" s="126"/>
      <c r="O799" s="137"/>
      <c r="P799" s="137"/>
      <c r="Q799" s="126"/>
    </row>
    <row r="800" spans="3:17" x14ac:dyDescent="0.3">
      <c r="C800" s="126"/>
      <c r="F800" s="137"/>
      <c r="G800" s="138"/>
      <c r="H800" s="138"/>
      <c r="I800" s="139"/>
      <c r="J800" s="137"/>
      <c r="K800" s="137"/>
      <c r="M800" s="126"/>
      <c r="O800" s="137"/>
      <c r="P800" s="137"/>
      <c r="Q800" s="126"/>
    </row>
    <row r="801" spans="3:17" x14ac:dyDescent="0.3">
      <c r="C801" s="126"/>
      <c r="F801" s="137"/>
      <c r="G801" s="138"/>
      <c r="H801" s="138"/>
      <c r="I801" s="139"/>
      <c r="J801" s="137"/>
      <c r="K801" s="137"/>
      <c r="M801" s="126"/>
      <c r="O801" s="137"/>
      <c r="P801" s="137"/>
      <c r="Q801" s="126"/>
    </row>
    <row r="802" spans="3:17" x14ac:dyDescent="0.3">
      <c r="C802" s="126"/>
      <c r="F802" s="137"/>
      <c r="G802" s="138"/>
      <c r="H802" s="138"/>
      <c r="I802" s="139"/>
      <c r="J802" s="137"/>
      <c r="K802" s="137"/>
      <c r="M802" s="126"/>
      <c r="O802" s="137"/>
      <c r="P802" s="137"/>
      <c r="Q802" s="126"/>
    </row>
    <row r="803" spans="3:17" x14ac:dyDescent="0.3">
      <c r="C803" s="126"/>
      <c r="F803" s="137"/>
      <c r="G803" s="138"/>
      <c r="H803" s="138"/>
      <c r="I803" s="139"/>
      <c r="J803" s="137"/>
      <c r="K803" s="137"/>
      <c r="M803" s="126"/>
      <c r="O803" s="137"/>
      <c r="P803" s="137"/>
      <c r="Q803" s="126"/>
    </row>
    <row r="804" spans="3:17" x14ac:dyDescent="0.3">
      <c r="C804" s="126"/>
      <c r="F804" s="137"/>
      <c r="G804" s="138"/>
      <c r="H804" s="138"/>
      <c r="I804" s="139"/>
      <c r="J804" s="137"/>
      <c r="K804" s="137"/>
      <c r="M804" s="126"/>
      <c r="O804" s="137"/>
      <c r="P804" s="137"/>
      <c r="Q804" s="126"/>
    </row>
    <row r="805" spans="3:17" x14ac:dyDescent="0.3">
      <c r="C805" s="126"/>
      <c r="F805" s="137"/>
      <c r="G805" s="138"/>
      <c r="H805" s="138"/>
      <c r="I805" s="139"/>
      <c r="J805" s="137"/>
      <c r="K805" s="137"/>
      <c r="M805" s="126"/>
      <c r="O805" s="137"/>
      <c r="P805" s="137"/>
      <c r="Q805" s="126"/>
    </row>
    <row r="806" spans="3:17" x14ac:dyDescent="0.3">
      <c r="C806" s="126"/>
      <c r="F806" s="137"/>
      <c r="G806" s="138"/>
      <c r="H806" s="138"/>
      <c r="I806" s="139"/>
      <c r="J806" s="137"/>
      <c r="K806" s="137"/>
      <c r="M806" s="126"/>
      <c r="O806" s="137"/>
      <c r="P806" s="137"/>
      <c r="Q806" s="126"/>
    </row>
    <row r="807" spans="3:17" x14ac:dyDescent="0.3">
      <c r="C807" s="126"/>
      <c r="F807" s="137"/>
      <c r="G807" s="138"/>
      <c r="H807" s="138"/>
      <c r="I807" s="139"/>
      <c r="J807" s="137"/>
      <c r="K807" s="137"/>
      <c r="M807" s="126"/>
      <c r="O807" s="137"/>
      <c r="P807" s="137"/>
      <c r="Q807" s="126"/>
    </row>
    <row r="808" spans="3:17" x14ac:dyDescent="0.3">
      <c r="C808" s="126"/>
      <c r="F808" s="137"/>
      <c r="G808" s="138"/>
      <c r="H808" s="138"/>
      <c r="I808" s="139"/>
      <c r="J808" s="137"/>
      <c r="K808" s="137"/>
      <c r="M808" s="126"/>
      <c r="O808" s="137"/>
      <c r="P808" s="137"/>
      <c r="Q808" s="126"/>
    </row>
    <row r="809" spans="3:17" x14ac:dyDescent="0.3">
      <c r="C809" s="126"/>
      <c r="F809" s="137"/>
      <c r="G809" s="138"/>
      <c r="H809" s="138"/>
      <c r="I809" s="139"/>
      <c r="J809" s="137"/>
      <c r="K809" s="137"/>
      <c r="M809" s="126"/>
      <c r="O809" s="137"/>
      <c r="P809" s="137"/>
      <c r="Q809" s="126"/>
    </row>
    <row r="810" spans="3:17" x14ac:dyDescent="0.3">
      <c r="C810" s="126"/>
      <c r="F810" s="137"/>
      <c r="G810" s="138"/>
      <c r="H810" s="138"/>
      <c r="I810" s="139"/>
      <c r="J810" s="137"/>
      <c r="K810" s="137"/>
      <c r="M810" s="126"/>
      <c r="O810" s="137"/>
      <c r="P810" s="137"/>
      <c r="Q810" s="126"/>
    </row>
    <row r="811" spans="3:17" x14ac:dyDescent="0.3">
      <c r="C811" s="126"/>
      <c r="F811" s="137"/>
      <c r="G811" s="138"/>
      <c r="H811" s="138"/>
      <c r="I811" s="139"/>
      <c r="J811" s="137"/>
      <c r="K811" s="137"/>
      <c r="M811" s="126"/>
      <c r="O811" s="137"/>
      <c r="P811" s="137"/>
      <c r="Q811" s="126"/>
    </row>
    <row r="812" spans="3:17" x14ac:dyDescent="0.3">
      <c r="C812" s="126"/>
      <c r="F812" s="137"/>
      <c r="G812" s="138"/>
      <c r="H812" s="138"/>
      <c r="I812" s="139"/>
      <c r="J812" s="137"/>
      <c r="K812" s="137"/>
      <c r="M812" s="126"/>
      <c r="O812" s="137"/>
      <c r="P812" s="137"/>
      <c r="Q812" s="126"/>
    </row>
    <row r="813" spans="3:17" x14ac:dyDescent="0.3">
      <c r="C813" s="126"/>
      <c r="F813" s="137"/>
      <c r="G813" s="138"/>
      <c r="H813" s="138"/>
      <c r="I813" s="139"/>
      <c r="J813" s="137"/>
      <c r="K813" s="137"/>
      <c r="M813" s="126"/>
      <c r="O813" s="137"/>
      <c r="P813" s="137"/>
      <c r="Q813" s="126"/>
    </row>
    <row r="814" spans="3:17" x14ac:dyDescent="0.3">
      <c r="C814" s="126"/>
      <c r="F814" s="137"/>
      <c r="G814" s="138"/>
      <c r="H814" s="138"/>
      <c r="I814" s="139"/>
      <c r="J814" s="137"/>
      <c r="K814" s="137"/>
      <c r="M814" s="126"/>
      <c r="O814" s="137"/>
      <c r="P814" s="137"/>
      <c r="Q814" s="126"/>
    </row>
    <row r="815" spans="3:17" x14ac:dyDescent="0.3">
      <c r="C815" s="126"/>
      <c r="F815" s="137"/>
      <c r="G815" s="138"/>
      <c r="H815" s="138"/>
      <c r="I815" s="139"/>
      <c r="J815" s="137"/>
      <c r="K815" s="137"/>
      <c r="M815" s="126"/>
      <c r="O815" s="137"/>
      <c r="P815" s="137"/>
      <c r="Q815" s="126"/>
    </row>
    <row r="816" spans="3:17" x14ac:dyDescent="0.3">
      <c r="C816" s="126"/>
      <c r="F816" s="137"/>
      <c r="G816" s="138"/>
      <c r="H816" s="138"/>
      <c r="I816" s="139"/>
      <c r="J816" s="137"/>
      <c r="K816" s="137"/>
      <c r="M816" s="126"/>
      <c r="O816" s="137"/>
      <c r="P816" s="137"/>
      <c r="Q816" s="126"/>
    </row>
    <row r="817" spans="3:17" x14ac:dyDescent="0.3">
      <c r="C817" s="126"/>
      <c r="F817" s="137"/>
      <c r="G817" s="138"/>
      <c r="H817" s="138"/>
      <c r="I817" s="139"/>
      <c r="J817" s="137"/>
      <c r="K817" s="137"/>
      <c r="M817" s="126"/>
      <c r="O817" s="137"/>
      <c r="P817" s="137"/>
      <c r="Q817" s="126"/>
    </row>
    <row r="818" spans="3:17" x14ac:dyDescent="0.3">
      <c r="C818" s="126"/>
      <c r="F818" s="137"/>
      <c r="G818" s="138"/>
      <c r="H818" s="138"/>
      <c r="I818" s="139"/>
      <c r="J818" s="137"/>
      <c r="K818" s="137"/>
      <c r="M818" s="126"/>
      <c r="O818" s="137"/>
      <c r="P818" s="137"/>
      <c r="Q818" s="126"/>
    </row>
    <row r="819" spans="3:17" x14ac:dyDescent="0.3">
      <c r="C819" s="126"/>
      <c r="F819" s="137"/>
      <c r="G819" s="138"/>
      <c r="H819" s="138"/>
      <c r="I819" s="139"/>
      <c r="J819" s="137"/>
      <c r="K819" s="137"/>
      <c r="M819" s="126"/>
      <c r="O819" s="137"/>
      <c r="P819" s="137"/>
      <c r="Q819" s="126"/>
    </row>
    <row r="820" spans="3:17" x14ac:dyDescent="0.3">
      <c r="C820" s="126"/>
      <c r="F820" s="137"/>
      <c r="G820" s="138"/>
      <c r="H820" s="138"/>
      <c r="I820" s="139"/>
      <c r="J820" s="137"/>
      <c r="K820" s="137"/>
      <c r="M820" s="126"/>
      <c r="O820" s="137"/>
      <c r="P820" s="137"/>
      <c r="Q820" s="126"/>
    </row>
    <row r="821" spans="3:17" x14ac:dyDescent="0.3">
      <c r="C821" s="126"/>
      <c r="F821" s="137"/>
      <c r="G821" s="138"/>
      <c r="H821" s="138"/>
      <c r="I821" s="139"/>
      <c r="J821" s="137"/>
      <c r="K821" s="137"/>
      <c r="M821" s="126"/>
      <c r="O821" s="137"/>
      <c r="P821" s="137"/>
      <c r="Q821" s="126"/>
    </row>
    <row r="822" spans="3:17" x14ac:dyDescent="0.3">
      <c r="C822" s="126"/>
      <c r="F822" s="137"/>
      <c r="G822" s="138"/>
      <c r="H822" s="138"/>
      <c r="I822" s="139"/>
      <c r="J822" s="137"/>
      <c r="K822" s="137"/>
      <c r="M822" s="126"/>
      <c r="O822" s="137"/>
      <c r="P822" s="137"/>
      <c r="Q822" s="126"/>
    </row>
    <row r="823" spans="3:17" x14ac:dyDescent="0.3">
      <c r="C823" s="126"/>
      <c r="F823" s="137"/>
      <c r="G823" s="138"/>
      <c r="H823" s="138"/>
      <c r="I823" s="139"/>
      <c r="J823" s="137"/>
      <c r="K823" s="137"/>
      <c r="M823" s="126"/>
      <c r="O823" s="137"/>
      <c r="P823" s="137"/>
      <c r="Q823" s="126"/>
    </row>
    <row r="824" spans="3:17" x14ac:dyDescent="0.3">
      <c r="C824" s="126"/>
      <c r="F824" s="137"/>
      <c r="G824" s="138"/>
      <c r="H824" s="138"/>
      <c r="I824" s="139"/>
      <c r="J824" s="137"/>
      <c r="K824" s="137"/>
      <c r="M824" s="126"/>
      <c r="O824" s="137"/>
      <c r="P824" s="137"/>
      <c r="Q824" s="126"/>
    </row>
    <row r="825" spans="3:17" x14ac:dyDescent="0.3">
      <c r="C825" s="126"/>
      <c r="F825" s="137"/>
      <c r="G825" s="138"/>
      <c r="H825" s="138"/>
      <c r="I825" s="139"/>
      <c r="J825" s="137"/>
      <c r="K825" s="137"/>
      <c r="M825" s="126"/>
      <c r="O825" s="137"/>
      <c r="P825" s="137"/>
      <c r="Q825" s="126"/>
    </row>
    <row r="826" spans="3:17" x14ac:dyDescent="0.3">
      <c r="C826" s="126"/>
      <c r="F826" s="137"/>
      <c r="G826" s="138"/>
      <c r="H826" s="138"/>
      <c r="I826" s="139"/>
      <c r="J826" s="137"/>
      <c r="K826" s="137"/>
      <c r="M826" s="126"/>
      <c r="O826" s="137"/>
      <c r="P826" s="137"/>
      <c r="Q826" s="126"/>
    </row>
    <row r="827" spans="3:17" x14ac:dyDescent="0.3">
      <c r="C827" s="126"/>
      <c r="F827" s="137"/>
      <c r="G827" s="138"/>
      <c r="H827" s="138"/>
      <c r="I827" s="139"/>
      <c r="J827" s="137"/>
      <c r="K827" s="137"/>
      <c r="M827" s="126"/>
      <c r="O827" s="137"/>
      <c r="P827" s="137"/>
      <c r="Q827" s="126"/>
    </row>
    <row r="828" spans="3:17" x14ac:dyDescent="0.3">
      <c r="C828" s="126"/>
      <c r="F828" s="137"/>
      <c r="G828" s="138"/>
      <c r="H828" s="138"/>
      <c r="I828" s="139"/>
      <c r="J828" s="137"/>
      <c r="K828" s="137"/>
      <c r="M828" s="126"/>
      <c r="O828" s="137"/>
      <c r="P828" s="137"/>
      <c r="Q828" s="126"/>
    </row>
    <row r="829" spans="3:17" x14ac:dyDescent="0.3">
      <c r="C829" s="126"/>
      <c r="F829" s="137"/>
      <c r="G829" s="138"/>
      <c r="H829" s="138"/>
      <c r="I829" s="139"/>
      <c r="J829" s="137"/>
      <c r="K829" s="137"/>
      <c r="M829" s="126"/>
      <c r="O829" s="137"/>
      <c r="P829" s="137"/>
      <c r="Q829" s="126"/>
    </row>
    <row r="830" spans="3:17" x14ac:dyDescent="0.3">
      <c r="C830" s="126"/>
      <c r="F830" s="137"/>
      <c r="G830" s="138"/>
      <c r="H830" s="138"/>
      <c r="I830" s="139"/>
      <c r="J830" s="137"/>
      <c r="K830" s="137"/>
      <c r="M830" s="126"/>
      <c r="O830" s="137"/>
      <c r="P830" s="137"/>
      <c r="Q830" s="126"/>
    </row>
    <row r="831" spans="3:17" x14ac:dyDescent="0.3">
      <c r="C831" s="126"/>
      <c r="F831" s="137"/>
      <c r="G831" s="138"/>
      <c r="H831" s="138"/>
      <c r="I831" s="139"/>
      <c r="J831" s="137"/>
      <c r="K831" s="137"/>
      <c r="M831" s="126"/>
      <c r="O831" s="137"/>
      <c r="P831" s="137"/>
      <c r="Q831" s="126"/>
    </row>
    <row r="832" spans="3:17" x14ac:dyDescent="0.3">
      <c r="C832" s="126"/>
      <c r="F832" s="137"/>
      <c r="G832" s="138"/>
      <c r="H832" s="138"/>
      <c r="I832" s="139"/>
      <c r="J832" s="137"/>
      <c r="K832" s="137"/>
      <c r="M832" s="126"/>
      <c r="O832" s="137"/>
      <c r="P832" s="137"/>
      <c r="Q832" s="126"/>
    </row>
    <row r="833" spans="3:17" x14ac:dyDescent="0.3">
      <c r="C833" s="126"/>
      <c r="F833" s="137"/>
      <c r="G833" s="138"/>
      <c r="H833" s="138"/>
      <c r="I833" s="139"/>
      <c r="J833" s="137"/>
      <c r="K833" s="137"/>
      <c r="M833" s="126"/>
      <c r="O833" s="137"/>
      <c r="P833" s="137"/>
      <c r="Q833" s="126"/>
    </row>
    <row r="834" spans="3:17" x14ac:dyDescent="0.3">
      <c r="C834" s="126"/>
      <c r="F834" s="137"/>
      <c r="G834" s="138"/>
      <c r="H834" s="138"/>
      <c r="I834" s="139"/>
      <c r="J834" s="137"/>
      <c r="K834" s="137"/>
      <c r="M834" s="126"/>
      <c r="O834" s="137"/>
      <c r="P834" s="137"/>
      <c r="Q834" s="126"/>
    </row>
    <row r="835" spans="3:17" x14ac:dyDescent="0.3">
      <c r="C835" s="126"/>
      <c r="F835" s="137"/>
      <c r="G835" s="138"/>
      <c r="H835" s="138"/>
      <c r="I835" s="139"/>
      <c r="J835" s="137"/>
      <c r="K835" s="137"/>
      <c r="M835" s="126"/>
      <c r="O835" s="137"/>
      <c r="P835" s="137"/>
      <c r="Q835" s="126"/>
    </row>
    <row r="836" spans="3:17" x14ac:dyDescent="0.3">
      <c r="C836" s="126"/>
      <c r="F836" s="137"/>
      <c r="G836" s="138"/>
      <c r="H836" s="138"/>
      <c r="I836" s="139"/>
      <c r="J836" s="137"/>
      <c r="K836" s="137"/>
      <c r="M836" s="126"/>
      <c r="O836" s="137"/>
      <c r="P836" s="137"/>
      <c r="Q836" s="126"/>
    </row>
    <row r="837" spans="3:17" x14ac:dyDescent="0.3">
      <c r="C837" s="126"/>
      <c r="F837" s="137"/>
      <c r="G837" s="138"/>
      <c r="H837" s="138"/>
      <c r="I837" s="139"/>
      <c r="J837" s="137"/>
      <c r="K837" s="137"/>
      <c r="M837" s="126"/>
      <c r="O837" s="137"/>
      <c r="P837" s="137"/>
      <c r="Q837" s="126"/>
    </row>
    <row r="838" spans="3:17" x14ac:dyDescent="0.3">
      <c r="C838" s="126"/>
      <c r="F838" s="137"/>
      <c r="G838" s="138"/>
      <c r="H838" s="138"/>
      <c r="I838" s="139"/>
      <c r="J838" s="137"/>
      <c r="K838" s="137"/>
      <c r="M838" s="126"/>
      <c r="O838" s="137"/>
      <c r="P838" s="137"/>
      <c r="Q838" s="126"/>
    </row>
    <row r="839" spans="3:17" x14ac:dyDescent="0.3">
      <c r="C839" s="126"/>
      <c r="F839" s="137"/>
      <c r="G839" s="138"/>
      <c r="H839" s="138"/>
      <c r="I839" s="139"/>
      <c r="J839" s="137"/>
      <c r="K839" s="137"/>
      <c r="M839" s="126"/>
      <c r="O839" s="137"/>
      <c r="P839" s="137"/>
      <c r="Q839" s="126"/>
    </row>
    <row r="840" spans="3:17" x14ac:dyDescent="0.3">
      <c r="C840" s="126"/>
      <c r="F840" s="137"/>
      <c r="G840" s="138"/>
      <c r="H840" s="138"/>
      <c r="I840" s="139"/>
      <c r="J840" s="137"/>
      <c r="K840" s="137"/>
      <c r="M840" s="126"/>
      <c r="O840" s="137"/>
      <c r="P840" s="137"/>
      <c r="Q840" s="126"/>
    </row>
    <row r="841" spans="3:17" x14ac:dyDescent="0.3">
      <c r="C841" s="126"/>
      <c r="F841" s="137"/>
      <c r="G841" s="138"/>
      <c r="H841" s="138"/>
      <c r="I841" s="139"/>
      <c r="J841" s="137"/>
      <c r="K841" s="137"/>
      <c r="M841" s="126"/>
      <c r="O841" s="137"/>
      <c r="P841" s="137"/>
      <c r="Q841" s="126"/>
    </row>
    <row r="842" spans="3:17" x14ac:dyDescent="0.3">
      <c r="C842" s="126"/>
      <c r="F842" s="137"/>
      <c r="G842" s="138"/>
      <c r="H842" s="138"/>
      <c r="I842" s="139"/>
      <c r="J842" s="137"/>
      <c r="K842" s="137"/>
      <c r="M842" s="126"/>
      <c r="O842" s="137"/>
      <c r="P842" s="137"/>
      <c r="Q842" s="126"/>
    </row>
    <row r="843" spans="3:17" x14ac:dyDescent="0.3">
      <c r="C843" s="126"/>
      <c r="F843" s="137"/>
      <c r="G843" s="138"/>
      <c r="H843" s="138"/>
      <c r="I843" s="139"/>
      <c r="J843" s="137"/>
      <c r="K843" s="137"/>
      <c r="M843" s="126"/>
      <c r="O843" s="137"/>
      <c r="P843" s="137"/>
      <c r="Q843" s="126"/>
    </row>
    <row r="844" spans="3:17" x14ac:dyDescent="0.3">
      <c r="C844" s="126"/>
      <c r="F844" s="137"/>
      <c r="G844" s="138"/>
      <c r="H844" s="138"/>
      <c r="I844" s="139"/>
      <c r="J844" s="137"/>
      <c r="K844" s="137"/>
      <c r="M844" s="126"/>
      <c r="O844" s="137"/>
      <c r="P844" s="137"/>
      <c r="Q844" s="126"/>
    </row>
    <row r="845" spans="3:17" x14ac:dyDescent="0.3">
      <c r="C845" s="126"/>
      <c r="F845" s="137"/>
      <c r="G845" s="138"/>
      <c r="H845" s="138"/>
      <c r="I845" s="139"/>
      <c r="J845" s="137"/>
      <c r="K845" s="137"/>
      <c r="M845" s="126"/>
      <c r="O845" s="137"/>
      <c r="P845" s="137"/>
      <c r="Q845" s="126"/>
    </row>
    <row r="846" spans="3:17" x14ac:dyDescent="0.3">
      <c r="C846" s="126"/>
      <c r="F846" s="137"/>
      <c r="G846" s="138"/>
      <c r="H846" s="138"/>
      <c r="I846" s="139"/>
      <c r="J846" s="137"/>
      <c r="K846" s="137"/>
      <c r="M846" s="126"/>
      <c r="O846" s="137"/>
      <c r="P846" s="137"/>
      <c r="Q846" s="126"/>
    </row>
    <row r="847" spans="3:17" x14ac:dyDescent="0.3">
      <c r="C847" s="126"/>
      <c r="F847" s="137"/>
      <c r="G847" s="138"/>
      <c r="H847" s="138"/>
      <c r="I847" s="139"/>
      <c r="J847" s="137"/>
      <c r="K847" s="137"/>
      <c r="M847" s="126"/>
      <c r="O847" s="137"/>
      <c r="P847" s="137"/>
      <c r="Q847" s="126"/>
    </row>
    <row r="848" spans="3:17" x14ac:dyDescent="0.3">
      <c r="C848" s="126"/>
      <c r="F848" s="137"/>
      <c r="G848" s="138"/>
      <c r="H848" s="138"/>
      <c r="I848" s="139"/>
      <c r="J848" s="137"/>
      <c r="K848" s="137"/>
      <c r="M848" s="126"/>
      <c r="O848" s="137"/>
      <c r="P848" s="137"/>
      <c r="Q848" s="126"/>
    </row>
    <row r="849" spans="3:17" x14ac:dyDescent="0.3">
      <c r="C849" s="126"/>
      <c r="F849" s="137"/>
      <c r="G849" s="138"/>
      <c r="H849" s="138"/>
      <c r="I849" s="139"/>
      <c r="J849" s="137"/>
      <c r="K849" s="137"/>
      <c r="M849" s="126"/>
      <c r="O849" s="137"/>
      <c r="P849" s="137"/>
      <c r="Q849" s="126"/>
    </row>
    <row r="850" spans="3:17" x14ac:dyDescent="0.3">
      <c r="C850" s="126"/>
      <c r="F850" s="137"/>
      <c r="G850" s="138"/>
      <c r="H850" s="138"/>
      <c r="I850" s="139"/>
      <c r="J850" s="137"/>
      <c r="K850" s="137"/>
      <c r="M850" s="126"/>
      <c r="O850" s="137"/>
      <c r="P850" s="137"/>
      <c r="Q850" s="126"/>
    </row>
    <row r="851" spans="3:17" x14ac:dyDescent="0.3">
      <c r="C851" s="126"/>
      <c r="F851" s="137"/>
      <c r="G851" s="138"/>
      <c r="H851" s="138"/>
      <c r="I851" s="139"/>
      <c r="J851" s="137"/>
      <c r="K851" s="137"/>
      <c r="M851" s="126"/>
      <c r="O851" s="137"/>
      <c r="P851" s="137"/>
      <c r="Q851" s="126"/>
    </row>
    <row r="852" spans="3:17" x14ac:dyDescent="0.3">
      <c r="C852" s="126"/>
      <c r="F852" s="137"/>
      <c r="G852" s="138"/>
      <c r="H852" s="138"/>
      <c r="I852" s="139"/>
      <c r="J852" s="137"/>
      <c r="K852" s="137"/>
      <c r="M852" s="126"/>
      <c r="O852" s="137"/>
      <c r="P852" s="137"/>
      <c r="Q852" s="126"/>
    </row>
    <row r="853" spans="3:17" x14ac:dyDescent="0.3">
      <c r="C853" s="126"/>
      <c r="F853" s="137"/>
      <c r="G853" s="138"/>
      <c r="H853" s="138"/>
      <c r="I853" s="139"/>
      <c r="J853" s="137"/>
      <c r="K853" s="137"/>
      <c r="M853" s="126"/>
      <c r="O853" s="137"/>
      <c r="P853" s="137"/>
      <c r="Q853" s="126"/>
    </row>
    <row r="854" spans="3:17" x14ac:dyDescent="0.3">
      <c r="C854" s="126"/>
      <c r="F854" s="137"/>
      <c r="G854" s="138"/>
      <c r="H854" s="138"/>
      <c r="I854" s="139"/>
      <c r="J854" s="137"/>
      <c r="K854" s="137"/>
      <c r="M854" s="126"/>
      <c r="O854" s="137"/>
      <c r="P854" s="137"/>
      <c r="Q854" s="126"/>
    </row>
    <row r="855" spans="3:17" x14ac:dyDescent="0.3">
      <c r="C855" s="126"/>
      <c r="F855" s="137"/>
      <c r="G855" s="138"/>
      <c r="H855" s="138"/>
      <c r="I855" s="139"/>
      <c r="J855" s="137"/>
      <c r="K855" s="137"/>
      <c r="M855" s="126"/>
      <c r="O855" s="137"/>
      <c r="P855" s="137"/>
      <c r="Q855" s="126"/>
    </row>
    <row r="856" spans="3:17" x14ac:dyDescent="0.3">
      <c r="C856" s="126"/>
      <c r="F856" s="137"/>
      <c r="G856" s="138"/>
      <c r="H856" s="138"/>
      <c r="I856" s="139"/>
      <c r="J856" s="137"/>
      <c r="K856" s="137"/>
      <c r="M856" s="126"/>
      <c r="O856" s="137"/>
      <c r="P856" s="137"/>
      <c r="Q856" s="126"/>
    </row>
    <row r="857" spans="3:17" x14ac:dyDescent="0.3">
      <c r="C857" s="126"/>
      <c r="F857" s="137"/>
      <c r="G857" s="138"/>
      <c r="H857" s="138"/>
      <c r="I857" s="139"/>
      <c r="J857" s="137"/>
      <c r="K857" s="137"/>
      <c r="M857" s="126"/>
      <c r="O857" s="137"/>
      <c r="P857" s="137"/>
      <c r="Q857" s="126"/>
    </row>
    <row r="858" spans="3:17" x14ac:dyDescent="0.3">
      <c r="C858" s="126"/>
      <c r="F858" s="137"/>
      <c r="G858" s="138"/>
      <c r="H858" s="138"/>
      <c r="I858" s="139"/>
      <c r="J858" s="137"/>
      <c r="K858" s="137"/>
      <c r="M858" s="126"/>
      <c r="O858" s="137"/>
      <c r="P858" s="137"/>
      <c r="Q858" s="126"/>
    </row>
    <row r="859" spans="3:17" x14ac:dyDescent="0.3">
      <c r="C859" s="126"/>
      <c r="F859" s="137"/>
      <c r="G859" s="138"/>
      <c r="H859" s="138"/>
      <c r="I859" s="139"/>
      <c r="J859" s="137"/>
      <c r="K859" s="137"/>
      <c r="M859" s="126"/>
      <c r="O859" s="137"/>
      <c r="P859" s="137"/>
      <c r="Q859" s="126"/>
    </row>
    <row r="860" spans="3:17" x14ac:dyDescent="0.3">
      <c r="C860" s="126"/>
      <c r="F860" s="137"/>
      <c r="G860" s="138"/>
      <c r="H860" s="138"/>
      <c r="I860" s="139"/>
      <c r="J860" s="137"/>
      <c r="K860" s="137"/>
      <c r="M860" s="126"/>
      <c r="O860" s="137"/>
      <c r="P860" s="137"/>
      <c r="Q860" s="126"/>
    </row>
    <row r="861" spans="3:17" x14ac:dyDescent="0.3">
      <c r="C861" s="126"/>
      <c r="F861" s="137"/>
      <c r="G861" s="138"/>
      <c r="H861" s="138"/>
      <c r="I861" s="139"/>
      <c r="J861" s="137"/>
      <c r="K861" s="137"/>
      <c r="M861" s="126"/>
      <c r="O861" s="137"/>
      <c r="P861" s="137"/>
      <c r="Q861" s="126"/>
    </row>
    <row r="862" spans="3:17" x14ac:dyDescent="0.3">
      <c r="C862" s="126"/>
      <c r="F862" s="137"/>
      <c r="G862" s="138"/>
      <c r="H862" s="138"/>
      <c r="I862" s="139"/>
      <c r="J862" s="137"/>
      <c r="K862" s="137"/>
      <c r="M862" s="126"/>
      <c r="O862" s="137"/>
      <c r="P862" s="137"/>
      <c r="Q862" s="126"/>
    </row>
    <row r="863" spans="3:17" x14ac:dyDescent="0.3">
      <c r="C863" s="126"/>
      <c r="F863" s="137"/>
      <c r="G863" s="138"/>
      <c r="H863" s="138"/>
      <c r="I863" s="139"/>
      <c r="J863" s="137"/>
      <c r="K863" s="137"/>
      <c r="M863" s="126"/>
      <c r="O863" s="137"/>
      <c r="P863" s="137"/>
      <c r="Q863" s="126"/>
    </row>
    <row r="864" spans="3:17" x14ac:dyDescent="0.3">
      <c r="C864" s="126"/>
      <c r="F864" s="137"/>
      <c r="G864" s="138"/>
      <c r="H864" s="138"/>
      <c r="I864" s="139"/>
      <c r="J864" s="137"/>
      <c r="K864" s="137"/>
      <c r="M864" s="126"/>
      <c r="O864" s="137"/>
      <c r="P864" s="137"/>
      <c r="Q864" s="126"/>
    </row>
    <row r="865" spans="3:17" x14ac:dyDescent="0.3">
      <c r="C865" s="126"/>
      <c r="F865" s="137"/>
      <c r="G865" s="138"/>
      <c r="H865" s="138"/>
      <c r="I865" s="139"/>
      <c r="J865" s="137"/>
      <c r="K865" s="137"/>
      <c r="M865" s="126"/>
      <c r="O865" s="137"/>
      <c r="P865" s="137"/>
      <c r="Q865" s="126"/>
    </row>
    <row r="866" spans="3:17" x14ac:dyDescent="0.3">
      <c r="C866" s="126"/>
      <c r="F866" s="137"/>
      <c r="G866" s="138"/>
      <c r="H866" s="138"/>
      <c r="I866" s="139"/>
      <c r="J866" s="137"/>
      <c r="K866" s="137"/>
      <c r="M866" s="126"/>
      <c r="O866" s="137"/>
      <c r="P866" s="137"/>
      <c r="Q866" s="126"/>
    </row>
    <row r="867" spans="3:17" x14ac:dyDescent="0.3">
      <c r="C867" s="126"/>
      <c r="F867" s="137"/>
      <c r="G867" s="138"/>
      <c r="H867" s="138"/>
      <c r="I867" s="139"/>
      <c r="J867" s="137"/>
      <c r="K867" s="137"/>
      <c r="M867" s="126"/>
      <c r="O867" s="137"/>
      <c r="P867" s="137"/>
      <c r="Q867" s="126"/>
    </row>
    <row r="868" spans="3:17" x14ac:dyDescent="0.3">
      <c r="C868" s="126"/>
      <c r="F868" s="137"/>
      <c r="G868" s="138"/>
      <c r="H868" s="138"/>
      <c r="I868" s="139"/>
      <c r="J868" s="137"/>
      <c r="K868" s="137"/>
      <c r="M868" s="126"/>
      <c r="O868" s="137"/>
      <c r="P868" s="137"/>
      <c r="Q868" s="126"/>
    </row>
    <row r="869" spans="3:17" x14ac:dyDescent="0.3">
      <c r="C869" s="126"/>
      <c r="F869" s="137"/>
      <c r="G869" s="138"/>
      <c r="H869" s="138"/>
      <c r="I869" s="139"/>
      <c r="J869" s="137"/>
      <c r="K869" s="137"/>
      <c r="M869" s="126"/>
      <c r="O869" s="137"/>
      <c r="P869" s="137"/>
      <c r="Q869" s="126"/>
    </row>
    <row r="870" spans="3:17" x14ac:dyDescent="0.3">
      <c r="C870" s="126"/>
      <c r="F870" s="137"/>
      <c r="G870" s="138"/>
      <c r="H870" s="138"/>
      <c r="I870" s="139"/>
      <c r="J870" s="137"/>
      <c r="K870" s="137"/>
      <c r="M870" s="126"/>
      <c r="O870" s="137"/>
      <c r="P870" s="137"/>
      <c r="Q870" s="126"/>
    </row>
    <row r="871" spans="3:17" x14ac:dyDescent="0.3">
      <c r="C871" s="126"/>
      <c r="F871" s="137"/>
      <c r="G871" s="138"/>
      <c r="H871" s="138"/>
      <c r="I871" s="139"/>
      <c r="J871" s="137"/>
      <c r="K871" s="137"/>
      <c r="M871" s="126"/>
      <c r="O871" s="137"/>
      <c r="P871" s="137"/>
      <c r="Q871" s="126"/>
    </row>
    <row r="872" spans="3:17" x14ac:dyDescent="0.3">
      <c r="C872" s="126"/>
      <c r="F872" s="137"/>
      <c r="G872" s="138"/>
      <c r="H872" s="138"/>
      <c r="I872" s="139"/>
      <c r="J872" s="137"/>
      <c r="K872" s="137"/>
      <c r="M872" s="126"/>
      <c r="O872" s="137"/>
      <c r="P872" s="137"/>
      <c r="Q872" s="126"/>
    </row>
    <row r="873" spans="3:17" x14ac:dyDescent="0.3">
      <c r="C873" s="126"/>
      <c r="F873" s="137"/>
      <c r="G873" s="138"/>
      <c r="H873" s="138"/>
      <c r="I873" s="139"/>
      <c r="J873" s="137"/>
      <c r="K873" s="137"/>
      <c r="M873" s="126"/>
      <c r="O873" s="137"/>
      <c r="P873" s="137"/>
      <c r="Q873" s="126"/>
    </row>
    <row r="874" spans="3:17" x14ac:dyDescent="0.3">
      <c r="C874" s="126"/>
      <c r="F874" s="137"/>
      <c r="G874" s="138"/>
      <c r="H874" s="138"/>
      <c r="I874" s="139"/>
      <c r="J874" s="137"/>
      <c r="K874" s="137"/>
      <c r="M874" s="126"/>
      <c r="O874" s="137"/>
      <c r="P874" s="137"/>
      <c r="Q874" s="126"/>
    </row>
    <row r="875" spans="3:17" x14ac:dyDescent="0.3">
      <c r="C875" s="126"/>
      <c r="F875" s="137"/>
      <c r="G875" s="138"/>
      <c r="H875" s="138"/>
      <c r="I875" s="139"/>
      <c r="J875" s="137"/>
      <c r="K875" s="137"/>
      <c r="M875" s="126"/>
      <c r="O875" s="137"/>
      <c r="P875" s="137"/>
      <c r="Q875" s="126"/>
    </row>
    <row r="876" spans="3:17" x14ac:dyDescent="0.3">
      <c r="C876" s="126"/>
      <c r="F876" s="137"/>
      <c r="G876" s="138"/>
      <c r="H876" s="138"/>
      <c r="I876" s="139"/>
      <c r="J876" s="137"/>
      <c r="K876" s="137"/>
      <c r="M876" s="126"/>
      <c r="O876" s="137"/>
      <c r="P876" s="137"/>
      <c r="Q876" s="126"/>
    </row>
    <row r="877" spans="3:17" x14ac:dyDescent="0.3">
      <c r="C877" s="126"/>
      <c r="F877" s="137"/>
      <c r="G877" s="138"/>
      <c r="H877" s="138"/>
      <c r="I877" s="139"/>
      <c r="J877" s="137"/>
      <c r="K877" s="137"/>
      <c r="M877" s="126"/>
      <c r="O877" s="137"/>
      <c r="P877" s="137"/>
      <c r="Q877" s="126"/>
    </row>
    <row r="878" spans="3:17" x14ac:dyDescent="0.3">
      <c r="C878" s="126"/>
      <c r="F878" s="137"/>
      <c r="G878" s="138"/>
      <c r="H878" s="138"/>
      <c r="I878" s="139"/>
      <c r="J878" s="137"/>
      <c r="K878" s="137"/>
      <c r="M878" s="126"/>
      <c r="O878" s="137"/>
      <c r="P878" s="137"/>
      <c r="Q878" s="126"/>
    </row>
    <row r="879" spans="3:17" x14ac:dyDescent="0.3">
      <c r="C879" s="126"/>
      <c r="F879" s="137"/>
      <c r="G879" s="138"/>
      <c r="H879" s="138"/>
      <c r="I879" s="139"/>
      <c r="J879" s="137"/>
      <c r="K879" s="137"/>
      <c r="M879" s="126"/>
      <c r="O879" s="137"/>
      <c r="P879" s="137"/>
      <c r="Q879" s="126"/>
    </row>
    <row r="880" spans="3:17" x14ac:dyDescent="0.3">
      <c r="C880" s="126"/>
      <c r="F880" s="137"/>
      <c r="G880" s="138"/>
      <c r="H880" s="138"/>
      <c r="I880" s="139"/>
      <c r="J880" s="137"/>
      <c r="K880" s="137"/>
      <c r="M880" s="126"/>
      <c r="O880" s="137"/>
      <c r="P880" s="137"/>
      <c r="Q880" s="126"/>
    </row>
    <row r="881" spans="3:17" x14ac:dyDescent="0.3">
      <c r="C881" s="126"/>
      <c r="F881" s="137"/>
      <c r="G881" s="138"/>
      <c r="H881" s="138"/>
      <c r="I881" s="139"/>
      <c r="J881" s="137"/>
      <c r="K881" s="137"/>
      <c r="M881" s="126"/>
      <c r="O881" s="137"/>
      <c r="P881" s="137"/>
      <c r="Q881" s="126"/>
    </row>
    <row r="882" spans="3:17" x14ac:dyDescent="0.3">
      <c r="C882" s="126"/>
      <c r="F882" s="137"/>
      <c r="G882" s="138"/>
      <c r="H882" s="138"/>
      <c r="I882" s="139"/>
      <c r="J882" s="137"/>
      <c r="K882" s="137"/>
      <c r="M882" s="126"/>
      <c r="O882" s="137"/>
      <c r="P882" s="137"/>
      <c r="Q882" s="126"/>
    </row>
    <row r="883" spans="3:17" x14ac:dyDescent="0.3">
      <c r="C883" s="126"/>
      <c r="F883" s="137"/>
      <c r="G883" s="138"/>
      <c r="H883" s="138"/>
      <c r="I883" s="139"/>
      <c r="J883" s="137"/>
      <c r="K883" s="137"/>
      <c r="M883" s="126"/>
      <c r="O883" s="137"/>
      <c r="P883" s="137"/>
      <c r="Q883" s="126"/>
    </row>
    <row r="884" spans="3:17" x14ac:dyDescent="0.3">
      <c r="C884" s="126"/>
      <c r="F884" s="137"/>
      <c r="G884" s="138"/>
      <c r="H884" s="138"/>
      <c r="I884" s="139"/>
      <c r="J884" s="137"/>
      <c r="K884" s="137"/>
      <c r="M884" s="126"/>
      <c r="O884" s="137"/>
      <c r="P884" s="137"/>
      <c r="Q884" s="126"/>
    </row>
    <row r="885" spans="3:17" x14ac:dyDescent="0.3">
      <c r="C885" s="126"/>
      <c r="F885" s="137"/>
      <c r="G885" s="138"/>
      <c r="H885" s="138"/>
      <c r="I885" s="139"/>
      <c r="J885" s="137"/>
      <c r="K885" s="137"/>
      <c r="M885" s="126"/>
      <c r="O885" s="137"/>
      <c r="P885" s="137"/>
      <c r="Q885" s="126"/>
    </row>
    <row r="886" spans="3:17" x14ac:dyDescent="0.3">
      <c r="C886" s="126"/>
      <c r="F886" s="137"/>
      <c r="G886" s="138"/>
      <c r="H886" s="138"/>
      <c r="I886" s="139"/>
      <c r="J886" s="137"/>
      <c r="K886" s="137"/>
      <c r="M886" s="126"/>
      <c r="O886" s="137"/>
      <c r="P886" s="137"/>
      <c r="Q886" s="126"/>
    </row>
    <row r="887" spans="3:17" x14ac:dyDescent="0.3">
      <c r="C887" s="126"/>
      <c r="F887" s="137"/>
      <c r="G887" s="138"/>
      <c r="H887" s="138"/>
      <c r="I887" s="139"/>
      <c r="J887" s="137"/>
      <c r="K887" s="137"/>
      <c r="M887" s="126"/>
      <c r="O887" s="137"/>
      <c r="P887" s="137"/>
      <c r="Q887" s="126"/>
    </row>
    <row r="888" spans="3:17" x14ac:dyDescent="0.3">
      <c r="C888" s="126"/>
      <c r="F888" s="137"/>
      <c r="G888" s="138"/>
      <c r="H888" s="138"/>
      <c r="I888" s="139"/>
      <c r="J888" s="137"/>
      <c r="K888" s="137"/>
      <c r="M888" s="126"/>
      <c r="O888" s="137"/>
      <c r="P888" s="137"/>
      <c r="Q888" s="126"/>
    </row>
    <row r="889" spans="3:17" x14ac:dyDescent="0.3">
      <c r="C889" s="126"/>
      <c r="F889" s="137"/>
      <c r="G889" s="138"/>
      <c r="H889" s="138"/>
      <c r="I889" s="139"/>
      <c r="J889" s="137"/>
      <c r="K889" s="137"/>
      <c r="M889" s="126"/>
      <c r="O889" s="137"/>
      <c r="P889" s="137"/>
      <c r="Q889" s="126"/>
    </row>
    <row r="890" spans="3:17" x14ac:dyDescent="0.3">
      <c r="C890" s="126"/>
      <c r="F890" s="137"/>
      <c r="G890" s="138"/>
      <c r="H890" s="138"/>
      <c r="I890" s="139"/>
      <c r="J890" s="137"/>
      <c r="K890" s="137"/>
      <c r="M890" s="126"/>
      <c r="O890" s="137"/>
      <c r="P890" s="137"/>
      <c r="Q890" s="126"/>
    </row>
    <row r="891" spans="3:17" x14ac:dyDescent="0.3">
      <c r="C891" s="126"/>
      <c r="F891" s="137"/>
      <c r="G891" s="138"/>
      <c r="H891" s="138"/>
      <c r="I891" s="139"/>
      <c r="J891" s="137"/>
      <c r="K891" s="137"/>
      <c r="M891" s="126"/>
      <c r="O891" s="137"/>
      <c r="P891" s="137"/>
      <c r="Q891" s="126"/>
    </row>
    <row r="892" spans="3:17" x14ac:dyDescent="0.3">
      <c r="C892" s="126"/>
      <c r="F892" s="137"/>
      <c r="G892" s="138"/>
      <c r="H892" s="138"/>
      <c r="I892" s="139"/>
      <c r="J892" s="137"/>
      <c r="K892" s="137"/>
      <c r="M892" s="126"/>
      <c r="O892" s="137"/>
      <c r="P892" s="137"/>
      <c r="Q892" s="126"/>
    </row>
    <row r="893" spans="3:17" x14ac:dyDescent="0.3">
      <c r="C893" s="126"/>
      <c r="F893" s="137"/>
      <c r="G893" s="138"/>
      <c r="H893" s="138"/>
      <c r="I893" s="139"/>
      <c r="J893" s="137"/>
      <c r="K893" s="137"/>
      <c r="M893" s="126"/>
      <c r="O893" s="137"/>
      <c r="P893" s="137"/>
      <c r="Q893" s="126"/>
    </row>
    <row r="894" spans="3:17" x14ac:dyDescent="0.3">
      <c r="C894" s="126"/>
      <c r="F894" s="137"/>
      <c r="G894" s="138"/>
      <c r="H894" s="138"/>
      <c r="I894" s="139"/>
      <c r="J894" s="137"/>
      <c r="K894" s="137"/>
      <c r="M894" s="126"/>
      <c r="O894" s="137"/>
      <c r="P894" s="137"/>
      <c r="Q894" s="126"/>
    </row>
    <row r="895" spans="3:17" x14ac:dyDescent="0.3">
      <c r="C895" s="126"/>
      <c r="F895" s="137"/>
      <c r="G895" s="138"/>
      <c r="H895" s="138"/>
      <c r="I895" s="139"/>
      <c r="J895" s="137"/>
      <c r="K895" s="137"/>
      <c r="M895" s="126"/>
      <c r="O895" s="137"/>
      <c r="P895" s="137"/>
      <c r="Q895" s="126"/>
    </row>
    <row r="896" spans="3:17" x14ac:dyDescent="0.3">
      <c r="C896" s="126"/>
      <c r="F896" s="137"/>
      <c r="G896" s="138"/>
      <c r="H896" s="138"/>
      <c r="I896" s="139"/>
      <c r="J896" s="137"/>
      <c r="K896" s="137"/>
      <c r="M896" s="126"/>
      <c r="O896" s="137"/>
      <c r="P896" s="137"/>
      <c r="Q896" s="126"/>
    </row>
    <row r="897" spans="3:17" x14ac:dyDescent="0.3">
      <c r="C897" s="126"/>
      <c r="F897" s="137"/>
      <c r="G897" s="138"/>
      <c r="H897" s="138"/>
      <c r="I897" s="139"/>
      <c r="J897" s="137"/>
      <c r="K897" s="137"/>
      <c r="M897" s="126"/>
      <c r="O897" s="137"/>
      <c r="P897" s="137"/>
      <c r="Q897" s="126"/>
    </row>
    <row r="898" spans="3:17" x14ac:dyDescent="0.3">
      <c r="C898" s="126"/>
      <c r="F898" s="137"/>
      <c r="G898" s="138"/>
      <c r="H898" s="138"/>
      <c r="I898" s="139"/>
      <c r="J898" s="137"/>
      <c r="K898" s="137"/>
      <c r="M898" s="126"/>
      <c r="O898" s="137"/>
      <c r="P898" s="137"/>
      <c r="Q898" s="126"/>
    </row>
    <row r="899" spans="3:17" x14ac:dyDescent="0.3">
      <c r="C899" s="126"/>
      <c r="F899" s="137"/>
      <c r="G899" s="138"/>
      <c r="H899" s="138"/>
      <c r="I899" s="139"/>
      <c r="J899" s="137"/>
      <c r="K899" s="137"/>
      <c r="M899" s="126"/>
      <c r="O899" s="137"/>
      <c r="P899" s="137"/>
      <c r="Q899" s="126"/>
    </row>
    <row r="900" spans="3:17" x14ac:dyDescent="0.3">
      <c r="C900" s="126"/>
      <c r="F900" s="137"/>
      <c r="G900" s="138"/>
      <c r="H900" s="138"/>
      <c r="I900" s="139"/>
      <c r="J900" s="137"/>
      <c r="K900" s="137"/>
      <c r="M900" s="126"/>
      <c r="O900" s="137"/>
      <c r="P900" s="137"/>
      <c r="Q900" s="126"/>
    </row>
    <row r="901" spans="3:17" x14ac:dyDescent="0.3">
      <c r="C901" s="126"/>
      <c r="F901" s="137"/>
      <c r="G901" s="138"/>
      <c r="H901" s="138"/>
      <c r="I901" s="139"/>
      <c r="J901" s="137"/>
      <c r="K901" s="137"/>
      <c r="M901" s="126"/>
      <c r="O901" s="137"/>
      <c r="P901" s="137"/>
      <c r="Q901" s="126"/>
    </row>
    <row r="902" spans="3:17" x14ac:dyDescent="0.3">
      <c r="C902" s="126"/>
      <c r="F902" s="137"/>
      <c r="G902" s="138"/>
      <c r="H902" s="138"/>
      <c r="I902" s="139"/>
      <c r="J902" s="137"/>
      <c r="K902" s="137"/>
      <c r="M902" s="126"/>
      <c r="O902" s="137"/>
      <c r="P902" s="137"/>
      <c r="Q902" s="126"/>
    </row>
    <row r="903" spans="3:17" x14ac:dyDescent="0.3">
      <c r="C903" s="126"/>
      <c r="F903" s="137"/>
      <c r="G903" s="138"/>
      <c r="H903" s="138"/>
      <c r="I903" s="139"/>
      <c r="J903" s="137"/>
      <c r="K903" s="137"/>
      <c r="M903" s="126"/>
      <c r="O903" s="137"/>
      <c r="P903" s="137"/>
      <c r="Q903" s="126"/>
    </row>
    <row r="904" spans="3:17" x14ac:dyDescent="0.3">
      <c r="C904" s="126"/>
      <c r="F904" s="137"/>
      <c r="G904" s="138"/>
      <c r="H904" s="138"/>
      <c r="I904" s="139"/>
      <c r="J904" s="137"/>
      <c r="K904" s="137"/>
      <c r="M904" s="126"/>
      <c r="O904" s="137"/>
      <c r="P904" s="137"/>
      <c r="Q904" s="126"/>
    </row>
    <row r="905" spans="3:17" x14ac:dyDescent="0.3">
      <c r="C905" s="126"/>
      <c r="F905" s="137"/>
      <c r="G905" s="138"/>
      <c r="H905" s="138"/>
      <c r="I905" s="139"/>
      <c r="J905" s="137"/>
      <c r="K905" s="137"/>
      <c r="M905" s="126"/>
      <c r="O905" s="137"/>
      <c r="P905" s="137"/>
      <c r="Q905" s="126"/>
    </row>
    <row r="906" spans="3:17" x14ac:dyDescent="0.3">
      <c r="C906" s="126"/>
      <c r="F906" s="137"/>
      <c r="G906" s="138"/>
      <c r="H906" s="138"/>
      <c r="I906" s="139"/>
      <c r="J906" s="137"/>
      <c r="K906" s="137"/>
      <c r="M906" s="126"/>
      <c r="O906" s="137"/>
      <c r="P906" s="137"/>
      <c r="Q906" s="126"/>
    </row>
    <row r="907" spans="3:17" x14ac:dyDescent="0.3">
      <c r="C907" s="126"/>
      <c r="F907" s="137"/>
      <c r="G907" s="138"/>
      <c r="H907" s="138"/>
      <c r="I907" s="139"/>
      <c r="J907" s="137"/>
      <c r="K907" s="137"/>
      <c r="M907" s="126"/>
      <c r="O907" s="137"/>
      <c r="P907" s="137"/>
      <c r="Q907" s="126"/>
    </row>
    <row r="908" spans="3:17" x14ac:dyDescent="0.3">
      <c r="C908" s="126"/>
      <c r="F908" s="137"/>
      <c r="G908" s="138"/>
      <c r="H908" s="138"/>
      <c r="I908" s="139"/>
      <c r="J908" s="137"/>
      <c r="K908" s="137"/>
      <c r="M908" s="126"/>
      <c r="O908" s="137"/>
      <c r="P908" s="137"/>
      <c r="Q908" s="126"/>
    </row>
    <row r="909" spans="3:17" x14ac:dyDescent="0.3">
      <c r="C909" s="126"/>
      <c r="F909" s="137"/>
      <c r="G909" s="138"/>
      <c r="H909" s="138"/>
      <c r="I909" s="139"/>
      <c r="J909" s="137"/>
      <c r="K909" s="137"/>
      <c r="M909" s="126"/>
      <c r="O909" s="137"/>
      <c r="P909" s="137"/>
      <c r="Q909" s="126"/>
    </row>
    <row r="910" spans="3:17" x14ac:dyDescent="0.3">
      <c r="C910" s="126"/>
      <c r="F910" s="137"/>
      <c r="G910" s="138"/>
      <c r="H910" s="138"/>
      <c r="I910" s="139"/>
      <c r="J910" s="137"/>
      <c r="K910" s="137"/>
      <c r="M910" s="126"/>
      <c r="O910" s="137"/>
      <c r="P910" s="137"/>
      <c r="Q910" s="126"/>
    </row>
    <row r="911" spans="3:17" x14ac:dyDescent="0.3">
      <c r="C911" s="126"/>
      <c r="F911" s="137"/>
      <c r="G911" s="138"/>
      <c r="H911" s="138"/>
      <c r="I911" s="139"/>
      <c r="J911" s="137"/>
      <c r="K911" s="137"/>
      <c r="M911" s="126"/>
      <c r="O911" s="137"/>
      <c r="P911" s="137"/>
      <c r="Q911" s="126"/>
    </row>
    <row r="912" spans="3:17" x14ac:dyDescent="0.3">
      <c r="C912" s="126"/>
      <c r="F912" s="137"/>
      <c r="G912" s="138"/>
      <c r="H912" s="138"/>
      <c r="I912" s="139"/>
      <c r="J912" s="137"/>
      <c r="K912" s="137"/>
      <c r="M912" s="126"/>
      <c r="O912" s="137"/>
      <c r="P912" s="137"/>
      <c r="Q912" s="126"/>
    </row>
    <row r="913" spans="3:17" x14ac:dyDescent="0.3">
      <c r="C913" s="126"/>
      <c r="F913" s="137"/>
      <c r="G913" s="138"/>
      <c r="H913" s="138"/>
      <c r="I913" s="139"/>
      <c r="J913" s="137"/>
      <c r="K913" s="137"/>
      <c r="M913" s="126"/>
      <c r="O913" s="137"/>
      <c r="P913" s="137"/>
      <c r="Q913" s="126"/>
    </row>
    <row r="914" spans="3:17" x14ac:dyDescent="0.3">
      <c r="C914" s="126"/>
      <c r="F914" s="137"/>
      <c r="G914" s="138"/>
      <c r="H914" s="138"/>
      <c r="I914" s="139"/>
      <c r="J914" s="137"/>
      <c r="K914" s="137"/>
      <c r="M914" s="126"/>
      <c r="O914" s="137"/>
      <c r="P914" s="137"/>
      <c r="Q914" s="126"/>
    </row>
    <row r="915" spans="3:17" x14ac:dyDescent="0.3">
      <c r="C915" s="126"/>
      <c r="F915" s="137"/>
      <c r="G915" s="138"/>
      <c r="H915" s="138"/>
      <c r="I915" s="139"/>
      <c r="J915" s="137"/>
      <c r="K915" s="137"/>
      <c r="M915" s="126"/>
      <c r="O915" s="137"/>
      <c r="P915" s="137"/>
      <c r="Q915" s="126"/>
    </row>
    <row r="916" spans="3:17" x14ac:dyDescent="0.3">
      <c r="C916" s="126"/>
      <c r="F916" s="137"/>
      <c r="G916" s="138"/>
      <c r="H916" s="138"/>
      <c r="I916" s="139"/>
      <c r="J916" s="137"/>
      <c r="K916" s="137"/>
      <c r="M916" s="126"/>
      <c r="O916" s="137"/>
      <c r="P916" s="137"/>
      <c r="Q916" s="126"/>
    </row>
    <row r="917" spans="3:17" x14ac:dyDescent="0.3">
      <c r="C917" s="126"/>
      <c r="F917" s="137"/>
      <c r="G917" s="138"/>
      <c r="H917" s="138"/>
      <c r="I917" s="139"/>
      <c r="J917" s="137"/>
      <c r="K917" s="137"/>
      <c r="M917" s="126"/>
      <c r="O917" s="137"/>
      <c r="P917" s="137"/>
      <c r="Q917" s="126"/>
    </row>
    <row r="918" spans="3:17" x14ac:dyDescent="0.3">
      <c r="C918" s="126"/>
      <c r="F918" s="137"/>
      <c r="G918" s="138"/>
      <c r="H918" s="138"/>
      <c r="I918" s="139"/>
      <c r="J918" s="137"/>
      <c r="K918" s="137"/>
      <c r="M918" s="126"/>
      <c r="O918" s="137"/>
      <c r="P918" s="137"/>
      <c r="Q918" s="126"/>
    </row>
    <row r="919" spans="3:17" x14ac:dyDescent="0.3">
      <c r="C919" s="126"/>
      <c r="F919" s="137"/>
      <c r="G919" s="138"/>
      <c r="H919" s="138"/>
      <c r="I919" s="139"/>
      <c r="J919" s="137"/>
      <c r="K919" s="137"/>
      <c r="M919" s="126"/>
      <c r="O919" s="137"/>
      <c r="P919" s="137"/>
      <c r="Q919" s="126"/>
    </row>
    <row r="920" spans="3:17" x14ac:dyDescent="0.3">
      <c r="C920" s="126"/>
      <c r="F920" s="137"/>
      <c r="G920" s="138"/>
      <c r="H920" s="138"/>
      <c r="I920" s="139"/>
      <c r="J920" s="137"/>
      <c r="K920" s="137"/>
      <c r="M920" s="126"/>
      <c r="O920" s="137"/>
      <c r="P920" s="137"/>
      <c r="Q920" s="126"/>
    </row>
    <row r="921" spans="3:17" x14ac:dyDescent="0.3">
      <c r="C921" s="126"/>
      <c r="F921" s="137"/>
      <c r="G921" s="138"/>
      <c r="H921" s="138"/>
      <c r="I921" s="139"/>
      <c r="J921" s="137"/>
      <c r="K921" s="137"/>
      <c r="M921" s="126"/>
      <c r="O921" s="137"/>
      <c r="P921" s="137"/>
      <c r="Q921" s="126"/>
    </row>
    <row r="922" spans="3:17" x14ac:dyDescent="0.3">
      <c r="C922" s="126"/>
      <c r="F922" s="137"/>
      <c r="G922" s="138"/>
      <c r="H922" s="138"/>
      <c r="I922" s="139"/>
      <c r="J922" s="137"/>
      <c r="K922" s="137"/>
      <c r="M922" s="126"/>
      <c r="O922" s="137"/>
      <c r="P922" s="137"/>
      <c r="Q922" s="126"/>
    </row>
    <row r="923" spans="3:17" x14ac:dyDescent="0.3">
      <c r="C923" s="126"/>
      <c r="F923" s="137"/>
      <c r="G923" s="138"/>
      <c r="H923" s="138"/>
      <c r="I923" s="139"/>
      <c r="J923" s="137"/>
      <c r="K923" s="137"/>
      <c r="M923" s="126"/>
      <c r="O923" s="137"/>
      <c r="P923" s="137"/>
      <c r="Q923" s="126"/>
    </row>
    <row r="924" spans="3:17" x14ac:dyDescent="0.3">
      <c r="C924" s="126"/>
      <c r="F924" s="137"/>
      <c r="G924" s="138"/>
      <c r="H924" s="138"/>
      <c r="I924" s="139"/>
      <c r="J924" s="137"/>
      <c r="K924" s="137"/>
      <c r="M924" s="126"/>
      <c r="O924" s="137"/>
      <c r="P924" s="137"/>
      <c r="Q924" s="126"/>
    </row>
    <row r="925" spans="3:17" x14ac:dyDescent="0.3">
      <c r="C925" s="126"/>
      <c r="F925" s="137"/>
      <c r="G925" s="138"/>
      <c r="H925" s="138"/>
      <c r="I925" s="139"/>
      <c r="J925" s="137"/>
      <c r="K925" s="137"/>
      <c r="M925" s="126"/>
      <c r="O925" s="137"/>
      <c r="P925" s="137"/>
      <c r="Q925" s="126"/>
    </row>
    <row r="926" spans="3:17" x14ac:dyDescent="0.3">
      <c r="C926" s="126"/>
      <c r="F926" s="137"/>
      <c r="G926" s="138"/>
      <c r="H926" s="138"/>
      <c r="I926" s="139"/>
      <c r="J926" s="137"/>
      <c r="K926" s="137"/>
      <c r="M926" s="126"/>
      <c r="O926" s="137"/>
      <c r="P926" s="137"/>
      <c r="Q926" s="126"/>
    </row>
    <row r="927" spans="3:17" x14ac:dyDescent="0.3">
      <c r="C927" s="126"/>
      <c r="F927" s="137"/>
      <c r="G927" s="138"/>
      <c r="H927" s="138"/>
      <c r="I927" s="139"/>
      <c r="J927" s="137"/>
      <c r="K927" s="137"/>
      <c r="M927" s="126"/>
      <c r="O927" s="137"/>
      <c r="P927" s="137"/>
      <c r="Q927" s="126"/>
    </row>
    <row r="928" spans="3:17" x14ac:dyDescent="0.3">
      <c r="C928" s="126"/>
      <c r="F928" s="137"/>
      <c r="G928" s="138"/>
      <c r="H928" s="138"/>
      <c r="I928" s="139"/>
      <c r="J928" s="137"/>
      <c r="K928" s="137"/>
      <c r="M928" s="126"/>
      <c r="O928" s="137"/>
      <c r="P928" s="137"/>
      <c r="Q928" s="126"/>
    </row>
    <row r="929" spans="3:17" x14ac:dyDescent="0.3">
      <c r="C929" s="126"/>
      <c r="F929" s="137"/>
      <c r="G929" s="138"/>
      <c r="H929" s="138"/>
      <c r="I929" s="139"/>
      <c r="J929" s="137"/>
      <c r="K929" s="137"/>
      <c r="M929" s="126"/>
      <c r="O929" s="137"/>
      <c r="P929" s="137"/>
      <c r="Q929" s="126"/>
    </row>
    <row r="930" spans="3:17" x14ac:dyDescent="0.3">
      <c r="C930" s="126"/>
      <c r="F930" s="137"/>
      <c r="G930" s="138"/>
      <c r="H930" s="138"/>
      <c r="I930" s="139"/>
      <c r="J930" s="137"/>
      <c r="K930" s="137"/>
      <c r="M930" s="126"/>
      <c r="O930" s="137"/>
      <c r="P930" s="137"/>
      <c r="Q930" s="126"/>
    </row>
    <row r="931" spans="3:17" x14ac:dyDescent="0.3">
      <c r="C931" s="126"/>
      <c r="F931" s="137"/>
      <c r="G931" s="138"/>
      <c r="H931" s="138"/>
      <c r="I931" s="139"/>
      <c r="J931" s="137"/>
      <c r="K931" s="137"/>
      <c r="M931" s="126"/>
      <c r="O931" s="137"/>
      <c r="P931" s="137"/>
      <c r="Q931" s="126"/>
    </row>
    <row r="932" spans="3:17" x14ac:dyDescent="0.3">
      <c r="C932" s="126"/>
      <c r="F932" s="137"/>
      <c r="G932" s="138"/>
      <c r="H932" s="138"/>
      <c r="I932" s="139"/>
      <c r="J932" s="137"/>
      <c r="K932" s="137"/>
      <c r="M932" s="126"/>
      <c r="O932" s="137"/>
      <c r="P932" s="137"/>
      <c r="Q932" s="126"/>
    </row>
    <row r="933" spans="3:17" x14ac:dyDescent="0.3">
      <c r="C933" s="126"/>
      <c r="F933" s="137"/>
      <c r="G933" s="138"/>
      <c r="H933" s="138"/>
      <c r="I933" s="139"/>
      <c r="J933" s="137"/>
      <c r="K933" s="137"/>
      <c r="M933" s="126"/>
      <c r="O933" s="137"/>
      <c r="P933" s="137"/>
      <c r="Q933" s="126"/>
    </row>
    <row r="934" spans="3:17" x14ac:dyDescent="0.3">
      <c r="C934" s="126"/>
      <c r="F934" s="137"/>
      <c r="G934" s="138"/>
      <c r="H934" s="138"/>
      <c r="I934" s="139"/>
      <c r="J934" s="137"/>
      <c r="K934" s="137"/>
      <c r="M934" s="126"/>
      <c r="O934" s="137"/>
      <c r="P934" s="137"/>
      <c r="Q934" s="126"/>
    </row>
    <row r="935" spans="3:17" x14ac:dyDescent="0.3">
      <c r="C935" s="126"/>
      <c r="F935" s="137"/>
      <c r="G935" s="138"/>
      <c r="H935" s="138"/>
      <c r="I935" s="139"/>
      <c r="J935" s="137"/>
      <c r="K935" s="137"/>
      <c r="M935" s="126"/>
      <c r="O935" s="137"/>
      <c r="P935" s="137"/>
      <c r="Q935" s="126"/>
    </row>
    <row r="936" spans="3:17" x14ac:dyDescent="0.3">
      <c r="C936" s="126"/>
      <c r="F936" s="137"/>
      <c r="G936" s="138"/>
      <c r="H936" s="138"/>
      <c r="I936" s="139"/>
      <c r="J936" s="137"/>
      <c r="K936" s="137"/>
      <c r="M936" s="126"/>
      <c r="O936" s="137"/>
      <c r="P936" s="137"/>
      <c r="Q936" s="126"/>
    </row>
    <row r="937" spans="3:17" x14ac:dyDescent="0.3">
      <c r="C937" s="126"/>
      <c r="F937" s="137"/>
      <c r="G937" s="138"/>
      <c r="H937" s="138"/>
      <c r="I937" s="139"/>
      <c r="J937" s="137"/>
      <c r="K937" s="137"/>
      <c r="M937" s="126"/>
      <c r="O937" s="137"/>
      <c r="P937" s="137"/>
      <c r="Q937" s="126"/>
    </row>
    <row r="938" spans="3:17" x14ac:dyDescent="0.3">
      <c r="C938" s="126"/>
      <c r="F938" s="137"/>
      <c r="G938" s="138"/>
      <c r="H938" s="138"/>
      <c r="I938" s="139"/>
      <c r="J938" s="137"/>
      <c r="K938" s="137"/>
      <c r="M938" s="126"/>
      <c r="O938" s="137"/>
      <c r="P938" s="137"/>
      <c r="Q938" s="126"/>
    </row>
    <row r="939" spans="3:17" x14ac:dyDescent="0.3">
      <c r="C939" s="126"/>
      <c r="F939" s="137"/>
      <c r="G939" s="138"/>
      <c r="H939" s="138"/>
      <c r="I939" s="139"/>
      <c r="J939" s="137"/>
      <c r="K939" s="137"/>
      <c r="M939" s="126"/>
      <c r="O939" s="137"/>
      <c r="P939" s="137"/>
      <c r="Q939" s="126"/>
    </row>
    <row r="940" spans="3:17" x14ac:dyDescent="0.3">
      <c r="C940" s="126"/>
      <c r="F940" s="137"/>
      <c r="G940" s="138"/>
      <c r="H940" s="138"/>
      <c r="I940" s="139"/>
      <c r="J940" s="137"/>
      <c r="K940" s="137"/>
      <c r="M940" s="126"/>
      <c r="O940" s="137"/>
      <c r="P940" s="137"/>
      <c r="Q940" s="126"/>
    </row>
    <row r="941" spans="3:17" x14ac:dyDescent="0.3">
      <c r="C941" s="126"/>
      <c r="F941" s="137"/>
      <c r="G941" s="138"/>
      <c r="H941" s="138"/>
      <c r="I941" s="139"/>
      <c r="J941" s="137"/>
      <c r="K941" s="137"/>
      <c r="M941" s="126"/>
      <c r="O941" s="137"/>
      <c r="P941" s="137"/>
      <c r="Q941" s="126"/>
    </row>
    <row r="942" spans="3:17" x14ac:dyDescent="0.3">
      <c r="C942" s="126"/>
      <c r="F942" s="137"/>
      <c r="G942" s="138"/>
      <c r="H942" s="138"/>
      <c r="I942" s="139"/>
      <c r="J942" s="137"/>
      <c r="K942" s="137"/>
      <c r="M942" s="126"/>
      <c r="O942" s="137"/>
      <c r="P942" s="137"/>
      <c r="Q942" s="126"/>
    </row>
    <row r="943" spans="3:17" x14ac:dyDescent="0.3">
      <c r="C943" s="126"/>
      <c r="F943" s="137"/>
      <c r="G943" s="138"/>
      <c r="H943" s="138"/>
      <c r="I943" s="139"/>
      <c r="J943" s="137"/>
      <c r="K943" s="137"/>
      <c r="M943" s="126"/>
      <c r="O943" s="137"/>
      <c r="P943" s="137"/>
      <c r="Q943" s="126"/>
    </row>
    <row r="944" spans="3:17" x14ac:dyDescent="0.3">
      <c r="C944" s="126"/>
      <c r="F944" s="137"/>
      <c r="G944" s="138"/>
      <c r="H944" s="138"/>
      <c r="I944" s="139"/>
      <c r="J944" s="137"/>
      <c r="K944" s="137"/>
      <c r="M944" s="126"/>
      <c r="O944" s="137"/>
      <c r="P944" s="137"/>
      <c r="Q944" s="126"/>
    </row>
    <row r="945" spans="3:17" x14ac:dyDescent="0.3">
      <c r="C945" s="126"/>
      <c r="F945" s="137"/>
      <c r="G945" s="138"/>
      <c r="H945" s="138"/>
      <c r="I945" s="139"/>
      <c r="J945" s="137"/>
      <c r="K945" s="137"/>
      <c r="M945" s="126"/>
      <c r="O945" s="137"/>
      <c r="P945" s="137"/>
      <c r="Q945" s="126"/>
    </row>
    <row r="946" spans="3:17" x14ac:dyDescent="0.3">
      <c r="C946" s="126"/>
      <c r="F946" s="137"/>
      <c r="G946" s="138"/>
      <c r="H946" s="138"/>
      <c r="I946" s="139"/>
      <c r="J946" s="137"/>
      <c r="K946" s="137"/>
      <c r="M946" s="126"/>
      <c r="O946" s="137"/>
      <c r="P946" s="137"/>
      <c r="Q946" s="126"/>
    </row>
    <row r="947" spans="3:17" x14ac:dyDescent="0.3">
      <c r="C947" s="126"/>
      <c r="F947" s="137"/>
      <c r="G947" s="138"/>
      <c r="H947" s="138"/>
      <c r="I947" s="139"/>
      <c r="J947" s="137"/>
      <c r="K947" s="137"/>
      <c r="M947" s="126"/>
      <c r="O947" s="137"/>
      <c r="P947" s="137"/>
      <c r="Q947" s="126"/>
    </row>
    <row r="948" spans="3:17" x14ac:dyDescent="0.3">
      <c r="C948" s="126"/>
      <c r="F948" s="137"/>
      <c r="G948" s="138"/>
      <c r="H948" s="138"/>
      <c r="I948" s="139"/>
      <c r="J948" s="137"/>
      <c r="K948" s="137"/>
      <c r="M948" s="126"/>
      <c r="O948" s="137"/>
      <c r="P948" s="137"/>
      <c r="Q948" s="126"/>
    </row>
    <row r="949" spans="3:17" x14ac:dyDescent="0.3">
      <c r="C949" s="126"/>
      <c r="F949" s="137"/>
      <c r="G949" s="138"/>
      <c r="H949" s="138"/>
      <c r="I949" s="139"/>
      <c r="J949" s="137"/>
      <c r="K949" s="137"/>
      <c r="M949" s="126"/>
      <c r="O949" s="137"/>
      <c r="P949" s="137"/>
      <c r="Q949" s="126"/>
    </row>
    <row r="950" spans="3:17" x14ac:dyDescent="0.3">
      <c r="C950" s="126"/>
      <c r="F950" s="137"/>
      <c r="G950" s="138"/>
      <c r="H950" s="138"/>
      <c r="I950" s="139"/>
      <c r="J950" s="137"/>
      <c r="K950" s="137"/>
      <c r="M950" s="126"/>
      <c r="O950" s="137"/>
      <c r="P950" s="137"/>
      <c r="Q950" s="126"/>
    </row>
    <row r="951" spans="3:17" x14ac:dyDescent="0.3">
      <c r="C951" s="126"/>
      <c r="F951" s="137"/>
      <c r="G951" s="138"/>
      <c r="H951" s="138"/>
      <c r="I951" s="139"/>
      <c r="J951" s="137"/>
      <c r="K951" s="137"/>
      <c r="M951" s="126"/>
      <c r="O951" s="137"/>
      <c r="P951" s="137"/>
      <c r="Q951" s="126"/>
    </row>
    <row r="952" spans="3:17" x14ac:dyDescent="0.3">
      <c r="C952" s="126"/>
      <c r="F952" s="137"/>
      <c r="G952" s="138"/>
      <c r="H952" s="138"/>
      <c r="I952" s="139"/>
      <c r="J952" s="137"/>
      <c r="K952" s="137"/>
      <c r="M952" s="126"/>
      <c r="O952" s="137"/>
      <c r="P952" s="137"/>
      <c r="Q952" s="126"/>
    </row>
    <row r="953" spans="3:17" x14ac:dyDescent="0.3">
      <c r="C953" s="126"/>
      <c r="F953" s="137"/>
      <c r="G953" s="138"/>
      <c r="H953" s="138"/>
      <c r="I953" s="139"/>
      <c r="J953" s="137"/>
      <c r="K953" s="137"/>
      <c r="M953" s="126"/>
      <c r="O953" s="137"/>
      <c r="P953" s="137"/>
      <c r="Q953" s="126"/>
    </row>
    <row r="954" spans="3:17" x14ac:dyDescent="0.3">
      <c r="C954" s="126"/>
      <c r="F954" s="137"/>
      <c r="G954" s="138"/>
      <c r="H954" s="138"/>
      <c r="I954" s="139"/>
      <c r="J954" s="137"/>
      <c r="K954" s="137"/>
      <c r="M954" s="126"/>
      <c r="O954" s="137"/>
      <c r="P954" s="137"/>
      <c r="Q954" s="126"/>
    </row>
    <row r="955" spans="3:17" x14ac:dyDescent="0.3">
      <c r="C955" s="126"/>
      <c r="F955" s="137"/>
      <c r="G955" s="138"/>
      <c r="H955" s="138"/>
      <c r="I955" s="139"/>
      <c r="J955" s="137"/>
      <c r="K955" s="137"/>
      <c r="M955" s="126"/>
      <c r="O955" s="137"/>
      <c r="P955" s="137"/>
      <c r="Q955" s="126"/>
    </row>
    <row r="956" spans="3:17" x14ac:dyDescent="0.3">
      <c r="C956" s="126"/>
      <c r="F956" s="137"/>
      <c r="G956" s="138"/>
      <c r="H956" s="138"/>
      <c r="I956" s="139"/>
      <c r="J956" s="137"/>
      <c r="K956" s="137"/>
      <c r="M956" s="126"/>
      <c r="O956" s="137"/>
      <c r="P956" s="137"/>
      <c r="Q956" s="126"/>
    </row>
    <row r="957" spans="3:17" x14ac:dyDescent="0.3">
      <c r="C957" s="126"/>
      <c r="F957" s="137"/>
      <c r="G957" s="138"/>
      <c r="H957" s="138"/>
      <c r="I957" s="139"/>
      <c r="J957" s="137"/>
      <c r="K957" s="137"/>
      <c r="M957" s="126"/>
      <c r="O957" s="137"/>
      <c r="P957" s="137"/>
      <c r="Q957" s="126"/>
    </row>
    <row r="958" spans="3:17" x14ac:dyDescent="0.3">
      <c r="C958" s="126"/>
      <c r="F958" s="137"/>
      <c r="G958" s="138"/>
      <c r="H958" s="138"/>
      <c r="I958" s="139"/>
      <c r="J958" s="137"/>
      <c r="K958" s="137"/>
      <c r="M958" s="126"/>
      <c r="O958" s="137"/>
      <c r="P958" s="137"/>
      <c r="Q958" s="126"/>
    </row>
    <row r="959" spans="3:17" x14ac:dyDescent="0.3">
      <c r="C959" s="126"/>
      <c r="F959" s="137"/>
      <c r="G959" s="138"/>
      <c r="H959" s="138"/>
      <c r="I959" s="139"/>
      <c r="J959" s="137"/>
      <c r="K959" s="137"/>
      <c r="M959" s="126"/>
      <c r="O959" s="137"/>
      <c r="P959" s="137"/>
      <c r="Q959" s="126"/>
    </row>
    <row r="960" spans="3:17" x14ac:dyDescent="0.3">
      <c r="C960" s="126"/>
      <c r="F960" s="137"/>
      <c r="G960" s="138"/>
      <c r="H960" s="138"/>
      <c r="I960" s="139"/>
      <c r="J960" s="137"/>
      <c r="K960" s="137"/>
      <c r="M960" s="126"/>
      <c r="O960" s="137"/>
      <c r="P960" s="137"/>
      <c r="Q960" s="126"/>
    </row>
    <row r="961" spans="3:17" x14ac:dyDescent="0.3">
      <c r="C961" s="126"/>
      <c r="F961" s="137"/>
      <c r="G961" s="138"/>
      <c r="H961" s="138"/>
      <c r="I961" s="139"/>
      <c r="J961" s="137"/>
      <c r="K961" s="137"/>
      <c r="M961" s="126"/>
      <c r="O961" s="137"/>
      <c r="P961" s="137"/>
      <c r="Q961" s="126"/>
    </row>
    <row r="962" spans="3:17" x14ac:dyDescent="0.3">
      <c r="C962" s="126"/>
      <c r="F962" s="137"/>
      <c r="G962" s="138"/>
      <c r="H962" s="138"/>
      <c r="I962" s="139"/>
      <c r="J962" s="137"/>
      <c r="K962" s="137"/>
      <c r="M962" s="126"/>
      <c r="O962" s="137"/>
      <c r="P962" s="137"/>
      <c r="Q962" s="126"/>
    </row>
    <row r="963" spans="3:17" x14ac:dyDescent="0.3">
      <c r="C963" s="126"/>
      <c r="F963" s="137"/>
      <c r="G963" s="138"/>
      <c r="H963" s="138"/>
      <c r="I963" s="139"/>
      <c r="J963" s="137"/>
      <c r="K963" s="137"/>
      <c r="M963" s="126"/>
      <c r="O963" s="137"/>
      <c r="P963" s="137"/>
      <c r="Q963" s="126"/>
    </row>
    <row r="964" spans="3:17" x14ac:dyDescent="0.3">
      <c r="C964" s="126"/>
      <c r="F964" s="137"/>
      <c r="G964" s="138"/>
      <c r="H964" s="138"/>
      <c r="I964" s="139"/>
      <c r="J964" s="137"/>
      <c r="K964" s="137"/>
      <c r="M964" s="126"/>
      <c r="O964" s="137"/>
      <c r="P964" s="137"/>
      <c r="Q964" s="126"/>
    </row>
    <row r="965" spans="3:17" x14ac:dyDescent="0.3">
      <c r="C965" s="126"/>
      <c r="F965" s="137"/>
      <c r="G965" s="138"/>
      <c r="H965" s="138"/>
      <c r="I965" s="139"/>
      <c r="J965" s="137"/>
      <c r="K965" s="137"/>
      <c r="M965" s="126"/>
      <c r="O965" s="137"/>
      <c r="P965" s="137"/>
      <c r="Q965" s="126"/>
    </row>
    <row r="966" spans="3:17" x14ac:dyDescent="0.3">
      <c r="C966" s="126"/>
      <c r="F966" s="137"/>
      <c r="G966" s="138"/>
      <c r="H966" s="138"/>
      <c r="I966" s="139"/>
      <c r="J966" s="137"/>
      <c r="K966" s="137"/>
      <c r="M966" s="126"/>
      <c r="O966" s="137"/>
      <c r="P966" s="137"/>
      <c r="Q966" s="126"/>
    </row>
    <row r="967" spans="3:17" x14ac:dyDescent="0.3">
      <c r="C967" s="126"/>
      <c r="F967" s="137"/>
      <c r="G967" s="138"/>
      <c r="H967" s="138"/>
      <c r="I967" s="139"/>
      <c r="J967" s="137"/>
      <c r="K967" s="137"/>
      <c r="M967" s="126"/>
      <c r="O967" s="137"/>
      <c r="P967" s="137"/>
      <c r="Q967" s="126"/>
    </row>
    <row r="968" spans="3:17" x14ac:dyDescent="0.3">
      <c r="C968" s="126"/>
      <c r="F968" s="137"/>
      <c r="G968" s="138"/>
      <c r="H968" s="138"/>
      <c r="I968" s="139"/>
      <c r="J968" s="137"/>
      <c r="K968" s="137"/>
      <c r="M968" s="126"/>
      <c r="O968" s="137"/>
      <c r="P968" s="137"/>
      <c r="Q968" s="126"/>
    </row>
    <row r="969" spans="3:17" x14ac:dyDescent="0.3">
      <c r="C969" s="126"/>
      <c r="F969" s="137"/>
      <c r="G969" s="138"/>
      <c r="H969" s="138"/>
      <c r="I969" s="139"/>
      <c r="J969" s="137"/>
      <c r="K969" s="137"/>
      <c r="M969" s="126"/>
      <c r="O969" s="137"/>
      <c r="P969" s="137"/>
      <c r="Q969" s="126"/>
    </row>
    <row r="970" spans="3:17" x14ac:dyDescent="0.3">
      <c r="C970" s="126"/>
      <c r="F970" s="137"/>
      <c r="G970" s="138"/>
      <c r="H970" s="138"/>
      <c r="I970" s="139"/>
      <c r="J970" s="137"/>
      <c r="K970" s="137"/>
      <c r="M970" s="126"/>
      <c r="O970" s="137"/>
      <c r="P970" s="137"/>
      <c r="Q970" s="126"/>
    </row>
    <row r="971" spans="3:17" x14ac:dyDescent="0.3">
      <c r="C971" s="126"/>
      <c r="F971" s="137"/>
      <c r="G971" s="138"/>
      <c r="H971" s="138"/>
      <c r="I971" s="139"/>
      <c r="J971" s="137"/>
      <c r="K971" s="137"/>
      <c r="M971" s="126"/>
      <c r="O971" s="137"/>
      <c r="P971" s="137"/>
      <c r="Q971" s="126"/>
    </row>
    <row r="972" spans="3:17" x14ac:dyDescent="0.3">
      <c r="C972" s="126"/>
      <c r="F972" s="137"/>
      <c r="G972" s="138"/>
      <c r="H972" s="138"/>
      <c r="I972" s="139"/>
      <c r="J972" s="137"/>
      <c r="K972" s="137"/>
      <c r="M972" s="126"/>
      <c r="O972" s="137"/>
      <c r="P972" s="137"/>
      <c r="Q972" s="126"/>
    </row>
    <row r="973" spans="3:17" x14ac:dyDescent="0.3">
      <c r="C973" s="126"/>
      <c r="F973" s="137"/>
      <c r="G973" s="138"/>
      <c r="H973" s="138"/>
      <c r="I973" s="139"/>
      <c r="J973" s="137"/>
      <c r="K973" s="137"/>
      <c r="M973" s="126"/>
      <c r="O973" s="137"/>
      <c r="P973" s="137"/>
      <c r="Q973" s="126"/>
    </row>
    <row r="974" spans="3:17" x14ac:dyDescent="0.3">
      <c r="C974" s="126"/>
      <c r="F974" s="137"/>
      <c r="G974" s="138"/>
      <c r="H974" s="138"/>
      <c r="I974" s="139"/>
      <c r="J974" s="137"/>
      <c r="K974" s="137"/>
      <c r="M974" s="126"/>
      <c r="O974" s="137"/>
      <c r="P974" s="137"/>
      <c r="Q974" s="126"/>
    </row>
    <row r="975" spans="3:17" x14ac:dyDescent="0.3">
      <c r="C975" s="126"/>
      <c r="F975" s="137"/>
      <c r="G975" s="138"/>
      <c r="H975" s="138"/>
      <c r="I975" s="139"/>
      <c r="J975" s="137"/>
      <c r="K975" s="137"/>
      <c r="M975" s="126"/>
      <c r="O975" s="137"/>
      <c r="P975" s="137"/>
      <c r="Q975" s="126"/>
    </row>
    <row r="976" spans="3:17" x14ac:dyDescent="0.3">
      <c r="C976" s="126"/>
      <c r="F976" s="137"/>
      <c r="G976" s="138"/>
      <c r="H976" s="138"/>
      <c r="I976" s="139"/>
      <c r="J976" s="137"/>
      <c r="K976" s="137"/>
      <c r="M976" s="126"/>
      <c r="O976" s="137"/>
      <c r="P976" s="137"/>
      <c r="Q976" s="126"/>
    </row>
    <row r="977" spans="3:17" x14ac:dyDescent="0.3">
      <c r="C977" s="126"/>
      <c r="F977" s="137"/>
      <c r="G977" s="138"/>
      <c r="H977" s="138"/>
      <c r="I977" s="139"/>
      <c r="J977" s="137"/>
      <c r="K977" s="137"/>
      <c r="M977" s="126"/>
      <c r="O977" s="137"/>
      <c r="P977" s="137"/>
      <c r="Q977" s="126"/>
    </row>
    <row r="978" spans="3:17" x14ac:dyDescent="0.3">
      <c r="C978" s="126"/>
      <c r="F978" s="137"/>
      <c r="G978" s="138"/>
      <c r="H978" s="138"/>
      <c r="I978" s="139"/>
      <c r="J978" s="137"/>
      <c r="K978" s="137"/>
      <c r="M978" s="126"/>
      <c r="O978" s="137"/>
      <c r="P978" s="137"/>
      <c r="Q978" s="126"/>
    </row>
    <row r="979" spans="3:17" x14ac:dyDescent="0.3">
      <c r="C979" s="126"/>
      <c r="F979" s="137"/>
      <c r="G979" s="138"/>
      <c r="H979" s="138"/>
      <c r="I979" s="139"/>
      <c r="J979" s="137"/>
      <c r="K979" s="137"/>
      <c r="M979" s="126"/>
      <c r="O979" s="137"/>
      <c r="P979" s="137"/>
      <c r="Q979" s="126"/>
    </row>
    <row r="980" spans="3:17" x14ac:dyDescent="0.3">
      <c r="C980" s="126"/>
      <c r="F980" s="137"/>
      <c r="G980" s="138"/>
      <c r="H980" s="138"/>
      <c r="I980" s="139"/>
      <c r="J980" s="137"/>
      <c r="K980" s="137"/>
      <c r="M980" s="126"/>
      <c r="O980" s="137"/>
      <c r="P980" s="137"/>
      <c r="Q980" s="126"/>
    </row>
    <row r="981" spans="3:17" x14ac:dyDescent="0.3">
      <c r="C981" s="126"/>
      <c r="F981" s="137"/>
      <c r="G981" s="138"/>
      <c r="H981" s="138"/>
      <c r="I981" s="139"/>
      <c r="J981" s="137"/>
      <c r="K981" s="137"/>
      <c r="M981" s="126"/>
      <c r="O981" s="137"/>
      <c r="P981" s="137"/>
      <c r="Q981" s="126"/>
    </row>
    <row r="982" spans="3:17" x14ac:dyDescent="0.3">
      <c r="C982" s="126"/>
      <c r="F982" s="137"/>
      <c r="G982" s="138"/>
      <c r="H982" s="138"/>
      <c r="I982" s="139"/>
      <c r="J982" s="137"/>
      <c r="K982" s="137"/>
      <c r="M982" s="126"/>
      <c r="O982" s="137"/>
      <c r="P982" s="137"/>
      <c r="Q982" s="126"/>
    </row>
    <row r="983" spans="3:17" x14ac:dyDescent="0.3">
      <c r="C983" s="126"/>
      <c r="F983" s="137"/>
      <c r="G983" s="138"/>
      <c r="H983" s="138"/>
      <c r="I983" s="139"/>
      <c r="J983" s="137"/>
      <c r="K983" s="137"/>
      <c r="M983" s="126"/>
      <c r="O983" s="137"/>
      <c r="P983" s="137"/>
      <c r="Q983" s="126"/>
    </row>
    <row r="984" spans="3:17" x14ac:dyDescent="0.3">
      <c r="C984" s="126"/>
      <c r="F984" s="137"/>
      <c r="G984" s="138"/>
      <c r="H984" s="138"/>
      <c r="I984" s="139"/>
      <c r="J984" s="137"/>
      <c r="K984" s="137"/>
      <c r="M984" s="126"/>
      <c r="O984" s="137"/>
      <c r="P984" s="137"/>
      <c r="Q984" s="126"/>
    </row>
    <row r="985" spans="3:17" x14ac:dyDescent="0.3">
      <c r="C985" s="126"/>
      <c r="F985" s="137"/>
      <c r="G985" s="138"/>
      <c r="H985" s="138"/>
      <c r="I985" s="139"/>
      <c r="J985" s="137"/>
      <c r="K985" s="137"/>
      <c r="M985" s="126"/>
      <c r="O985" s="137"/>
      <c r="P985" s="137"/>
      <c r="Q985" s="126"/>
    </row>
    <row r="986" spans="3:17" x14ac:dyDescent="0.3">
      <c r="C986" s="126"/>
      <c r="F986" s="137"/>
      <c r="G986" s="138"/>
      <c r="H986" s="138"/>
      <c r="I986" s="139"/>
      <c r="J986" s="137"/>
      <c r="K986" s="137"/>
      <c r="M986" s="126"/>
      <c r="O986" s="137"/>
      <c r="P986" s="137"/>
      <c r="Q986" s="126"/>
    </row>
    <row r="987" spans="3:17" x14ac:dyDescent="0.3">
      <c r="C987" s="126"/>
      <c r="F987" s="137"/>
      <c r="G987" s="138"/>
      <c r="H987" s="138"/>
      <c r="I987" s="139"/>
      <c r="J987" s="137"/>
      <c r="K987" s="137"/>
      <c r="M987" s="126"/>
      <c r="O987" s="137"/>
      <c r="P987" s="137"/>
      <c r="Q987" s="126"/>
    </row>
    <row r="988" spans="3:17" x14ac:dyDescent="0.3">
      <c r="C988" s="126"/>
      <c r="F988" s="137"/>
      <c r="G988" s="138"/>
      <c r="H988" s="138"/>
      <c r="I988" s="139"/>
      <c r="J988" s="137"/>
      <c r="K988" s="137"/>
      <c r="M988" s="126"/>
      <c r="O988" s="137"/>
      <c r="P988" s="137"/>
      <c r="Q988" s="126"/>
    </row>
    <row r="989" spans="3:17" x14ac:dyDescent="0.3">
      <c r="C989" s="126"/>
      <c r="F989" s="137"/>
      <c r="G989" s="138"/>
      <c r="H989" s="138"/>
      <c r="I989" s="139"/>
      <c r="J989" s="137"/>
      <c r="K989" s="137"/>
      <c r="M989" s="126"/>
      <c r="O989" s="137"/>
      <c r="P989" s="137"/>
      <c r="Q989" s="126"/>
    </row>
    <row r="990" spans="3:17" x14ac:dyDescent="0.3">
      <c r="C990" s="126"/>
      <c r="F990" s="137"/>
      <c r="G990" s="138"/>
      <c r="H990" s="138"/>
      <c r="I990" s="139"/>
      <c r="J990" s="137"/>
      <c r="K990" s="137"/>
      <c r="M990" s="126"/>
      <c r="O990" s="137"/>
      <c r="P990" s="137"/>
      <c r="Q990" s="126"/>
    </row>
    <row r="991" spans="3:17" x14ac:dyDescent="0.3">
      <c r="C991" s="126"/>
      <c r="F991" s="137"/>
      <c r="G991" s="138"/>
      <c r="H991" s="138"/>
      <c r="I991" s="139"/>
      <c r="J991" s="137"/>
      <c r="K991" s="137"/>
      <c r="M991" s="126"/>
      <c r="O991" s="137"/>
      <c r="P991" s="137"/>
      <c r="Q991" s="126"/>
    </row>
    <row r="992" spans="3:17" x14ac:dyDescent="0.3">
      <c r="C992" s="126"/>
      <c r="F992" s="137"/>
      <c r="G992" s="138"/>
      <c r="H992" s="138"/>
      <c r="I992" s="139"/>
      <c r="J992" s="137"/>
      <c r="K992" s="137"/>
      <c r="M992" s="126"/>
      <c r="O992" s="137"/>
      <c r="P992" s="137"/>
      <c r="Q992" s="126"/>
    </row>
    <row r="993" spans="3:17" x14ac:dyDescent="0.3">
      <c r="C993" s="126"/>
      <c r="F993" s="137"/>
      <c r="G993" s="138"/>
      <c r="H993" s="138"/>
      <c r="I993" s="139"/>
      <c r="J993" s="137"/>
      <c r="K993" s="137"/>
      <c r="M993" s="126"/>
      <c r="O993" s="137"/>
      <c r="P993" s="137"/>
      <c r="Q993" s="126"/>
    </row>
    <row r="994" spans="3:17" x14ac:dyDescent="0.3">
      <c r="C994" s="126"/>
      <c r="F994" s="137"/>
      <c r="G994" s="138"/>
      <c r="H994" s="138"/>
      <c r="I994" s="139"/>
      <c r="J994" s="137"/>
      <c r="K994" s="137"/>
      <c r="M994" s="126"/>
      <c r="O994" s="137"/>
      <c r="P994" s="137"/>
      <c r="Q994" s="126"/>
    </row>
    <row r="995" spans="3:17" x14ac:dyDescent="0.3">
      <c r="C995" s="126"/>
      <c r="F995" s="137"/>
      <c r="G995" s="138"/>
      <c r="H995" s="138"/>
      <c r="I995" s="139"/>
      <c r="J995" s="137"/>
      <c r="K995" s="137"/>
      <c r="M995" s="126"/>
      <c r="O995" s="137"/>
      <c r="P995" s="137"/>
      <c r="Q995" s="126"/>
    </row>
    <row r="996" spans="3:17" x14ac:dyDescent="0.3">
      <c r="C996" s="126"/>
      <c r="F996" s="137"/>
      <c r="G996" s="138"/>
      <c r="H996" s="138"/>
      <c r="I996" s="139"/>
      <c r="J996" s="137"/>
      <c r="K996" s="137"/>
      <c r="M996" s="126"/>
      <c r="O996" s="137"/>
      <c r="P996" s="137"/>
      <c r="Q996" s="126"/>
    </row>
    <row r="997" spans="3:17" x14ac:dyDescent="0.3">
      <c r="C997" s="126"/>
      <c r="F997" s="137"/>
      <c r="G997" s="138"/>
      <c r="H997" s="138"/>
      <c r="I997" s="139"/>
      <c r="J997" s="137"/>
      <c r="K997" s="137"/>
      <c r="M997" s="126"/>
      <c r="O997" s="137"/>
      <c r="P997" s="137"/>
      <c r="Q997" s="126"/>
    </row>
    <row r="998" spans="3:17" x14ac:dyDescent="0.3">
      <c r="C998" s="126"/>
      <c r="F998" s="137"/>
      <c r="G998" s="138"/>
      <c r="H998" s="138"/>
      <c r="I998" s="139"/>
      <c r="J998" s="137"/>
      <c r="K998" s="137"/>
      <c r="M998" s="126"/>
      <c r="O998" s="137"/>
      <c r="P998" s="137"/>
      <c r="Q998" s="126"/>
    </row>
    <row r="999" spans="3:17" x14ac:dyDescent="0.3">
      <c r="C999" s="126"/>
      <c r="F999" s="137"/>
      <c r="G999" s="138"/>
      <c r="H999" s="138"/>
      <c r="I999" s="139"/>
      <c r="J999" s="137"/>
      <c r="K999" s="137"/>
      <c r="M999" s="126"/>
      <c r="O999" s="137"/>
      <c r="P999" s="137"/>
      <c r="Q999" s="126"/>
    </row>
    <row r="1000" spans="3:17" x14ac:dyDescent="0.3">
      <c r="C1000" s="126"/>
      <c r="F1000" s="137"/>
      <c r="G1000" s="138"/>
      <c r="H1000" s="138"/>
      <c r="I1000" s="139"/>
      <c r="J1000" s="137"/>
      <c r="K1000" s="137"/>
      <c r="M1000" s="126"/>
      <c r="O1000" s="137"/>
      <c r="P1000" s="137"/>
      <c r="Q1000" s="126"/>
    </row>
    <row r="1001" spans="3:17" x14ac:dyDescent="0.3">
      <c r="C1001" s="126"/>
      <c r="F1001" s="137"/>
      <c r="G1001" s="138"/>
      <c r="H1001" s="138"/>
      <c r="I1001" s="139"/>
      <c r="J1001" s="137"/>
      <c r="K1001" s="137"/>
      <c r="M1001" s="126"/>
      <c r="O1001" s="137"/>
      <c r="P1001" s="137"/>
      <c r="Q1001" s="126"/>
    </row>
    <row r="1002" spans="3:17" x14ac:dyDescent="0.3">
      <c r="C1002" s="126"/>
      <c r="F1002" s="137"/>
      <c r="G1002" s="138"/>
      <c r="H1002" s="138"/>
      <c r="I1002" s="139"/>
      <c r="J1002" s="137"/>
      <c r="K1002" s="137"/>
      <c r="M1002" s="126"/>
      <c r="O1002" s="137"/>
      <c r="P1002" s="137"/>
      <c r="Q1002" s="126"/>
    </row>
    <row r="1003" spans="3:17" x14ac:dyDescent="0.3">
      <c r="C1003" s="126"/>
      <c r="F1003" s="137"/>
      <c r="G1003" s="138"/>
      <c r="H1003" s="138"/>
      <c r="I1003" s="139"/>
      <c r="J1003" s="137"/>
      <c r="K1003" s="137"/>
      <c r="M1003" s="126"/>
      <c r="O1003" s="137"/>
      <c r="P1003" s="137"/>
      <c r="Q1003" s="126"/>
    </row>
    <row r="1004" spans="3:17" x14ac:dyDescent="0.3">
      <c r="C1004" s="126"/>
      <c r="F1004" s="137"/>
      <c r="G1004" s="138"/>
      <c r="H1004" s="138"/>
      <c r="I1004" s="139"/>
      <c r="J1004" s="137"/>
      <c r="K1004" s="137"/>
      <c r="M1004" s="126"/>
      <c r="O1004" s="137"/>
      <c r="P1004" s="137"/>
      <c r="Q1004" s="126"/>
    </row>
    <row r="1005" spans="3:17" x14ac:dyDescent="0.3">
      <c r="C1005" s="126"/>
      <c r="F1005" s="137"/>
      <c r="G1005" s="138"/>
      <c r="H1005" s="138"/>
      <c r="I1005" s="139"/>
      <c r="J1005" s="137"/>
      <c r="K1005" s="137"/>
      <c r="M1005" s="126"/>
      <c r="O1005" s="137"/>
      <c r="P1005" s="137"/>
      <c r="Q1005" s="126"/>
    </row>
    <row r="1006" spans="3:17" x14ac:dyDescent="0.3">
      <c r="C1006" s="126"/>
      <c r="F1006" s="137"/>
      <c r="G1006" s="138"/>
      <c r="H1006" s="138"/>
      <c r="I1006" s="139"/>
      <c r="J1006" s="137"/>
      <c r="K1006" s="137"/>
      <c r="M1006" s="126"/>
      <c r="O1006" s="137"/>
      <c r="P1006" s="137"/>
      <c r="Q1006" s="126"/>
    </row>
    <row r="1007" spans="3:17" x14ac:dyDescent="0.3">
      <c r="C1007" s="126"/>
      <c r="F1007" s="137"/>
      <c r="G1007" s="138"/>
      <c r="H1007" s="138"/>
      <c r="I1007" s="139"/>
      <c r="J1007" s="137"/>
      <c r="K1007" s="137"/>
      <c r="M1007" s="126"/>
      <c r="O1007" s="137"/>
      <c r="P1007" s="137"/>
      <c r="Q1007" s="126"/>
    </row>
    <row r="1008" spans="3:17" x14ac:dyDescent="0.3">
      <c r="C1008" s="126"/>
      <c r="F1008" s="137"/>
      <c r="G1008" s="138"/>
      <c r="H1008" s="138"/>
      <c r="I1008" s="139"/>
      <c r="J1008" s="137"/>
      <c r="K1008" s="137"/>
      <c r="M1008" s="126"/>
      <c r="O1008" s="137"/>
      <c r="P1008" s="137"/>
      <c r="Q1008" s="126"/>
    </row>
    <row r="1009" spans="3:17" x14ac:dyDescent="0.3">
      <c r="C1009" s="126"/>
      <c r="F1009" s="137"/>
      <c r="G1009" s="138"/>
      <c r="H1009" s="138"/>
      <c r="I1009" s="139"/>
      <c r="J1009" s="137"/>
      <c r="K1009" s="137"/>
      <c r="M1009" s="126"/>
      <c r="O1009" s="137"/>
      <c r="P1009" s="137"/>
      <c r="Q1009" s="126"/>
    </row>
    <row r="1010" spans="3:17" x14ac:dyDescent="0.3">
      <c r="C1010" s="126"/>
      <c r="F1010" s="137"/>
      <c r="G1010" s="138"/>
      <c r="H1010" s="138"/>
      <c r="I1010" s="139"/>
      <c r="J1010" s="137"/>
      <c r="K1010" s="137"/>
      <c r="M1010" s="126"/>
      <c r="O1010" s="137"/>
      <c r="P1010" s="137"/>
      <c r="Q1010" s="126"/>
    </row>
    <row r="1011" spans="3:17" x14ac:dyDescent="0.3">
      <c r="C1011" s="126"/>
      <c r="F1011" s="137"/>
      <c r="G1011" s="138"/>
      <c r="H1011" s="138"/>
      <c r="I1011" s="139"/>
      <c r="J1011" s="137"/>
      <c r="K1011" s="137"/>
      <c r="M1011" s="126"/>
      <c r="O1011" s="137"/>
      <c r="P1011" s="137"/>
      <c r="Q1011" s="126"/>
    </row>
    <row r="1012" spans="3:17" x14ac:dyDescent="0.3">
      <c r="C1012" s="126"/>
      <c r="F1012" s="137"/>
      <c r="G1012" s="138"/>
      <c r="H1012" s="138"/>
      <c r="I1012" s="139"/>
      <c r="J1012" s="137"/>
      <c r="K1012" s="137"/>
      <c r="M1012" s="126"/>
      <c r="O1012" s="137"/>
      <c r="P1012" s="137"/>
      <c r="Q1012" s="126"/>
    </row>
    <row r="1013" spans="3:17" x14ac:dyDescent="0.3">
      <c r="C1013" s="126"/>
      <c r="F1013" s="137"/>
      <c r="G1013" s="138"/>
      <c r="H1013" s="138"/>
      <c r="I1013" s="139"/>
      <c r="J1013" s="137"/>
      <c r="K1013" s="137"/>
      <c r="M1013" s="126"/>
      <c r="O1013" s="137"/>
      <c r="P1013" s="137"/>
      <c r="Q1013" s="126"/>
    </row>
    <row r="1014" spans="3:17" x14ac:dyDescent="0.3">
      <c r="C1014" s="126"/>
      <c r="F1014" s="137"/>
      <c r="G1014" s="138"/>
      <c r="H1014" s="138"/>
      <c r="I1014" s="139"/>
      <c r="J1014" s="137"/>
      <c r="K1014" s="137"/>
      <c r="M1014" s="126"/>
      <c r="O1014" s="137"/>
      <c r="P1014" s="137"/>
      <c r="Q1014" s="126"/>
    </row>
    <row r="1015" spans="3:17" x14ac:dyDescent="0.3">
      <c r="C1015" s="126"/>
      <c r="F1015" s="137"/>
      <c r="G1015" s="138"/>
      <c r="H1015" s="138"/>
      <c r="I1015" s="139"/>
      <c r="J1015" s="137"/>
      <c r="K1015" s="137"/>
      <c r="M1015" s="126"/>
      <c r="O1015" s="137"/>
      <c r="P1015" s="137"/>
      <c r="Q1015" s="126"/>
    </row>
    <row r="1016" spans="3:17" x14ac:dyDescent="0.3">
      <c r="C1016" s="126"/>
      <c r="F1016" s="137"/>
      <c r="G1016" s="138"/>
      <c r="H1016" s="138"/>
      <c r="I1016" s="139"/>
      <c r="J1016" s="137"/>
      <c r="K1016" s="137"/>
      <c r="M1016" s="126"/>
      <c r="O1016" s="137"/>
      <c r="P1016" s="137"/>
      <c r="Q1016" s="126"/>
    </row>
    <row r="1017" spans="3:17" x14ac:dyDescent="0.3">
      <c r="C1017" s="126"/>
      <c r="F1017" s="137"/>
      <c r="G1017" s="138"/>
      <c r="H1017" s="138"/>
      <c r="I1017" s="139"/>
      <c r="J1017" s="137"/>
      <c r="K1017" s="137"/>
      <c r="M1017" s="126"/>
      <c r="O1017" s="137"/>
      <c r="P1017" s="137"/>
      <c r="Q1017" s="126"/>
    </row>
    <row r="1018" spans="3:17" x14ac:dyDescent="0.3">
      <c r="C1018" s="126"/>
      <c r="F1018" s="137"/>
      <c r="G1018" s="138"/>
      <c r="H1018" s="138"/>
      <c r="I1018" s="139"/>
      <c r="J1018" s="137"/>
      <c r="K1018" s="137"/>
      <c r="M1018" s="126"/>
      <c r="O1018" s="137"/>
      <c r="P1018" s="137"/>
      <c r="Q1018" s="126"/>
    </row>
    <row r="1019" spans="3:17" x14ac:dyDescent="0.3">
      <c r="C1019" s="126"/>
      <c r="F1019" s="137"/>
      <c r="G1019" s="138"/>
      <c r="H1019" s="138"/>
      <c r="I1019" s="139"/>
      <c r="J1019" s="137"/>
      <c r="K1019" s="137"/>
      <c r="M1019" s="126"/>
      <c r="O1019" s="137"/>
      <c r="P1019" s="137"/>
      <c r="Q1019" s="126"/>
    </row>
    <row r="1020" spans="3:17" x14ac:dyDescent="0.3">
      <c r="C1020" s="126"/>
      <c r="F1020" s="137"/>
      <c r="G1020" s="138"/>
      <c r="H1020" s="138"/>
      <c r="I1020" s="139"/>
      <c r="J1020" s="137"/>
      <c r="K1020" s="137"/>
      <c r="M1020" s="126"/>
      <c r="O1020" s="137"/>
      <c r="P1020" s="137"/>
      <c r="Q1020" s="126"/>
    </row>
    <row r="1021" spans="3:17" x14ac:dyDescent="0.3">
      <c r="C1021" s="126"/>
      <c r="F1021" s="137"/>
      <c r="G1021" s="138"/>
      <c r="H1021" s="138"/>
      <c r="I1021" s="139"/>
      <c r="J1021" s="137"/>
      <c r="K1021" s="137"/>
      <c r="M1021" s="126"/>
      <c r="O1021" s="137"/>
      <c r="P1021" s="137"/>
      <c r="Q1021" s="126"/>
    </row>
    <row r="1022" spans="3:17" x14ac:dyDescent="0.3">
      <c r="C1022" s="126"/>
      <c r="F1022" s="137"/>
      <c r="G1022" s="138"/>
      <c r="H1022" s="138"/>
      <c r="I1022" s="139"/>
      <c r="J1022" s="137"/>
      <c r="K1022" s="137"/>
      <c r="M1022" s="126"/>
      <c r="O1022" s="137"/>
      <c r="P1022" s="137"/>
      <c r="Q1022" s="126"/>
    </row>
    <row r="1023" spans="3:17" x14ac:dyDescent="0.3">
      <c r="C1023" s="126"/>
      <c r="F1023" s="137"/>
      <c r="G1023" s="138"/>
      <c r="H1023" s="138"/>
      <c r="I1023" s="139"/>
      <c r="J1023" s="137"/>
      <c r="K1023" s="137"/>
      <c r="M1023" s="126"/>
      <c r="O1023" s="137"/>
      <c r="P1023" s="137"/>
      <c r="Q1023" s="126"/>
    </row>
    <row r="1024" spans="3:17" x14ac:dyDescent="0.3">
      <c r="C1024" s="126"/>
      <c r="F1024" s="137"/>
      <c r="G1024" s="138"/>
      <c r="H1024" s="138"/>
      <c r="I1024" s="139"/>
      <c r="J1024" s="137"/>
      <c r="K1024" s="137"/>
      <c r="M1024" s="126"/>
      <c r="O1024" s="137"/>
      <c r="P1024" s="137"/>
      <c r="Q1024" s="126"/>
    </row>
    <row r="1025" spans="3:17" x14ac:dyDescent="0.3">
      <c r="C1025" s="126"/>
      <c r="F1025" s="137"/>
      <c r="G1025" s="138"/>
      <c r="H1025" s="138"/>
      <c r="I1025" s="139"/>
      <c r="J1025" s="137"/>
      <c r="K1025" s="137"/>
      <c r="M1025" s="126"/>
      <c r="O1025" s="137"/>
      <c r="P1025" s="137"/>
      <c r="Q1025" s="126"/>
    </row>
    <row r="1026" spans="3:17" x14ac:dyDescent="0.3">
      <c r="C1026" s="126"/>
      <c r="F1026" s="137"/>
      <c r="G1026" s="138"/>
      <c r="H1026" s="138"/>
      <c r="I1026" s="139"/>
      <c r="J1026" s="137"/>
      <c r="K1026" s="137"/>
      <c r="M1026" s="126"/>
      <c r="O1026" s="137"/>
      <c r="P1026" s="137"/>
      <c r="Q1026" s="126"/>
    </row>
    <row r="1027" spans="3:17" x14ac:dyDescent="0.3">
      <c r="C1027" s="126"/>
      <c r="F1027" s="137"/>
      <c r="G1027" s="138"/>
      <c r="H1027" s="138"/>
      <c r="I1027" s="139"/>
      <c r="J1027" s="137"/>
      <c r="K1027" s="137"/>
      <c r="M1027" s="126"/>
      <c r="O1027" s="137"/>
      <c r="P1027" s="137"/>
      <c r="Q1027" s="126"/>
    </row>
    <row r="1028" spans="3:17" x14ac:dyDescent="0.3">
      <c r="C1028" s="126"/>
      <c r="F1028" s="137"/>
      <c r="G1028" s="138"/>
      <c r="H1028" s="138"/>
      <c r="I1028" s="139"/>
      <c r="J1028" s="137"/>
      <c r="K1028" s="137"/>
      <c r="M1028" s="126"/>
      <c r="O1028" s="137"/>
      <c r="P1028" s="137"/>
      <c r="Q1028" s="126"/>
    </row>
    <row r="1029" spans="3:17" x14ac:dyDescent="0.3">
      <c r="C1029" s="126"/>
      <c r="F1029" s="137"/>
      <c r="G1029" s="138"/>
      <c r="H1029" s="138"/>
      <c r="I1029" s="139"/>
      <c r="J1029" s="137"/>
      <c r="K1029" s="137"/>
      <c r="M1029" s="126"/>
      <c r="O1029" s="137"/>
      <c r="P1029" s="137"/>
      <c r="Q1029" s="126"/>
    </row>
    <row r="1030" spans="3:17" x14ac:dyDescent="0.3">
      <c r="C1030" s="126"/>
      <c r="F1030" s="137"/>
      <c r="G1030" s="138"/>
      <c r="H1030" s="138"/>
      <c r="I1030" s="139"/>
      <c r="J1030" s="137"/>
      <c r="K1030" s="137"/>
      <c r="M1030" s="126"/>
      <c r="O1030" s="137"/>
      <c r="P1030" s="137"/>
      <c r="Q1030" s="126"/>
    </row>
    <row r="1031" spans="3:17" x14ac:dyDescent="0.3">
      <c r="C1031" s="126"/>
      <c r="F1031" s="137"/>
      <c r="G1031" s="138"/>
      <c r="H1031" s="138"/>
      <c r="I1031" s="139"/>
      <c r="J1031" s="137"/>
      <c r="K1031" s="137"/>
      <c r="M1031" s="126"/>
      <c r="O1031" s="137"/>
      <c r="P1031" s="137"/>
      <c r="Q1031" s="126"/>
    </row>
    <row r="1032" spans="3:17" x14ac:dyDescent="0.3">
      <c r="C1032" s="126"/>
      <c r="F1032" s="137"/>
      <c r="G1032" s="138"/>
      <c r="H1032" s="138"/>
      <c r="I1032" s="139"/>
      <c r="J1032" s="137"/>
      <c r="K1032" s="137"/>
      <c r="M1032" s="126"/>
      <c r="O1032" s="137"/>
      <c r="P1032" s="137"/>
      <c r="Q1032" s="126"/>
    </row>
    <row r="1033" spans="3:17" x14ac:dyDescent="0.3">
      <c r="C1033" s="126"/>
      <c r="F1033" s="137"/>
      <c r="G1033" s="138"/>
      <c r="H1033" s="138"/>
      <c r="I1033" s="139"/>
      <c r="J1033" s="137"/>
      <c r="K1033" s="137"/>
      <c r="M1033" s="126"/>
      <c r="O1033" s="137"/>
      <c r="P1033" s="137"/>
      <c r="Q1033" s="126"/>
    </row>
    <row r="1034" spans="3:17" x14ac:dyDescent="0.3">
      <c r="C1034" s="126"/>
      <c r="F1034" s="137"/>
      <c r="G1034" s="138"/>
      <c r="H1034" s="138"/>
      <c r="I1034" s="139"/>
      <c r="J1034" s="137"/>
      <c r="K1034" s="137"/>
      <c r="M1034" s="126"/>
      <c r="O1034" s="137"/>
      <c r="P1034" s="137"/>
      <c r="Q1034" s="126"/>
    </row>
    <row r="1035" spans="3:17" x14ac:dyDescent="0.3">
      <c r="C1035" s="126"/>
      <c r="F1035" s="137"/>
      <c r="G1035" s="138"/>
      <c r="H1035" s="138"/>
      <c r="I1035" s="139"/>
      <c r="J1035" s="137"/>
      <c r="K1035" s="137"/>
      <c r="M1035" s="126"/>
      <c r="O1035" s="137"/>
      <c r="P1035" s="137"/>
      <c r="Q1035" s="126"/>
    </row>
    <row r="1036" spans="3:17" x14ac:dyDescent="0.3">
      <c r="C1036" s="126"/>
      <c r="F1036" s="137"/>
      <c r="G1036" s="138"/>
      <c r="H1036" s="138"/>
      <c r="I1036" s="139"/>
      <c r="J1036" s="137"/>
      <c r="K1036" s="137"/>
      <c r="M1036" s="126"/>
      <c r="O1036" s="137"/>
      <c r="P1036" s="137"/>
      <c r="Q1036" s="126"/>
    </row>
    <row r="1037" spans="3:17" x14ac:dyDescent="0.3">
      <c r="C1037" s="126"/>
      <c r="F1037" s="137"/>
      <c r="G1037" s="138"/>
      <c r="H1037" s="138"/>
      <c r="I1037" s="139"/>
      <c r="J1037" s="137"/>
      <c r="K1037" s="137"/>
      <c r="M1037" s="126"/>
      <c r="O1037" s="137"/>
      <c r="P1037" s="137"/>
      <c r="Q1037" s="126"/>
    </row>
    <row r="1038" spans="3:17" x14ac:dyDescent="0.3">
      <c r="C1038" s="126"/>
      <c r="F1038" s="137"/>
      <c r="G1038" s="138"/>
      <c r="H1038" s="138"/>
      <c r="I1038" s="139"/>
      <c r="J1038" s="137"/>
      <c r="K1038" s="137"/>
      <c r="M1038" s="126"/>
      <c r="O1038" s="137"/>
      <c r="P1038" s="137"/>
      <c r="Q1038" s="126"/>
    </row>
    <row r="1039" spans="3:17" x14ac:dyDescent="0.3">
      <c r="C1039" s="126"/>
      <c r="F1039" s="137"/>
      <c r="G1039" s="138"/>
      <c r="H1039" s="138"/>
      <c r="I1039" s="139"/>
      <c r="J1039" s="137"/>
      <c r="K1039" s="137"/>
      <c r="M1039" s="126"/>
      <c r="O1039" s="137"/>
      <c r="P1039" s="137"/>
      <c r="Q1039" s="126"/>
    </row>
    <row r="1040" spans="3:17" x14ac:dyDescent="0.3">
      <c r="C1040" s="126"/>
      <c r="F1040" s="137"/>
      <c r="G1040" s="138"/>
      <c r="H1040" s="138"/>
      <c r="I1040" s="139"/>
      <c r="J1040" s="137"/>
      <c r="K1040" s="137"/>
      <c r="M1040" s="126"/>
      <c r="O1040" s="137"/>
      <c r="P1040" s="137"/>
      <c r="Q1040" s="126"/>
    </row>
    <row r="1041" spans="3:17" x14ac:dyDescent="0.3">
      <c r="C1041" s="126"/>
      <c r="F1041" s="137"/>
      <c r="G1041" s="138"/>
      <c r="H1041" s="138"/>
      <c r="I1041" s="139"/>
      <c r="J1041" s="137"/>
      <c r="K1041" s="137"/>
      <c r="M1041" s="126"/>
      <c r="O1041" s="137"/>
      <c r="P1041" s="137"/>
      <c r="Q1041" s="126"/>
    </row>
    <row r="1042" spans="3:17" x14ac:dyDescent="0.3">
      <c r="C1042" s="126"/>
      <c r="F1042" s="137"/>
      <c r="G1042" s="138"/>
      <c r="H1042" s="138"/>
      <c r="I1042" s="139"/>
      <c r="J1042" s="137"/>
      <c r="K1042" s="137"/>
      <c r="M1042" s="126"/>
      <c r="O1042" s="137"/>
      <c r="P1042" s="137"/>
      <c r="Q1042" s="126"/>
    </row>
    <row r="1043" spans="3:17" x14ac:dyDescent="0.3">
      <c r="C1043" s="126"/>
      <c r="F1043" s="137"/>
      <c r="G1043" s="138"/>
      <c r="H1043" s="138"/>
      <c r="I1043" s="139"/>
      <c r="J1043" s="137"/>
      <c r="K1043" s="137"/>
      <c r="M1043" s="126"/>
      <c r="O1043" s="137"/>
      <c r="P1043" s="137"/>
      <c r="Q1043" s="126"/>
    </row>
    <row r="1044" spans="3:17" x14ac:dyDescent="0.3">
      <c r="C1044" s="126"/>
      <c r="F1044" s="137"/>
      <c r="G1044" s="138"/>
      <c r="H1044" s="138"/>
      <c r="I1044" s="139"/>
      <c r="J1044" s="137"/>
      <c r="K1044" s="137"/>
      <c r="M1044" s="126"/>
      <c r="O1044" s="137"/>
      <c r="P1044" s="137"/>
      <c r="Q1044" s="126"/>
    </row>
    <row r="1045" spans="3:17" x14ac:dyDescent="0.3">
      <c r="C1045" s="126"/>
      <c r="F1045" s="137"/>
      <c r="G1045" s="138"/>
      <c r="H1045" s="138"/>
      <c r="I1045" s="139"/>
      <c r="J1045" s="137"/>
      <c r="K1045" s="137"/>
      <c r="M1045" s="126"/>
      <c r="O1045" s="137"/>
      <c r="P1045" s="137"/>
      <c r="Q1045" s="126"/>
    </row>
    <row r="1046" spans="3:17" x14ac:dyDescent="0.3">
      <c r="C1046" s="126"/>
      <c r="F1046" s="137"/>
      <c r="G1046" s="138"/>
      <c r="H1046" s="138"/>
      <c r="I1046" s="139"/>
      <c r="J1046" s="137"/>
      <c r="K1046" s="137"/>
      <c r="M1046" s="126"/>
      <c r="O1046" s="137"/>
      <c r="P1046" s="137"/>
      <c r="Q1046" s="126"/>
    </row>
    <row r="1047" spans="3:17" x14ac:dyDescent="0.3">
      <c r="C1047" s="126"/>
      <c r="F1047" s="137"/>
      <c r="G1047" s="138"/>
      <c r="H1047" s="138"/>
      <c r="I1047" s="139"/>
      <c r="J1047" s="137"/>
      <c r="K1047" s="137"/>
      <c r="M1047" s="126"/>
      <c r="O1047" s="137"/>
      <c r="P1047" s="137"/>
      <c r="Q1047" s="126"/>
    </row>
    <row r="1048" spans="3:17" x14ac:dyDescent="0.3">
      <c r="C1048" s="126"/>
      <c r="F1048" s="137"/>
      <c r="G1048" s="138"/>
      <c r="H1048" s="138"/>
      <c r="I1048" s="139"/>
      <c r="J1048" s="137"/>
      <c r="K1048" s="137"/>
      <c r="M1048" s="126"/>
      <c r="O1048" s="137"/>
      <c r="P1048" s="137"/>
      <c r="Q1048" s="126"/>
    </row>
    <row r="1049" spans="3:17" x14ac:dyDescent="0.3">
      <c r="C1049" s="126"/>
      <c r="F1049" s="137"/>
      <c r="G1049" s="138"/>
      <c r="H1049" s="138"/>
      <c r="I1049" s="139"/>
      <c r="J1049" s="137"/>
      <c r="K1049" s="137"/>
      <c r="M1049" s="126"/>
      <c r="O1049" s="137"/>
      <c r="P1049" s="137"/>
      <c r="Q1049" s="126"/>
    </row>
    <row r="1050" spans="3:17" x14ac:dyDescent="0.3">
      <c r="C1050" s="126"/>
      <c r="F1050" s="137"/>
      <c r="G1050" s="138"/>
      <c r="H1050" s="138"/>
      <c r="I1050" s="139"/>
      <c r="J1050" s="137"/>
      <c r="K1050" s="137"/>
      <c r="M1050" s="126"/>
      <c r="O1050" s="137"/>
      <c r="P1050" s="137"/>
      <c r="Q1050" s="126"/>
    </row>
    <row r="1051" spans="3:17" x14ac:dyDescent="0.3">
      <c r="C1051" s="126"/>
      <c r="F1051" s="137"/>
      <c r="G1051" s="138"/>
      <c r="H1051" s="138"/>
      <c r="I1051" s="139"/>
      <c r="J1051" s="137"/>
      <c r="K1051" s="137"/>
      <c r="M1051" s="126"/>
      <c r="O1051" s="137"/>
      <c r="P1051" s="137"/>
      <c r="Q1051" s="126"/>
    </row>
    <row r="1052" spans="3:17" x14ac:dyDescent="0.3">
      <c r="C1052" s="126"/>
      <c r="F1052" s="137"/>
      <c r="G1052" s="138"/>
      <c r="H1052" s="138"/>
      <c r="I1052" s="139"/>
      <c r="J1052" s="137"/>
      <c r="K1052" s="137"/>
      <c r="M1052" s="126"/>
      <c r="O1052" s="137"/>
      <c r="P1052" s="137"/>
      <c r="Q1052" s="126"/>
    </row>
    <row r="1053" spans="3:17" x14ac:dyDescent="0.3">
      <c r="C1053" s="126"/>
      <c r="F1053" s="137"/>
      <c r="G1053" s="138"/>
      <c r="H1053" s="138"/>
      <c r="I1053" s="139"/>
      <c r="J1053" s="137"/>
      <c r="K1053" s="137"/>
      <c r="M1053" s="126"/>
      <c r="O1053" s="137"/>
      <c r="P1053" s="137"/>
      <c r="Q1053" s="126"/>
    </row>
    <row r="1054" spans="3:17" x14ac:dyDescent="0.3">
      <c r="C1054" s="126"/>
      <c r="F1054" s="137"/>
      <c r="G1054" s="138"/>
      <c r="H1054" s="138"/>
      <c r="I1054" s="139"/>
      <c r="J1054" s="137"/>
      <c r="K1054" s="137"/>
      <c r="M1054" s="126"/>
      <c r="O1054" s="137"/>
      <c r="P1054" s="137"/>
      <c r="Q1054" s="126"/>
    </row>
    <row r="1055" spans="3:17" x14ac:dyDescent="0.3">
      <c r="C1055" s="126"/>
      <c r="F1055" s="137"/>
      <c r="G1055" s="138"/>
      <c r="H1055" s="138"/>
      <c r="I1055" s="139"/>
      <c r="J1055" s="137"/>
      <c r="K1055" s="137"/>
      <c r="M1055" s="126"/>
      <c r="O1055" s="137"/>
      <c r="P1055" s="137"/>
      <c r="Q1055" s="126"/>
    </row>
    <row r="1056" spans="3:17" x14ac:dyDescent="0.3">
      <c r="C1056" s="126"/>
      <c r="F1056" s="137"/>
      <c r="G1056" s="138"/>
      <c r="H1056" s="138"/>
      <c r="I1056" s="139"/>
      <c r="J1056" s="137"/>
      <c r="K1056" s="137"/>
      <c r="M1056" s="126"/>
      <c r="O1056" s="137"/>
      <c r="P1056" s="137"/>
      <c r="Q1056" s="126"/>
    </row>
    <row r="1057" spans="3:17" x14ac:dyDescent="0.3">
      <c r="C1057" s="126"/>
      <c r="F1057" s="137"/>
      <c r="G1057" s="138"/>
      <c r="H1057" s="138"/>
      <c r="I1057" s="139"/>
      <c r="J1057" s="137"/>
      <c r="K1057" s="137"/>
      <c r="M1057" s="126"/>
      <c r="O1057" s="137"/>
      <c r="P1057" s="137"/>
      <c r="Q1057" s="126"/>
    </row>
    <row r="1058" spans="3:17" x14ac:dyDescent="0.3">
      <c r="C1058" s="126"/>
      <c r="F1058" s="137"/>
      <c r="G1058" s="138"/>
      <c r="H1058" s="138"/>
      <c r="I1058" s="139"/>
      <c r="J1058" s="137"/>
      <c r="K1058" s="137"/>
      <c r="M1058" s="126"/>
      <c r="O1058" s="137"/>
      <c r="P1058" s="137"/>
      <c r="Q1058" s="126"/>
    </row>
    <row r="1059" spans="3:17" x14ac:dyDescent="0.3">
      <c r="C1059" s="126"/>
      <c r="F1059" s="137"/>
      <c r="G1059" s="138"/>
      <c r="H1059" s="138"/>
      <c r="I1059" s="139"/>
      <c r="J1059" s="137"/>
      <c r="K1059" s="137"/>
      <c r="M1059" s="126"/>
      <c r="O1059" s="137"/>
      <c r="P1059" s="137"/>
      <c r="Q1059" s="126"/>
    </row>
    <row r="1060" spans="3:17" x14ac:dyDescent="0.3">
      <c r="C1060" s="126"/>
      <c r="F1060" s="137"/>
      <c r="G1060" s="138"/>
      <c r="H1060" s="138"/>
      <c r="I1060" s="139"/>
      <c r="J1060" s="137"/>
      <c r="K1060" s="137"/>
      <c r="M1060" s="126"/>
      <c r="O1060" s="137"/>
      <c r="P1060" s="137"/>
      <c r="Q1060" s="126"/>
    </row>
    <row r="1061" spans="3:17" x14ac:dyDescent="0.3">
      <c r="C1061" s="126"/>
      <c r="F1061" s="137"/>
      <c r="G1061" s="138"/>
      <c r="H1061" s="138"/>
      <c r="I1061" s="139"/>
      <c r="J1061" s="137"/>
      <c r="K1061" s="137"/>
      <c r="M1061" s="126"/>
      <c r="O1061" s="137"/>
      <c r="P1061" s="137"/>
      <c r="Q1061" s="126"/>
    </row>
    <row r="1062" spans="3:17" x14ac:dyDescent="0.3">
      <c r="C1062" s="126"/>
      <c r="F1062" s="137"/>
      <c r="G1062" s="138"/>
      <c r="H1062" s="138"/>
      <c r="I1062" s="139"/>
      <c r="J1062" s="137"/>
      <c r="K1062" s="137"/>
      <c r="M1062" s="126"/>
      <c r="O1062" s="137"/>
      <c r="P1062" s="137"/>
      <c r="Q1062" s="126"/>
    </row>
    <row r="1063" spans="3:17" x14ac:dyDescent="0.3">
      <c r="C1063" s="126"/>
      <c r="F1063" s="137"/>
      <c r="G1063" s="138"/>
      <c r="H1063" s="138"/>
      <c r="I1063" s="139"/>
      <c r="J1063" s="137"/>
      <c r="K1063" s="137"/>
      <c r="M1063" s="126"/>
      <c r="O1063" s="137"/>
      <c r="P1063" s="137"/>
      <c r="Q1063" s="126"/>
    </row>
    <row r="1064" spans="3:17" x14ac:dyDescent="0.3">
      <c r="C1064" s="126"/>
      <c r="F1064" s="137"/>
      <c r="G1064" s="138"/>
      <c r="H1064" s="138"/>
      <c r="I1064" s="139"/>
      <c r="J1064" s="137"/>
      <c r="K1064" s="137"/>
      <c r="M1064" s="126"/>
      <c r="O1064" s="137"/>
      <c r="P1064" s="137"/>
      <c r="Q1064" s="126"/>
    </row>
    <row r="1065" spans="3:17" x14ac:dyDescent="0.3">
      <c r="C1065" s="126"/>
      <c r="F1065" s="137"/>
      <c r="G1065" s="138"/>
      <c r="H1065" s="138"/>
      <c r="I1065" s="139"/>
      <c r="J1065" s="137"/>
      <c r="K1065" s="137"/>
      <c r="M1065" s="126"/>
      <c r="O1065" s="137"/>
      <c r="P1065" s="137"/>
      <c r="Q1065" s="126"/>
    </row>
    <row r="1066" spans="3:17" x14ac:dyDescent="0.3">
      <c r="C1066" s="126"/>
      <c r="F1066" s="137"/>
      <c r="G1066" s="138"/>
      <c r="H1066" s="138"/>
      <c r="I1066" s="139"/>
      <c r="J1066" s="137"/>
      <c r="K1066" s="137"/>
      <c r="M1066" s="126"/>
      <c r="O1066" s="137"/>
      <c r="P1066" s="137"/>
      <c r="Q1066" s="126"/>
    </row>
    <row r="1067" spans="3:17" x14ac:dyDescent="0.3">
      <c r="C1067" s="126"/>
      <c r="F1067" s="137"/>
      <c r="G1067" s="138"/>
      <c r="H1067" s="138"/>
      <c r="I1067" s="139"/>
      <c r="J1067" s="137"/>
      <c r="K1067" s="137"/>
      <c r="M1067" s="126"/>
      <c r="O1067" s="137"/>
      <c r="P1067" s="137"/>
      <c r="Q1067" s="126"/>
    </row>
    <row r="1068" spans="3:17" x14ac:dyDescent="0.3">
      <c r="C1068" s="126"/>
      <c r="F1068" s="137"/>
      <c r="G1068" s="138"/>
      <c r="H1068" s="138"/>
      <c r="I1068" s="139"/>
      <c r="J1068" s="137"/>
      <c r="K1068" s="137"/>
      <c r="M1068" s="126"/>
      <c r="O1068" s="137"/>
      <c r="P1068" s="137"/>
      <c r="Q1068" s="126"/>
    </row>
    <row r="1069" spans="3:17" x14ac:dyDescent="0.3">
      <c r="C1069" s="126"/>
      <c r="F1069" s="137"/>
      <c r="G1069" s="138"/>
      <c r="H1069" s="138"/>
      <c r="I1069" s="139"/>
      <c r="J1069" s="137"/>
      <c r="K1069" s="137"/>
      <c r="M1069" s="126"/>
      <c r="O1069" s="137"/>
      <c r="P1069" s="137"/>
      <c r="Q1069" s="126"/>
    </row>
    <row r="1070" spans="3:17" x14ac:dyDescent="0.3">
      <c r="C1070" s="126"/>
      <c r="F1070" s="137"/>
      <c r="G1070" s="138"/>
      <c r="H1070" s="138"/>
      <c r="I1070" s="139"/>
      <c r="J1070" s="137"/>
      <c r="K1070" s="137"/>
      <c r="M1070" s="126"/>
      <c r="O1070" s="137"/>
      <c r="P1070" s="137"/>
      <c r="Q1070" s="126"/>
    </row>
    <row r="1071" spans="3:17" x14ac:dyDescent="0.3">
      <c r="C1071" s="126"/>
      <c r="F1071" s="137"/>
      <c r="G1071" s="138"/>
      <c r="H1071" s="138"/>
      <c r="I1071" s="139"/>
      <c r="J1071" s="137"/>
      <c r="K1071" s="137"/>
      <c r="M1071" s="126"/>
      <c r="O1071" s="137"/>
      <c r="P1071" s="137"/>
      <c r="Q1071" s="126"/>
    </row>
    <row r="1072" spans="3:17" x14ac:dyDescent="0.3">
      <c r="C1072" s="126"/>
      <c r="F1072" s="137"/>
      <c r="G1072" s="138"/>
      <c r="H1072" s="138"/>
      <c r="I1072" s="139"/>
      <c r="J1072" s="137"/>
      <c r="K1072" s="137"/>
      <c r="M1072" s="126"/>
      <c r="O1072" s="137"/>
      <c r="P1072" s="137"/>
      <c r="Q1072" s="126"/>
    </row>
    <row r="1073" spans="3:17" x14ac:dyDescent="0.3">
      <c r="C1073" s="126"/>
      <c r="F1073" s="137"/>
      <c r="G1073" s="138"/>
      <c r="H1073" s="138"/>
      <c r="I1073" s="139"/>
      <c r="J1073" s="137"/>
      <c r="K1073" s="137"/>
      <c r="M1073" s="126"/>
      <c r="O1073" s="137"/>
      <c r="P1073" s="137"/>
      <c r="Q1073" s="126"/>
    </row>
    <row r="1074" spans="3:17" x14ac:dyDescent="0.3">
      <c r="C1074" s="126"/>
      <c r="F1074" s="137"/>
      <c r="G1074" s="138"/>
      <c r="H1074" s="138"/>
      <c r="I1074" s="139"/>
      <c r="J1074" s="137"/>
      <c r="K1074" s="137"/>
      <c r="M1074" s="126"/>
      <c r="O1074" s="137"/>
      <c r="P1074" s="137"/>
      <c r="Q1074" s="126"/>
    </row>
    <row r="1075" spans="3:17" x14ac:dyDescent="0.3">
      <c r="C1075" s="126"/>
      <c r="F1075" s="137"/>
      <c r="G1075" s="138"/>
      <c r="H1075" s="138"/>
      <c r="I1075" s="139"/>
      <c r="J1075" s="137"/>
      <c r="K1075" s="137"/>
      <c r="M1075" s="126"/>
      <c r="O1075" s="137"/>
      <c r="P1075" s="137"/>
      <c r="Q1075" s="126"/>
    </row>
    <row r="1076" spans="3:17" x14ac:dyDescent="0.3">
      <c r="C1076" s="126"/>
      <c r="F1076" s="137"/>
      <c r="G1076" s="138"/>
      <c r="H1076" s="138"/>
      <c r="I1076" s="139"/>
      <c r="J1076" s="137"/>
      <c r="K1076" s="137"/>
      <c r="M1076" s="126"/>
      <c r="O1076" s="137"/>
      <c r="P1076" s="137"/>
      <c r="Q1076" s="126"/>
    </row>
    <row r="1077" spans="3:17" x14ac:dyDescent="0.3">
      <c r="C1077" s="126"/>
      <c r="F1077" s="137"/>
      <c r="G1077" s="138"/>
      <c r="H1077" s="138"/>
      <c r="I1077" s="139"/>
      <c r="J1077" s="137"/>
      <c r="K1077" s="137"/>
      <c r="M1077" s="126"/>
      <c r="O1077" s="137"/>
      <c r="P1077" s="137"/>
      <c r="Q1077" s="126"/>
    </row>
    <row r="1078" spans="3:17" x14ac:dyDescent="0.3">
      <c r="C1078" s="126"/>
      <c r="F1078" s="137"/>
      <c r="G1078" s="138"/>
      <c r="H1078" s="138"/>
      <c r="I1078" s="139"/>
      <c r="J1078" s="137"/>
      <c r="K1078" s="137"/>
      <c r="M1078" s="126"/>
      <c r="O1078" s="137"/>
      <c r="P1078" s="137"/>
      <c r="Q1078" s="126"/>
    </row>
    <row r="1079" spans="3:17" x14ac:dyDescent="0.3">
      <c r="C1079" s="126"/>
      <c r="F1079" s="137"/>
      <c r="G1079" s="138"/>
      <c r="H1079" s="138"/>
      <c r="I1079" s="139"/>
      <c r="J1079" s="137"/>
      <c r="K1079" s="137"/>
      <c r="M1079" s="126"/>
      <c r="O1079" s="137"/>
      <c r="P1079" s="137"/>
      <c r="Q1079" s="126"/>
    </row>
    <row r="1080" spans="3:17" x14ac:dyDescent="0.3">
      <c r="C1080" s="126"/>
      <c r="F1080" s="137"/>
      <c r="G1080" s="138"/>
      <c r="H1080" s="138"/>
      <c r="I1080" s="139"/>
      <c r="J1080" s="137"/>
      <c r="K1080" s="137"/>
      <c r="M1080" s="126"/>
      <c r="O1080" s="137"/>
      <c r="P1080" s="137"/>
      <c r="Q1080" s="126"/>
    </row>
    <row r="1081" spans="3:17" x14ac:dyDescent="0.3">
      <c r="C1081" s="126"/>
      <c r="F1081" s="137"/>
      <c r="G1081" s="138"/>
      <c r="H1081" s="138"/>
      <c r="I1081" s="139"/>
      <c r="J1081" s="137"/>
      <c r="K1081" s="137"/>
      <c r="M1081" s="126"/>
      <c r="O1081" s="137"/>
      <c r="P1081" s="137"/>
      <c r="Q1081" s="126"/>
    </row>
    <row r="1082" spans="3:17" x14ac:dyDescent="0.3">
      <c r="C1082" s="126"/>
      <c r="F1082" s="137"/>
      <c r="G1082" s="138"/>
      <c r="H1082" s="138"/>
      <c r="I1082" s="139"/>
      <c r="J1082" s="137"/>
      <c r="K1082" s="137"/>
      <c r="M1082" s="126"/>
      <c r="O1082" s="137"/>
      <c r="P1082" s="137"/>
      <c r="Q1082" s="126"/>
    </row>
    <row r="1083" spans="3:17" x14ac:dyDescent="0.3">
      <c r="C1083" s="126"/>
      <c r="F1083" s="137"/>
      <c r="G1083" s="138"/>
      <c r="H1083" s="138"/>
      <c r="I1083" s="139"/>
      <c r="J1083" s="137"/>
      <c r="K1083" s="137"/>
      <c r="M1083" s="126"/>
      <c r="O1083" s="137"/>
      <c r="P1083" s="137"/>
      <c r="Q1083" s="126"/>
    </row>
    <row r="1084" spans="3:17" x14ac:dyDescent="0.3">
      <c r="C1084" s="126"/>
      <c r="F1084" s="137"/>
      <c r="G1084" s="138"/>
      <c r="H1084" s="138"/>
      <c r="I1084" s="139"/>
      <c r="J1084" s="137"/>
      <c r="K1084" s="137"/>
      <c r="M1084" s="126"/>
      <c r="O1084" s="137"/>
      <c r="P1084" s="137"/>
      <c r="Q1084" s="126"/>
    </row>
    <row r="1085" spans="3:17" x14ac:dyDescent="0.3">
      <c r="C1085" s="126"/>
      <c r="F1085" s="137"/>
      <c r="G1085" s="138"/>
      <c r="H1085" s="138"/>
      <c r="I1085" s="139"/>
      <c r="J1085" s="137"/>
      <c r="K1085" s="137"/>
      <c r="M1085" s="126"/>
      <c r="O1085" s="137"/>
      <c r="P1085" s="137"/>
      <c r="Q1085" s="126"/>
    </row>
    <row r="1086" spans="3:17" x14ac:dyDescent="0.3">
      <c r="C1086" s="126"/>
      <c r="F1086" s="137"/>
      <c r="G1086" s="138"/>
      <c r="H1086" s="138"/>
      <c r="I1086" s="139"/>
      <c r="J1086" s="137"/>
      <c r="K1086" s="137"/>
      <c r="M1086" s="126"/>
      <c r="O1086" s="137"/>
      <c r="P1086" s="137"/>
      <c r="Q1086" s="126"/>
    </row>
    <row r="1087" spans="3:17" x14ac:dyDescent="0.3">
      <c r="C1087" s="126"/>
      <c r="F1087" s="137"/>
      <c r="G1087" s="138"/>
      <c r="H1087" s="138"/>
      <c r="I1087" s="139"/>
      <c r="J1087" s="137"/>
      <c r="K1087" s="137"/>
      <c r="M1087" s="126"/>
      <c r="O1087" s="137"/>
      <c r="P1087" s="137"/>
      <c r="Q1087" s="126"/>
    </row>
    <row r="1088" spans="3:17" x14ac:dyDescent="0.3">
      <c r="C1088" s="126"/>
      <c r="F1088" s="137"/>
      <c r="G1088" s="138"/>
      <c r="H1088" s="138"/>
      <c r="I1088" s="139"/>
      <c r="J1088" s="137"/>
      <c r="K1088" s="137"/>
      <c r="M1088" s="126"/>
      <c r="O1088" s="137"/>
      <c r="P1088" s="137"/>
      <c r="Q1088" s="126"/>
    </row>
    <row r="1089" spans="3:17" x14ac:dyDescent="0.3">
      <c r="C1089" s="126"/>
      <c r="F1089" s="137"/>
      <c r="G1089" s="138"/>
      <c r="H1089" s="138"/>
      <c r="I1089" s="139"/>
      <c r="J1089" s="137"/>
      <c r="K1089" s="137"/>
      <c r="M1089" s="126"/>
      <c r="O1089" s="137"/>
      <c r="P1089" s="137"/>
      <c r="Q1089" s="126"/>
    </row>
    <row r="1090" spans="3:17" x14ac:dyDescent="0.3">
      <c r="C1090" s="126"/>
      <c r="F1090" s="137"/>
      <c r="G1090" s="138"/>
      <c r="H1090" s="138"/>
      <c r="I1090" s="139"/>
      <c r="J1090" s="137"/>
      <c r="K1090" s="137"/>
      <c r="M1090" s="126"/>
      <c r="O1090" s="137"/>
      <c r="P1090" s="137"/>
      <c r="Q1090" s="126"/>
    </row>
    <row r="1091" spans="3:17" x14ac:dyDescent="0.3">
      <c r="C1091" s="126"/>
      <c r="F1091" s="137"/>
      <c r="G1091" s="138"/>
      <c r="H1091" s="138"/>
      <c r="I1091" s="139"/>
      <c r="J1091" s="137"/>
      <c r="K1091" s="137"/>
      <c r="M1091" s="126"/>
      <c r="O1091" s="137"/>
      <c r="P1091" s="137"/>
      <c r="Q1091" s="126"/>
    </row>
    <row r="1092" spans="3:17" x14ac:dyDescent="0.3">
      <c r="C1092" s="126"/>
      <c r="F1092" s="137"/>
      <c r="G1092" s="138"/>
      <c r="H1092" s="138"/>
      <c r="I1092" s="139"/>
      <c r="J1092" s="137"/>
      <c r="K1092" s="137"/>
      <c r="M1092" s="126"/>
      <c r="O1092" s="137"/>
      <c r="P1092" s="137"/>
      <c r="Q1092" s="126"/>
    </row>
    <row r="1093" spans="3:17" x14ac:dyDescent="0.3">
      <c r="C1093" s="126"/>
      <c r="F1093" s="137"/>
      <c r="G1093" s="138"/>
      <c r="H1093" s="138"/>
      <c r="I1093" s="139"/>
      <c r="J1093" s="137"/>
      <c r="K1093" s="137"/>
      <c r="M1093" s="126"/>
      <c r="O1093" s="137"/>
      <c r="P1093" s="137"/>
      <c r="Q1093" s="126"/>
    </row>
    <row r="1094" spans="3:17" x14ac:dyDescent="0.3">
      <c r="C1094" s="126"/>
      <c r="F1094" s="137"/>
      <c r="G1094" s="138"/>
      <c r="H1094" s="138"/>
      <c r="I1094" s="139"/>
      <c r="J1094" s="137"/>
      <c r="K1094" s="137"/>
      <c r="M1094" s="126"/>
      <c r="O1094" s="137"/>
      <c r="P1094" s="137"/>
      <c r="Q1094" s="126"/>
    </row>
    <row r="1095" spans="3:17" x14ac:dyDescent="0.3">
      <c r="C1095" s="126"/>
      <c r="F1095" s="137"/>
      <c r="G1095" s="138"/>
      <c r="H1095" s="138"/>
      <c r="I1095" s="139"/>
      <c r="J1095" s="137"/>
      <c r="K1095" s="137"/>
      <c r="M1095" s="126"/>
      <c r="O1095" s="137"/>
      <c r="P1095" s="137"/>
      <c r="Q1095" s="126"/>
    </row>
    <row r="1096" spans="3:17" x14ac:dyDescent="0.3">
      <c r="C1096" s="126"/>
      <c r="F1096" s="137"/>
      <c r="G1096" s="138"/>
      <c r="H1096" s="138"/>
      <c r="I1096" s="139"/>
      <c r="J1096" s="137"/>
      <c r="K1096" s="137"/>
      <c r="M1096" s="126"/>
      <c r="O1096" s="137"/>
      <c r="P1096" s="137"/>
      <c r="Q1096" s="126"/>
    </row>
    <row r="1097" spans="3:17" x14ac:dyDescent="0.3">
      <c r="C1097" s="126"/>
      <c r="F1097" s="137"/>
      <c r="G1097" s="138"/>
      <c r="H1097" s="138"/>
      <c r="I1097" s="139"/>
      <c r="J1097" s="137"/>
      <c r="K1097" s="137"/>
      <c r="M1097" s="126"/>
      <c r="O1097" s="137"/>
      <c r="P1097" s="137"/>
      <c r="Q1097" s="126"/>
    </row>
    <row r="1098" spans="3:17" x14ac:dyDescent="0.3">
      <c r="C1098" s="126"/>
      <c r="F1098" s="137"/>
      <c r="G1098" s="138"/>
      <c r="H1098" s="138"/>
      <c r="I1098" s="139"/>
      <c r="J1098" s="137"/>
      <c r="K1098" s="137"/>
      <c r="M1098" s="126"/>
      <c r="O1098" s="137"/>
      <c r="P1098" s="137"/>
      <c r="Q1098" s="126"/>
    </row>
    <row r="1099" spans="3:17" x14ac:dyDescent="0.3">
      <c r="C1099" s="126"/>
      <c r="F1099" s="137"/>
      <c r="G1099" s="138"/>
      <c r="H1099" s="138"/>
      <c r="I1099" s="139"/>
      <c r="J1099" s="137"/>
      <c r="K1099" s="137"/>
      <c r="M1099" s="126"/>
      <c r="O1099" s="137"/>
      <c r="P1099" s="137"/>
      <c r="Q1099" s="126"/>
    </row>
    <row r="1100" spans="3:17" x14ac:dyDescent="0.3">
      <c r="C1100" s="126"/>
      <c r="F1100" s="137"/>
      <c r="G1100" s="138"/>
      <c r="H1100" s="138"/>
      <c r="I1100" s="139"/>
      <c r="J1100" s="137"/>
      <c r="K1100" s="137"/>
      <c r="M1100" s="126"/>
      <c r="O1100" s="137"/>
      <c r="P1100" s="137"/>
      <c r="Q1100" s="126"/>
    </row>
    <row r="1101" spans="3:17" x14ac:dyDescent="0.3">
      <c r="C1101" s="126"/>
      <c r="F1101" s="137"/>
      <c r="G1101" s="138"/>
      <c r="H1101" s="138"/>
      <c r="I1101" s="139"/>
      <c r="J1101" s="137"/>
      <c r="K1101" s="137"/>
      <c r="M1101" s="126"/>
      <c r="O1101" s="137"/>
      <c r="P1101" s="137"/>
      <c r="Q1101" s="126"/>
    </row>
    <row r="1102" spans="3:17" x14ac:dyDescent="0.3">
      <c r="C1102" s="126"/>
      <c r="F1102" s="137"/>
      <c r="G1102" s="138"/>
      <c r="H1102" s="138"/>
      <c r="I1102" s="139"/>
      <c r="J1102" s="137"/>
      <c r="K1102" s="137"/>
      <c r="M1102" s="126"/>
      <c r="O1102" s="137"/>
      <c r="P1102" s="137"/>
      <c r="Q1102" s="126"/>
    </row>
    <row r="1103" spans="3:17" x14ac:dyDescent="0.3">
      <c r="C1103" s="126"/>
      <c r="F1103" s="137"/>
      <c r="G1103" s="138"/>
      <c r="H1103" s="138"/>
      <c r="I1103" s="139"/>
      <c r="J1103" s="137"/>
      <c r="K1103" s="137"/>
      <c r="M1103" s="126"/>
      <c r="O1103" s="137"/>
      <c r="P1103" s="137"/>
      <c r="Q1103" s="126"/>
    </row>
    <row r="1104" spans="3:17" x14ac:dyDescent="0.3">
      <c r="C1104" s="126"/>
      <c r="F1104" s="137"/>
      <c r="G1104" s="138"/>
      <c r="H1104" s="138"/>
      <c r="I1104" s="139"/>
      <c r="J1104" s="137"/>
      <c r="K1104" s="137"/>
      <c r="M1104" s="126"/>
      <c r="O1104" s="137"/>
      <c r="P1104" s="137"/>
      <c r="Q1104" s="126"/>
    </row>
    <row r="1105" spans="3:17" x14ac:dyDescent="0.3">
      <c r="C1105" s="126"/>
      <c r="F1105" s="137"/>
      <c r="G1105" s="138"/>
      <c r="H1105" s="138"/>
      <c r="I1105" s="139"/>
      <c r="J1105" s="137"/>
      <c r="K1105" s="137"/>
      <c r="M1105" s="126"/>
      <c r="O1105" s="137"/>
      <c r="P1105" s="137"/>
      <c r="Q1105" s="126"/>
    </row>
    <row r="1106" spans="3:17" x14ac:dyDescent="0.3">
      <c r="C1106" s="126"/>
      <c r="F1106" s="137"/>
      <c r="G1106" s="138"/>
      <c r="H1106" s="138"/>
      <c r="I1106" s="139"/>
      <c r="J1106" s="137"/>
      <c r="K1106" s="137"/>
      <c r="M1106" s="126"/>
      <c r="O1106" s="137"/>
      <c r="P1106" s="137"/>
      <c r="Q1106" s="126"/>
    </row>
    <row r="1107" spans="3:17" x14ac:dyDescent="0.3">
      <c r="C1107" s="126"/>
      <c r="F1107" s="137"/>
      <c r="G1107" s="138"/>
      <c r="H1107" s="138"/>
      <c r="I1107" s="139"/>
      <c r="J1107" s="137"/>
      <c r="K1107" s="137"/>
      <c r="M1107" s="126"/>
      <c r="O1107" s="137"/>
      <c r="P1107" s="137"/>
      <c r="Q1107" s="126"/>
    </row>
    <row r="1108" spans="3:17" x14ac:dyDescent="0.3">
      <c r="C1108" s="126"/>
      <c r="F1108" s="137"/>
      <c r="G1108" s="138"/>
      <c r="H1108" s="138"/>
      <c r="I1108" s="139"/>
      <c r="J1108" s="137"/>
      <c r="K1108" s="137"/>
      <c r="M1108" s="126"/>
      <c r="O1108" s="137"/>
      <c r="P1108" s="137"/>
      <c r="Q1108" s="126"/>
    </row>
    <row r="1109" spans="3:17" x14ac:dyDescent="0.3">
      <c r="C1109" s="126"/>
      <c r="F1109" s="137"/>
      <c r="G1109" s="138"/>
      <c r="H1109" s="138"/>
      <c r="I1109" s="139"/>
      <c r="J1109" s="137"/>
      <c r="K1109" s="137"/>
      <c r="M1109" s="126"/>
      <c r="O1109" s="137"/>
      <c r="P1109" s="137"/>
      <c r="Q1109" s="126"/>
    </row>
    <row r="1110" spans="3:17" x14ac:dyDescent="0.3">
      <c r="C1110" s="126"/>
      <c r="F1110" s="137"/>
      <c r="G1110" s="138"/>
      <c r="H1110" s="138"/>
      <c r="I1110" s="139"/>
      <c r="J1110" s="137"/>
      <c r="K1110" s="137"/>
      <c r="M1110" s="126"/>
      <c r="O1110" s="137"/>
      <c r="P1110" s="137"/>
      <c r="Q1110" s="126"/>
    </row>
    <row r="1111" spans="3:17" x14ac:dyDescent="0.3">
      <c r="C1111" s="126"/>
      <c r="F1111" s="137"/>
      <c r="G1111" s="138"/>
      <c r="H1111" s="138"/>
      <c r="I1111" s="139"/>
      <c r="J1111" s="137"/>
      <c r="K1111" s="137"/>
      <c r="M1111" s="126"/>
      <c r="O1111" s="137"/>
      <c r="P1111" s="137"/>
      <c r="Q1111" s="126"/>
    </row>
    <row r="1112" spans="3:17" x14ac:dyDescent="0.3">
      <c r="C1112" s="126"/>
      <c r="F1112" s="137"/>
      <c r="G1112" s="138"/>
      <c r="H1112" s="138"/>
      <c r="I1112" s="139"/>
      <c r="J1112" s="137"/>
      <c r="K1112" s="137"/>
      <c r="M1112" s="126"/>
      <c r="O1112" s="137"/>
      <c r="P1112" s="137"/>
      <c r="Q1112" s="126"/>
    </row>
    <row r="1113" spans="3:17" x14ac:dyDescent="0.3">
      <c r="C1113" s="126"/>
      <c r="F1113" s="137"/>
      <c r="G1113" s="138"/>
      <c r="H1113" s="138"/>
      <c r="I1113" s="139"/>
      <c r="J1113" s="137"/>
      <c r="K1113" s="137"/>
      <c r="M1113" s="126"/>
      <c r="O1113" s="137"/>
      <c r="P1113" s="137"/>
      <c r="Q1113" s="126"/>
    </row>
    <row r="1114" spans="3:17" x14ac:dyDescent="0.3">
      <c r="C1114" s="126"/>
      <c r="F1114" s="137"/>
      <c r="G1114" s="138"/>
      <c r="H1114" s="138"/>
      <c r="I1114" s="139"/>
      <c r="J1114" s="137"/>
      <c r="K1114" s="137"/>
      <c r="M1114" s="126"/>
      <c r="O1114" s="137"/>
      <c r="P1114" s="137"/>
      <c r="Q1114" s="126"/>
    </row>
    <row r="1115" spans="3:17" x14ac:dyDescent="0.3">
      <c r="C1115" s="126"/>
      <c r="F1115" s="137"/>
      <c r="G1115" s="138"/>
      <c r="H1115" s="138"/>
      <c r="I1115" s="139"/>
      <c r="J1115" s="137"/>
      <c r="K1115" s="137"/>
      <c r="M1115" s="126"/>
      <c r="O1115" s="137"/>
      <c r="P1115" s="137"/>
      <c r="Q1115" s="126"/>
    </row>
    <row r="1116" spans="3:17" x14ac:dyDescent="0.3">
      <c r="C1116" s="126"/>
      <c r="F1116" s="137"/>
      <c r="G1116" s="138"/>
      <c r="H1116" s="138"/>
      <c r="I1116" s="139"/>
      <c r="J1116" s="137"/>
      <c r="K1116" s="137"/>
      <c r="M1116" s="126"/>
      <c r="O1116" s="137"/>
      <c r="P1116" s="137"/>
      <c r="Q1116" s="126"/>
    </row>
    <row r="1117" spans="3:17" x14ac:dyDescent="0.3">
      <c r="C1117" s="126"/>
      <c r="F1117" s="137"/>
      <c r="G1117" s="138"/>
      <c r="H1117" s="138"/>
      <c r="I1117" s="139"/>
      <c r="J1117" s="137"/>
      <c r="K1117" s="137"/>
      <c r="M1117" s="126"/>
      <c r="O1117" s="137"/>
      <c r="P1117" s="137"/>
      <c r="Q1117" s="126"/>
    </row>
    <row r="1118" spans="3:17" x14ac:dyDescent="0.3">
      <c r="C1118" s="126"/>
      <c r="F1118" s="137"/>
      <c r="G1118" s="138"/>
      <c r="H1118" s="138"/>
      <c r="I1118" s="139"/>
      <c r="J1118" s="137"/>
      <c r="K1118" s="137"/>
      <c r="M1118" s="126"/>
      <c r="O1118" s="137"/>
      <c r="P1118" s="137"/>
      <c r="Q1118" s="126"/>
    </row>
    <row r="1119" spans="3:17" x14ac:dyDescent="0.3">
      <c r="C1119" s="126"/>
      <c r="F1119" s="137"/>
      <c r="G1119" s="138"/>
      <c r="H1119" s="138"/>
      <c r="I1119" s="139"/>
      <c r="J1119" s="137"/>
      <c r="K1119" s="137"/>
      <c r="M1119" s="126"/>
      <c r="O1119" s="137"/>
      <c r="P1119" s="137"/>
      <c r="Q1119" s="126"/>
    </row>
    <row r="1120" spans="3:17" x14ac:dyDescent="0.3">
      <c r="C1120" s="126"/>
      <c r="F1120" s="137"/>
      <c r="G1120" s="138"/>
      <c r="H1120" s="138"/>
      <c r="I1120" s="139"/>
      <c r="J1120" s="137"/>
      <c r="K1120" s="137"/>
      <c r="M1120" s="126"/>
      <c r="O1120" s="137"/>
      <c r="P1120" s="137"/>
      <c r="Q1120" s="126"/>
    </row>
    <row r="1121" spans="3:17" x14ac:dyDescent="0.3">
      <c r="C1121" s="126"/>
      <c r="F1121" s="137"/>
      <c r="G1121" s="138"/>
      <c r="H1121" s="138"/>
      <c r="I1121" s="139"/>
      <c r="J1121" s="137"/>
      <c r="K1121" s="137"/>
      <c r="M1121" s="126"/>
      <c r="O1121" s="137"/>
      <c r="P1121" s="137"/>
      <c r="Q1121" s="126"/>
    </row>
    <row r="1122" spans="3:17" x14ac:dyDescent="0.3">
      <c r="C1122" s="126"/>
      <c r="F1122" s="137"/>
      <c r="G1122" s="138"/>
      <c r="H1122" s="138"/>
      <c r="I1122" s="139"/>
      <c r="J1122" s="137"/>
      <c r="K1122" s="137"/>
      <c r="M1122" s="126"/>
      <c r="O1122" s="137"/>
      <c r="P1122" s="137"/>
      <c r="Q1122" s="126"/>
    </row>
    <row r="1123" spans="3:17" x14ac:dyDescent="0.3">
      <c r="C1123" s="126"/>
      <c r="F1123" s="137"/>
      <c r="G1123" s="138"/>
      <c r="H1123" s="138"/>
      <c r="I1123" s="139"/>
      <c r="J1123" s="137"/>
      <c r="K1123" s="137"/>
      <c r="M1123" s="126"/>
      <c r="O1123" s="137"/>
      <c r="P1123" s="137"/>
      <c r="Q1123" s="126"/>
    </row>
    <row r="1124" spans="3:17" x14ac:dyDescent="0.3">
      <c r="C1124" s="126"/>
      <c r="F1124" s="137"/>
      <c r="G1124" s="138"/>
      <c r="H1124" s="138"/>
      <c r="I1124" s="139"/>
      <c r="J1124" s="137"/>
      <c r="K1124" s="137"/>
      <c r="M1124" s="126"/>
      <c r="O1124" s="137"/>
      <c r="P1124" s="137"/>
      <c r="Q1124" s="126"/>
    </row>
    <row r="1125" spans="3:17" x14ac:dyDescent="0.3">
      <c r="C1125" s="126"/>
      <c r="F1125" s="137"/>
      <c r="G1125" s="138"/>
      <c r="H1125" s="138"/>
      <c r="I1125" s="139"/>
      <c r="J1125" s="137"/>
      <c r="K1125" s="137"/>
      <c r="M1125" s="126"/>
      <c r="O1125" s="137"/>
      <c r="P1125" s="137"/>
      <c r="Q1125" s="126"/>
    </row>
    <row r="1126" spans="3:17" x14ac:dyDescent="0.3">
      <c r="C1126" s="126"/>
      <c r="F1126" s="137"/>
      <c r="G1126" s="138"/>
      <c r="H1126" s="138"/>
      <c r="I1126" s="139"/>
      <c r="J1126" s="137"/>
      <c r="K1126" s="137"/>
      <c r="M1126" s="126"/>
      <c r="O1126" s="137"/>
      <c r="P1126" s="137"/>
      <c r="Q1126" s="126"/>
    </row>
    <row r="1127" spans="3:17" x14ac:dyDescent="0.3">
      <c r="C1127" s="126"/>
      <c r="F1127" s="137"/>
      <c r="G1127" s="138"/>
      <c r="H1127" s="138"/>
      <c r="I1127" s="139"/>
      <c r="J1127" s="137"/>
      <c r="K1127" s="137"/>
      <c r="M1127" s="126"/>
      <c r="O1127" s="137"/>
      <c r="P1127" s="137"/>
      <c r="Q1127" s="126"/>
    </row>
    <row r="1128" spans="3:17" x14ac:dyDescent="0.3">
      <c r="C1128" s="126"/>
      <c r="F1128" s="137"/>
      <c r="G1128" s="138"/>
      <c r="H1128" s="138"/>
      <c r="I1128" s="139"/>
      <c r="J1128" s="137"/>
      <c r="K1128" s="137"/>
      <c r="M1128" s="126"/>
      <c r="O1128" s="137"/>
      <c r="P1128" s="137"/>
      <c r="Q1128" s="126"/>
    </row>
    <row r="1129" spans="3:17" x14ac:dyDescent="0.3">
      <c r="C1129" s="126"/>
      <c r="F1129" s="137"/>
      <c r="G1129" s="138"/>
      <c r="H1129" s="138"/>
      <c r="I1129" s="139"/>
      <c r="J1129" s="137"/>
      <c r="K1129" s="137"/>
      <c r="M1129" s="126"/>
      <c r="O1129" s="137"/>
      <c r="P1129" s="137"/>
      <c r="Q1129" s="126"/>
    </row>
    <row r="1130" spans="3:17" x14ac:dyDescent="0.3">
      <c r="C1130" s="126"/>
      <c r="F1130" s="137"/>
      <c r="G1130" s="138"/>
      <c r="H1130" s="138"/>
      <c r="I1130" s="139"/>
      <c r="J1130" s="137"/>
      <c r="K1130" s="137"/>
      <c r="M1130" s="126"/>
      <c r="O1130" s="137"/>
      <c r="P1130" s="137"/>
      <c r="Q1130" s="126"/>
    </row>
    <row r="1131" spans="3:17" x14ac:dyDescent="0.3">
      <c r="C1131" s="126"/>
      <c r="F1131" s="137"/>
      <c r="G1131" s="138"/>
      <c r="H1131" s="138"/>
      <c r="I1131" s="139"/>
      <c r="J1131" s="137"/>
      <c r="K1131" s="137"/>
      <c r="M1131" s="126"/>
      <c r="O1131" s="137"/>
      <c r="P1131" s="137"/>
      <c r="Q1131" s="126"/>
    </row>
    <row r="1132" spans="3:17" x14ac:dyDescent="0.3">
      <c r="C1132" s="126"/>
      <c r="F1132" s="137"/>
      <c r="G1132" s="138"/>
      <c r="H1132" s="138"/>
      <c r="I1132" s="139"/>
      <c r="J1132" s="137"/>
      <c r="K1132" s="137"/>
      <c r="M1132" s="126"/>
      <c r="O1132" s="137"/>
      <c r="P1132" s="137"/>
      <c r="Q1132" s="126"/>
    </row>
    <row r="1133" spans="3:17" x14ac:dyDescent="0.3">
      <c r="C1133" s="126"/>
      <c r="F1133" s="137"/>
      <c r="G1133" s="138"/>
      <c r="H1133" s="138"/>
      <c r="I1133" s="139"/>
      <c r="J1133" s="137"/>
      <c r="K1133" s="137"/>
      <c r="M1133" s="126"/>
      <c r="O1133" s="137"/>
      <c r="P1133" s="137"/>
      <c r="Q1133" s="126"/>
    </row>
    <row r="1134" spans="3:17" x14ac:dyDescent="0.3">
      <c r="C1134" s="126"/>
      <c r="F1134" s="137"/>
      <c r="G1134" s="138"/>
      <c r="H1134" s="138"/>
      <c r="I1134" s="139"/>
      <c r="J1134" s="137"/>
      <c r="K1134" s="137"/>
      <c r="M1134" s="126"/>
      <c r="O1134" s="137"/>
      <c r="P1134" s="137"/>
      <c r="Q1134" s="126"/>
    </row>
    <row r="1135" spans="3:17" x14ac:dyDescent="0.3">
      <c r="C1135" s="126"/>
      <c r="F1135" s="137"/>
      <c r="G1135" s="138"/>
      <c r="H1135" s="138"/>
      <c r="I1135" s="139"/>
      <c r="J1135" s="137"/>
      <c r="K1135" s="137"/>
      <c r="M1135" s="126"/>
      <c r="O1135" s="137"/>
      <c r="P1135" s="137"/>
      <c r="Q1135" s="126"/>
    </row>
    <row r="1136" spans="3:17" x14ac:dyDescent="0.3">
      <c r="C1136" s="126"/>
      <c r="F1136" s="137"/>
      <c r="G1136" s="138"/>
      <c r="H1136" s="138"/>
      <c r="I1136" s="139"/>
      <c r="J1136" s="137"/>
      <c r="K1136" s="137"/>
      <c r="M1136" s="126"/>
      <c r="O1136" s="137"/>
      <c r="P1136" s="137"/>
      <c r="Q1136" s="126"/>
    </row>
    <row r="1137" spans="3:17" x14ac:dyDescent="0.3">
      <c r="C1137" s="126"/>
      <c r="F1137" s="137"/>
      <c r="G1137" s="138"/>
      <c r="H1137" s="138"/>
      <c r="I1137" s="139"/>
      <c r="J1137" s="137"/>
      <c r="K1137" s="137"/>
      <c r="M1137" s="126"/>
      <c r="O1137" s="137"/>
      <c r="P1137" s="137"/>
      <c r="Q1137" s="126"/>
    </row>
    <row r="1138" spans="3:17" x14ac:dyDescent="0.3">
      <c r="C1138" s="126"/>
      <c r="F1138" s="137"/>
      <c r="G1138" s="138"/>
      <c r="H1138" s="138"/>
      <c r="I1138" s="139"/>
      <c r="J1138" s="137"/>
      <c r="K1138" s="137"/>
      <c r="M1138" s="126"/>
      <c r="O1138" s="137"/>
      <c r="P1138" s="137"/>
      <c r="Q1138" s="126"/>
    </row>
    <row r="1139" spans="3:17" x14ac:dyDescent="0.3">
      <c r="C1139" s="126"/>
      <c r="F1139" s="137"/>
      <c r="G1139" s="138"/>
      <c r="H1139" s="138"/>
      <c r="I1139" s="139"/>
      <c r="J1139" s="137"/>
      <c r="K1139" s="137"/>
      <c r="M1139" s="126"/>
      <c r="O1139" s="137"/>
      <c r="P1139" s="137"/>
      <c r="Q1139" s="126"/>
    </row>
    <row r="1140" spans="3:17" x14ac:dyDescent="0.3">
      <c r="C1140" s="126"/>
      <c r="F1140" s="137"/>
      <c r="G1140" s="138"/>
      <c r="H1140" s="138"/>
      <c r="I1140" s="139"/>
      <c r="J1140" s="137"/>
      <c r="K1140" s="137"/>
      <c r="M1140" s="126"/>
      <c r="O1140" s="137"/>
      <c r="P1140" s="137"/>
      <c r="Q1140" s="126"/>
    </row>
    <row r="1141" spans="3:17" x14ac:dyDescent="0.3">
      <c r="C1141" s="126"/>
      <c r="F1141" s="137"/>
      <c r="G1141" s="138"/>
      <c r="H1141" s="138"/>
      <c r="I1141" s="139"/>
      <c r="J1141" s="137"/>
      <c r="K1141" s="137"/>
      <c r="M1141" s="126"/>
      <c r="O1141" s="137"/>
      <c r="P1141" s="137"/>
      <c r="Q1141" s="126"/>
    </row>
    <row r="1142" spans="3:17" x14ac:dyDescent="0.3">
      <c r="C1142" s="126"/>
      <c r="F1142" s="137"/>
      <c r="G1142" s="138"/>
      <c r="H1142" s="138"/>
      <c r="I1142" s="139"/>
      <c r="J1142" s="137"/>
      <c r="K1142" s="137"/>
      <c r="M1142" s="126"/>
      <c r="O1142" s="137"/>
      <c r="P1142" s="137"/>
      <c r="Q1142" s="126"/>
    </row>
    <row r="1143" spans="3:17" x14ac:dyDescent="0.3">
      <c r="C1143" s="126"/>
      <c r="F1143" s="137"/>
      <c r="G1143" s="138"/>
      <c r="H1143" s="138"/>
      <c r="I1143" s="139"/>
      <c r="J1143" s="137"/>
      <c r="K1143" s="137"/>
      <c r="M1143" s="126"/>
      <c r="O1143" s="137"/>
      <c r="P1143" s="137"/>
      <c r="Q1143" s="126"/>
    </row>
    <row r="1144" spans="3:17" x14ac:dyDescent="0.3">
      <c r="C1144" s="126"/>
      <c r="F1144" s="137"/>
      <c r="G1144" s="138"/>
      <c r="H1144" s="138"/>
      <c r="I1144" s="139"/>
      <c r="J1144" s="137"/>
      <c r="K1144" s="137"/>
      <c r="M1144" s="126"/>
      <c r="O1144" s="137"/>
      <c r="P1144" s="137"/>
      <c r="Q1144" s="126"/>
    </row>
    <row r="1145" spans="3:17" x14ac:dyDescent="0.3">
      <c r="C1145" s="126"/>
      <c r="F1145" s="137"/>
      <c r="G1145" s="138"/>
      <c r="H1145" s="138"/>
      <c r="I1145" s="139"/>
      <c r="J1145" s="137"/>
      <c r="K1145" s="137"/>
      <c r="M1145" s="126"/>
      <c r="O1145" s="137"/>
      <c r="P1145" s="137"/>
      <c r="Q1145" s="126"/>
    </row>
    <row r="1146" spans="3:17" x14ac:dyDescent="0.3">
      <c r="C1146" s="126"/>
      <c r="F1146" s="137"/>
      <c r="G1146" s="138"/>
      <c r="H1146" s="138"/>
      <c r="I1146" s="139"/>
      <c r="J1146" s="137"/>
      <c r="K1146" s="137"/>
      <c r="M1146" s="126"/>
      <c r="O1146" s="137"/>
      <c r="P1146" s="137"/>
      <c r="Q1146" s="126"/>
    </row>
    <row r="1147" spans="3:17" x14ac:dyDescent="0.3">
      <c r="C1147" s="126"/>
      <c r="F1147" s="137"/>
      <c r="G1147" s="138"/>
      <c r="H1147" s="138"/>
      <c r="I1147" s="139"/>
      <c r="J1147" s="137"/>
      <c r="K1147" s="137"/>
      <c r="M1147" s="126"/>
      <c r="O1147" s="137"/>
      <c r="P1147" s="137"/>
      <c r="Q1147" s="126"/>
    </row>
    <row r="1148" spans="3:17" x14ac:dyDescent="0.3">
      <c r="C1148" s="126"/>
      <c r="F1148" s="137"/>
      <c r="G1148" s="138"/>
      <c r="H1148" s="138"/>
      <c r="I1148" s="139"/>
      <c r="J1148" s="137"/>
      <c r="K1148" s="137"/>
      <c r="M1148" s="126"/>
      <c r="O1148" s="137"/>
      <c r="P1148" s="137"/>
      <c r="Q1148" s="126"/>
    </row>
    <row r="1149" spans="3:17" x14ac:dyDescent="0.3">
      <c r="C1149" s="126"/>
      <c r="F1149" s="137"/>
      <c r="G1149" s="138"/>
      <c r="H1149" s="138"/>
      <c r="I1149" s="139"/>
      <c r="J1149" s="137"/>
      <c r="K1149" s="137"/>
      <c r="M1149" s="126"/>
      <c r="O1149" s="137"/>
      <c r="P1149" s="137"/>
      <c r="Q1149" s="126"/>
    </row>
    <row r="1150" spans="3:17" x14ac:dyDescent="0.3">
      <c r="C1150" s="126"/>
      <c r="F1150" s="137"/>
      <c r="G1150" s="138"/>
      <c r="H1150" s="138"/>
      <c r="I1150" s="139"/>
      <c r="J1150" s="137"/>
      <c r="K1150" s="137"/>
      <c r="M1150" s="126"/>
      <c r="O1150" s="137"/>
      <c r="P1150" s="137"/>
      <c r="Q1150" s="126"/>
    </row>
    <row r="1151" spans="3:17" x14ac:dyDescent="0.3">
      <c r="C1151" s="126"/>
      <c r="F1151" s="137"/>
      <c r="G1151" s="138"/>
      <c r="H1151" s="138"/>
      <c r="I1151" s="139"/>
      <c r="J1151" s="137"/>
      <c r="K1151" s="137"/>
      <c r="M1151" s="126"/>
      <c r="O1151" s="137"/>
      <c r="P1151" s="137"/>
      <c r="Q1151" s="126"/>
    </row>
    <row r="1152" spans="3:17" x14ac:dyDescent="0.3">
      <c r="C1152" s="126"/>
      <c r="F1152" s="137"/>
      <c r="G1152" s="138"/>
      <c r="H1152" s="138"/>
      <c r="I1152" s="139"/>
      <c r="J1152" s="137"/>
      <c r="K1152" s="137"/>
      <c r="M1152" s="126"/>
      <c r="O1152" s="137"/>
      <c r="P1152" s="137"/>
      <c r="Q1152" s="126"/>
    </row>
    <row r="1153" spans="3:17" x14ac:dyDescent="0.3">
      <c r="C1153" s="126"/>
      <c r="F1153" s="137"/>
      <c r="G1153" s="138"/>
      <c r="H1153" s="138"/>
      <c r="I1153" s="139"/>
      <c r="J1153" s="137"/>
      <c r="K1153" s="137"/>
      <c r="M1153" s="126"/>
      <c r="O1153" s="137"/>
      <c r="P1153" s="137"/>
      <c r="Q1153" s="126"/>
    </row>
    <row r="1154" spans="3:17" x14ac:dyDescent="0.3">
      <c r="C1154" s="126"/>
      <c r="F1154" s="137"/>
      <c r="G1154" s="138"/>
      <c r="H1154" s="138"/>
      <c r="I1154" s="139"/>
      <c r="J1154" s="137"/>
      <c r="K1154" s="137"/>
      <c r="M1154" s="126"/>
      <c r="O1154" s="137"/>
      <c r="P1154" s="137"/>
      <c r="Q1154" s="126"/>
    </row>
    <row r="1155" spans="3:17" x14ac:dyDescent="0.3">
      <c r="C1155" s="126"/>
      <c r="F1155" s="137"/>
      <c r="G1155" s="138"/>
      <c r="H1155" s="138"/>
      <c r="I1155" s="139"/>
      <c r="J1155" s="137"/>
      <c r="K1155" s="137"/>
      <c r="M1155" s="126"/>
      <c r="O1155" s="137"/>
      <c r="P1155" s="137"/>
      <c r="Q1155" s="126"/>
    </row>
    <row r="1156" spans="3:17" x14ac:dyDescent="0.3">
      <c r="C1156" s="126"/>
      <c r="F1156" s="137"/>
      <c r="G1156" s="138"/>
      <c r="H1156" s="138"/>
      <c r="I1156" s="139"/>
      <c r="J1156" s="137"/>
      <c r="K1156" s="137"/>
      <c r="M1156" s="126"/>
      <c r="O1156" s="137"/>
      <c r="P1156" s="137"/>
      <c r="Q1156" s="126"/>
    </row>
    <row r="1157" spans="3:17" x14ac:dyDescent="0.3">
      <c r="C1157" s="126"/>
      <c r="F1157" s="137"/>
      <c r="G1157" s="138"/>
      <c r="H1157" s="138"/>
      <c r="I1157" s="139"/>
      <c r="J1157" s="137"/>
      <c r="K1157" s="137"/>
      <c r="M1157" s="126"/>
      <c r="O1157" s="137"/>
      <c r="P1157" s="137"/>
      <c r="Q1157" s="126"/>
    </row>
    <row r="1158" spans="3:17" x14ac:dyDescent="0.3">
      <c r="C1158" s="126"/>
      <c r="F1158" s="137"/>
      <c r="G1158" s="138"/>
      <c r="H1158" s="138"/>
      <c r="I1158" s="139"/>
      <c r="J1158" s="137"/>
      <c r="K1158" s="137"/>
      <c r="M1158" s="126"/>
      <c r="O1158" s="137"/>
      <c r="P1158" s="137"/>
      <c r="Q1158" s="126"/>
    </row>
    <row r="1159" spans="3:17" x14ac:dyDescent="0.3">
      <c r="C1159" s="126"/>
      <c r="F1159" s="137"/>
      <c r="G1159" s="138"/>
      <c r="H1159" s="138"/>
      <c r="I1159" s="139"/>
      <c r="J1159" s="137"/>
      <c r="K1159" s="137"/>
      <c r="M1159" s="126"/>
      <c r="O1159" s="137"/>
      <c r="P1159" s="137"/>
      <c r="Q1159" s="126"/>
    </row>
    <row r="1160" spans="3:17" x14ac:dyDescent="0.3">
      <c r="C1160" s="126"/>
      <c r="F1160" s="137"/>
      <c r="G1160" s="138"/>
      <c r="H1160" s="138"/>
      <c r="I1160" s="139"/>
      <c r="J1160" s="137"/>
      <c r="K1160" s="137"/>
      <c r="M1160" s="126"/>
      <c r="O1160" s="137"/>
      <c r="P1160" s="137"/>
      <c r="Q1160" s="126"/>
    </row>
    <row r="1161" spans="3:17" x14ac:dyDescent="0.3">
      <c r="C1161" s="126"/>
      <c r="F1161" s="137"/>
      <c r="G1161" s="138"/>
      <c r="H1161" s="138"/>
      <c r="I1161" s="139"/>
      <c r="J1161" s="137"/>
      <c r="K1161" s="137"/>
      <c r="M1161" s="126"/>
      <c r="O1161" s="137"/>
      <c r="P1161" s="137"/>
      <c r="Q1161" s="126"/>
    </row>
    <row r="1162" spans="3:17" x14ac:dyDescent="0.3">
      <c r="C1162" s="126"/>
      <c r="F1162" s="137"/>
      <c r="G1162" s="138"/>
      <c r="H1162" s="138"/>
      <c r="I1162" s="139"/>
      <c r="J1162" s="137"/>
      <c r="K1162" s="137"/>
      <c r="M1162" s="126"/>
      <c r="O1162" s="137"/>
      <c r="P1162" s="137"/>
      <c r="Q1162" s="126"/>
    </row>
    <row r="1163" spans="3:17" x14ac:dyDescent="0.3">
      <c r="C1163" s="126"/>
      <c r="F1163" s="137"/>
      <c r="G1163" s="138"/>
      <c r="H1163" s="138"/>
      <c r="I1163" s="139"/>
      <c r="J1163" s="137"/>
      <c r="K1163" s="137"/>
      <c r="M1163" s="126"/>
      <c r="O1163" s="137"/>
      <c r="P1163" s="137"/>
      <c r="Q1163" s="126"/>
    </row>
    <row r="1164" spans="3:17" x14ac:dyDescent="0.3">
      <c r="C1164" s="126"/>
      <c r="F1164" s="137"/>
      <c r="G1164" s="138"/>
      <c r="H1164" s="138"/>
      <c r="I1164" s="139"/>
      <c r="J1164" s="137"/>
      <c r="K1164" s="137"/>
      <c r="M1164" s="126"/>
      <c r="O1164" s="137"/>
      <c r="P1164" s="137"/>
      <c r="Q1164" s="126"/>
    </row>
    <row r="1165" spans="3:17" x14ac:dyDescent="0.3">
      <c r="C1165" s="126"/>
      <c r="F1165" s="137"/>
      <c r="G1165" s="138"/>
      <c r="H1165" s="138"/>
      <c r="I1165" s="139"/>
      <c r="J1165" s="137"/>
      <c r="K1165" s="137"/>
      <c r="M1165" s="126"/>
      <c r="O1165" s="137"/>
      <c r="P1165" s="137"/>
      <c r="Q1165" s="126"/>
    </row>
    <row r="1166" spans="3:17" x14ac:dyDescent="0.3">
      <c r="C1166" s="126"/>
      <c r="F1166" s="137"/>
      <c r="G1166" s="138"/>
      <c r="H1166" s="138"/>
      <c r="I1166" s="139"/>
      <c r="J1166" s="137"/>
      <c r="K1166" s="137"/>
      <c r="M1166" s="126"/>
      <c r="O1166" s="137"/>
      <c r="P1166" s="137"/>
      <c r="Q1166" s="126"/>
    </row>
    <row r="1167" spans="3:17" x14ac:dyDescent="0.3">
      <c r="C1167" s="126"/>
      <c r="F1167" s="137"/>
      <c r="G1167" s="138"/>
      <c r="H1167" s="138"/>
      <c r="I1167" s="139"/>
      <c r="J1167" s="137"/>
      <c r="K1167" s="137"/>
      <c r="M1167" s="126"/>
      <c r="O1167" s="137"/>
      <c r="P1167" s="137"/>
      <c r="Q1167" s="126"/>
    </row>
    <row r="1168" spans="3:17" x14ac:dyDescent="0.3">
      <c r="C1168" s="126"/>
      <c r="F1168" s="137"/>
      <c r="G1168" s="138"/>
      <c r="H1168" s="138"/>
      <c r="I1168" s="139"/>
      <c r="J1168" s="137"/>
      <c r="K1168" s="137"/>
      <c r="M1168" s="126"/>
      <c r="O1168" s="137"/>
      <c r="P1168" s="137"/>
      <c r="Q1168" s="126"/>
    </row>
    <row r="1169" spans="3:17" x14ac:dyDescent="0.3">
      <c r="C1169" s="126"/>
      <c r="F1169" s="137"/>
      <c r="G1169" s="138"/>
      <c r="H1169" s="138"/>
      <c r="I1169" s="139"/>
      <c r="J1169" s="137"/>
      <c r="K1169" s="137"/>
      <c r="M1169" s="126"/>
      <c r="O1169" s="137"/>
      <c r="P1169" s="137"/>
      <c r="Q1169" s="126"/>
    </row>
    <row r="1170" spans="3:17" x14ac:dyDescent="0.3">
      <c r="C1170" s="126"/>
      <c r="F1170" s="137"/>
      <c r="G1170" s="138"/>
      <c r="H1170" s="138"/>
      <c r="I1170" s="139"/>
      <c r="J1170" s="137"/>
      <c r="K1170" s="137"/>
      <c r="M1170" s="126"/>
      <c r="O1170" s="137"/>
      <c r="P1170" s="137"/>
      <c r="Q1170" s="126"/>
    </row>
    <row r="1171" spans="3:17" x14ac:dyDescent="0.3">
      <c r="C1171" s="126"/>
      <c r="F1171" s="137"/>
      <c r="G1171" s="138"/>
      <c r="H1171" s="138"/>
      <c r="I1171" s="139"/>
      <c r="J1171" s="137"/>
      <c r="K1171" s="137"/>
      <c r="M1171" s="126"/>
      <c r="O1171" s="137"/>
      <c r="P1171" s="137"/>
      <c r="Q1171" s="126"/>
    </row>
    <row r="1172" spans="3:17" x14ac:dyDescent="0.3">
      <c r="C1172" s="126"/>
      <c r="F1172" s="137"/>
      <c r="G1172" s="138"/>
      <c r="H1172" s="138"/>
      <c r="I1172" s="139"/>
      <c r="J1172" s="137"/>
      <c r="K1172" s="137"/>
      <c r="M1172" s="126"/>
      <c r="O1172" s="137"/>
      <c r="P1172" s="137"/>
      <c r="Q1172" s="126"/>
    </row>
    <row r="1173" spans="3:17" x14ac:dyDescent="0.3">
      <c r="C1173" s="126"/>
      <c r="F1173" s="137"/>
      <c r="G1173" s="138"/>
      <c r="H1173" s="138"/>
      <c r="I1173" s="139"/>
      <c r="J1173" s="137"/>
      <c r="K1173" s="137"/>
      <c r="M1173" s="126"/>
      <c r="O1173" s="137"/>
      <c r="P1173" s="137"/>
      <c r="Q1173" s="126"/>
    </row>
    <row r="1174" spans="3:17" x14ac:dyDescent="0.3">
      <c r="C1174" s="126"/>
      <c r="F1174" s="137"/>
      <c r="G1174" s="138"/>
      <c r="H1174" s="138"/>
      <c r="I1174" s="139"/>
      <c r="J1174" s="137"/>
      <c r="K1174" s="137"/>
      <c r="M1174" s="126"/>
      <c r="O1174" s="137"/>
      <c r="P1174" s="137"/>
      <c r="Q1174" s="126"/>
    </row>
    <row r="1175" spans="3:17" x14ac:dyDescent="0.3">
      <c r="C1175" s="126"/>
      <c r="F1175" s="137"/>
      <c r="G1175" s="138"/>
      <c r="H1175" s="138"/>
      <c r="I1175" s="139"/>
      <c r="J1175" s="137"/>
      <c r="K1175" s="137"/>
      <c r="M1175" s="126"/>
      <c r="O1175" s="137"/>
      <c r="P1175" s="137"/>
      <c r="Q1175" s="126"/>
    </row>
    <row r="1176" spans="3:17" x14ac:dyDescent="0.3">
      <c r="C1176" s="126"/>
      <c r="F1176" s="137"/>
      <c r="G1176" s="138"/>
      <c r="H1176" s="138"/>
      <c r="I1176" s="139"/>
      <c r="J1176" s="137"/>
      <c r="K1176" s="137"/>
      <c r="M1176" s="126"/>
      <c r="O1176" s="137"/>
      <c r="P1176" s="137"/>
      <c r="Q1176" s="126"/>
    </row>
    <row r="1177" spans="3:17" x14ac:dyDescent="0.3">
      <c r="C1177" s="126"/>
      <c r="F1177" s="137"/>
      <c r="G1177" s="138"/>
      <c r="H1177" s="138"/>
      <c r="I1177" s="139"/>
      <c r="J1177" s="137"/>
      <c r="K1177" s="137"/>
      <c r="M1177" s="126"/>
      <c r="O1177" s="137"/>
      <c r="P1177" s="137"/>
      <c r="Q1177" s="126"/>
    </row>
    <row r="1178" spans="3:17" x14ac:dyDescent="0.3">
      <c r="C1178" s="126"/>
      <c r="F1178" s="137"/>
      <c r="G1178" s="138"/>
      <c r="H1178" s="138"/>
      <c r="I1178" s="139"/>
      <c r="J1178" s="137"/>
      <c r="K1178" s="137"/>
      <c r="M1178" s="126"/>
      <c r="O1178" s="137"/>
      <c r="P1178" s="137"/>
      <c r="Q1178" s="126"/>
    </row>
    <row r="1179" spans="3:17" x14ac:dyDescent="0.3">
      <c r="C1179" s="126"/>
      <c r="F1179" s="137"/>
      <c r="G1179" s="138"/>
      <c r="H1179" s="138"/>
      <c r="I1179" s="139"/>
      <c r="J1179" s="137"/>
      <c r="K1179" s="137"/>
      <c r="M1179" s="126"/>
      <c r="O1179" s="137"/>
      <c r="P1179" s="137"/>
      <c r="Q1179" s="126"/>
    </row>
    <row r="1180" spans="3:17" x14ac:dyDescent="0.3">
      <c r="C1180" s="126"/>
      <c r="F1180" s="137"/>
      <c r="G1180" s="138"/>
      <c r="H1180" s="138"/>
      <c r="I1180" s="139"/>
      <c r="J1180" s="137"/>
      <c r="K1180" s="137"/>
      <c r="M1180" s="126"/>
      <c r="O1180" s="137"/>
      <c r="P1180" s="137"/>
      <c r="Q1180" s="126"/>
    </row>
    <row r="1181" spans="3:17" x14ac:dyDescent="0.3">
      <c r="C1181" s="126"/>
      <c r="F1181" s="137"/>
      <c r="G1181" s="138"/>
      <c r="H1181" s="138"/>
      <c r="I1181" s="139"/>
      <c r="J1181" s="137"/>
      <c r="K1181" s="137"/>
      <c r="M1181" s="126"/>
      <c r="O1181" s="137"/>
      <c r="P1181" s="137"/>
      <c r="Q1181" s="126"/>
    </row>
    <row r="1182" spans="3:17" x14ac:dyDescent="0.3">
      <c r="C1182" s="126"/>
      <c r="F1182" s="137"/>
      <c r="G1182" s="138"/>
      <c r="H1182" s="138"/>
      <c r="I1182" s="139"/>
      <c r="J1182" s="137"/>
      <c r="K1182" s="137"/>
      <c r="M1182" s="126"/>
      <c r="O1182" s="137"/>
      <c r="P1182" s="137"/>
      <c r="Q1182" s="126"/>
    </row>
    <row r="1183" spans="3:17" x14ac:dyDescent="0.3">
      <c r="C1183" s="126"/>
      <c r="F1183" s="137"/>
      <c r="G1183" s="138"/>
      <c r="H1183" s="138"/>
      <c r="I1183" s="139"/>
      <c r="J1183" s="137"/>
      <c r="K1183" s="137"/>
      <c r="M1183" s="126"/>
      <c r="O1183" s="137"/>
      <c r="P1183" s="137"/>
      <c r="Q1183" s="126"/>
    </row>
    <row r="1184" spans="3:17" x14ac:dyDescent="0.3">
      <c r="C1184" s="126"/>
      <c r="F1184" s="137"/>
      <c r="G1184" s="138"/>
      <c r="H1184" s="138"/>
      <c r="I1184" s="139"/>
      <c r="J1184" s="137"/>
      <c r="K1184" s="137"/>
      <c r="M1184" s="126"/>
      <c r="O1184" s="137"/>
      <c r="P1184" s="137"/>
      <c r="Q1184" s="126"/>
    </row>
    <row r="1185" spans="3:17" x14ac:dyDescent="0.3">
      <c r="C1185" s="126"/>
      <c r="F1185" s="137"/>
      <c r="G1185" s="138"/>
      <c r="H1185" s="138"/>
      <c r="I1185" s="139"/>
      <c r="J1185" s="137"/>
      <c r="K1185" s="137"/>
      <c r="M1185" s="126"/>
      <c r="O1185" s="137"/>
      <c r="P1185" s="137"/>
      <c r="Q1185" s="126"/>
    </row>
    <row r="1186" spans="3:17" x14ac:dyDescent="0.3">
      <c r="C1186" s="126"/>
      <c r="F1186" s="137"/>
      <c r="G1186" s="138"/>
      <c r="H1186" s="138"/>
      <c r="I1186" s="139"/>
      <c r="J1186" s="137"/>
      <c r="K1186" s="137"/>
      <c r="M1186" s="126"/>
      <c r="O1186" s="137"/>
      <c r="P1186" s="137"/>
      <c r="Q1186" s="126"/>
    </row>
    <row r="1187" spans="3:17" x14ac:dyDescent="0.3">
      <c r="C1187" s="126"/>
      <c r="F1187" s="137"/>
      <c r="G1187" s="138"/>
      <c r="H1187" s="138"/>
      <c r="I1187" s="139"/>
      <c r="J1187" s="137"/>
      <c r="K1187" s="137"/>
      <c r="M1187" s="126"/>
      <c r="O1187" s="137"/>
      <c r="P1187" s="137"/>
      <c r="Q1187" s="126"/>
    </row>
    <row r="1188" spans="3:17" x14ac:dyDescent="0.3">
      <c r="C1188" s="126"/>
      <c r="F1188" s="137"/>
      <c r="G1188" s="138"/>
      <c r="H1188" s="138"/>
      <c r="I1188" s="139"/>
      <c r="J1188" s="137"/>
      <c r="K1188" s="137"/>
      <c r="M1188" s="126"/>
      <c r="O1188" s="137"/>
      <c r="P1188" s="137"/>
      <c r="Q1188" s="126"/>
    </row>
    <row r="1189" spans="3:17" x14ac:dyDescent="0.3">
      <c r="C1189" s="126"/>
      <c r="F1189" s="137"/>
      <c r="G1189" s="138"/>
      <c r="H1189" s="138"/>
      <c r="I1189" s="139"/>
      <c r="J1189" s="137"/>
      <c r="K1189" s="137"/>
      <c r="M1189" s="126"/>
      <c r="O1189" s="137"/>
      <c r="P1189" s="137"/>
      <c r="Q1189" s="126"/>
    </row>
    <row r="1190" spans="3:17" x14ac:dyDescent="0.3">
      <c r="C1190" s="126"/>
      <c r="F1190" s="137"/>
      <c r="G1190" s="138"/>
      <c r="H1190" s="138"/>
      <c r="I1190" s="139"/>
      <c r="J1190" s="137"/>
      <c r="K1190" s="137"/>
      <c r="M1190" s="126"/>
      <c r="O1190" s="137"/>
      <c r="P1190" s="137"/>
      <c r="Q1190" s="126"/>
    </row>
    <row r="1191" spans="3:17" x14ac:dyDescent="0.3">
      <c r="C1191" s="126"/>
      <c r="F1191" s="137"/>
      <c r="G1191" s="138"/>
      <c r="H1191" s="138"/>
      <c r="I1191" s="139"/>
      <c r="J1191" s="137"/>
      <c r="K1191" s="137"/>
      <c r="M1191" s="126"/>
      <c r="O1191" s="137"/>
      <c r="P1191" s="137"/>
      <c r="Q1191" s="126"/>
    </row>
    <row r="1192" spans="3:17" x14ac:dyDescent="0.3">
      <c r="C1192" s="126"/>
      <c r="F1192" s="137"/>
      <c r="G1192" s="138"/>
      <c r="H1192" s="138"/>
      <c r="I1192" s="139"/>
      <c r="J1192" s="137"/>
      <c r="K1192" s="137"/>
      <c r="M1192" s="126"/>
      <c r="O1192" s="137"/>
      <c r="P1192" s="137"/>
      <c r="Q1192" s="126"/>
    </row>
    <row r="1193" spans="3:17" x14ac:dyDescent="0.3">
      <c r="C1193" s="126"/>
      <c r="F1193" s="137"/>
      <c r="G1193" s="138"/>
      <c r="H1193" s="138"/>
      <c r="I1193" s="139"/>
      <c r="J1193" s="137"/>
      <c r="K1193" s="137"/>
      <c r="M1193" s="126"/>
      <c r="O1193" s="137"/>
      <c r="P1193" s="137"/>
      <c r="Q1193" s="126"/>
    </row>
    <row r="1194" spans="3:17" x14ac:dyDescent="0.3">
      <c r="C1194" s="126"/>
      <c r="F1194" s="137"/>
      <c r="G1194" s="138"/>
      <c r="H1194" s="138"/>
      <c r="I1194" s="139"/>
      <c r="J1194" s="137"/>
      <c r="K1194" s="137"/>
      <c r="M1194" s="126"/>
      <c r="O1194" s="137"/>
      <c r="P1194" s="137"/>
      <c r="Q1194" s="126"/>
    </row>
    <row r="1195" spans="3:17" x14ac:dyDescent="0.3">
      <c r="C1195" s="126"/>
      <c r="F1195" s="137"/>
      <c r="G1195" s="138"/>
      <c r="H1195" s="138"/>
      <c r="I1195" s="139"/>
      <c r="J1195" s="137"/>
      <c r="K1195" s="137"/>
      <c r="M1195" s="126"/>
      <c r="O1195" s="137"/>
      <c r="P1195" s="137"/>
      <c r="Q1195" s="126"/>
    </row>
    <row r="1196" spans="3:17" x14ac:dyDescent="0.3">
      <c r="C1196" s="126"/>
      <c r="F1196" s="137"/>
      <c r="G1196" s="138"/>
      <c r="H1196" s="138"/>
      <c r="I1196" s="139"/>
      <c r="J1196" s="137"/>
      <c r="K1196" s="137"/>
      <c r="M1196" s="126"/>
      <c r="O1196" s="137"/>
      <c r="P1196" s="137"/>
      <c r="Q1196" s="126"/>
    </row>
    <row r="1197" spans="3:17" x14ac:dyDescent="0.3">
      <c r="C1197" s="126"/>
      <c r="F1197" s="137"/>
      <c r="G1197" s="138"/>
      <c r="H1197" s="138"/>
      <c r="I1197" s="139"/>
      <c r="J1197" s="137"/>
      <c r="K1197" s="137"/>
      <c r="M1197" s="126"/>
      <c r="O1197" s="137"/>
      <c r="P1197" s="137"/>
      <c r="Q1197" s="126"/>
    </row>
    <row r="1198" spans="3:17" x14ac:dyDescent="0.3">
      <c r="C1198" s="126"/>
      <c r="F1198" s="137"/>
      <c r="G1198" s="138"/>
      <c r="H1198" s="138"/>
      <c r="I1198" s="139"/>
      <c r="J1198" s="137"/>
      <c r="K1198" s="137"/>
      <c r="M1198" s="126"/>
      <c r="O1198" s="137"/>
      <c r="P1198" s="137"/>
      <c r="Q1198" s="126"/>
    </row>
    <row r="1199" spans="3:17" x14ac:dyDescent="0.3">
      <c r="C1199" s="126"/>
      <c r="F1199" s="137"/>
      <c r="G1199" s="138"/>
      <c r="H1199" s="138"/>
      <c r="I1199" s="139"/>
      <c r="J1199" s="137"/>
      <c r="K1199" s="137"/>
      <c r="M1199" s="126"/>
      <c r="O1199" s="137"/>
      <c r="P1199" s="137"/>
      <c r="Q1199" s="126"/>
    </row>
    <row r="1200" spans="3:17" x14ac:dyDescent="0.3">
      <c r="C1200" s="126"/>
      <c r="F1200" s="137"/>
      <c r="G1200" s="138"/>
      <c r="H1200" s="138"/>
      <c r="I1200" s="139"/>
      <c r="J1200" s="137"/>
      <c r="K1200" s="137"/>
      <c r="M1200" s="126"/>
      <c r="O1200" s="137"/>
      <c r="P1200" s="137"/>
      <c r="Q1200" s="126"/>
    </row>
    <row r="1201" spans="3:17" x14ac:dyDescent="0.3">
      <c r="C1201" s="126"/>
      <c r="F1201" s="137"/>
      <c r="G1201" s="138"/>
      <c r="H1201" s="138"/>
      <c r="I1201" s="139"/>
      <c r="J1201" s="137"/>
      <c r="K1201" s="137"/>
      <c r="M1201" s="126"/>
      <c r="O1201" s="137"/>
      <c r="P1201" s="137"/>
      <c r="Q1201" s="126"/>
    </row>
    <row r="1202" spans="3:17" x14ac:dyDescent="0.3">
      <c r="C1202" s="126"/>
      <c r="F1202" s="137"/>
      <c r="G1202" s="138"/>
      <c r="H1202" s="138"/>
      <c r="I1202" s="139"/>
      <c r="J1202" s="137"/>
      <c r="K1202" s="137"/>
      <c r="M1202" s="126"/>
      <c r="O1202" s="137"/>
      <c r="P1202" s="137"/>
      <c r="Q1202" s="126"/>
    </row>
    <row r="1203" spans="3:17" x14ac:dyDescent="0.3">
      <c r="C1203" s="126"/>
      <c r="F1203" s="137"/>
      <c r="G1203" s="138"/>
      <c r="H1203" s="138"/>
      <c r="I1203" s="139"/>
      <c r="J1203" s="137"/>
      <c r="K1203" s="137"/>
      <c r="M1203" s="126"/>
      <c r="O1203" s="137"/>
      <c r="P1203" s="137"/>
      <c r="Q1203" s="126"/>
    </row>
    <row r="1204" spans="3:17" x14ac:dyDescent="0.3">
      <c r="C1204" s="126"/>
      <c r="F1204" s="137"/>
      <c r="G1204" s="138"/>
      <c r="H1204" s="138"/>
      <c r="I1204" s="139"/>
      <c r="J1204" s="137"/>
      <c r="K1204" s="137"/>
      <c r="M1204" s="126"/>
      <c r="O1204" s="137"/>
      <c r="P1204" s="137"/>
      <c r="Q1204" s="126"/>
    </row>
    <row r="1205" spans="3:17" x14ac:dyDescent="0.3">
      <c r="C1205" s="126"/>
      <c r="F1205" s="137"/>
      <c r="G1205" s="138"/>
      <c r="H1205" s="138"/>
      <c r="I1205" s="139"/>
      <c r="J1205" s="137"/>
      <c r="K1205" s="137"/>
      <c r="M1205" s="126"/>
      <c r="O1205" s="137"/>
      <c r="P1205" s="137"/>
      <c r="Q1205" s="126"/>
    </row>
    <row r="1206" spans="3:17" x14ac:dyDescent="0.3">
      <c r="C1206" s="126"/>
      <c r="F1206" s="137"/>
      <c r="G1206" s="138"/>
      <c r="H1206" s="138"/>
      <c r="I1206" s="139"/>
      <c r="J1206" s="137"/>
      <c r="K1206" s="137"/>
      <c r="M1206" s="126"/>
      <c r="O1206" s="137"/>
      <c r="P1206" s="137"/>
      <c r="Q1206" s="126"/>
    </row>
    <row r="1207" spans="3:17" x14ac:dyDescent="0.3">
      <c r="C1207" s="126"/>
      <c r="F1207" s="137"/>
      <c r="G1207" s="138"/>
      <c r="H1207" s="138"/>
      <c r="I1207" s="139"/>
      <c r="J1207" s="137"/>
      <c r="K1207" s="137"/>
      <c r="M1207" s="126"/>
      <c r="O1207" s="137"/>
      <c r="P1207" s="137"/>
      <c r="Q1207" s="126"/>
    </row>
    <row r="1208" spans="3:17" x14ac:dyDescent="0.3">
      <c r="C1208" s="126"/>
      <c r="F1208" s="137"/>
      <c r="G1208" s="138"/>
      <c r="H1208" s="138"/>
      <c r="I1208" s="139"/>
      <c r="J1208" s="137"/>
      <c r="K1208" s="137"/>
      <c r="M1208" s="126"/>
      <c r="O1208" s="137"/>
      <c r="P1208" s="137"/>
      <c r="Q1208" s="126"/>
    </row>
    <row r="1209" spans="3:17" x14ac:dyDescent="0.3">
      <c r="C1209" s="126"/>
      <c r="F1209" s="137"/>
      <c r="G1209" s="138"/>
      <c r="H1209" s="138"/>
      <c r="I1209" s="139"/>
      <c r="J1209" s="137"/>
      <c r="K1209" s="137"/>
      <c r="M1209" s="126"/>
      <c r="O1209" s="137"/>
      <c r="P1209" s="137"/>
      <c r="Q1209" s="126"/>
    </row>
    <row r="1210" spans="3:17" x14ac:dyDescent="0.3">
      <c r="C1210" s="126"/>
      <c r="F1210" s="137"/>
      <c r="G1210" s="138"/>
      <c r="H1210" s="138"/>
      <c r="I1210" s="139"/>
      <c r="J1210" s="137"/>
      <c r="K1210" s="137"/>
      <c r="M1210" s="126"/>
      <c r="O1210" s="137"/>
      <c r="P1210" s="137"/>
      <c r="Q1210" s="126"/>
    </row>
    <row r="1211" spans="3:17" x14ac:dyDescent="0.3">
      <c r="C1211" s="126"/>
      <c r="F1211" s="137"/>
      <c r="G1211" s="138"/>
      <c r="H1211" s="138"/>
      <c r="I1211" s="139"/>
      <c r="J1211" s="137"/>
      <c r="K1211" s="137"/>
      <c r="M1211" s="126"/>
      <c r="O1211" s="137"/>
      <c r="P1211" s="137"/>
      <c r="Q1211" s="126"/>
    </row>
    <row r="1212" spans="3:17" x14ac:dyDescent="0.3">
      <c r="C1212" s="126"/>
      <c r="F1212" s="137"/>
      <c r="G1212" s="138"/>
      <c r="H1212" s="138"/>
      <c r="I1212" s="139"/>
      <c r="J1212" s="137"/>
      <c r="K1212" s="137"/>
      <c r="M1212" s="126"/>
      <c r="O1212" s="137"/>
      <c r="P1212" s="137"/>
      <c r="Q1212" s="126"/>
    </row>
    <row r="1213" spans="3:17" x14ac:dyDescent="0.3">
      <c r="C1213" s="126"/>
      <c r="F1213" s="137"/>
      <c r="G1213" s="138"/>
      <c r="H1213" s="138"/>
      <c r="I1213" s="139"/>
      <c r="J1213" s="137"/>
      <c r="K1213" s="137"/>
      <c r="M1213" s="126"/>
      <c r="O1213" s="137"/>
      <c r="P1213" s="137"/>
      <c r="Q1213" s="126"/>
    </row>
    <row r="1214" spans="3:17" x14ac:dyDescent="0.3">
      <c r="C1214" s="126"/>
      <c r="F1214" s="137"/>
      <c r="G1214" s="138"/>
      <c r="H1214" s="138"/>
      <c r="I1214" s="139"/>
      <c r="J1214" s="137"/>
      <c r="K1214" s="137"/>
      <c r="M1214" s="126"/>
      <c r="O1214" s="137"/>
      <c r="P1214" s="137"/>
      <c r="Q1214" s="126"/>
    </row>
    <row r="1215" spans="3:17" x14ac:dyDescent="0.3">
      <c r="C1215" s="126"/>
      <c r="F1215" s="137"/>
      <c r="G1215" s="138"/>
      <c r="H1215" s="138"/>
      <c r="I1215" s="139"/>
      <c r="J1215" s="137"/>
      <c r="K1215" s="137"/>
      <c r="M1215" s="126"/>
      <c r="O1215" s="137"/>
      <c r="P1215" s="137"/>
      <c r="Q1215" s="126"/>
    </row>
    <row r="1216" spans="3:17" x14ac:dyDescent="0.3">
      <c r="C1216" s="126"/>
      <c r="F1216" s="137"/>
      <c r="G1216" s="138"/>
      <c r="H1216" s="138"/>
      <c r="I1216" s="139"/>
      <c r="J1216" s="137"/>
      <c r="K1216" s="137"/>
      <c r="M1216" s="126"/>
      <c r="O1216" s="137"/>
      <c r="P1216" s="137"/>
      <c r="Q1216" s="126"/>
    </row>
    <row r="1217" spans="3:17" x14ac:dyDescent="0.3">
      <c r="C1217" s="126"/>
      <c r="F1217" s="137"/>
      <c r="G1217" s="138"/>
      <c r="H1217" s="138"/>
      <c r="I1217" s="139"/>
      <c r="J1217" s="137"/>
      <c r="K1217" s="137"/>
      <c r="M1217" s="126"/>
      <c r="O1217" s="137"/>
      <c r="P1217" s="137"/>
      <c r="Q1217" s="126"/>
    </row>
    <row r="1218" spans="3:17" x14ac:dyDescent="0.3">
      <c r="C1218" s="126"/>
      <c r="F1218" s="137"/>
      <c r="G1218" s="138"/>
      <c r="H1218" s="138"/>
      <c r="I1218" s="139"/>
      <c r="J1218" s="137"/>
      <c r="K1218" s="137"/>
      <c r="M1218" s="126"/>
      <c r="O1218" s="137"/>
      <c r="P1218" s="137"/>
      <c r="Q1218" s="126"/>
    </row>
    <row r="1219" spans="3:17" x14ac:dyDescent="0.3">
      <c r="C1219" s="126"/>
      <c r="F1219" s="137"/>
      <c r="G1219" s="138"/>
      <c r="H1219" s="138"/>
      <c r="I1219" s="139"/>
      <c r="J1219" s="137"/>
      <c r="K1219" s="137"/>
      <c r="M1219" s="126"/>
      <c r="O1219" s="137"/>
      <c r="P1219" s="137"/>
      <c r="Q1219" s="126"/>
    </row>
    <row r="1220" spans="3:17" x14ac:dyDescent="0.3">
      <c r="C1220" s="126"/>
      <c r="F1220" s="137"/>
      <c r="G1220" s="138"/>
      <c r="H1220" s="138"/>
      <c r="I1220" s="139"/>
      <c r="J1220" s="137"/>
      <c r="K1220" s="137"/>
      <c r="M1220" s="126"/>
      <c r="O1220" s="137"/>
      <c r="P1220" s="137"/>
      <c r="Q1220" s="126"/>
    </row>
    <row r="1221" spans="3:17" x14ac:dyDescent="0.3">
      <c r="C1221" s="126"/>
      <c r="F1221" s="137"/>
      <c r="G1221" s="138"/>
      <c r="H1221" s="138"/>
      <c r="I1221" s="139"/>
      <c r="J1221" s="137"/>
      <c r="K1221" s="137"/>
      <c r="M1221" s="126"/>
      <c r="O1221" s="137"/>
      <c r="P1221" s="137"/>
      <c r="Q1221" s="126"/>
    </row>
    <row r="1222" spans="3:17" x14ac:dyDescent="0.3">
      <c r="C1222" s="126"/>
      <c r="F1222" s="137"/>
      <c r="G1222" s="138"/>
      <c r="H1222" s="138"/>
      <c r="I1222" s="139"/>
      <c r="J1222" s="137"/>
      <c r="K1222" s="137"/>
      <c r="M1222" s="126"/>
      <c r="O1222" s="137"/>
      <c r="P1222" s="137"/>
      <c r="Q1222" s="126"/>
    </row>
    <row r="1223" spans="3:17" x14ac:dyDescent="0.3">
      <c r="C1223" s="126"/>
      <c r="F1223" s="137"/>
      <c r="G1223" s="138"/>
      <c r="H1223" s="138"/>
      <c r="I1223" s="139"/>
      <c r="J1223" s="137"/>
      <c r="K1223" s="137"/>
      <c r="M1223" s="126"/>
      <c r="O1223" s="137"/>
      <c r="P1223" s="137"/>
      <c r="Q1223" s="126"/>
    </row>
    <row r="1224" spans="3:17" x14ac:dyDescent="0.3">
      <c r="C1224" s="126"/>
      <c r="F1224" s="137"/>
      <c r="G1224" s="138"/>
      <c r="H1224" s="138"/>
      <c r="I1224" s="139"/>
      <c r="J1224" s="137"/>
      <c r="K1224" s="137"/>
      <c r="M1224" s="126"/>
      <c r="O1224" s="137"/>
      <c r="P1224" s="137"/>
      <c r="Q1224" s="126"/>
    </row>
    <row r="1225" spans="3:17" x14ac:dyDescent="0.3">
      <c r="C1225" s="126"/>
      <c r="F1225" s="137"/>
      <c r="G1225" s="138"/>
      <c r="H1225" s="138"/>
      <c r="I1225" s="139"/>
      <c r="J1225" s="137"/>
      <c r="K1225" s="137"/>
      <c r="M1225" s="126"/>
      <c r="O1225" s="137"/>
      <c r="P1225" s="137"/>
      <c r="Q1225" s="126"/>
    </row>
    <row r="1226" spans="3:17" x14ac:dyDescent="0.3">
      <c r="C1226" s="126"/>
      <c r="F1226" s="137"/>
      <c r="G1226" s="138"/>
      <c r="H1226" s="138"/>
      <c r="I1226" s="139"/>
      <c r="J1226" s="137"/>
      <c r="K1226" s="137"/>
      <c r="M1226" s="126"/>
      <c r="O1226" s="137"/>
      <c r="P1226" s="137"/>
      <c r="Q1226" s="126"/>
    </row>
    <row r="1227" spans="3:17" x14ac:dyDescent="0.3">
      <c r="C1227" s="126"/>
      <c r="F1227" s="137"/>
      <c r="G1227" s="138"/>
      <c r="H1227" s="138"/>
      <c r="I1227" s="139"/>
      <c r="J1227" s="137"/>
      <c r="K1227" s="137"/>
      <c r="M1227" s="126"/>
      <c r="O1227" s="137"/>
      <c r="P1227" s="137"/>
      <c r="Q1227" s="126"/>
    </row>
    <row r="1228" spans="3:17" x14ac:dyDescent="0.3">
      <c r="C1228" s="126"/>
      <c r="F1228" s="137"/>
      <c r="G1228" s="138"/>
      <c r="H1228" s="138"/>
      <c r="I1228" s="139"/>
      <c r="J1228" s="137"/>
      <c r="K1228" s="137"/>
      <c r="M1228" s="126"/>
      <c r="O1228" s="137"/>
      <c r="P1228" s="137"/>
      <c r="Q1228" s="126"/>
    </row>
    <row r="1229" spans="3:17" x14ac:dyDescent="0.3">
      <c r="C1229" s="126"/>
      <c r="F1229" s="137"/>
      <c r="G1229" s="138"/>
      <c r="H1229" s="138"/>
      <c r="I1229" s="139"/>
      <c r="J1229" s="137"/>
      <c r="K1229" s="137"/>
      <c r="M1229" s="126"/>
      <c r="O1229" s="137"/>
      <c r="P1229" s="137"/>
      <c r="Q1229" s="126"/>
    </row>
    <row r="1230" spans="3:17" x14ac:dyDescent="0.3">
      <c r="C1230" s="126"/>
      <c r="F1230" s="137"/>
      <c r="G1230" s="138"/>
      <c r="H1230" s="138"/>
      <c r="I1230" s="139"/>
      <c r="J1230" s="137"/>
      <c r="K1230" s="137"/>
      <c r="M1230" s="126"/>
      <c r="O1230" s="137"/>
      <c r="P1230" s="137"/>
      <c r="Q1230" s="126"/>
    </row>
    <row r="1231" spans="3:17" x14ac:dyDescent="0.3">
      <c r="C1231" s="126"/>
      <c r="F1231" s="137"/>
      <c r="G1231" s="138"/>
      <c r="H1231" s="138"/>
      <c r="I1231" s="139"/>
      <c r="J1231" s="137"/>
      <c r="K1231" s="137"/>
      <c r="M1231" s="126"/>
      <c r="O1231" s="137"/>
      <c r="P1231" s="137"/>
      <c r="Q1231" s="126"/>
    </row>
    <row r="1232" spans="3:17" x14ac:dyDescent="0.3">
      <c r="C1232" s="126"/>
      <c r="F1232" s="137"/>
      <c r="G1232" s="138"/>
      <c r="H1232" s="138"/>
      <c r="I1232" s="139"/>
      <c r="J1232" s="137"/>
      <c r="K1232" s="137"/>
      <c r="M1232" s="126"/>
      <c r="O1232" s="137"/>
      <c r="P1232" s="137"/>
      <c r="Q1232" s="126"/>
    </row>
    <row r="1233" spans="3:17" x14ac:dyDescent="0.3">
      <c r="C1233" s="126"/>
      <c r="F1233" s="137"/>
      <c r="G1233" s="138"/>
      <c r="H1233" s="138"/>
      <c r="I1233" s="139"/>
      <c r="J1233" s="137"/>
      <c r="K1233" s="137"/>
      <c r="M1233" s="126"/>
      <c r="O1233" s="137"/>
      <c r="P1233" s="137"/>
      <c r="Q1233" s="126"/>
    </row>
    <row r="1234" spans="3:17" x14ac:dyDescent="0.3">
      <c r="C1234" s="126"/>
      <c r="F1234" s="137"/>
      <c r="G1234" s="138"/>
      <c r="H1234" s="138"/>
      <c r="I1234" s="139"/>
      <c r="J1234" s="137"/>
      <c r="K1234" s="137"/>
      <c r="M1234" s="126"/>
      <c r="O1234" s="137"/>
      <c r="P1234" s="137"/>
      <c r="Q1234" s="126"/>
    </row>
    <row r="1235" spans="3:17" x14ac:dyDescent="0.3">
      <c r="C1235" s="126"/>
      <c r="F1235" s="137"/>
      <c r="G1235" s="138"/>
      <c r="H1235" s="138"/>
      <c r="I1235" s="139"/>
      <c r="J1235" s="137"/>
      <c r="K1235" s="137"/>
      <c r="M1235" s="126"/>
      <c r="O1235" s="137"/>
      <c r="P1235" s="137"/>
      <c r="Q1235" s="126"/>
    </row>
    <row r="1236" spans="3:17" x14ac:dyDescent="0.3">
      <c r="C1236" s="126"/>
      <c r="F1236" s="137"/>
      <c r="G1236" s="138"/>
      <c r="H1236" s="138"/>
      <c r="I1236" s="139"/>
      <c r="J1236" s="137"/>
      <c r="K1236" s="137"/>
      <c r="M1236" s="126"/>
      <c r="O1236" s="137"/>
      <c r="P1236" s="137"/>
      <c r="Q1236" s="126"/>
    </row>
    <row r="1237" spans="3:17" x14ac:dyDescent="0.3">
      <c r="C1237" s="126"/>
      <c r="F1237" s="137"/>
      <c r="G1237" s="138"/>
      <c r="H1237" s="138"/>
      <c r="I1237" s="139"/>
      <c r="J1237" s="137"/>
      <c r="K1237" s="137"/>
      <c r="M1237" s="126"/>
      <c r="O1237" s="137"/>
      <c r="P1237" s="137"/>
      <c r="Q1237" s="126"/>
    </row>
    <row r="1238" spans="3:17" x14ac:dyDescent="0.3">
      <c r="C1238" s="126"/>
      <c r="F1238" s="137"/>
      <c r="G1238" s="138"/>
      <c r="H1238" s="138"/>
      <c r="I1238" s="139"/>
      <c r="J1238" s="137"/>
      <c r="K1238" s="137"/>
      <c r="M1238" s="126"/>
      <c r="O1238" s="137"/>
      <c r="P1238" s="137"/>
      <c r="Q1238" s="126"/>
    </row>
    <row r="1239" spans="3:17" x14ac:dyDescent="0.3">
      <c r="C1239" s="126"/>
      <c r="F1239" s="137"/>
      <c r="G1239" s="138"/>
      <c r="H1239" s="138"/>
      <c r="I1239" s="139"/>
      <c r="J1239" s="137"/>
      <c r="K1239" s="137"/>
      <c r="M1239" s="126"/>
      <c r="O1239" s="137"/>
      <c r="P1239" s="137"/>
      <c r="Q1239" s="126"/>
    </row>
    <row r="1240" spans="3:17" x14ac:dyDescent="0.3">
      <c r="C1240" s="126"/>
      <c r="F1240" s="137"/>
      <c r="G1240" s="138"/>
      <c r="H1240" s="138"/>
      <c r="I1240" s="139"/>
      <c r="J1240" s="137"/>
      <c r="K1240" s="137"/>
      <c r="M1240" s="126"/>
      <c r="O1240" s="137"/>
      <c r="P1240" s="137"/>
      <c r="Q1240" s="126"/>
    </row>
    <row r="1241" spans="3:17" x14ac:dyDescent="0.3">
      <c r="C1241" s="126"/>
      <c r="F1241" s="137"/>
      <c r="G1241" s="138"/>
      <c r="H1241" s="138"/>
      <c r="I1241" s="139"/>
      <c r="J1241" s="137"/>
      <c r="K1241" s="137"/>
      <c r="M1241" s="126"/>
      <c r="O1241" s="137"/>
      <c r="P1241" s="137"/>
      <c r="Q1241" s="126"/>
    </row>
    <row r="1242" spans="3:17" x14ac:dyDescent="0.3">
      <c r="C1242" s="126"/>
      <c r="F1242" s="137"/>
      <c r="G1242" s="138"/>
      <c r="H1242" s="138"/>
      <c r="I1242" s="139"/>
      <c r="J1242" s="137"/>
      <c r="K1242" s="137"/>
      <c r="M1242" s="126"/>
      <c r="O1242" s="137"/>
      <c r="P1242" s="137"/>
      <c r="Q1242" s="126"/>
    </row>
    <row r="1243" spans="3:17" x14ac:dyDescent="0.3">
      <c r="C1243" s="126"/>
      <c r="F1243" s="137"/>
      <c r="G1243" s="138"/>
      <c r="H1243" s="138"/>
      <c r="I1243" s="139"/>
      <c r="J1243" s="137"/>
      <c r="K1243" s="137"/>
      <c r="M1243" s="126"/>
      <c r="O1243" s="137"/>
      <c r="P1243" s="137"/>
      <c r="Q1243" s="126"/>
    </row>
    <row r="1244" spans="3:17" x14ac:dyDescent="0.3">
      <c r="C1244" s="126"/>
      <c r="F1244" s="137"/>
      <c r="G1244" s="138"/>
      <c r="H1244" s="138"/>
      <c r="I1244" s="139"/>
      <c r="J1244" s="137"/>
      <c r="K1244" s="137"/>
      <c r="M1244" s="126"/>
      <c r="O1244" s="137"/>
      <c r="P1244" s="137"/>
      <c r="Q1244" s="126"/>
    </row>
    <row r="1245" spans="3:17" x14ac:dyDescent="0.3">
      <c r="C1245" s="126"/>
      <c r="F1245" s="137"/>
      <c r="G1245" s="138"/>
      <c r="H1245" s="138"/>
      <c r="I1245" s="139"/>
      <c r="J1245" s="137"/>
      <c r="K1245" s="137"/>
      <c r="M1245" s="126"/>
      <c r="O1245" s="137"/>
      <c r="P1245" s="137"/>
      <c r="Q1245" s="126"/>
    </row>
    <row r="1246" spans="3:17" x14ac:dyDescent="0.3">
      <c r="C1246" s="126"/>
      <c r="F1246" s="137"/>
      <c r="G1246" s="138"/>
      <c r="H1246" s="138"/>
      <c r="I1246" s="139"/>
      <c r="J1246" s="137"/>
      <c r="K1246" s="137"/>
      <c r="M1246" s="126"/>
      <c r="O1246" s="137"/>
      <c r="P1246" s="137"/>
      <c r="Q1246" s="126"/>
    </row>
    <row r="1247" spans="3:17" x14ac:dyDescent="0.3">
      <c r="C1247" s="126"/>
      <c r="F1247" s="137"/>
      <c r="G1247" s="138"/>
      <c r="H1247" s="138"/>
      <c r="I1247" s="139"/>
      <c r="J1247" s="137"/>
      <c r="K1247" s="137"/>
      <c r="M1247" s="126"/>
      <c r="O1247" s="137"/>
      <c r="P1247" s="137"/>
      <c r="Q1247" s="126"/>
    </row>
    <row r="1248" spans="3:17" x14ac:dyDescent="0.3">
      <c r="C1248" s="126"/>
      <c r="F1248" s="137"/>
      <c r="G1248" s="138"/>
      <c r="H1248" s="138"/>
      <c r="I1248" s="139"/>
      <c r="J1248" s="137"/>
      <c r="K1248" s="137"/>
      <c r="M1248" s="126"/>
      <c r="O1248" s="137"/>
      <c r="P1248" s="137"/>
      <c r="Q1248" s="126"/>
    </row>
    <row r="1249" spans="3:17" x14ac:dyDescent="0.3">
      <c r="C1249" s="126"/>
      <c r="F1249" s="137"/>
      <c r="G1249" s="138"/>
      <c r="H1249" s="138"/>
      <c r="I1249" s="139"/>
      <c r="J1249" s="137"/>
      <c r="K1249" s="137"/>
      <c r="M1249" s="126"/>
      <c r="O1249" s="137"/>
      <c r="P1249" s="137"/>
      <c r="Q1249" s="126"/>
    </row>
    <row r="1250" spans="3:17" x14ac:dyDescent="0.3">
      <c r="C1250" s="126"/>
      <c r="F1250" s="137"/>
      <c r="G1250" s="138"/>
      <c r="H1250" s="138"/>
      <c r="I1250" s="139"/>
      <c r="J1250" s="137"/>
      <c r="K1250" s="137"/>
      <c r="M1250" s="126"/>
      <c r="O1250" s="137"/>
      <c r="P1250" s="137"/>
      <c r="Q1250" s="126"/>
    </row>
    <row r="1251" spans="3:17" x14ac:dyDescent="0.3">
      <c r="C1251" s="126"/>
      <c r="F1251" s="137"/>
      <c r="G1251" s="138"/>
      <c r="H1251" s="138"/>
      <c r="I1251" s="139"/>
      <c r="J1251" s="137"/>
      <c r="K1251" s="137"/>
      <c r="M1251" s="126"/>
      <c r="O1251" s="137"/>
      <c r="P1251" s="137"/>
      <c r="Q1251" s="126"/>
    </row>
    <row r="1252" spans="3:17" x14ac:dyDescent="0.3">
      <c r="C1252" s="126"/>
      <c r="F1252" s="137"/>
      <c r="G1252" s="138"/>
      <c r="H1252" s="138"/>
      <c r="I1252" s="139"/>
      <c r="J1252" s="137"/>
      <c r="K1252" s="137"/>
      <c r="M1252" s="126"/>
      <c r="O1252" s="137"/>
      <c r="P1252" s="137"/>
      <c r="Q1252" s="126"/>
    </row>
    <row r="1253" spans="3:17" x14ac:dyDescent="0.3">
      <c r="C1253" s="126"/>
      <c r="F1253" s="137"/>
      <c r="G1253" s="138"/>
      <c r="H1253" s="138"/>
      <c r="I1253" s="139"/>
      <c r="J1253" s="137"/>
      <c r="K1253" s="137"/>
      <c r="M1253" s="126"/>
      <c r="O1253" s="137"/>
      <c r="P1253" s="137"/>
      <c r="Q1253" s="126"/>
    </row>
    <row r="1254" spans="3:17" x14ac:dyDescent="0.3">
      <c r="C1254" s="126"/>
      <c r="F1254" s="137"/>
      <c r="G1254" s="138"/>
      <c r="H1254" s="138"/>
      <c r="I1254" s="139"/>
      <c r="J1254" s="137"/>
      <c r="K1254" s="137"/>
      <c r="M1254" s="126"/>
      <c r="O1254" s="137"/>
      <c r="P1254" s="137"/>
      <c r="Q1254" s="126"/>
    </row>
    <row r="1255" spans="3:17" x14ac:dyDescent="0.3">
      <c r="C1255" s="126"/>
      <c r="F1255" s="137"/>
      <c r="G1255" s="138"/>
      <c r="H1255" s="138"/>
      <c r="I1255" s="139"/>
      <c r="J1255" s="137"/>
      <c r="K1255" s="137"/>
      <c r="M1255" s="126"/>
      <c r="O1255" s="137"/>
      <c r="P1255" s="137"/>
      <c r="Q1255" s="126"/>
    </row>
    <row r="1256" spans="3:17" x14ac:dyDescent="0.3">
      <c r="C1256" s="126"/>
      <c r="F1256" s="137"/>
      <c r="G1256" s="138"/>
      <c r="H1256" s="138"/>
      <c r="I1256" s="139"/>
      <c r="J1256" s="137"/>
      <c r="K1256" s="137"/>
      <c r="M1256" s="126"/>
      <c r="O1256" s="137"/>
      <c r="P1256" s="137"/>
      <c r="Q1256" s="126"/>
    </row>
    <row r="1257" spans="3:17" x14ac:dyDescent="0.3">
      <c r="C1257" s="126"/>
      <c r="F1257" s="137"/>
      <c r="G1257" s="138"/>
      <c r="H1257" s="138"/>
      <c r="I1257" s="139"/>
      <c r="J1257" s="137"/>
      <c r="K1257" s="137"/>
      <c r="M1257" s="126"/>
      <c r="O1257" s="137"/>
      <c r="P1257" s="137"/>
      <c r="Q1257" s="126"/>
    </row>
    <row r="1258" spans="3:17" x14ac:dyDescent="0.3">
      <c r="C1258" s="126"/>
      <c r="F1258" s="137"/>
      <c r="G1258" s="138"/>
      <c r="H1258" s="138"/>
      <c r="I1258" s="139"/>
      <c r="J1258" s="137"/>
      <c r="K1258" s="137"/>
      <c r="M1258" s="126"/>
      <c r="O1258" s="137"/>
      <c r="P1258" s="137"/>
      <c r="Q1258" s="126"/>
    </row>
    <row r="1259" spans="3:17" x14ac:dyDescent="0.3">
      <c r="C1259" s="126"/>
      <c r="F1259" s="137"/>
      <c r="G1259" s="138"/>
      <c r="H1259" s="138"/>
      <c r="I1259" s="139"/>
      <c r="J1259" s="137"/>
      <c r="K1259" s="137"/>
      <c r="M1259" s="126"/>
      <c r="O1259" s="137"/>
      <c r="P1259" s="137"/>
      <c r="Q1259" s="126"/>
    </row>
    <row r="1260" spans="3:17" x14ac:dyDescent="0.3">
      <c r="C1260" s="126"/>
      <c r="F1260" s="137"/>
      <c r="G1260" s="138"/>
      <c r="H1260" s="138"/>
      <c r="I1260" s="139"/>
      <c r="J1260" s="137"/>
      <c r="K1260" s="137"/>
      <c r="M1260" s="126"/>
      <c r="O1260" s="137"/>
      <c r="P1260" s="137"/>
      <c r="Q1260" s="126"/>
    </row>
    <row r="1261" spans="3:17" x14ac:dyDescent="0.3">
      <c r="C1261" s="126"/>
      <c r="F1261" s="137"/>
      <c r="G1261" s="138"/>
      <c r="H1261" s="138"/>
      <c r="I1261" s="139"/>
      <c r="J1261" s="137"/>
      <c r="K1261" s="137"/>
      <c r="M1261" s="126"/>
      <c r="O1261" s="137"/>
      <c r="P1261" s="137"/>
      <c r="Q1261" s="126"/>
    </row>
    <row r="1262" spans="3:17" x14ac:dyDescent="0.3">
      <c r="C1262" s="126"/>
      <c r="F1262" s="137"/>
      <c r="G1262" s="138"/>
      <c r="H1262" s="138"/>
      <c r="I1262" s="139"/>
      <c r="J1262" s="137"/>
      <c r="K1262" s="137"/>
      <c r="M1262" s="126"/>
      <c r="O1262" s="137"/>
      <c r="P1262" s="137"/>
      <c r="Q1262" s="126"/>
    </row>
    <row r="1263" spans="3:17" x14ac:dyDescent="0.3">
      <c r="C1263" s="126"/>
      <c r="F1263" s="137"/>
      <c r="G1263" s="138"/>
      <c r="H1263" s="138"/>
      <c r="I1263" s="139"/>
      <c r="J1263" s="137"/>
      <c r="K1263" s="137"/>
      <c r="M1263" s="126"/>
      <c r="O1263" s="137"/>
      <c r="P1263" s="137"/>
      <c r="Q1263" s="126"/>
    </row>
    <row r="1264" spans="3:17" x14ac:dyDescent="0.3">
      <c r="C1264" s="126"/>
      <c r="F1264" s="137"/>
      <c r="G1264" s="138"/>
      <c r="H1264" s="138"/>
      <c r="I1264" s="139"/>
      <c r="J1264" s="137"/>
      <c r="K1264" s="137"/>
      <c r="M1264" s="126"/>
      <c r="O1264" s="137"/>
      <c r="P1264" s="137"/>
      <c r="Q1264" s="126"/>
    </row>
    <row r="1265" spans="3:17" x14ac:dyDescent="0.3">
      <c r="C1265" s="126"/>
      <c r="F1265" s="137"/>
      <c r="G1265" s="138"/>
      <c r="H1265" s="138"/>
      <c r="I1265" s="139"/>
      <c r="J1265" s="137"/>
      <c r="K1265" s="137"/>
      <c r="M1265" s="126"/>
      <c r="O1265" s="137"/>
      <c r="P1265" s="137"/>
      <c r="Q1265" s="126"/>
    </row>
    <row r="1266" spans="3:17" x14ac:dyDescent="0.3">
      <c r="C1266" s="126"/>
      <c r="F1266" s="137"/>
      <c r="G1266" s="138"/>
      <c r="H1266" s="138"/>
      <c r="I1266" s="139"/>
      <c r="J1266" s="137"/>
      <c r="K1266" s="137"/>
      <c r="M1266" s="126"/>
      <c r="O1266" s="137"/>
      <c r="P1266" s="137"/>
      <c r="Q1266" s="126"/>
    </row>
    <row r="1267" spans="3:17" x14ac:dyDescent="0.3">
      <c r="C1267" s="126"/>
      <c r="F1267" s="137"/>
      <c r="G1267" s="138"/>
      <c r="H1267" s="138"/>
      <c r="I1267" s="139"/>
      <c r="J1267" s="137"/>
      <c r="K1267" s="137"/>
      <c r="M1267" s="126"/>
      <c r="O1267" s="137"/>
      <c r="P1267" s="137"/>
      <c r="Q1267" s="126"/>
    </row>
    <row r="1268" spans="3:17" x14ac:dyDescent="0.3">
      <c r="C1268" s="126"/>
      <c r="F1268" s="137"/>
      <c r="G1268" s="138"/>
      <c r="H1268" s="138"/>
      <c r="I1268" s="139"/>
      <c r="J1268" s="137"/>
      <c r="K1268" s="137"/>
      <c r="M1268" s="126"/>
      <c r="O1268" s="137"/>
      <c r="P1268" s="137"/>
      <c r="Q1268" s="126"/>
    </row>
    <row r="1269" spans="3:17" x14ac:dyDescent="0.3">
      <c r="C1269" s="126"/>
      <c r="F1269" s="137"/>
      <c r="G1269" s="138"/>
      <c r="H1269" s="138"/>
      <c r="I1269" s="139"/>
      <c r="J1269" s="137"/>
      <c r="K1269" s="137"/>
      <c r="M1269" s="126"/>
      <c r="O1269" s="137"/>
      <c r="P1269" s="137"/>
      <c r="Q1269" s="126"/>
    </row>
    <row r="1270" spans="3:17" x14ac:dyDescent="0.3">
      <c r="C1270" s="126"/>
      <c r="F1270" s="137"/>
      <c r="G1270" s="138"/>
      <c r="H1270" s="138"/>
      <c r="I1270" s="139"/>
      <c r="J1270" s="137"/>
      <c r="K1270" s="137"/>
      <c r="M1270" s="126"/>
      <c r="O1270" s="137"/>
      <c r="P1270" s="137"/>
      <c r="Q1270" s="126"/>
    </row>
    <row r="1271" spans="3:17" x14ac:dyDescent="0.3">
      <c r="C1271" s="126"/>
      <c r="F1271" s="137"/>
      <c r="G1271" s="138"/>
      <c r="H1271" s="138"/>
      <c r="I1271" s="139"/>
      <c r="J1271" s="137"/>
      <c r="K1271" s="137"/>
      <c r="M1271" s="126"/>
      <c r="O1271" s="137"/>
      <c r="P1271" s="137"/>
      <c r="Q1271" s="126"/>
    </row>
    <row r="1272" spans="3:17" x14ac:dyDescent="0.3">
      <c r="C1272" s="126"/>
      <c r="F1272" s="137"/>
      <c r="G1272" s="138"/>
      <c r="H1272" s="138"/>
      <c r="I1272" s="139"/>
      <c r="J1272" s="137"/>
      <c r="K1272" s="137"/>
      <c r="M1272" s="126"/>
      <c r="O1272" s="137"/>
      <c r="P1272" s="137"/>
      <c r="Q1272" s="126"/>
    </row>
    <row r="1273" spans="3:17" x14ac:dyDescent="0.3">
      <c r="C1273" s="126"/>
      <c r="F1273" s="137"/>
      <c r="G1273" s="138"/>
      <c r="H1273" s="138"/>
      <c r="I1273" s="139"/>
      <c r="J1273" s="137"/>
      <c r="K1273" s="137"/>
      <c r="M1273" s="126"/>
      <c r="O1273" s="137"/>
      <c r="P1273" s="137"/>
      <c r="Q1273" s="126"/>
    </row>
    <row r="1274" spans="3:17" x14ac:dyDescent="0.3">
      <c r="C1274" s="126"/>
      <c r="F1274" s="137"/>
      <c r="G1274" s="138"/>
      <c r="H1274" s="138"/>
      <c r="I1274" s="139"/>
      <c r="J1274" s="137"/>
      <c r="K1274" s="137"/>
      <c r="M1274" s="126"/>
      <c r="O1274" s="137"/>
      <c r="P1274" s="137"/>
      <c r="Q1274" s="126"/>
    </row>
    <row r="1275" spans="3:17" x14ac:dyDescent="0.3">
      <c r="C1275" s="126"/>
      <c r="F1275" s="137"/>
      <c r="G1275" s="138"/>
      <c r="H1275" s="138"/>
      <c r="I1275" s="139"/>
      <c r="J1275" s="137"/>
      <c r="K1275" s="137"/>
      <c r="M1275" s="126"/>
      <c r="O1275" s="137"/>
      <c r="P1275" s="137"/>
      <c r="Q1275" s="126"/>
    </row>
    <row r="1276" spans="3:17" x14ac:dyDescent="0.3">
      <c r="C1276" s="126"/>
      <c r="F1276" s="137"/>
      <c r="G1276" s="138"/>
      <c r="H1276" s="138"/>
      <c r="I1276" s="139"/>
      <c r="J1276" s="137"/>
      <c r="K1276" s="137"/>
      <c r="M1276" s="126"/>
      <c r="O1276" s="137"/>
      <c r="P1276" s="137"/>
      <c r="Q1276" s="126"/>
    </row>
    <row r="1277" spans="3:17" x14ac:dyDescent="0.3">
      <c r="C1277" s="126"/>
      <c r="F1277" s="137"/>
      <c r="G1277" s="138"/>
      <c r="H1277" s="138"/>
      <c r="I1277" s="139"/>
      <c r="J1277" s="137"/>
      <c r="K1277" s="137"/>
      <c r="M1277" s="126"/>
      <c r="O1277" s="137"/>
      <c r="P1277" s="137"/>
      <c r="Q1277" s="126"/>
    </row>
    <row r="1278" spans="3:17" x14ac:dyDescent="0.3">
      <c r="C1278" s="126"/>
      <c r="F1278" s="137"/>
      <c r="G1278" s="138"/>
      <c r="H1278" s="138"/>
      <c r="I1278" s="139"/>
      <c r="J1278" s="137"/>
      <c r="K1278" s="137"/>
      <c r="M1278" s="126"/>
      <c r="O1278" s="137"/>
      <c r="P1278" s="137"/>
      <c r="Q1278" s="126"/>
    </row>
    <row r="1279" spans="3:17" x14ac:dyDescent="0.3">
      <c r="C1279" s="126"/>
      <c r="F1279" s="137"/>
      <c r="G1279" s="138"/>
      <c r="H1279" s="138"/>
      <c r="I1279" s="139"/>
      <c r="J1279" s="137"/>
      <c r="K1279" s="137"/>
      <c r="M1279" s="126"/>
      <c r="O1279" s="137"/>
      <c r="P1279" s="137"/>
      <c r="Q1279" s="126"/>
    </row>
    <row r="1280" spans="3:17" x14ac:dyDescent="0.3">
      <c r="C1280" s="126"/>
      <c r="F1280" s="137"/>
      <c r="G1280" s="138"/>
      <c r="H1280" s="138"/>
      <c r="I1280" s="139"/>
      <c r="J1280" s="137"/>
      <c r="K1280" s="137"/>
      <c r="M1280" s="126"/>
      <c r="O1280" s="137"/>
      <c r="P1280" s="137"/>
      <c r="Q1280" s="126"/>
    </row>
    <row r="1281" spans="3:17" x14ac:dyDescent="0.3">
      <c r="C1281" s="126"/>
      <c r="F1281" s="137"/>
      <c r="G1281" s="138"/>
      <c r="H1281" s="138"/>
      <c r="I1281" s="139"/>
      <c r="J1281" s="137"/>
      <c r="K1281" s="137"/>
      <c r="M1281" s="126"/>
      <c r="O1281" s="137"/>
      <c r="P1281" s="137"/>
      <c r="Q1281" s="126"/>
    </row>
    <row r="1282" spans="3:17" x14ac:dyDescent="0.3">
      <c r="C1282" s="126"/>
      <c r="F1282" s="137"/>
      <c r="G1282" s="138"/>
      <c r="H1282" s="138"/>
      <c r="I1282" s="139"/>
      <c r="J1282" s="137"/>
      <c r="K1282" s="137"/>
      <c r="M1282" s="126"/>
      <c r="O1282" s="137"/>
      <c r="P1282" s="137"/>
      <c r="Q1282" s="126"/>
    </row>
    <row r="1283" spans="3:17" x14ac:dyDescent="0.3">
      <c r="C1283" s="126"/>
      <c r="F1283" s="137"/>
      <c r="G1283" s="138"/>
      <c r="H1283" s="138"/>
      <c r="I1283" s="139"/>
      <c r="J1283" s="137"/>
      <c r="K1283" s="137"/>
      <c r="M1283" s="126"/>
      <c r="O1283" s="137"/>
      <c r="P1283" s="137"/>
      <c r="Q1283" s="126"/>
    </row>
    <row r="1284" spans="3:17" x14ac:dyDescent="0.3">
      <c r="C1284" s="126"/>
      <c r="F1284" s="137"/>
      <c r="G1284" s="138"/>
      <c r="H1284" s="138"/>
      <c r="I1284" s="139"/>
      <c r="J1284" s="137"/>
      <c r="K1284" s="137"/>
      <c r="M1284" s="126"/>
      <c r="O1284" s="137"/>
      <c r="P1284" s="137"/>
      <c r="Q1284" s="126"/>
    </row>
    <row r="1285" spans="3:17" x14ac:dyDescent="0.3">
      <c r="C1285" s="126"/>
      <c r="F1285" s="137"/>
      <c r="G1285" s="138"/>
      <c r="H1285" s="138"/>
      <c r="I1285" s="139"/>
      <c r="J1285" s="137"/>
      <c r="K1285" s="137"/>
      <c r="M1285" s="126"/>
      <c r="O1285" s="137"/>
      <c r="P1285" s="137"/>
      <c r="Q1285" s="126"/>
    </row>
    <row r="1286" spans="3:17" x14ac:dyDescent="0.3">
      <c r="C1286" s="126"/>
      <c r="F1286" s="137"/>
      <c r="G1286" s="138"/>
      <c r="H1286" s="138"/>
      <c r="I1286" s="139"/>
      <c r="J1286" s="137"/>
      <c r="K1286" s="137"/>
      <c r="M1286" s="126"/>
      <c r="O1286" s="137"/>
      <c r="P1286" s="137"/>
      <c r="Q1286" s="126"/>
    </row>
    <row r="1287" spans="3:17" x14ac:dyDescent="0.3">
      <c r="C1287" s="126"/>
      <c r="F1287" s="137"/>
      <c r="G1287" s="138"/>
      <c r="H1287" s="138"/>
      <c r="I1287" s="139"/>
      <c r="J1287" s="137"/>
      <c r="K1287" s="137"/>
      <c r="M1287" s="126"/>
      <c r="O1287" s="137"/>
      <c r="P1287" s="137"/>
      <c r="Q1287" s="126"/>
    </row>
    <row r="1288" spans="3:17" x14ac:dyDescent="0.3">
      <c r="C1288" s="126"/>
      <c r="F1288" s="137"/>
      <c r="G1288" s="138"/>
      <c r="H1288" s="138"/>
      <c r="I1288" s="139"/>
      <c r="J1288" s="137"/>
      <c r="K1288" s="137"/>
      <c r="M1288" s="126"/>
      <c r="O1288" s="137"/>
      <c r="P1288" s="137"/>
      <c r="Q1288" s="126"/>
    </row>
    <row r="1289" spans="3:17" x14ac:dyDescent="0.3">
      <c r="C1289" s="126"/>
      <c r="F1289" s="137"/>
      <c r="G1289" s="138"/>
      <c r="H1289" s="138"/>
      <c r="I1289" s="139"/>
      <c r="J1289" s="137"/>
      <c r="K1289" s="137"/>
      <c r="M1289" s="126"/>
      <c r="O1289" s="137"/>
      <c r="P1289" s="137"/>
      <c r="Q1289" s="126"/>
    </row>
    <row r="1290" spans="3:17" x14ac:dyDescent="0.3">
      <c r="C1290" s="126"/>
      <c r="F1290" s="137"/>
      <c r="G1290" s="138"/>
      <c r="H1290" s="138"/>
      <c r="I1290" s="139"/>
      <c r="J1290" s="137"/>
      <c r="K1290" s="137"/>
      <c r="M1290" s="126"/>
      <c r="O1290" s="137"/>
      <c r="P1290" s="137"/>
      <c r="Q1290" s="126"/>
    </row>
    <row r="1291" spans="3:17" x14ac:dyDescent="0.3">
      <c r="C1291" s="126"/>
      <c r="F1291" s="137"/>
      <c r="G1291" s="138"/>
      <c r="H1291" s="138"/>
      <c r="I1291" s="139"/>
      <c r="J1291" s="137"/>
      <c r="K1291" s="137"/>
      <c r="M1291" s="126"/>
      <c r="O1291" s="137"/>
      <c r="P1291" s="137"/>
      <c r="Q1291" s="126"/>
    </row>
    <row r="1292" spans="3:17" x14ac:dyDescent="0.3">
      <c r="C1292" s="126"/>
      <c r="F1292" s="137"/>
      <c r="G1292" s="138"/>
      <c r="H1292" s="138"/>
      <c r="I1292" s="139"/>
      <c r="J1292" s="137"/>
      <c r="K1292" s="137"/>
      <c r="M1292" s="126"/>
      <c r="O1292" s="137"/>
      <c r="P1292" s="137"/>
      <c r="Q1292" s="126"/>
    </row>
    <row r="1293" spans="3:17" x14ac:dyDescent="0.3">
      <c r="C1293" s="126"/>
      <c r="F1293" s="137"/>
      <c r="G1293" s="138"/>
      <c r="H1293" s="138"/>
      <c r="I1293" s="139"/>
      <c r="J1293" s="137"/>
      <c r="K1293" s="137"/>
      <c r="M1293" s="126"/>
      <c r="O1293" s="137"/>
      <c r="P1293" s="137"/>
      <c r="Q1293" s="126"/>
    </row>
    <row r="1294" spans="3:17" x14ac:dyDescent="0.3">
      <c r="C1294" s="126"/>
      <c r="F1294" s="137"/>
      <c r="G1294" s="138"/>
      <c r="H1294" s="138"/>
      <c r="I1294" s="139"/>
      <c r="J1294" s="137"/>
      <c r="K1294" s="137"/>
      <c r="M1294" s="126"/>
      <c r="O1294" s="137"/>
      <c r="P1294" s="137"/>
      <c r="Q1294" s="126"/>
    </row>
    <row r="1295" spans="3:17" x14ac:dyDescent="0.3">
      <c r="C1295" s="126"/>
      <c r="F1295" s="137"/>
      <c r="G1295" s="138"/>
      <c r="H1295" s="138"/>
      <c r="I1295" s="139"/>
      <c r="J1295" s="137"/>
      <c r="K1295" s="137"/>
      <c r="M1295" s="126"/>
      <c r="O1295" s="137"/>
      <c r="P1295" s="137"/>
      <c r="Q1295" s="126"/>
    </row>
    <row r="1296" spans="3:17" x14ac:dyDescent="0.3">
      <c r="C1296" s="126"/>
      <c r="F1296" s="137"/>
      <c r="G1296" s="138"/>
      <c r="H1296" s="138"/>
      <c r="I1296" s="139"/>
      <c r="J1296" s="137"/>
      <c r="K1296" s="137"/>
      <c r="M1296" s="126"/>
      <c r="O1296" s="137"/>
      <c r="P1296" s="137"/>
      <c r="Q1296" s="126"/>
    </row>
    <row r="1297" spans="3:17" x14ac:dyDescent="0.3">
      <c r="C1297" s="126"/>
      <c r="F1297" s="137"/>
      <c r="G1297" s="138"/>
      <c r="H1297" s="138"/>
      <c r="I1297" s="139"/>
      <c r="J1297" s="137"/>
      <c r="K1297" s="137"/>
      <c r="M1297" s="126"/>
      <c r="O1297" s="137"/>
      <c r="P1297" s="137"/>
      <c r="Q1297" s="126"/>
    </row>
    <row r="1298" spans="3:17" x14ac:dyDescent="0.3">
      <c r="C1298" s="126"/>
      <c r="F1298" s="137"/>
      <c r="G1298" s="138"/>
      <c r="H1298" s="138"/>
      <c r="I1298" s="139"/>
      <c r="J1298" s="137"/>
      <c r="K1298" s="137"/>
      <c r="M1298" s="126"/>
      <c r="O1298" s="137"/>
      <c r="P1298" s="137"/>
      <c r="Q1298" s="126"/>
    </row>
    <row r="1299" spans="3:17" x14ac:dyDescent="0.3">
      <c r="C1299" s="126"/>
      <c r="F1299" s="137"/>
      <c r="G1299" s="138"/>
      <c r="H1299" s="138"/>
      <c r="I1299" s="139"/>
      <c r="J1299" s="137"/>
      <c r="K1299" s="137"/>
      <c r="M1299" s="126"/>
      <c r="O1299" s="137"/>
      <c r="P1299" s="137"/>
      <c r="Q1299" s="126"/>
    </row>
    <row r="1300" spans="3:17" x14ac:dyDescent="0.3">
      <c r="C1300" s="126"/>
      <c r="F1300" s="137"/>
      <c r="G1300" s="138"/>
      <c r="H1300" s="138"/>
      <c r="I1300" s="139"/>
      <c r="J1300" s="137"/>
      <c r="K1300" s="137"/>
      <c r="M1300" s="126"/>
      <c r="O1300" s="137"/>
      <c r="P1300" s="137"/>
      <c r="Q1300" s="126"/>
    </row>
    <row r="1301" spans="3:17" x14ac:dyDescent="0.3">
      <c r="C1301" s="126"/>
      <c r="F1301" s="137"/>
      <c r="G1301" s="138"/>
      <c r="H1301" s="138"/>
      <c r="I1301" s="139"/>
      <c r="J1301" s="137"/>
      <c r="K1301" s="137"/>
      <c r="M1301" s="126"/>
      <c r="O1301" s="137"/>
      <c r="P1301" s="137"/>
      <c r="Q1301" s="126"/>
    </row>
    <row r="1302" spans="3:17" x14ac:dyDescent="0.3">
      <c r="C1302" s="126"/>
      <c r="F1302" s="137"/>
      <c r="G1302" s="138"/>
      <c r="H1302" s="138"/>
      <c r="I1302" s="139"/>
      <c r="J1302" s="137"/>
      <c r="K1302" s="137"/>
      <c r="M1302" s="126"/>
      <c r="O1302" s="137"/>
      <c r="P1302" s="137"/>
      <c r="Q1302" s="126"/>
    </row>
    <row r="1303" spans="3:17" x14ac:dyDescent="0.3">
      <c r="C1303" s="126"/>
      <c r="F1303" s="137"/>
      <c r="G1303" s="138"/>
      <c r="H1303" s="138"/>
      <c r="I1303" s="139"/>
      <c r="J1303" s="137"/>
      <c r="K1303" s="137"/>
      <c r="M1303" s="126"/>
      <c r="O1303" s="137"/>
      <c r="P1303" s="137"/>
      <c r="Q1303" s="126"/>
    </row>
    <row r="1304" spans="3:17" x14ac:dyDescent="0.3">
      <c r="C1304" s="126"/>
      <c r="F1304" s="137"/>
      <c r="G1304" s="138"/>
      <c r="H1304" s="138"/>
      <c r="I1304" s="139"/>
      <c r="J1304" s="137"/>
      <c r="K1304" s="137"/>
      <c r="M1304" s="126"/>
      <c r="O1304" s="137"/>
      <c r="P1304" s="137"/>
      <c r="Q1304" s="126"/>
    </row>
    <row r="1305" spans="3:17" x14ac:dyDescent="0.3">
      <c r="C1305" s="126"/>
      <c r="F1305" s="137"/>
      <c r="G1305" s="138"/>
      <c r="H1305" s="138"/>
      <c r="I1305" s="139"/>
      <c r="J1305" s="137"/>
      <c r="K1305" s="137"/>
      <c r="M1305" s="126"/>
      <c r="O1305" s="137"/>
      <c r="P1305" s="137"/>
      <c r="Q1305" s="126"/>
    </row>
    <row r="1306" spans="3:17" x14ac:dyDescent="0.3">
      <c r="C1306" s="126"/>
      <c r="F1306" s="137"/>
      <c r="G1306" s="138"/>
      <c r="H1306" s="138"/>
      <c r="I1306" s="139"/>
      <c r="J1306" s="137"/>
      <c r="K1306" s="137"/>
      <c r="M1306" s="126"/>
      <c r="O1306" s="137"/>
      <c r="P1306" s="137"/>
      <c r="Q1306" s="126"/>
    </row>
    <row r="1307" spans="3:17" x14ac:dyDescent="0.3">
      <c r="C1307" s="126"/>
      <c r="F1307" s="137"/>
      <c r="G1307" s="138"/>
      <c r="H1307" s="138"/>
      <c r="I1307" s="139"/>
      <c r="J1307" s="137"/>
      <c r="K1307" s="137"/>
      <c r="M1307" s="126"/>
      <c r="O1307" s="137"/>
      <c r="P1307" s="137"/>
      <c r="Q1307" s="126"/>
    </row>
    <row r="1308" spans="3:17" x14ac:dyDescent="0.3">
      <c r="C1308" s="126"/>
      <c r="F1308" s="137"/>
      <c r="G1308" s="138"/>
      <c r="H1308" s="138"/>
      <c r="I1308" s="139"/>
      <c r="J1308" s="137"/>
      <c r="K1308" s="137"/>
      <c r="M1308" s="126"/>
      <c r="O1308" s="137"/>
      <c r="P1308" s="137"/>
      <c r="Q1308" s="126"/>
    </row>
    <row r="1309" spans="3:17" x14ac:dyDescent="0.3">
      <c r="C1309" s="126"/>
      <c r="F1309" s="137"/>
      <c r="G1309" s="138"/>
      <c r="H1309" s="138"/>
      <c r="I1309" s="139"/>
      <c r="J1309" s="137"/>
      <c r="K1309" s="137"/>
      <c r="M1309" s="126"/>
      <c r="O1309" s="137"/>
      <c r="P1309" s="137"/>
      <c r="Q1309" s="126"/>
    </row>
    <row r="1310" spans="3:17" x14ac:dyDescent="0.3">
      <c r="C1310" s="126"/>
      <c r="F1310" s="137"/>
      <c r="G1310" s="138"/>
      <c r="H1310" s="138"/>
      <c r="I1310" s="139"/>
      <c r="J1310" s="137"/>
      <c r="K1310" s="137"/>
      <c r="M1310" s="126"/>
      <c r="O1310" s="137"/>
      <c r="P1310" s="137"/>
      <c r="Q1310" s="126"/>
    </row>
    <row r="1311" spans="3:17" x14ac:dyDescent="0.3">
      <c r="C1311" s="126"/>
      <c r="F1311" s="137"/>
      <c r="G1311" s="138"/>
      <c r="H1311" s="138"/>
      <c r="I1311" s="139"/>
      <c r="J1311" s="137"/>
      <c r="K1311" s="137"/>
      <c r="M1311" s="126"/>
      <c r="O1311" s="137"/>
      <c r="P1311" s="137"/>
      <c r="Q1311" s="126"/>
    </row>
    <row r="1312" spans="3:17" x14ac:dyDescent="0.3">
      <c r="C1312" s="126"/>
      <c r="F1312" s="137"/>
      <c r="G1312" s="138"/>
      <c r="H1312" s="138"/>
      <c r="I1312" s="139"/>
      <c r="J1312" s="137"/>
      <c r="K1312" s="137"/>
      <c r="M1312" s="126"/>
      <c r="O1312" s="137"/>
      <c r="P1312" s="137"/>
      <c r="Q1312" s="126"/>
    </row>
    <row r="1313" spans="3:17" x14ac:dyDescent="0.3">
      <c r="C1313" s="126"/>
      <c r="F1313" s="137"/>
      <c r="G1313" s="138"/>
      <c r="H1313" s="138"/>
      <c r="I1313" s="139"/>
      <c r="J1313" s="137"/>
      <c r="K1313" s="137"/>
      <c r="M1313" s="126"/>
      <c r="O1313" s="137"/>
      <c r="P1313" s="137"/>
      <c r="Q1313" s="126"/>
    </row>
    <row r="1314" spans="3:17" x14ac:dyDescent="0.3">
      <c r="C1314" s="126"/>
      <c r="F1314" s="137"/>
      <c r="G1314" s="138"/>
      <c r="H1314" s="138"/>
      <c r="I1314" s="139"/>
      <c r="J1314" s="137"/>
      <c r="K1314" s="137"/>
      <c r="M1314" s="126"/>
      <c r="O1314" s="137"/>
      <c r="P1314" s="137"/>
      <c r="Q1314" s="126"/>
    </row>
    <row r="1315" spans="3:17" x14ac:dyDescent="0.3">
      <c r="C1315" s="126"/>
      <c r="F1315" s="137"/>
      <c r="G1315" s="138"/>
      <c r="H1315" s="138"/>
      <c r="I1315" s="139"/>
      <c r="J1315" s="137"/>
      <c r="K1315" s="137"/>
      <c r="M1315" s="126"/>
      <c r="O1315" s="137"/>
      <c r="P1315" s="137"/>
      <c r="Q1315" s="126"/>
    </row>
    <row r="1316" spans="3:17" x14ac:dyDescent="0.3">
      <c r="C1316" s="126"/>
      <c r="F1316" s="137"/>
      <c r="G1316" s="138"/>
      <c r="H1316" s="138"/>
      <c r="I1316" s="139"/>
      <c r="J1316" s="137"/>
      <c r="K1316" s="137"/>
      <c r="M1316" s="126"/>
      <c r="O1316" s="137"/>
      <c r="P1316" s="137"/>
      <c r="Q1316" s="126"/>
    </row>
    <row r="1317" spans="3:17" x14ac:dyDescent="0.3">
      <c r="C1317" s="126"/>
      <c r="F1317" s="137"/>
      <c r="G1317" s="138"/>
      <c r="H1317" s="138"/>
      <c r="I1317" s="139"/>
      <c r="J1317" s="137"/>
      <c r="K1317" s="137"/>
      <c r="M1317" s="126"/>
      <c r="O1317" s="137"/>
      <c r="P1317" s="137"/>
      <c r="Q1317" s="126"/>
    </row>
    <row r="1318" spans="3:17" x14ac:dyDescent="0.3">
      <c r="C1318" s="126"/>
      <c r="F1318" s="137"/>
      <c r="G1318" s="138"/>
      <c r="H1318" s="138"/>
      <c r="I1318" s="139"/>
      <c r="J1318" s="137"/>
      <c r="K1318" s="137"/>
      <c r="M1318" s="126"/>
      <c r="O1318" s="137"/>
      <c r="P1318" s="137"/>
      <c r="Q1318" s="126"/>
    </row>
    <row r="1319" spans="3:17" x14ac:dyDescent="0.3">
      <c r="C1319" s="126"/>
      <c r="F1319" s="137"/>
      <c r="G1319" s="138"/>
      <c r="H1319" s="138"/>
      <c r="I1319" s="139"/>
      <c r="J1319" s="137"/>
      <c r="K1319" s="137"/>
      <c r="M1319" s="126"/>
      <c r="O1319" s="137"/>
      <c r="P1319" s="137"/>
      <c r="Q1319" s="126"/>
    </row>
    <row r="1320" spans="3:17" x14ac:dyDescent="0.3">
      <c r="C1320" s="126"/>
      <c r="F1320" s="137"/>
      <c r="G1320" s="138"/>
      <c r="H1320" s="138"/>
      <c r="I1320" s="139"/>
      <c r="J1320" s="137"/>
      <c r="K1320" s="137"/>
      <c r="M1320" s="126"/>
      <c r="O1320" s="137"/>
      <c r="P1320" s="137"/>
      <c r="Q1320" s="126"/>
    </row>
    <row r="1321" spans="3:17" x14ac:dyDescent="0.3">
      <c r="C1321" s="126"/>
      <c r="F1321" s="137"/>
      <c r="G1321" s="138"/>
      <c r="H1321" s="138"/>
      <c r="I1321" s="139"/>
      <c r="J1321" s="137"/>
      <c r="K1321" s="137"/>
      <c r="M1321" s="126"/>
      <c r="O1321" s="137"/>
      <c r="P1321" s="137"/>
      <c r="Q1321" s="126"/>
    </row>
    <row r="1322" spans="3:17" x14ac:dyDescent="0.3">
      <c r="C1322" s="126"/>
      <c r="F1322" s="137"/>
      <c r="G1322" s="138"/>
      <c r="H1322" s="138"/>
      <c r="I1322" s="139"/>
      <c r="J1322" s="137"/>
      <c r="K1322" s="137"/>
      <c r="M1322" s="126"/>
      <c r="O1322" s="137"/>
      <c r="P1322" s="137"/>
      <c r="Q1322" s="126"/>
    </row>
    <row r="1323" spans="3:17" x14ac:dyDescent="0.3">
      <c r="C1323" s="126"/>
      <c r="F1323" s="137"/>
      <c r="G1323" s="138"/>
      <c r="H1323" s="138"/>
      <c r="I1323" s="139"/>
      <c r="J1323" s="137"/>
      <c r="K1323" s="137"/>
      <c r="M1323" s="126"/>
      <c r="O1323" s="137"/>
      <c r="P1323" s="137"/>
      <c r="Q1323" s="126"/>
    </row>
    <row r="1324" spans="3:17" x14ac:dyDescent="0.3">
      <c r="C1324" s="126"/>
      <c r="F1324" s="137"/>
      <c r="G1324" s="138"/>
      <c r="H1324" s="138"/>
      <c r="I1324" s="139"/>
      <c r="J1324" s="137"/>
      <c r="K1324" s="137"/>
      <c r="M1324" s="126"/>
      <c r="O1324" s="137"/>
      <c r="P1324" s="137"/>
      <c r="Q1324" s="126"/>
    </row>
    <row r="1325" spans="3:17" x14ac:dyDescent="0.3">
      <c r="C1325" s="126"/>
      <c r="F1325" s="137"/>
      <c r="G1325" s="138"/>
      <c r="H1325" s="138"/>
      <c r="I1325" s="139"/>
      <c r="J1325" s="137"/>
      <c r="K1325" s="137"/>
      <c r="M1325" s="126"/>
      <c r="O1325" s="137"/>
      <c r="P1325" s="137"/>
      <c r="Q1325" s="126"/>
    </row>
    <row r="1326" spans="3:17" x14ac:dyDescent="0.3">
      <c r="C1326" s="126"/>
      <c r="F1326" s="137"/>
      <c r="G1326" s="138"/>
      <c r="H1326" s="138"/>
      <c r="I1326" s="139"/>
      <c r="J1326" s="137"/>
      <c r="K1326" s="137"/>
      <c r="M1326" s="126"/>
      <c r="O1326" s="137"/>
      <c r="P1326" s="137"/>
      <c r="Q1326" s="126"/>
    </row>
    <row r="1327" spans="3:17" x14ac:dyDescent="0.3">
      <c r="C1327" s="126"/>
      <c r="F1327" s="137"/>
      <c r="G1327" s="138"/>
      <c r="H1327" s="138"/>
      <c r="I1327" s="139"/>
      <c r="J1327" s="137"/>
      <c r="K1327" s="137"/>
      <c r="M1327" s="126"/>
      <c r="O1327" s="137"/>
      <c r="P1327" s="137"/>
      <c r="Q1327" s="126"/>
    </row>
    <row r="1328" spans="3:17" x14ac:dyDescent="0.3">
      <c r="C1328" s="126"/>
      <c r="F1328" s="137"/>
      <c r="G1328" s="138"/>
      <c r="H1328" s="138"/>
      <c r="I1328" s="139"/>
      <c r="J1328" s="137"/>
      <c r="K1328" s="137"/>
      <c r="M1328" s="126"/>
      <c r="O1328" s="137"/>
      <c r="P1328" s="137"/>
      <c r="Q1328" s="126"/>
    </row>
    <row r="1329" spans="3:17" x14ac:dyDescent="0.3">
      <c r="C1329" s="126"/>
      <c r="F1329" s="137"/>
      <c r="G1329" s="138"/>
      <c r="H1329" s="138"/>
      <c r="I1329" s="139"/>
      <c r="J1329" s="137"/>
      <c r="K1329" s="137"/>
      <c r="M1329" s="126"/>
      <c r="O1329" s="137"/>
      <c r="P1329" s="137"/>
      <c r="Q1329" s="126"/>
    </row>
    <row r="1330" spans="3:17" x14ac:dyDescent="0.3">
      <c r="C1330" s="126"/>
      <c r="F1330" s="137"/>
      <c r="G1330" s="138"/>
      <c r="H1330" s="138"/>
      <c r="I1330" s="139"/>
      <c r="J1330" s="137"/>
      <c r="K1330" s="137"/>
      <c r="M1330" s="126"/>
      <c r="O1330" s="137"/>
      <c r="P1330" s="137"/>
      <c r="Q1330" s="126"/>
    </row>
    <row r="1331" spans="3:17" x14ac:dyDescent="0.3">
      <c r="C1331" s="126"/>
      <c r="F1331" s="137"/>
      <c r="G1331" s="138"/>
      <c r="H1331" s="138"/>
      <c r="I1331" s="139"/>
      <c r="J1331" s="137"/>
      <c r="K1331" s="137"/>
      <c r="M1331" s="126"/>
      <c r="O1331" s="137"/>
      <c r="P1331" s="137"/>
      <c r="Q1331" s="126"/>
    </row>
    <row r="1332" spans="3:17" x14ac:dyDescent="0.3">
      <c r="C1332" s="126"/>
      <c r="F1332" s="137"/>
      <c r="G1332" s="138"/>
      <c r="H1332" s="138"/>
      <c r="I1332" s="139"/>
      <c r="J1332" s="137"/>
      <c r="K1332" s="137"/>
      <c r="M1332" s="126"/>
      <c r="O1332" s="137"/>
      <c r="P1332" s="137"/>
      <c r="Q1332" s="126"/>
    </row>
    <row r="1333" spans="3:17" x14ac:dyDescent="0.3">
      <c r="C1333" s="126"/>
      <c r="F1333" s="137"/>
      <c r="G1333" s="138"/>
      <c r="H1333" s="138"/>
      <c r="I1333" s="139"/>
      <c r="J1333" s="137"/>
      <c r="K1333" s="137"/>
      <c r="M1333" s="126"/>
      <c r="O1333" s="137"/>
      <c r="P1333" s="137"/>
      <c r="Q1333" s="126"/>
    </row>
    <row r="1334" spans="3:17" x14ac:dyDescent="0.3">
      <c r="C1334" s="126"/>
      <c r="F1334" s="137"/>
      <c r="G1334" s="138"/>
      <c r="H1334" s="138"/>
      <c r="I1334" s="139"/>
      <c r="J1334" s="137"/>
      <c r="K1334" s="137"/>
      <c r="M1334" s="126"/>
      <c r="O1334" s="137"/>
      <c r="P1334" s="137"/>
      <c r="Q1334" s="126"/>
    </row>
    <row r="1335" spans="3:17" x14ac:dyDescent="0.3">
      <c r="C1335" s="126"/>
      <c r="F1335" s="137"/>
      <c r="G1335" s="138"/>
      <c r="H1335" s="138"/>
      <c r="I1335" s="139"/>
      <c r="J1335" s="137"/>
      <c r="K1335" s="137"/>
      <c r="M1335" s="126"/>
      <c r="O1335" s="137"/>
      <c r="P1335" s="137"/>
      <c r="Q1335" s="126"/>
    </row>
    <row r="1336" spans="3:17" x14ac:dyDescent="0.3">
      <c r="C1336" s="126"/>
      <c r="F1336" s="137"/>
      <c r="G1336" s="138"/>
      <c r="H1336" s="138"/>
      <c r="I1336" s="139"/>
      <c r="J1336" s="137"/>
      <c r="K1336" s="137"/>
      <c r="M1336" s="126"/>
      <c r="O1336" s="137"/>
      <c r="P1336" s="137"/>
      <c r="Q1336" s="126"/>
    </row>
    <row r="1337" spans="3:17" x14ac:dyDescent="0.3">
      <c r="C1337" s="126"/>
      <c r="F1337" s="137"/>
      <c r="G1337" s="138"/>
      <c r="H1337" s="138"/>
      <c r="I1337" s="139"/>
      <c r="J1337" s="137"/>
      <c r="K1337" s="137"/>
      <c r="M1337" s="126"/>
      <c r="O1337" s="137"/>
      <c r="P1337" s="137"/>
      <c r="Q1337" s="126"/>
    </row>
    <row r="1338" spans="3:17" x14ac:dyDescent="0.3">
      <c r="C1338" s="126"/>
      <c r="F1338" s="137"/>
      <c r="G1338" s="138"/>
      <c r="H1338" s="138"/>
      <c r="I1338" s="139"/>
      <c r="J1338" s="137"/>
      <c r="K1338" s="137"/>
      <c r="M1338" s="126"/>
      <c r="O1338" s="137"/>
      <c r="P1338" s="137"/>
      <c r="Q1338" s="126"/>
    </row>
    <row r="1339" spans="3:17" x14ac:dyDescent="0.3">
      <c r="C1339" s="126"/>
      <c r="F1339" s="137"/>
      <c r="G1339" s="138"/>
      <c r="H1339" s="138"/>
      <c r="I1339" s="139"/>
      <c r="J1339" s="137"/>
      <c r="K1339" s="137"/>
      <c r="M1339" s="126"/>
      <c r="O1339" s="137"/>
      <c r="P1339" s="137"/>
      <c r="Q1339" s="126"/>
    </row>
    <row r="1340" spans="3:17" x14ac:dyDescent="0.3">
      <c r="C1340" s="126"/>
      <c r="F1340" s="137"/>
      <c r="G1340" s="138"/>
      <c r="H1340" s="138"/>
      <c r="I1340" s="139"/>
      <c r="J1340" s="137"/>
      <c r="K1340" s="137"/>
      <c r="M1340" s="126"/>
      <c r="O1340" s="137"/>
      <c r="P1340" s="137"/>
      <c r="Q1340" s="126"/>
    </row>
    <row r="1341" spans="3:17" x14ac:dyDescent="0.3">
      <c r="C1341" s="126"/>
      <c r="F1341" s="137"/>
      <c r="G1341" s="138"/>
      <c r="H1341" s="138"/>
      <c r="I1341" s="139"/>
      <c r="J1341" s="137"/>
      <c r="K1341" s="137"/>
      <c r="M1341" s="126"/>
      <c r="O1341" s="137"/>
      <c r="P1341" s="137"/>
      <c r="Q1341" s="126"/>
    </row>
    <row r="1342" spans="3:17" x14ac:dyDescent="0.3">
      <c r="C1342" s="126"/>
      <c r="F1342" s="137"/>
      <c r="G1342" s="138"/>
      <c r="H1342" s="138"/>
      <c r="I1342" s="139"/>
      <c r="J1342" s="137"/>
      <c r="K1342" s="137"/>
      <c r="M1342" s="126"/>
      <c r="O1342" s="137"/>
      <c r="P1342" s="137"/>
      <c r="Q1342" s="126"/>
    </row>
    <row r="1343" spans="3:17" x14ac:dyDescent="0.3">
      <c r="C1343" s="126"/>
      <c r="F1343" s="137"/>
      <c r="G1343" s="138"/>
      <c r="H1343" s="138"/>
      <c r="I1343" s="139"/>
      <c r="J1343" s="137"/>
      <c r="K1343" s="137"/>
      <c r="M1343" s="126"/>
      <c r="O1343" s="137"/>
      <c r="P1343" s="137"/>
      <c r="Q1343" s="126"/>
    </row>
    <row r="1344" spans="3:17" x14ac:dyDescent="0.3">
      <c r="C1344" s="126"/>
      <c r="F1344" s="137"/>
      <c r="G1344" s="138"/>
      <c r="H1344" s="138"/>
      <c r="I1344" s="139"/>
      <c r="J1344" s="137"/>
      <c r="K1344" s="137"/>
      <c r="M1344" s="126"/>
      <c r="O1344" s="137"/>
      <c r="P1344" s="137"/>
      <c r="Q1344" s="126"/>
    </row>
    <row r="1345" spans="3:17" x14ac:dyDescent="0.3">
      <c r="C1345" s="126"/>
      <c r="F1345" s="137"/>
      <c r="G1345" s="138"/>
      <c r="H1345" s="138"/>
      <c r="I1345" s="139"/>
      <c r="J1345" s="137"/>
      <c r="K1345" s="137"/>
      <c r="M1345" s="126"/>
      <c r="O1345" s="137"/>
      <c r="P1345" s="137"/>
      <c r="Q1345" s="126"/>
    </row>
    <row r="1346" spans="3:17" x14ac:dyDescent="0.3">
      <c r="C1346" s="126"/>
      <c r="F1346" s="137"/>
      <c r="G1346" s="138"/>
      <c r="H1346" s="138"/>
      <c r="I1346" s="139"/>
      <c r="J1346" s="137"/>
      <c r="K1346" s="137"/>
      <c r="M1346" s="126"/>
      <c r="O1346" s="137"/>
      <c r="P1346" s="137"/>
      <c r="Q1346" s="126"/>
    </row>
    <row r="1347" spans="3:17" x14ac:dyDescent="0.3">
      <c r="C1347" s="126"/>
      <c r="F1347" s="137"/>
      <c r="G1347" s="138"/>
      <c r="H1347" s="138"/>
      <c r="I1347" s="139"/>
      <c r="J1347" s="137"/>
      <c r="K1347" s="137"/>
      <c r="M1347" s="126"/>
      <c r="O1347" s="137"/>
      <c r="P1347" s="137"/>
      <c r="Q1347" s="126"/>
    </row>
    <row r="1348" spans="3:17" x14ac:dyDescent="0.3">
      <c r="C1348" s="126"/>
      <c r="F1348" s="137"/>
      <c r="G1348" s="138"/>
      <c r="H1348" s="138"/>
      <c r="I1348" s="139"/>
      <c r="J1348" s="137"/>
      <c r="K1348" s="137"/>
      <c r="M1348" s="126"/>
      <c r="O1348" s="137"/>
      <c r="P1348" s="137"/>
      <c r="Q1348" s="126"/>
    </row>
    <row r="1349" spans="3:17" x14ac:dyDescent="0.3">
      <c r="C1349" s="126"/>
      <c r="F1349" s="137"/>
      <c r="G1349" s="138"/>
      <c r="H1349" s="138"/>
      <c r="I1349" s="139"/>
      <c r="J1349" s="137"/>
      <c r="K1349" s="137"/>
      <c r="M1349" s="126"/>
      <c r="O1349" s="137"/>
      <c r="P1349" s="137"/>
      <c r="Q1349" s="126"/>
    </row>
    <row r="1350" spans="3:17" x14ac:dyDescent="0.3">
      <c r="C1350" s="126"/>
      <c r="F1350" s="137"/>
      <c r="G1350" s="138"/>
      <c r="H1350" s="138"/>
      <c r="I1350" s="139"/>
      <c r="J1350" s="137"/>
      <c r="K1350" s="137"/>
      <c r="M1350" s="126"/>
      <c r="O1350" s="137"/>
      <c r="P1350" s="137"/>
      <c r="Q1350" s="126"/>
    </row>
    <row r="1351" spans="3:17" x14ac:dyDescent="0.3">
      <c r="C1351" s="126"/>
      <c r="F1351" s="137"/>
      <c r="G1351" s="138"/>
      <c r="H1351" s="138"/>
      <c r="I1351" s="139"/>
      <c r="J1351" s="137"/>
      <c r="K1351" s="137"/>
      <c r="M1351" s="126"/>
      <c r="O1351" s="137"/>
      <c r="P1351" s="137"/>
      <c r="Q1351" s="126"/>
    </row>
    <row r="1352" spans="3:17" x14ac:dyDescent="0.3">
      <c r="C1352" s="126"/>
      <c r="F1352" s="137"/>
      <c r="G1352" s="138"/>
      <c r="H1352" s="138"/>
      <c r="I1352" s="139"/>
      <c r="J1352" s="137"/>
      <c r="K1352" s="137"/>
      <c r="M1352" s="126"/>
      <c r="O1352" s="137"/>
      <c r="P1352" s="137"/>
      <c r="Q1352" s="126"/>
    </row>
    <row r="1353" spans="3:17" x14ac:dyDescent="0.3">
      <c r="C1353" s="126"/>
      <c r="F1353" s="137"/>
      <c r="G1353" s="138"/>
      <c r="H1353" s="138"/>
      <c r="I1353" s="139"/>
      <c r="J1353" s="137"/>
      <c r="K1353" s="137"/>
      <c r="M1353" s="126"/>
      <c r="O1353" s="137"/>
      <c r="P1353" s="137"/>
      <c r="Q1353" s="126"/>
    </row>
    <row r="1354" spans="3:17" x14ac:dyDescent="0.3">
      <c r="C1354" s="126"/>
      <c r="F1354" s="137"/>
      <c r="G1354" s="138"/>
      <c r="H1354" s="138"/>
      <c r="I1354" s="139"/>
      <c r="J1354" s="137"/>
      <c r="K1354" s="137"/>
      <c r="M1354" s="126"/>
      <c r="O1354" s="137"/>
      <c r="P1354" s="137"/>
      <c r="Q1354" s="126"/>
    </row>
    <row r="1355" spans="3:17" x14ac:dyDescent="0.3">
      <c r="C1355" s="126"/>
      <c r="F1355" s="137"/>
      <c r="G1355" s="138"/>
      <c r="H1355" s="138"/>
      <c r="I1355" s="139"/>
      <c r="J1355" s="137"/>
      <c r="K1355" s="137"/>
      <c r="M1355" s="126"/>
      <c r="O1355" s="137"/>
      <c r="P1355" s="137"/>
      <c r="Q1355" s="126"/>
    </row>
    <row r="1356" spans="3:17" x14ac:dyDescent="0.3">
      <c r="C1356" s="126"/>
      <c r="F1356" s="137"/>
      <c r="G1356" s="138"/>
      <c r="H1356" s="138"/>
      <c r="I1356" s="139"/>
      <c r="J1356" s="137"/>
      <c r="K1356" s="137"/>
      <c r="M1356" s="126"/>
      <c r="O1356" s="137"/>
      <c r="P1356" s="137"/>
      <c r="Q1356" s="126"/>
    </row>
    <row r="1357" spans="3:17" x14ac:dyDescent="0.3">
      <c r="C1357" s="126"/>
      <c r="F1357" s="137"/>
      <c r="G1357" s="138"/>
      <c r="H1357" s="138"/>
      <c r="I1357" s="139"/>
      <c r="J1357" s="137"/>
      <c r="K1357" s="137"/>
      <c r="M1357" s="126"/>
      <c r="O1357" s="137"/>
      <c r="P1357" s="137"/>
      <c r="Q1357" s="126"/>
    </row>
    <row r="1358" spans="3:17" x14ac:dyDescent="0.3">
      <c r="C1358" s="126"/>
      <c r="F1358" s="137"/>
      <c r="G1358" s="138"/>
      <c r="H1358" s="138"/>
      <c r="I1358" s="139"/>
      <c r="J1358" s="137"/>
      <c r="K1358" s="137"/>
      <c r="M1358" s="126"/>
      <c r="O1358" s="137"/>
      <c r="P1358" s="137"/>
      <c r="Q1358" s="126"/>
    </row>
    <row r="1359" spans="3:17" x14ac:dyDescent="0.3">
      <c r="C1359" s="126"/>
      <c r="F1359" s="137"/>
      <c r="G1359" s="138"/>
      <c r="H1359" s="138"/>
      <c r="I1359" s="139"/>
      <c r="J1359" s="137"/>
      <c r="K1359" s="137"/>
      <c r="M1359" s="126"/>
      <c r="O1359" s="137"/>
      <c r="P1359" s="137"/>
      <c r="Q1359" s="126"/>
    </row>
    <row r="1360" spans="3:17" x14ac:dyDescent="0.3">
      <c r="C1360" s="126"/>
      <c r="F1360" s="137"/>
      <c r="G1360" s="138"/>
      <c r="H1360" s="138"/>
      <c r="I1360" s="139"/>
      <c r="J1360" s="137"/>
      <c r="K1360" s="137"/>
      <c r="M1360" s="126"/>
      <c r="O1360" s="137"/>
      <c r="P1360" s="137"/>
      <c r="Q1360" s="126"/>
    </row>
    <row r="1361" spans="3:17" x14ac:dyDescent="0.3">
      <c r="C1361" s="126"/>
      <c r="F1361" s="137"/>
      <c r="G1361" s="138"/>
      <c r="H1361" s="138"/>
      <c r="I1361" s="139"/>
      <c r="J1361" s="137"/>
      <c r="K1361" s="137"/>
      <c r="M1361" s="126"/>
      <c r="O1361" s="137"/>
      <c r="P1361" s="137"/>
      <c r="Q1361" s="126"/>
    </row>
    <row r="1362" spans="3:17" x14ac:dyDescent="0.3">
      <c r="C1362" s="126"/>
      <c r="F1362" s="137"/>
      <c r="G1362" s="138"/>
      <c r="H1362" s="138"/>
      <c r="I1362" s="139"/>
      <c r="J1362" s="137"/>
      <c r="K1362" s="137"/>
      <c r="M1362" s="126"/>
      <c r="O1362" s="137"/>
      <c r="P1362" s="137"/>
      <c r="Q1362" s="126"/>
    </row>
    <row r="1363" spans="3:17" x14ac:dyDescent="0.3">
      <c r="C1363" s="126"/>
      <c r="F1363" s="137"/>
      <c r="G1363" s="138"/>
      <c r="H1363" s="138"/>
      <c r="I1363" s="139"/>
      <c r="J1363" s="137"/>
      <c r="K1363" s="137"/>
      <c r="M1363" s="126"/>
      <c r="O1363" s="137"/>
      <c r="P1363" s="137"/>
      <c r="Q1363" s="126"/>
    </row>
    <row r="1364" spans="3:17" x14ac:dyDescent="0.3">
      <c r="C1364" s="126"/>
      <c r="F1364" s="137"/>
      <c r="G1364" s="138"/>
      <c r="H1364" s="138"/>
      <c r="I1364" s="139"/>
      <c r="J1364" s="137"/>
      <c r="K1364" s="137"/>
      <c r="M1364" s="126"/>
      <c r="O1364" s="137"/>
      <c r="P1364" s="137"/>
      <c r="Q1364" s="126"/>
    </row>
    <row r="1365" spans="3:17" x14ac:dyDescent="0.3">
      <c r="C1365" s="126"/>
      <c r="F1365" s="137"/>
      <c r="G1365" s="138"/>
      <c r="H1365" s="138"/>
      <c r="I1365" s="139"/>
      <c r="J1365" s="137"/>
      <c r="K1365" s="137"/>
      <c r="M1365" s="126"/>
      <c r="O1365" s="137"/>
      <c r="P1365" s="137"/>
      <c r="Q1365" s="126"/>
    </row>
    <row r="1366" spans="3:17" x14ac:dyDescent="0.3">
      <c r="C1366" s="126"/>
      <c r="F1366" s="137"/>
      <c r="G1366" s="138"/>
      <c r="H1366" s="138"/>
      <c r="I1366" s="139"/>
      <c r="J1366" s="137"/>
      <c r="K1366" s="137"/>
      <c r="M1366" s="126"/>
      <c r="O1366" s="137"/>
      <c r="P1366" s="137"/>
      <c r="Q1366" s="126"/>
    </row>
    <row r="1367" spans="3:17" x14ac:dyDescent="0.3">
      <c r="C1367" s="126"/>
      <c r="F1367" s="137"/>
      <c r="G1367" s="138"/>
      <c r="H1367" s="138"/>
      <c r="I1367" s="139"/>
      <c r="J1367" s="137"/>
      <c r="K1367" s="137"/>
      <c r="M1367" s="126"/>
      <c r="O1367" s="137"/>
      <c r="P1367" s="137"/>
      <c r="Q1367" s="126"/>
    </row>
    <row r="1368" spans="3:17" x14ac:dyDescent="0.3">
      <c r="C1368" s="126"/>
      <c r="F1368" s="137"/>
      <c r="G1368" s="138"/>
      <c r="H1368" s="138"/>
      <c r="I1368" s="139"/>
      <c r="J1368" s="137"/>
      <c r="K1368" s="137"/>
      <c r="M1368" s="126"/>
      <c r="O1368" s="137"/>
      <c r="P1368" s="137"/>
      <c r="Q1368" s="126"/>
    </row>
    <row r="1369" spans="3:17" x14ac:dyDescent="0.3">
      <c r="C1369" s="126"/>
      <c r="F1369" s="137"/>
      <c r="G1369" s="138"/>
      <c r="H1369" s="138"/>
      <c r="I1369" s="139"/>
      <c r="J1369" s="137"/>
      <c r="K1369" s="137"/>
      <c r="M1369" s="126"/>
      <c r="O1369" s="137"/>
      <c r="P1369" s="137"/>
      <c r="Q1369" s="126"/>
    </row>
    <row r="1370" spans="3:17" x14ac:dyDescent="0.3">
      <c r="C1370" s="126"/>
      <c r="F1370" s="137"/>
      <c r="G1370" s="138"/>
      <c r="H1370" s="138"/>
      <c r="I1370" s="139"/>
      <c r="J1370" s="137"/>
      <c r="K1370" s="137"/>
      <c r="M1370" s="126"/>
      <c r="O1370" s="137"/>
      <c r="P1370" s="137"/>
      <c r="Q1370" s="126"/>
    </row>
    <row r="1371" spans="3:17" x14ac:dyDescent="0.3">
      <c r="C1371" s="126"/>
      <c r="F1371" s="137"/>
      <c r="G1371" s="138"/>
      <c r="H1371" s="138"/>
      <c r="I1371" s="139"/>
      <c r="J1371" s="137"/>
      <c r="K1371" s="137"/>
      <c r="M1371" s="126"/>
      <c r="O1371" s="137"/>
      <c r="P1371" s="137"/>
      <c r="Q1371" s="126"/>
    </row>
    <row r="1372" spans="3:17" x14ac:dyDescent="0.3">
      <c r="C1372" s="126"/>
      <c r="F1372" s="137"/>
      <c r="G1372" s="138"/>
      <c r="H1372" s="138"/>
      <c r="I1372" s="139"/>
      <c r="J1372" s="137"/>
      <c r="K1372" s="137"/>
      <c r="M1372" s="126"/>
      <c r="O1372" s="137"/>
      <c r="P1372" s="137"/>
      <c r="Q1372" s="126"/>
    </row>
    <row r="1373" spans="3:17" x14ac:dyDescent="0.3">
      <c r="C1373" s="126"/>
      <c r="F1373" s="137"/>
      <c r="G1373" s="138"/>
      <c r="H1373" s="138"/>
      <c r="I1373" s="139"/>
      <c r="J1373" s="137"/>
      <c r="K1373" s="137"/>
      <c r="M1373" s="126"/>
      <c r="O1373" s="137"/>
      <c r="P1373" s="137"/>
      <c r="Q1373" s="126"/>
    </row>
    <row r="1374" spans="3:17" x14ac:dyDescent="0.3">
      <c r="C1374" s="126"/>
      <c r="F1374" s="137"/>
      <c r="G1374" s="138"/>
      <c r="H1374" s="138"/>
      <c r="I1374" s="139"/>
      <c r="J1374" s="137"/>
      <c r="K1374" s="137"/>
      <c r="M1374" s="126"/>
      <c r="O1374" s="137"/>
      <c r="P1374" s="137"/>
      <c r="Q1374" s="126"/>
    </row>
    <row r="1375" spans="3:17" x14ac:dyDescent="0.3">
      <c r="C1375" s="126"/>
      <c r="F1375" s="137"/>
      <c r="G1375" s="138"/>
      <c r="H1375" s="138"/>
      <c r="I1375" s="139"/>
      <c r="J1375" s="137"/>
      <c r="K1375" s="137"/>
      <c r="M1375" s="126"/>
      <c r="O1375" s="137"/>
      <c r="P1375" s="137"/>
      <c r="Q1375" s="126"/>
    </row>
    <row r="1376" spans="3:17" x14ac:dyDescent="0.3">
      <c r="C1376" s="126"/>
      <c r="F1376" s="137"/>
      <c r="G1376" s="138"/>
      <c r="H1376" s="138"/>
      <c r="I1376" s="139"/>
      <c r="J1376" s="137"/>
      <c r="K1376" s="137"/>
      <c r="M1376" s="126"/>
      <c r="O1376" s="137"/>
      <c r="P1376" s="137"/>
      <c r="Q1376" s="126"/>
    </row>
    <row r="1377" spans="3:17" x14ac:dyDescent="0.3">
      <c r="C1377" s="126"/>
      <c r="F1377" s="137"/>
      <c r="G1377" s="138"/>
      <c r="H1377" s="138"/>
      <c r="I1377" s="139"/>
      <c r="J1377" s="137"/>
      <c r="K1377" s="137"/>
      <c r="M1377" s="126"/>
      <c r="O1377" s="137"/>
      <c r="P1377" s="137"/>
      <c r="Q1377" s="126"/>
    </row>
    <row r="1378" spans="3:17" x14ac:dyDescent="0.3">
      <c r="C1378" s="126"/>
      <c r="F1378" s="137"/>
      <c r="G1378" s="138"/>
      <c r="H1378" s="138"/>
      <c r="I1378" s="139"/>
      <c r="J1378" s="137"/>
      <c r="K1378" s="137"/>
      <c r="M1378" s="126"/>
      <c r="O1378" s="137"/>
      <c r="P1378" s="137"/>
      <c r="Q1378" s="126"/>
    </row>
    <row r="1379" spans="3:17" x14ac:dyDescent="0.3">
      <c r="C1379" s="126"/>
      <c r="F1379" s="137"/>
      <c r="G1379" s="138"/>
      <c r="H1379" s="138"/>
      <c r="I1379" s="139"/>
      <c r="J1379" s="137"/>
      <c r="K1379" s="137"/>
      <c r="M1379" s="126"/>
      <c r="O1379" s="137"/>
      <c r="P1379" s="137"/>
      <c r="Q1379" s="126"/>
    </row>
    <row r="1380" spans="3:17" x14ac:dyDescent="0.3">
      <c r="C1380" s="126"/>
      <c r="F1380" s="137"/>
      <c r="G1380" s="138"/>
      <c r="H1380" s="138"/>
      <c r="I1380" s="139"/>
      <c r="J1380" s="137"/>
      <c r="K1380" s="137"/>
      <c r="M1380" s="126"/>
      <c r="O1380" s="137"/>
      <c r="P1380" s="137"/>
      <c r="Q1380" s="126"/>
    </row>
    <row r="1381" spans="3:17" x14ac:dyDescent="0.3">
      <c r="C1381" s="126"/>
      <c r="F1381" s="137"/>
      <c r="G1381" s="138"/>
      <c r="H1381" s="138"/>
      <c r="I1381" s="139"/>
      <c r="J1381" s="137"/>
      <c r="K1381" s="137"/>
      <c r="M1381" s="126"/>
      <c r="O1381" s="137"/>
      <c r="P1381" s="137"/>
      <c r="Q1381" s="126"/>
    </row>
    <row r="1382" spans="3:17" x14ac:dyDescent="0.3">
      <c r="C1382" s="126"/>
      <c r="F1382" s="137"/>
      <c r="G1382" s="138"/>
      <c r="H1382" s="138"/>
      <c r="I1382" s="139"/>
      <c r="J1382" s="137"/>
      <c r="K1382" s="137"/>
      <c r="M1382" s="126"/>
      <c r="O1382" s="137"/>
      <c r="P1382" s="137"/>
      <c r="Q1382" s="126"/>
    </row>
    <row r="1383" spans="3:17" x14ac:dyDescent="0.3">
      <c r="C1383" s="126"/>
      <c r="F1383" s="137"/>
      <c r="G1383" s="138"/>
      <c r="H1383" s="138"/>
      <c r="I1383" s="139"/>
      <c r="J1383" s="137"/>
      <c r="K1383" s="137"/>
      <c r="M1383" s="126"/>
      <c r="O1383" s="137"/>
      <c r="P1383" s="137"/>
      <c r="Q1383" s="126"/>
    </row>
    <row r="1384" spans="3:17" x14ac:dyDescent="0.3">
      <c r="C1384" s="126"/>
      <c r="F1384" s="137"/>
      <c r="G1384" s="138"/>
      <c r="H1384" s="138"/>
      <c r="I1384" s="139"/>
      <c r="J1384" s="137"/>
      <c r="K1384" s="137"/>
      <c r="M1384" s="126"/>
      <c r="O1384" s="137"/>
      <c r="P1384" s="137"/>
      <c r="Q1384" s="126"/>
    </row>
    <row r="1385" spans="3:17" x14ac:dyDescent="0.3">
      <c r="C1385" s="126"/>
      <c r="F1385" s="137"/>
      <c r="G1385" s="138"/>
      <c r="H1385" s="138"/>
      <c r="I1385" s="139"/>
      <c r="J1385" s="137"/>
      <c r="K1385" s="137"/>
      <c r="M1385" s="126"/>
      <c r="O1385" s="137"/>
      <c r="P1385" s="137"/>
      <c r="Q1385" s="126"/>
    </row>
    <row r="1386" spans="3:17" x14ac:dyDescent="0.3">
      <c r="C1386" s="126"/>
      <c r="F1386" s="137"/>
      <c r="G1386" s="138"/>
      <c r="H1386" s="138"/>
      <c r="I1386" s="139"/>
      <c r="J1386" s="137"/>
      <c r="K1386" s="137"/>
      <c r="M1386" s="126"/>
      <c r="O1386" s="137"/>
      <c r="P1386" s="137"/>
      <c r="Q1386" s="126"/>
    </row>
    <row r="1387" spans="3:17" x14ac:dyDescent="0.3">
      <c r="C1387" s="126"/>
      <c r="F1387" s="137"/>
      <c r="G1387" s="138"/>
      <c r="H1387" s="138"/>
      <c r="I1387" s="139"/>
      <c r="J1387" s="137"/>
      <c r="K1387" s="137"/>
      <c r="M1387" s="126"/>
      <c r="O1387" s="137"/>
      <c r="P1387" s="137"/>
      <c r="Q1387" s="126"/>
    </row>
    <row r="1388" spans="3:17" x14ac:dyDescent="0.3">
      <c r="C1388" s="126"/>
      <c r="F1388" s="137"/>
      <c r="G1388" s="138"/>
      <c r="H1388" s="138"/>
      <c r="I1388" s="139"/>
      <c r="J1388" s="137"/>
      <c r="K1388" s="137"/>
      <c r="M1388" s="126"/>
      <c r="O1388" s="137"/>
      <c r="P1388" s="137"/>
      <c r="Q1388" s="126"/>
    </row>
    <row r="1389" spans="3:17" x14ac:dyDescent="0.3">
      <c r="C1389" s="126"/>
      <c r="F1389" s="137"/>
      <c r="G1389" s="138"/>
      <c r="H1389" s="138"/>
      <c r="I1389" s="139"/>
      <c r="J1389" s="137"/>
      <c r="K1389" s="137"/>
      <c r="M1389" s="126"/>
      <c r="O1389" s="137"/>
      <c r="P1389" s="137"/>
      <c r="Q1389" s="126"/>
    </row>
    <row r="1390" spans="3:17" x14ac:dyDescent="0.3">
      <c r="C1390" s="126"/>
      <c r="F1390" s="137"/>
      <c r="G1390" s="138"/>
      <c r="H1390" s="138"/>
      <c r="I1390" s="139"/>
      <c r="J1390" s="137"/>
      <c r="K1390" s="137"/>
      <c r="M1390" s="126"/>
      <c r="O1390" s="137"/>
      <c r="P1390" s="137"/>
      <c r="Q1390" s="126"/>
    </row>
    <row r="1391" spans="3:17" x14ac:dyDescent="0.3">
      <c r="C1391" s="126"/>
      <c r="F1391" s="137"/>
      <c r="G1391" s="138"/>
      <c r="H1391" s="138"/>
      <c r="I1391" s="139"/>
      <c r="J1391" s="137"/>
      <c r="K1391" s="137"/>
      <c r="M1391" s="126"/>
      <c r="O1391" s="137"/>
      <c r="P1391" s="137"/>
      <c r="Q1391" s="126"/>
    </row>
    <row r="1392" spans="3:17" x14ac:dyDescent="0.3">
      <c r="C1392" s="126"/>
      <c r="F1392" s="137"/>
      <c r="G1392" s="138"/>
      <c r="H1392" s="138"/>
      <c r="I1392" s="139"/>
      <c r="J1392" s="137"/>
      <c r="K1392" s="137"/>
      <c r="M1392" s="126"/>
      <c r="O1392" s="137"/>
      <c r="P1392" s="137"/>
      <c r="Q1392" s="126"/>
    </row>
    <row r="1393" spans="3:17" x14ac:dyDescent="0.3">
      <c r="C1393" s="126"/>
      <c r="F1393" s="137"/>
      <c r="G1393" s="138"/>
      <c r="H1393" s="138"/>
      <c r="I1393" s="139"/>
      <c r="J1393" s="137"/>
      <c r="K1393" s="137"/>
      <c r="M1393" s="126"/>
      <c r="O1393" s="137"/>
      <c r="P1393" s="137"/>
      <c r="Q1393" s="126"/>
    </row>
    <row r="1394" spans="3:17" x14ac:dyDescent="0.3">
      <c r="C1394" s="126"/>
      <c r="F1394" s="137"/>
      <c r="G1394" s="138"/>
      <c r="H1394" s="138"/>
      <c r="I1394" s="139"/>
      <c r="J1394" s="137"/>
      <c r="K1394" s="137"/>
      <c r="M1394" s="126"/>
      <c r="O1394" s="137"/>
      <c r="P1394" s="137"/>
      <c r="Q1394" s="126"/>
    </row>
    <row r="1395" spans="3:17" x14ac:dyDescent="0.3">
      <c r="C1395" s="126"/>
      <c r="F1395" s="137"/>
      <c r="G1395" s="138"/>
      <c r="H1395" s="138"/>
      <c r="I1395" s="139"/>
      <c r="J1395" s="137"/>
      <c r="K1395" s="137"/>
      <c r="M1395" s="126"/>
      <c r="O1395" s="137"/>
      <c r="P1395" s="137"/>
      <c r="Q1395" s="126"/>
    </row>
    <row r="1396" spans="3:17" x14ac:dyDescent="0.3">
      <c r="C1396" s="126"/>
      <c r="F1396" s="137"/>
      <c r="G1396" s="138"/>
      <c r="H1396" s="138"/>
      <c r="I1396" s="139"/>
      <c r="J1396" s="137"/>
      <c r="K1396" s="137"/>
      <c r="M1396" s="126"/>
      <c r="O1396" s="137"/>
      <c r="P1396" s="137"/>
      <c r="Q1396" s="126"/>
    </row>
    <row r="1397" spans="3:17" x14ac:dyDescent="0.3">
      <c r="C1397" s="126"/>
      <c r="F1397" s="137"/>
      <c r="G1397" s="138"/>
      <c r="H1397" s="138"/>
      <c r="I1397" s="139"/>
      <c r="J1397" s="137"/>
      <c r="K1397" s="137"/>
      <c r="M1397" s="126"/>
      <c r="O1397" s="137"/>
      <c r="P1397" s="137"/>
      <c r="Q1397" s="126"/>
    </row>
    <row r="1398" spans="3:17" x14ac:dyDescent="0.3">
      <c r="C1398" s="126"/>
      <c r="F1398" s="137"/>
      <c r="G1398" s="138"/>
      <c r="H1398" s="138"/>
      <c r="I1398" s="139"/>
      <c r="J1398" s="137"/>
      <c r="K1398" s="137"/>
      <c r="M1398" s="126"/>
      <c r="O1398" s="137"/>
      <c r="P1398" s="137"/>
      <c r="Q1398" s="126"/>
    </row>
    <row r="1399" spans="3:17" x14ac:dyDescent="0.3">
      <c r="C1399" s="126"/>
      <c r="F1399" s="137"/>
      <c r="G1399" s="138"/>
      <c r="H1399" s="138"/>
      <c r="I1399" s="139"/>
      <c r="J1399" s="137"/>
      <c r="K1399" s="137"/>
      <c r="M1399" s="126"/>
      <c r="O1399" s="137"/>
      <c r="P1399" s="137"/>
      <c r="Q1399" s="126"/>
    </row>
    <row r="1400" spans="3:17" x14ac:dyDescent="0.3">
      <c r="C1400" s="126"/>
      <c r="F1400" s="137"/>
      <c r="G1400" s="138"/>
      <c r="H1400" s="138"/>
      <c r="I1400" s="139"/>
      <c r="J1400" s="137"/>
      <c r="K1400" s="137"/>
      <c r="M1400" s="126"/>
      <c r="O1400" s="137"/>
      <c r="P1400" s="137"/>
      <c r="Q1400" s="126"/>
    </row>
    <row r="1401" spans="3:17" x14ac:dyDescent="0.3">
      <c r="C1401" s="126"/>
      <c r="F1401" s="137"/>
      <c r="G1401" s="138"/>
      <c r="H1401" s="138"/>
      <c r="I1401" s="139"/>
      <c r="J1401" s="137"/>
      <c r="K1401" s="137"/>
      <c r="M1401" s="126"/>
      <c r="O1401" s="137"/>
      <c r="P1401" s="137"/>
      <c r="Q1401" s="126"/>
    </row>
    <row r="1402" spans="3:17" x14ac:dyDescent="0.3">
      <c r="C1402" s="126"/>
      <c r="F1402" s="137"/>
      <c r="G1402" s="138"/>
      <c r="H1402" s="138"/>
      <c r="I1402" s="139"/>
      <c r="J1402" s="137"/>
      <c r="K1402" s="137"/>
      <c r="M1402" s="126"/>
      <c r="O1402" s="137"/>
      <c r="P1402" s="137"/>
      <c r="Q1402" s="126"/>
    </row>
    <row r="1403" spans="3:17" x14ac:dyDescent="0.3">
      <c r="C1403" s="126"/>
      <c r="F1403" s="137"/>
      <c r="G1403" s="138"/>
      <c r="H1403" s="138"/>
      <c r="I1403" s="139"/>
      <c r="J1403" s="137"/>
      <c r="K1403" s="137"/>
      <c r="M1403" s="126"/>
      <c r="O1403" s="137"/>
      <c r="P1403" s="137"/>
      <c r="Q1403" s="126"/>
    </row>
    <row r="1404" spans="3:17" x14ac:dyDescent="0.3">
      <c r="C1404" s="126"/>
      <c r="F1404" s="137"/>
      <c r="G1404" s="138"/>
      <c r="H1404" s="138"/>
      <c r="I1404" s="139"/>
      <c r="J1404" s="137"/>
      <c r="K1404" s="137"/>
      <c r="M1404" s="126"/>
      <c r="O1404" s="137"/>
      <c r="P1404" s="137"/>
      <c r="Q1404" s="126"/>
    </row>
    <row r="1405" spans="3:17" x14ac:dyDescent="0.3">
      <c r="C1405" s="126"/>
      <c r="F1405" s="137"/>
      <c r="G1405" s="138"/>
      <c r="H1405" s="138"/>
      <c r="I1405" s="139"/>
      <c r="J1405" s="137"/>
      <c r="K1405" s="137"/>
      <c r="M1405" s="126"/>
      <c r="O1405" s="137"/>
      <c r="P1405" s="137"/>
      <c r="Q1405" s="126"/>
    </row>
    <row r="1406" spans="3:17" x14ac:dyDescent="0.3">
      <c r="C1406" s="126"/>
      <c r="F1406" s="137"/>
      <c r="G1406" s="138"/>
      <c r="H1406" s="138"/>
      <c r="I1406" s="139"/>
      <c r="J1406" s="137"/>
      <c r="K1406" s="137"/>
      <c r="M1406" s="126"/>
      <c r="O1406" s="137"/>
      <c r="P1406" s="137"/>
      <c r="Q1406" s="126"/>
    </row>
    <row r="1407" spans="3:17" x14ac:dyDescent="0.3">
      <c r="C1407" s="126"/>
      <c r="F1407" s="137"/>
      <c r="G1407" s="138"/>
      <c r="H1407" s="138"/>
      <c r="I1407" s="139"/>
      <c r="J1407" s="137"/>
      <c r="K1407" s="137"/>
      <c r="M1407" s="126"/>
      <c r="O1407" s="137"/>
      <c r="P1407" s="137"/>
      <c r="Q1407" s="126"/>
    </row>
    <row r="1408" spans="3:17" x14ac:dyDescent="0.3">
      <c r="C1408" s="126"/>
      <c r="F1408" s="137"/>
      <c r="G1408" s="138"/>
      <c r="H1408" s="138"/>
      <c r="I1408" s="139"/>
      <c r="J1408" s="137"/>
      <c r="K1408" s="137"/>
      <c r="M1408" s="126"/>
      <c r="O1408" s="137"/>
      <c r="P1408" s="137"/>
      <c r="Q1408" s="126"/>
    </row>
    <row r="1409" spans="3:17" x14ac:dyDescent="0.3">
      <c r="C1409" s="126"/>
      <c r="F1409" s="137"/>
      <c r="G1409" s="138"/>
      <c r="H1409" s="138"/>
      <c r="I1409" s="139"/>
      <c r="J1409" s="137"/>
      <c r="K1409" s="137"/>
      <c r="M1409" s="126"/>
      <c r="O1409" s="137"/>
      <c r="P1409" s="137"/>
      <c r="Q1409" s="126"/>
    </row>
    <row r="1410" spans="3:17" x14ac:dyDescent="0.3">
      <c r="C1410" s="126"/>
      <c r="F1410" s="137"/>
      <c r="G1410" s="138"/>
      <c r="H1410" s="138"/>
      <c r="I1410" s="139"/>
      <c r="J1410" s="137"/>
      <c r="K1410" s="137"/>
      <c r="M1410" s="126"/>
      <c r="O1410" s="137"/>
      <c r="P1410" s="137"/>
      <c r="Q1410" s="126"/>
    </row>
    <row r="1411" spans="3:17" x14ac:dyDescent="0.3">
      <c r="C1411" s="126"/>
      <c r="F1411" s="137"/>
      <c r="G1411" s="138"/>
      <c r="H1411" s="138"/>
      <c r="I1411" s="139"/>
      <c r="J1411" s="137"/>
      <c r="K1411" s="137"/>
      <c r="M1411" s="126"/>
      <c r="O1411" s="137"/>
      <c r="P1411" s="137"/>
      <c r="Q1411" s="126"/>
    </row>
    <row r="1412" spans="3:17" x14ac:dyDescent="0.3">
      <c r="C1412" s="126"/>
      <c r="F1412" s="137"/>
      <c r="G1412" s="138"/>
      <c r="H1412" s="138"/>
      <c r="I1412" s="139"/>
      <c r="J1412" s="137"/>
      <c r="K1412" s="137"/>
      <c r="M1412" s="126"/>
      <c r="O1412" s="137"/>
      <c r="P1412" s="137"/>
      <c r="Q1412" s="126"/>
    </row>
    <row r="1413" spans="3:17" x14ac:dyDescent="0.3">
      <c r="C1413" s="126"/>
      <c r="F1413" s="137"/>
      <c r="G1413" s="138"/>
      <c r="H1413" s="138"/>
      <c r="I1413" s="139"/>
      <c r="J1413" s="137"/>
      <c r="K1413" s="137"/>
      <c r="M1413" s="126"/>
      <c r="O1413" s="137"/>
      <c r="P1413" s="137"/>
      <c r="Q1413" s="126"/>
    </row>
    <row r="1414" spans="3:17" x14ac:dyDescent="0.3">
      <c r="C1414" s="126"/>
      <c r="F1414" s="137"/>
      <c r="G1414" s="138"/>
      <c r="H1414" s="138"/>
      <c r="I1414" s="139"/>
      <c r="J1414" s="137"/>
      <c r="K1414" s="137"/>
      <c r="M1414" s="126"/>
      <c r="O1414" s="137"/>
      <c r="P1414" s="137"/>
      <c r="Q1414" s="126"/>
    </row>
    <row r="1415" spans="3:17" x14ac:dyDescent="0.3">
      <c r="C1415" s="126"/>
      <c r="F1415" s="137"/>
      <c r="G1415" s="138"/>
      <c r="H1415" s="138"/>
      <c r="I1415" s="139"/>
      <c r="J1415" s="137"/>
      <c r="K1415" s="137"/>
      <c r="M1415" s="126"/>
      <c r="O1415" s="137"/>
      <c r="P1415" s="137"/>
      <c r="Q1415" s="126"/>
    </row>
    <row r="1416" spans="3:17" x14ac:dyDescent="0.3">
      <c r="C1416" s="126"/>
      <c r="F1416" s="137"/>
      <c r="G1416" s="138"/>
      <c r="H1416" s="138"/>
      <c r="I1416" s="139"/>
      <c r="J1416" s="137"/>
      <c r="K1416" s="137"/>
      <c r="M1416" s="126"/>
      <c r="O1416" s="137"/>
      <c r="P1416" s="137"/>
      <c r="Q1416" s="126"/>
    </row>
    <row r="1417" spans="3:17" x14ac:dyDescent="0.3">
      <c r="C1417" s="126"/>
      <c r="F1417" s="137"/>
      <c r="G1417" s="138"/>
      <c r="H1417" s="138"/>
      <c r="I1417" s="139"/>
      <c r="J1417" s="137"/>
      <c r="K1417" s="137"/>
      <c r="M1417" s="126"/>
      <c r="O1417" s="137"/>
      <c r="P1417" s="137"/>
      <c r="Q1417" s="126"/>
    </row>
    <row r="1418" spans="3:17" x14ac:dyDescent="0.3">
      <c r="C1418" s="126"/>
      <c r="F1418" s="137"/>
      <c r="G1418" s="138"/>
      <c r="H1418" s="138"/>
      <c r="I1418" s="139"/>
      <c r="J1418" s="137"/>
      <c r="K1418" s="137"/>
      <c r="M1418" s="126"/>
      <c r="O1418" s="137"/>
      <c r="P1418" s="137"/>
      <c r="Q1418" s="126"/>
    </row>
    <row r="1419" spans="3:17" x14ac:dyDescent="0.3">
      <c r="C1419" s="126"/>
      <c r="F1419" s="137"/>
      <c r="G1419" s="138"/>
      <c r="H1419" s="138"/>
      <c r="I1419" s="139"/>
      <c r="J1419" s="137"/>
      <c r="K1419" s="137"/>
      <c r="M1419" s="126"/>
      <c r="O1419" s="137"/>
      <c r="P1419" s="137"/>
      <c r="Q1419" s="126"/>
    </row>
    <row r="1420" spans="3:17" x14ac:dyDescent="0.3">
      <c r="C1420" s="126"/>
      <c r="F1420" s="137"/>
      <c r="G1420" s="138"/>
      <c r="H1420" s="138"/>
      <c r="I1420" s="139"/>
      <c r="J1420" s="137"/>
      <c r="K1420" s="137"/>
      <c r="M1420" s="126"/>
      <c r="O1420" s="137"/>
      <c r="P1420" s="137"/>
      <c r="Q1420" s="126"/>
    </row>
    <row r="1421" spans="3:17" x14ac:dyDescent="0.3">
      <c r="C1421" s="126"/>
      <c r="F1421" s="137"/>
      <c r="G1421" s="138"/>
      <c r="H1421" s="138"/>
      <c r="I1421" s="139"/>
      <c r="J1421" s="137"/>
      <c r="K1421" s="137"/>
      <c r="M1421" s="126"/>
      <c r="O1421" s="137"/>
      <c r="P1421" s="137"/>
      <c r="Q1421" s="126"/>
    </row>
    <row r="1422" spans="3:17" x14ac:dyDescent="0.3">
      <c r="C1422" s="126"/>
      <c r="F1422" s="137"/>
      <c r="G1422" s="138"/>
      <c r="H1422" s="138"/>
      <c r="I1422" s="139"/>
      <c r="J1422" s="137"/>
      <c r="K1422" s="137"/>
      <c r="M1422" s="126"/>
      <c r="O1422" s="137"/>
      <c r="P1422" s="137"/>
      <c r="Q1422" s="126"/>
    </row>
    <row r="1423" spans="3:17" x14ac:dyDescent="0.3">
      <c r="C1423" s="126"/>
      <c r="F1423" s="137"/>
      <c r="G1423" s="138"/>
      <c r="H1423" s="138"/>
      <c r="I1423" s="139"/>
      <c r="J1423" s="137"/>
      <c r="K1423" s="137"/>
      <c r="M1423" s="126"/>
      <c r="O1423" s="137"/>
      <c r="P1423" s="137"/>
      <c r="Q1423" s="126"/>
    </row>
    <row r="1424" spans="3:17" x14ac:dyDescent="0.3">
      <c r="C1424" s="126"/>
      <c r="F1424" s="137"/>
      <c r="G1424" s="138"/>
      <c r="H1424" s="138"/>
      <c r="I1424" s="139"/>
      <c r="J1424" s="137"/>
      <c r="K1424" s="137"/>
      <c r="M1424" s="126"/>
      <c r="O1424" s="137"/>
      <c r="P1424" s="137"/>
      <c r="Q1424" s="126"/>
    </row>
    <row r="1425" spans="3:17" x14ac:dyDescent="0.3">
      <c r="C1425" s="126"/>
      <c r="F1425" s="137"/>
      <c r="G1425" s="138"/>
      <c r="H1425" s="138"/>
      <c r="I1425" s="139"/>
      <c r="J1425" s="137"/>
      <c r="K1425" s="137"/>
      <c r="M1425" s="126"/>
      <c r="O1425" s="137"/>
      <c r="P1425" s="137"/>
      <c r="Q1425" s="126"/>
    </row>
    <row r="1426" spans="3:17" x14ac:dyDescent="0.3">
      <c r="C1426" s="126"/>
      <c r="F1426" s="137"/>
      <c r="G1426" s="138"/>
      <c r="H1426" s="138"/>
      <c r="I1426" s="139"/>
      <c r="J1426" s="137"/>
      <c r="K1426" s="137"/>
      <c r="M1426" s="126"/>
      <c r="O1426" s="137"/>
      <c r="P1426" s="137"/>
      <c r="Q1426" s="126"/>
    </row>
    <row r="1427" spans="3:17" x14ac:dyDescent="0.3">
      <c r="C1427" s="126"/>
      <c r="F1427" s="137"/>
      <c r="G1427" s="138"/>
      <c r="H1427" s="138"/>
      <c r="I1427" s="139"/>
      <c r="J1427" s="137"/>
      <c r="K1427" s="137"/>
      <c r="M1427" s="126"/>
      <c r="O1427" s="137"/>
      <c r="P1427" s="137"/>
      <c r="Q1427" s="126"/>
    </row>
    <row r="1428" spans="3:17" x14ac:dyDescent="0.3">
      <c r="C1428" s="126"/>
      <c r="F1428" s="137"/>
      <c r="G1428" s="138"/>
      <c r="H1428" s="138"/>
      <c r="I1428" s="139"/>
      <c r="J1428" s="137"/>
      <c r="K1428" s="137"/>
      <c r="M1428" s="126"/>
      <c r="O1428" s="137"/>
      <c r="P1428" s="137"/>
      <c r="Q1428" s="126"/>
    </row>
    <row r="1429" spans="3:17" x14ac:dyDescent="0.3">
      <c r="C1429" s="126"/>
      <c r="F1429" s="137"/>
      <c r="G1429" s="138"/>
      <c r="H1429" s="138"/>
      <c r="I1429" s="139"/>
      <c r="J1429" s="137"/>
      <c r="K1429" s="137"/>
      <c r="M1429" s="126"/>
      <c r="O1429" s="137"/>
      <c r="P1429" s="137"/>
      <c r="Q1429" s="126"/>
    </row>
    <row r="1430" spans="3:17" x14ac:dyDescent="0.3">
      <c r="C1430" s="126"/>
      <c r="F1430" s="137"/>
      <c r="G1430" s="138"/>
      <c r="H1430" s="138"/>
      <c r="I1430" s="139"/>
      <c r="J1430" s="137"/>
      <c r="K1430" s="137"/>
      <c r="M1430" s="126"/>
      <c r="O1430" s="137"/>
      <c r="P1430" s="137"/>
      <c r="Q1430" s="126"/>
    </row>
    <row r="1431" spans="3:17" x14ac:dyDescent="0.3">
      <c r="C1431" s="126"/>
      <c r="F1431" s="137"/>
      <c r="G1431" s="138"/>
      <c r="H1431" s="138"/>
      <c r="I1431" s="139"/>
      <c r="J1431" s="137"/>
      <c r="K1431" s="137"/>
      <c r="M1431" s="126"/>
      <c r="O1431" s="137"/>
      <c r="P1431" s="137"/>
      <c r="Q1431" s="126"/>
    </row>
    <row r="1432" spans="3:17" x14ac:dyDescent="0.3">
      <c r="C1432" s="126"/>
      <c r="F1432" s="137"/>
      <c r="G1432" s="138"/>
      <c r="H1432" s="138"/>
      <c r="I1432" s="139"/>
      <c r="J1432" s="137"/>
      <c r="K1432" s="137"/>
      <c r="M1432" s="126"/>
      <c r="O1432" s="137"/>
      <c r="P1432" s="137"/>
      <c r="Q1432" s="126"/>
    </row>
    <row r="1433" spans="3:17" x14ac:dyDescent="0.3">
      <c r="C1433" s="126"/>
      <c r="F1433" s="137"/>
      <c r="G1433" s="138"/>
      <c r="H1433" s="138"/>
      <c r="I1433" s="139"/>
      <c r="J1433" s="137"/>
      <c r="K1433" s="137"/>
      <c r="M1433" s="126"/>
      <c r="O1433" s="137"/>
      <c r="P1433" s="137"/>
      <c r="Q1433" s="126"/>
    </row>
    <row r="1434" spans="3:17" x14ac:dyDescent="0.3">
      <c r="C1434" s="126"/>
      <c r="F1434" s="137"/>
      <c r="G1434" s="138"/>
      <c r="H1434" s="138"/>
      <c r="I1434" s="139"/>
      <c r="J1434" s="137"/>
      <c r="K1434" s="137"/>
      <c r="M1434" s="126"/>
      <c r="O1434" s="137"/>
      <c r="P1434" s="137"/>
      <c r="Q1434" s="126"/>
    </row>
    <row r="1435" spans="3:17" x14ac:dyDescent="0.3">
      <c r="C1435" s="126"/>
      <c r="F1435" s="137"/>
      <c r="G1435" s="138"/>
      <c r="H1435" s="138"/>
      <c r="I1435" s="139"/>
      <c r="J1435" s="137"/>
      <c r="K1435" s="137"/>
      <c r="M1435" s="126"/>
      <c r="O1435" s="137"/>
      <c r="P1435" s="137"/>
      <c r="Q1435" s="126"/>
    </row>
    <row r="1436" spans="3:17" x14ac:dyDescent="0.3">
      <c r="C1436" s="126"/>
      <c r="F1436" s="137"/>
      <c r="G1436" s="138"/>
      <c r="H1436" s="138"/>
      <c r="I1436" s="139"/>
      <c r="J1436" s="137"/>
      <c r="K1436" s="137"/>
      <c r="M1436" s="126"/>
      <c r="O1436" s="137"/>
      <c r="P1436" s="137"/>
      <c r="Q1436" s="126"/>
    </row>
    <row r="1437" spans="3:17" x14ac:dyDescent="0.3">
      <c r="C1437" s="126"/>
      <c r="F1437" s="137"/>
      <c r="G1437" s="138"/>
      <c r="H1437" s="138"/>
      <c r="I1437" s="139"/>
      <c r="J1437" s="137"/>
      <c r="K1437" s="137"/>
      <c r="M1437" s="126"/>
      <c r="O1437" s="137"/>
      <c r="P1437" s="137"/>
      <c r="Q1437" s="126"/>
    </row>
    <row r="1438" spans="3:17" x14ac:dyDescent="0.3">
      <c r="C1438" s="126"/>
      <c r="F1438" s="137"/>
      <c r="G1438" s="138"/>
      <c r="H1438" s="138"/>
      <c r="I1438" s="139"/>
      <c r="J1438" s="137"/>
      <c r="K1438" s="137"/>
      <c r="M1438" s="126"/>
      <c r="O1438" s="137"/>
      <c r="P1438" s="137"/>
      <c r="Q1438" s="126"/>
    </row>
    <row r="1439" spans="3:17" x14ac:dyDescent="0.3">
      <c r="C1439" s="126"/>
      <c r="F1439" s="137"/>
      <c r="G1439" s="138"/>
      <c r="H1439" s="138"/>
      <c r="I1439" s="139"/>
      <c r="J1439" s="137"/>
      <c r="K1439" s="137"/>
      <c r="M1439" s="126"/>
      <c r="O1439" s="137"/>
      <c r="P1439" s="137"/>
      <c r="Q1439" s="126"/>
    </row>
    <row r="1440" spans="3:17" x14ac:dyDescent="0.3">
      <c r="C1440" s="126"/>
      <c r="F1440" s="137"/>
      <c r="G1440" s="138"/>
      <c r="H1440" s="138"/>
      <c r="I1440" s="139"/>
      <c r="J1440" s="137"/>
      <c r="K1440" s="137"/>
      <c r="M1440" s="126"/>
      <c r="O1440" s="137"/>
      <c r="P1440" s="137"/>
      <c r="Q1440" s="126"/>
    </row>
    <row r="1441" spans="3:17" x14ac:dyDescent="0.3">
      <c r="C1441" s="126"/>
      <c r="F1441" s="137"/>
      <c r="G1441" s="138"/>
      <c r="H1441" s="138"/>
      <c r="I1441" s="139"/>
      <c r="J1441" s="137"/>
      <c r="K1441" s="137"/>
      <c r="M1441" s="126"/>
      <c r="O1441" s="137"/>
      <c r="P1441" s="137"/>
      <c r="Q1441" s="126"/>
    </row>
    <row r="1442" spans="3:17" x14ac:dyDescent="0.3">
      <c r="C1442" s="126"/>
      <c r="F1442" s="137"/>
      <c r="G1442" s="138"/>
      <c r="H1442" s="138"/>
      <c r="I1442" s="139"/>
      <c r="J1442" s="137"/>
      <c r="K1442" s="137"/>
      <c r="M1442" s="126"/>
      <c r="O1442" s="137"/>
      <c r="P1442" s="137"/>
      <c r="Q1442" s="126"/>
    </row>
    <row r="1443" spans="3:17" x14ac:dyDescent="0.3">
      <c r="C1443" s="126"/>
      <c r="F1443" s="137"/>
      <c r="G1443" s="138"/>
      <c r="H1443" s="138"/>
      <c r="I1443" s="139"/>
      <c r="J1443" s="137"/>
      <c r="K1443" s="137"/>
      <c r="M1443" s="126"/>
      <c r="O1443" s="137"/>
      <c r="P1443" s="137"/>
      <c r="Q1443" s="126"/>
    </row>
    <row r="1444" spans="3:17" x14ac:dyDescent="0.3">
      <c r="C1444" s="126"/>
      <c r="F1444" s="137"/>
      <c r="G1444" s="138"/>
      <c r="H1444" s="138"/>
      <c r="I1444" s="139"/>
      <c r="J1444" s="137"/>
      <c r="K1444" s="137"/>
      <c r="M1444" s="126"/>
      <c r="O1444" s="137"/>
      <c r="P1444" s="137"/>
      <c r="Q1444" s="126"/>
    </row>
    <row r="1445" spans="3:17" x14ac:dyDescent="0.3">
      <c r="C1445" s="126"/>
      <c r="F1445" s="137"/>
      <c r="G1445" s="138"/>
      <c r="H1445" s="138"/>
      <c r="I1445" s="139"/>
      <c r="J1445" s="137"/>
      <c r="K1445" s="137"/>
      <c r="M1445" s="126"/>
      <c r="O1445" s="137"/>
      <c r="P1445" s="137"/>
      <c r="Q1445" s="126"/>
    </row>
    <row r="1446" spans="3:17" x14ac:dyDescent="0.3">
      <c r="C1446" s="126"/>
      <c r="F1446" s="137"/>
      <c r="G1446" s="138"/>
      <c r="H1446" s="138"/>
      <c r="I1446" s="139"/>
      <c r="J1446" s="137"/>
      <c r="K1446" s="137"/>
      <c r="M1446" s="126"/>
      <c r="O1446" s="137"/>
      <c r="P1446" s="137"/>
      <c r="Q1446" s="126"/>
    </row>
    <row r="1447" spans="3:17" x14ac:dyDescent="0.3">
      <c r="C1447" s="126"/>
      <c r="F1447" s="137"/>
      <c r="G1447" s="138"/>
      <c r="H1447" s="138"/>
      <c r="I1447" s="139"/>
      <c r="J1447" s="137"/>
      <c r="K1447" s="137"/>
      <c r="M1447" s="126"/>
      <c r="O1447" s="137"/>
      <c r="P1447" s="137"/>
      <c r="Q1447" s="126"/>
    </row>
    <row r="1448" spans="3:17" x14ac:dyDescent="0.3">
      <c r="C1448" s="126"/>
      <c r="F1448" s="137"/>
      <c r="G1448" s="138"/>
      <c r="H1448" s="138"/>
      <c r="I1448" s="139"/>
      <c r="J1448" s="137"/>
      <c r="K1448" s="137"/>
      <c r="M1448" s="126"/>
      <c r="O1448" s="137"/>
      <c r="P1448" s="137"/>
      <c r="Q1448" s="126"/>
    </row>
    <row r="1449" spans="3:17" x14ac:dyDescent="0.3">
      <c r="C1449" s="126"/>
      <c r="F1449" s="137"/>
      <c r="G1449" s="138"/>
      <c r="H1449" s="138"/>
      <c r="I1449" s="139"/>
      <c r="J1449" s="137"/>
      <c r="K1449" s="137"/>
      <c r="M1449" s="126"/>
      <c r="O1449" s="137"/>
      <c r="P1449" s="137"/>
      <c r="Q1449" s="126"/>
    </row>
    <row r="1450" spans="3:17" x14ac:dyDescent="0.3">
      <c r="C1450" s="126"/>
      <c r="F1450" s="137"/>
      <c r="G1450" s="138"/>
      <c r="H1450" s="138"/>
      <c r="I1450" s="139"/>
      <c r="J1450" s="137"/>
      <c r="K1450" s="137"/>
      <c r="M1450" s="126"/>
      <c r="O1450" s="137"/>
      <c r="P1450" s="137"/>
      <c r="Q1450" s="126"/>
    </row>
    <row r="1451" spans="3:17" x14ac:dyDescent="0.3">
      <c r="C1451" s="126"/>
      <c r="F1451" s="137"/>
      <c r="G1451" s="138"/>
      <c r="H1451" s="138"/>
      <c r="I1451" s="139"/>
      <c r="J1451" s="137"/>
      <c r="K1451" s="137"/>
      <c r="M1451" s="126"/>
      <c r="O1451" s="137"/>
      <c r="P1451" s="137"/>
      <c r="Q1451" s="126"/>
    </row>
    <row r="1452" spans="3:17" x14ac:dyDescent="0.3">
      <c r="C1452" s="126"/>
      <c r="F1452" s="137"/>
      <c r="G1452" s="138"/>
      <c r="H1452" s="138"/>
      <c r="I1452" s="139"/>
      <c r="J1452" s="137"/>
      <c r="K1452" s="137"/>
      <c r="M1452" s="126"/>
      <c r="O1452" s="137"/>
      <c r="P1452" s="137"/>
      <c r="Q1452" s="126"/>
    </row>
    <row r="1453" spans="3:17" x14ac:dyDescent="0.3">
      <c r="C1453" s="126"/>
      <c r="F1453" s="137"/>
      <c r="G1453" s="138"/>
      <c r="H1453" s="138"/>
      <c r="I1453" s="139"/>
      <c r="J1453" s="137"/>
      <c r="K1453" s="137"/>
      <c r="M1453" s="126"/>
      <c r="O1453" s="137"/>
      <c r="P1453" s="137"/>
      <c r="Q1453" s="126"/>
    </row>
    <row r="1454" spans="3:17" x14ac:dyDescent="0.3">
      <c r="C1454" s="126"/>
      <c r="F1454" s="137"/>
      <c r="G1454" s="138"/>
      <c r="H1454" s="138"/>
      <c r="I1454" s="139"/>
      <c r="J1454" s="137"/>
      <c r="K1454" s="137"/>
      <c r="M1454" s="126"/>
      <c r="O1454" s="137"/>
      <c r="P1454" s="137"/>
      <c r="Q1454" s="126"/>
    </row>
    <row r="1455" spans="3:17" x14ac:dyDescent="0.3">
      <c r="C1455" s="126"/>
      <c r="F1455" s="137"/>
      <c r="G1455" s="138"/>
      <c r="H1455" s="138"/>
      <c r="I1455" s="139"/>
      <c r="J1455" s="137"/>
      <c r="K1455" s="137"/>
      <c r="M1455" s="126"/>
      <c r="O1455" s="137"/>
      <c r="P1455" s="137"/>
      <c r="Q1455" s="126"/>
    </row>
    <row r="1456" spans="3:17" x14ac:dyDescent="0.3">
      <c r="C1456" s="126"/>
      <c r="F1456" s="137"/>
      <c r="G1456" s="138"/>
      <c r="H1456" s="138"/>
      <c r="I1456" s="139"/>
      <c r="J1456" s="137"/>
      <c r="K1456" s="137"/>
      <c r="M1456" s="126"/>
      <c r="O1456" s="137"/>
      <c r="P1456" s="137"/>
      <c r="Q1456" s="126"/>
    </row>
    <row r="1457" spans="3:17" x14ac:dyDescent="0.3">
      <c r="C1457" s="126"/>
      <c r="F1457" s="137"/>
      <c r="G1457" s="138"/>
      <c r="H1457" s="138"/>
      <c r="I1457" s="139"/>
      <c r="J1457" s="137"/>
      <c r="K1457" s="137"/>
      <c r="M1457" s="126"/>
      <c r="O1457" s="137"/>
      <c r="P1457" s="137"/>
      <c r="Q1457" s="126"/>
    </row>
    <row r="1458" spans="3:17" x14ac:dyDescent="0.3">
      <c r="C1458" s="126"/>
      <c r="F1458" s="137"/>
      <c r="G1458" s="138"/>
      <c r="H1458" s="138"/>
      <c r="I1458" s="139"/>
      <c r="J1458" s="137"/>
      <c r="K1458" s="137"/>
      <c r="M1458" s="126"/>
      <c r="O1458" s="137"/>
      <c r="P1458" s="137"/>
      <c r="Q1458" s="126"/>
    </row>
    <row r="1459" spans="3:17" x14ac:dyDescent="0.3">
      <c r="C1459" s="126"/>
      <c r="F1459" s="137"/>
      <c r="G1459" s="138"/>
      <c r="H1459" s="138"/>
      <c r="I1459" s="139"/>
      <c r="J1459" s="137"/>
      <c r="K1459" s="137"/>
      <c r="M1459" s="126"/>
      <c r="O1459" s="137"/>
      <c r="P1459" s="137"/>
      <c r="Q1459" s="126"/>
    </row>
    <row r="1460" spans="3:17" x14ac:dyDescent="0.3">
      <c r="C1460" s="126"/>
      <c r="F1460" s="137"/>
      <c r="G1460" s="138"/>
      <c r="H1460" s="138"/>
      <c r="I1460" s="139"/>
      <c r="J1460" s="137"/>
      <c r="K1460" s="137"/>
      <c r="M1460" s="126"/>
      <c r="O1460" s="137"/>
      <c r="P1460" s="137"/>
      <c r="Q1460" s="126"/>
    </row>
    <row r="1461" spans="3:17" x14ac:dyDescent="0.3">
      <c r="C1461" s="126"/>
      <c r="F1461" s="137"/>
      <c r="G1461" s="138"/>
      <c r="H1461" s="138"/>
      <c r="I1461" s="139"/>
      <c r="J1461" s="137"/>
      <c r="K1461" s="137"/>
      <c r="M1461" s="126"/>
      <c r="O1461" s="137"/>
      <c r="P1461" s="137"/>
      <c r="Q1461" s="126"/>
    </row>
    <row r="1462" spans="3:17" x14ac:dyDescent="0.3">
      <c r="C1462" s="126"/>
      <c r="F1462" s="137"/>
      <c r="G1462" s="138"/>
      <c r="H1462" s="138"/>
      <c r="I1462" s="139"/>
      <c r="J1462" s="137"/>
      <c r="K1462" s="137"/>
      <c r="M1462" s="126"/>
      <c r="O1462" s="137"/>
      <c r="P1462" s="137"/>
      <c r="Q1462" s="126"/>
    </row>
    <row r="1463" spans="3:17" x14ac:dyDescent="0.3">
      <c r="C1463" s="126"/>
      <c r="F1463" s="137"/>
      <c r="G1463" s="138"/>
      <c r="H1463" s="138"/>
      <c r="I1463" s="139"/>
      <c r="J1463" s="137"/>
      <c r="K1463" s="137"/>
      <c r="M1463" s="126"/>
      <c r="O1463" s="137"/>
      <c r="P1463" s="137"/>
      <c r="Q1463" s="126"/>
    </row>
    <row r="1464" spans="3:17" x14ac:dyDescent="0.3">
      <c r="C1464" s="126"/>
      <c r="F1464" s="137"/>
      <c r="G1464" s="138"/>
      <c r="H1464" s="138"/>
      <c r="I1464" s="139"/>
      <c r="J1464" s="137"/>
      <c r="K1464" s="137"/>
      <c r="M1464" s="126"/>
      <c r="O1464" s="137"/>
      <c r="P1464" s="137"/>
      <c r="Q1464" s="126"/>
    </row>
    <row r="1465" spans="3:17" x14ac:dyDescent="0.3">
      <c r="C1465" s="126"/>
      <c r="F1465" s="137"/>
      <c r="G1465" s="138"/>
      <c r="H1465" s="138"/>
      <c r="I1465" s="139"/>
      <c r="J1465" s="137"/>
      <c r="K1465" s="137"/>
      <c r="M1465" s="126"/>
      <c r="O1465" s="137"/>
      <c r="P1465" s="137"/>
      <c r="Q1465" s="126"/>
    </row>
    <row r="1466" spans="3:17" x14ac:dyDescent="0.3">
      <c r="C1466" s="126"/>
      <c r="F1466" s="137"/>
      <c r="G1466" s="138"/>
      <c r="H1466" s="138"/>
      <c r="I1466" s="139"/>
      <c r="J1466" s="137"/>
      <c r="K1466" s="137"/>
      <c r="M1466" s="126"/>
      <c r="O1466" s="137"/>
      <c r="P1466" s="137"/>
      <c r="Q1466" s="126"/>
    </row>
    <row r="1467" spans="3:17" x14ac:dyDescent="0.3">
      <c r="C1467" s="126"/>
      <c r="F1467" s="137"/>
      <c r="G1467" s="138"/>
      <c r="H1467" s="138"/>
      <c r="I1467" s="139"/>
      <c r="J1467" s="137"/>
      <c r="K1467" s="137"/>
      <c r="M1467" s="126"/>
      <c r="O1467" s="137"/>
      <c r="P1467" s="137"/>
      <c r="Q1467" s="126"/>
    </row>
    <row r="1468" spans="3:17" x14ac:dyDescent="0.3">
      <c r="C1468" s="126"/>
      <c r="F1468" s="137"/>
      <c r="G1468" s="138"/>
      <c r="H1468" s="138"/>
      <c r="I1468" s="139"/>
      <c r="J1468" s="137"/>
      <c r="K1468" s="137"/>
      <c r="M1468" s="126"/>
      <c r="O1468" s="137"/>
      <c r="P1468" s="137"/>
      <c r="Q1468" s="126"/>
    </row>
    <row r="1469" spans="3:17" x14ac:dyDescent="0.3">
      <c r="C1469" s="126"/>
      <c r="F1469" s="137"/>
      <c r="G1469" s="138"/>
      <c r="H1469" s="138"/>
      <c r="I1469" s="139"/>
      <c r="J1469" s="137"/>
      <c r="K1469" s="137"/>
      <c r="M1469" s="126"/>
      <c r="O1469" s="137"/>
      <c r="P1469" s="137"/>
      <c r="Q1469" s="126"/>
    </row>
    <row r="1470" spans="3:17" x14ac:dyDescent="0.3">
      <c r="C1470" s="126"/>
      <c r="F1470" s="137"/>
      <c r="G1470" s="138"/>
      <c r="H1470" s="138"/>
      <c r="I1470" s="139"/>
      <c r="J1470" s="137"/>
      <c r="K1470" s="137"/>
      <c r="M1470" s="126"/>
      <c r="O1470" s="137"/>
      <c r="P1470" s="137"/>
      <c r="Q1470" s="126"/>
    </row>
    <row r="1471" spans="3:17" x14ac:dyDescent="0.3">
      <c r="C1471" s="126"/>
      <c r="F1471" s="137"/>
      <c r="G1471" s="138"/>
      <c r="H1471" s="138"/>
      <c r="I1471" s="139"/>
      <c r="J1471" s="137"/>
      <c r="K1471" s="137"/>
      <c r="M1471" s="126"/>
      <c r="O1471" s="137"/>
      <c r="P1471" s="137"/>
      <c r="Q1471" s="126"/>
    </row>
    <row r="1472" spans="3:17" x14ac:dyDescent="0.3">
      <c r="C1472" s="126"/>
      <c r="F1472" s="137"/>
      <c r="G1472" s="138"/>
      <c r="H1472" s="138"/>
      <c r="I1472" s="139"/>
      <c r="J1472" s="137"/>
      <c r="K1472" s="137"/>
      <c r="M1472" s="126"/>
      <c r="O1472" s="137"/>
      <c r="P1472" s="137"/>
      <c r="Q1472" s="126"/>
    </row>
    <row r="1473" spans="3:17" x14ac:dyDescent="0.3">
      <c r="C1473" s="126"/>
      <c r="F1473" s="137"/>
      <c r="G1473" s="138"/>
      <c r="H1473" s="138"/>
      <c r="I1473" s="139"/>
      <c r="J1473" s="137"/>
      <c r="K1473" s="137"/>
      <c r="M1473" s="126"/>
      <c r="O1473" s="137"/>
      <c r="P1473" s="137"/>
      <c r="Q1473" s="126"/>
    </row>
    <row r="1474" spans="3:17" x14ac:dyDescent="0.3">
      <c r="C1474" s="126"/>
      <c r="F1474" s="137"/>
      <c r="G1474" s="138"/>
      <c r="H1474" s="138"/>
      <c r="I1474" s="139"/>
      <c r="J1474" s="137"/>
      <c r="K1474" s="137"/>
      <c r="M1474" s="126"/>
      <c r="O1474" s="137"/>
      <c r="P1474" s="137"/>
      <c r="Q1474" s="126"/>
    </row>
    <row r="1475" spans="3:17" x14ac:dyDescent="0.3">
      <c r="C1475" s="126"/>
      <c r="F1475" s="137"/>
      <c r="G1475" s="138"/>
      <c r="H1475" s="138"/>
      <c r="I1475" s="139"/>
      <c r="J1475" s="137"/>
      <c r="K1475" s="137"/>
      <c r="M1475" s="126"/>
      <c r="O1475" s="137"/>
      <c r="P1475" s="137"/>
      <c r="Q1475" s="126"/>
    </row>
    <row r="1476" spans="3:17" x14ac:dyDescent="0.3">
      <c r="C1476" s="126"/>
      <c r="F1476" s="137"/>
      <c r="G1476" s="138"/>
      <c r="H1476" s="138"/>
      <c r="I1476" s="139"/>
      <c r="J1476" s="137"/>
      <c r="K1476" s="137"/>
      <c r="M1476" s="126"/>
      <c r="O1476" s="137"/>
      <c r="P1476" s="137"/>
      <c r="Q1476" s="126"/>
    </row>
    <row r="1477" spans="3:17" x14ac:dyDescent="0.3">
      <c r="C1477" s="126"/>
      <c r="F1477" s="137"/>
      <c r="G1477" s="138"/>
      <c r="H1477" s="138"/>
      <c r="I1477" s="139"/>
      <c r="J1477" s="137"/>
      <c r="K1477" s="137"/>
      <c r="M1477" s="126"/>
      <c r="O1477" s="137"/>
      <c r="P1477" s="137"/>
      <c r="Q1477" s="126"/>
    </row>
    <row r="1478" spans="3:17" x14ac:dyDescent="0.3">
      <c r="C1478" s="126"/>
      <c r="F1478" s="137"/>
      <c r="G1478" s="138"/>
      <c r="H1478" s="138"/>
      <c r="I1478" s="139"/>
      <c r="J1478" s="137"/>
      <c r="K1478" s="137"/>
      <c r="M1478" s="126"/>
      <c r="O1478" s="137"/>
      <c r="P1478" s="137"/>
      <c r="Q1478" s="126"/>
    </row>
    <row r="1479" spans="3:17" x14ac:dyDescent="0.3">
      <c r="C1479" s="126"/>
      <c r="F1479" s="137"/>
      <c r="G1479" s="138"/>
      <c r="H1479" s="138"/>
      <c r="I1479" s="139"/>
      <c r="J1479" s="137"/>
      <c r="K1479" s="137"/>
      <c r="M1479" s="126"/>
      <c r="O1479" s="137"/>
      <c r="P1479" s="137"/>
      <c r="Q1479" s="126"/>
    </row>
    <row r="1480" spans="3:17" x14ac:dyDescent="0.3">
      <c r="C1480" s="126"/>
      <c r="F1480" s="137"/>
      <c r="G1480" s="138"/>
      <c r="H1480" s="138"/>
      <c r="I1480" s="139"/>
      <c r="J1480" s="137"/>
      <c r="K1480" s="137"/>
      <c r="M1480" s="126"/>
      <c r="O1480" s="137"/>
      <c r="P1480" s="137"/>
      <c r="Q1480" s="126"/>
    </row>
    <row r="1481" spans="3:17" x14ac:dyDescent="0.3">
      <c r="C1481" s="126"/>
      <c r="F1481" s="137"/>
      <c r="G1481" s="138"/>
      <c r="H1481" s="138"/>
      <c r="I1481" s="139"/>
      <c r="J1481" s="137"/>
      <c r="K1481" s="137"/>
      <c r="M1481" s="126"/>
      <c r="O1481" s="137"/>
      <c r="P1481" s="137"/>
      <c r="Q1481" s="126"/>
    </row>
    <row r="1482" spans="3:17" x14ac:dyDescent="0.3">
      <c r="C1482" s="126"/>
      <c r="F1482" s="137"/>
      <c r="G1482" s="138"/>
      <c r="H1482" s="138"/>
      <c r="I1482" s="139"/>
      <c r="J1482" s="137"/>
      <c r="K1482" s="137"/>
      <c r="M1482" s="126"/>
      <c r="O1482" s="137"/>
      <c r="P1482" s="137"/>
      <c r="Q1482" s="126"/>
    </row>
    <row r="1483" spans="3:17" x14ac:dyDescent="0.3">
      <c r="C1483" s="126"/>
      <c r="F1483" s="137"/>
      <c r="G1483" s="138"/>
      <c r="H1483" s="138"/>
      <c r="I1483" s="139"/>
      <c r="J1483" s="137"/>
      <c r="K1483" s="137"/>
      <c r="M1483" s="126"/>
      <c r="O1483" s="137"/>
      <c r="P1483" s="137"/>
      <c r="Q1483" s="126"/>
    </row>
    <row r="1484" spans="3:17" x14ac:dyDescent="0.3">
      <c r="C1484" s="126"/>
      <c r="F1484" s="137"/>
      <c r="G1484" s="138"/>
      <c r="H1484" s="138"/>
      <c r="I1484" s="139"/>
      <c r="J1484" s="137"/>
      <c r="K1484" s="137"/>
      <c r="M1484" s="126"/>
      <c r="O1484" s="137"/>
      <c r="P1484" s="137"/>
      <c r="Q1484" s="126"/>
    </row>
    <row r="1485" spans="3:17" x14ac:dyDescent="0.3">
      <c r="C1485" s="126"/>
      <c r="F1485" s="137"/>
      <c r="G1485" s="138"/>
      <c r="H1485" s="138"/>
      <c r="I1485" s="139"/>
      <c r="J1485" s="137"/>
      <c r="K1485" s="137"/>
      <c r="M1485" s="126"/>
      <c r="O1485" s="137"/>
      <c r="P1485" s="137"/>
      <c r="Q1485" s="126"/>
    </row>
    <row r="1486" spans="3:17" x14ac:dyDescent="0.3">
      <c r="C1486" s="126"/>
      <c r="F1486" s="137"/>
      <c r="G1486" s="138"/>
      <c r="H1486" s="138"/>
      <c r="I1486" s="139"/>
      <c r="J1486" s="137"/>
      <c r="K1486" s="137"/>
      <c r="M1486" s="126"/>
      <c r="O1486" s="137"/>
      <c r="P1486" s="137"/>
      <c r="Q1486" s="126"/>
    </row>
    <row r="1487" spans="3:17" x14ac:dyDescent="0.3">
      <c r="C1487" s="126"/>
      <c r="F1487" s="137"/>
      <c r="G1487" s="138"/>
      <c r="H1487" s="138"/>
      <c r="I1487" s="139"/>
      <c r="J1487" s="137"/>
      <c r="K1487" s="137"/>
      <c r="M1487" s="126"/>
      <c r="O1487" s="137"/>
      <c r="P1487" s="137"/>
      <c r="Q1487" s="126"/>
    </row>
    <row r="1488" spans="3:17" x14ac:dyDescent="0.3">
      <c r="C1488" s="126"/>
      <c r="F1488" s="137"/>
      <c r="G1488" s="138"/>
      <c r="H1488" s="138"/>
      <c r="I1488" s="139"/>
      <c r="J1488" s="137"/>
      <c r="K1488" s="137"/>
      <c r="M1488" s="126"/>
      <c r="O1488" s="137"/>
      <c r="P1488" s="137"/>
      <c r="Q1488" s="126"/>
    </row>
    <row r="1489" spans="3:17" x14ac:dyDescent="0.3">
      <c r="C1489" s="126"/>
      <c r="F1489" s="137"/>
      <c r="G1489" s="138"/>
      <c r="H1489" s="138"/>
      <c r="I1489" s="139"/>
      <c r="J1489" s="137"/>
      <c r="K1489" s="137"/>
      <c r="M1489" s="126"/>
      <c r="O1489" s="137"/>
      <c r="P1489" s="137"/>
      <c r="Q1489" s="126"/>
    </row>
    <row r="1490" spans="3:17" x14ac:dyDescent="0.3">
      <c r="C1490" s="126"/>
      <c r="F1490" s="137"/>
      <c r="G1490" s="138"/>
      <c r="H1490" s="138"/>
      <c r="I1490" s="139"/>
      <c r="J1490" s="137"/>
      <c r="K1490" s="137"/>
      <c r="M1490" s="126"/>
      <c r="O1490" s="137"/>
      <c r="P1490" s="137"/>
      <c r="Q1490" s="126"/>
    </row>
    <row r="1491" spans="3:17" x14ac:dyDescent="0.3">
      <c r="C1491" s="126"/>
      <c r="F1491" s="137"/>
      <c r="G1491" s="138"/>
      <c r="H1491" s="138"/>
      <c r="I1491" s="139"/>
      <c r="J1491" s="137"/>
      <c r="K1491" s="137"/>
      <c r="M1491" s="126"/>
      <c r="O1491" s="137"/>
      <c r="P1491" s="137"/>
      <c r="Q1491" s="126"/>
    </row>
    <row r="1492" spans="3:17" x14ac:dyDescent="0.3">
      <c r="C1492" s="126"/>
      <c r="F1492" s="137"/>
      <c r="G1492" s="138"/>
      <c r="H1492" s="138"/>
      <c r="I1492" s="139"/>
      <c r="J1492" s="137"/>
      <c r="K1492" s="137"/>
      <c r="M1492" s="126"/>
      <c r="O1492" s="137"/>
      <c r="P1492" s="137"/>
      <c r="Q1492" s="126"/>
    </row>
    <row r="1493" spans="3:17" x14ac:dyDescent="0.3">
      <c r="C1493" s="126"/>
      <c r="F1493" s="137"/>
      <c r="G1493" s="138"/>
      <c r="H1493" s="138"/>
      <c r="I1493" s="139"/>
      <c r="J1493" s="137"/>
      <c r="K1493" s="137"/>
      <c r="M1493" s="126"/>
      <c r="O1493" s="137"/>
      <c r="P1493" s="137"/>
      <c r="Q1493" s="126"/>
    </row>
    <row r="1494" spans="3:17" x14ac:dyDescent="0.3">
      <c r="C1494" s="126"/>
      <c r="F1494" s="137"/>
      <c r="G1494" s="138"/>
      <c r="H1494" s="138"/>
      <c r="I1494" s="139"/>
      <c r="J1494" s="137"/>
      <c r="K1494" s="137"/>
      <c r="M1494" s="126"/>
      <c r="O1494" s="137"/>
      <c r="P1494" s="137"/>
      <c r="Q1494" s="126"/>
    </row>
    <row r="1495" spans="3:17" x14ac:dyDescent="0.3">
      <c r="C1495" s="126"/>
      <c r="F1495" s="137"/>
      <c r="G1495" s="138"/>
      <c r="H1495" s="138"/>
      <c r="I1495" s="139"/>
      <c r="J1495" s="137"/>
      <c r="K1495" s="137"/>
      <c r="M1495" s="126"/>
      <c r="O1495" s="137"/>
      <c r="P1495" s="137"/>
      <c r="Q1495" s="126"/>
    </row>
    <row r="1496" spans="3:17" x14ac:dyDescent="0.3">
      <c r="C1496" s="126"/>
      <c r="F1496" s="137"/>
      <c r="G1496" s="138"/>
      <c r="H1496" s="138"/>
      <c r="I1496" s="139"/>
      <c r="J1496" s="137"/>
      <c r="K1496" s="137"/>
      <c r="M1496" s="126"/>
      <c r="O1496" s="137"/>
      <c r="P1496" s="137"/>
      <c r="Q1496" s="126"/>
    </row>
    <row r="1497" spans="3:17" x14ac:dyDescent="0.3">
      <c r="C1497" s="126"/>
      <c r="F1497" s="137"/>
      <c r="G1497" s="138"/>
      <c r="H1497" s="138"/>
      <c r="I1497" s="139"/>
      <c r="J1497" s="137"/>
      <c r="K1497" s="137"/>
      <c r="M1497" s="126"/>
      <c r="O1497" s="137"/>
      <c r="P1497" s="137"/>
      <c r="Q1497" s="126"/>
    </row>
    <row r="1498" spans="3:17" x14ac:dyDescent="0.3">
      <c r="C1498" s="126"/>
      <c r="F1498" s="137"/>
      <c r="G1498" s="138"/>
      <c r="H1498" s="138"/>
      <c r="I1498" s="139"/>
      <c r="J1498" s="137"/>
      <c r="K1498" s="137"/>
      <c r="M1498" s="126"/>
      <c r="O1498" s="137"/>
      <c r="P1498" s="137"/>
      <c r="Q1498" s="126"/>
    </row>
    <row r="1499" spans="3:17" x14ac:dyDescent="0.3">
      <c r="C1499" s="126"/>
      <c r="F1499" s="137"/>
      <c r="G1499" s="138"/>
      <c r="H1499" s="138"/>
      <c r="I1499" s="139"/>
      <c r="J1499" s="137"/>
      <c r="K1499" s="137"/>
      <c r="M1499" s="126"/>
      <c r="O1499" s="137"/>
      <c r="P1499" s="137"/>
      <c r="Q1499" s="126"/>
    </row>
    <row r="1500" spans="3:17" x14ac:dyDescent="0.3">
      <c r="C1500" s="126"/>
      <c r="F1500" s="137"/>
      <c r="G1500" s="138"/>
      <c r="H1500" s="138"/>
      <c r="I1500" s="139"/>
      <c r="J1500" s="137"/>
      <c r="K1500" s="137"/>
      <c r="M1500" s="126"/>
      <c r="O1500" s="137"/>
      <c r="P1500" s="137"/>
      <c r="Q1500" s="126"/>
    </row>
    <row r="1501" spans="3:17" x14ac:dyDescent="0.3">
      <c r="C1501" s="126"/>
      <c r="F1501" s="137"/>
      <c r="G1501" s="138"/>
      <c r="H1501" s="138"/>
      <c r="I1501" s="139"/>
      <c r="J1501" s="137"/>
      <c r="K1501" s="137"/>
      <c r="M1501" s="126"/>
      <c r="O1501" s="137"/>
      <c r="P1501" s="137"/>
      <c r="Q1501" s="126"/>
    </row>
    <row r="1502" spans="3:17" x14ac:dyDescent="0.3">
      <c r="C1502" s="126"/>
      <c r="F1502" s="137"/>
      <c r="G1502" s="138"/>
      <c r="H1502" s="138"/>
      <c r="I1502" s="139"/>
      <c r="J1502" s="137"/>
      <c r="K1502" s="137"/>
      <c r="M1502" s="126"/>
      <c r="O1502" s="137"/>
      <c r="P1502" s="137"/>
      <c r="Q1502" s="126"/>
    </row>
    <row r="1503" spans="3:17" x14ac:dyDescent="0.3">
      <c r="C1503" s="126"/>
      <c r="F1503" s="137"/>
      <c r="G1503" s="138"/>
      <c r="H1503" s="138"/>
      <c r="I1503" s="139"/>
      <c r="J1503" s="137"/>
      <c r="K1503" s="137"/>
      <c r="M1503" s="126"/>
      <c r="O1503" s="137"/>
      <c r="P1503" s="137"/>
      <c r="Q1503" s="126"/>
    </row>
    <row r="1504" spans="3:17" x14ac:dyDescent="0.3">
      <c r="C1504" s="126"/>
      <c r="F1504" s="137"/>
      <c r="G1504" s="138"/>
      <c r="H1504" s="138"/>
      <c r="I1504" s="139"/>
      <c r="J1504" s="137"/>
      <c r="K1504" s="137"/>
      <c r="M1504" s="126"/>
      <c r="O1504" s="137"/>
      <c r="P1504" s="137"/>
      <c r="Q1504" s="126"/>
    </row>
    <row r="1505" spans="3:17" x14ac:dyDescent="0.3">
      <c r="C1505" s="126"/>
      <c r="F1505" s="137"/>
      <c r="G1505" s="138"/>
      <c r="H1505" s="138"/>
      <c r="I1505" s="139"/>
      <c r="J1505" s="137"/>
      <c r="K1505" s="137"/>
      <c r="M1505" s="126"/>
      <c r="O1505" s="137"/>
      <c r="P1505" s="137"/>
      <c r="Q1505" s="126"/>
    </row>
    <row r="1506" spans="3:17" x14ac:dyDescent="0.3">
      <c r="C1506" s="126"/>
      <c r="F1506" s="137"/>
      <c r="G1506" s="138"/>
      <c r="H1506" s="138"/>
      <c r="I1506" s="139"/>
      <c r="J1506" s="137"/>
      <c r="K1506" s="137"/>
      <c r="M1506" s="126"/>
      <c r="O1506" s="137"/>
      <c r="P1506" s="137"/>
      <c r="Q1506" s="126"/>
    </row>
    <row r="1507" spans="3:17" x14ac:dyDescent="0.3">
      <c r="C1507" s="126"/>
      <c r="F1507" s="137"/>
      <c r="G1507" s="138"/>
      <c r="H1507" s="138"/>
      <c r="I1507" s="139"/>
      <c r="J1507" s="137"/>
      <c r="K1507" s="137"/>
      <c r="M1507" s="126"/>
      <c r="O1507" s="137"/>
      <c r="P1507" s="137"/>
      <c r="Q1507" s="126"/>
    </row>
    <row r="1508" spans="3:17" x14ac:dyDescent="0.3">
      <c r="C1508" s="126"/>
      <c r="F1508" s="137"/>
      <c r="G1508" s="138"/>
      <c r="H1508" s="138"/>
      <c r="I1508" s="139"/>
      <c r="J1508" s="137"/>
      <c r="K1508" s="137"/>
      <c r="M1508" s="126"/>
      <c r="O1508" s="137"/>
      <c r="P1508" s="137"/>
      <c r="Q1508" s="126"/>
    </row>
    <row r="1509" spans="3:17" x14ac:dyDescent="0.3">
      <c r="C1509" s="126"/>
      <c r="F1509" s="137"/>
      <c r="G1509" s="138"/>
      <c r="H1509" s="138"/>
      <c r="I1509" s="139"/>
      <c r="J1509" s="137"/>
      <c r="K1509" s="137"/>
      <c r="M1509" s="126"/>
      <c r="O1509" s="137"/>
      <c r="P1509" s="137"/>
      <c r="Q1509" s="126"/>
    </row>
    <row r="1510" spans="3:17" x14ac:dyDescent="0.3">
      <c r="C1510" s="126"/>
      <c r="F1510" s="137"/>
      <c r="G1510" s="138"/>
      <c r="H1510" s="138"/>
      <c r="I1510" s="139"/>
      <c r="J1510" s="137"/>
      <c r="K1510" s="137"/>
      <c r="M1510" s="126"/>
      <c r="O1510" s="137"/>
      <c r="P1510" s="137"/>
      <c r="Q1510" s="126"/>
    </row>
    <row r="1511" spans="3:17" x14ac:dyDescent="0.3">
      <c r="C1511" s="126"/>
      <c r="F1511" s="137"/>
      <c r="G1511" s="138"/>
      <c r="H1511" s="138"/>
      <c r="I1511" s="139"/>
      <c r="J1511" s="137"/>
      <c r="K1511" s="137"/>
      <c r="M1511" s="126"/>
      <c r="O1511" s="137"/>
      <c r="P1511" s="137"/>
      <c r="Q1511" s="126"/>
    </row>
    <row r="1512" spans="3:17" x14ac:dyDescent="0.3">
      <c r="C1512" s="126"/>
      <c r="F1512" s="137"/>
      <c r="G1512" s="138"/>
      <c r="H1512" s="138"/>
      <c r="I1512" s="139"/>
      <c r="J1512" s="137"/>
      <c r="K1512" s="137"/>
      <c r="M1512" s="126"/>
      <c r="O1512" s="137"/>
      <c r="P1512" s="137"/>
      <c r="Q1512" s="126"/>
    </row>
    <row r="1513" spans="3:17" x14ac:dyDescent="0.3">
      <c r="C1513" s="126"/>
      <c r="F1513" s="137"/>
      <c r="G1513" s="138"/>
      <c r="H1513" s="138"/>
      <c r="I1513" s="139"/>
      <c r="J1513" s="137"/>
      <c r="K1513" s="137"/>
      <c r="M1513" s="126"/>
      <c r="O1513" s="137"/>
      <c r="P1513" s="137"/>
      <c r="Q1513" s="126"/>
    </row>
    <row r="1514" spans="3:17" x14ac:dyDescent="0.3">
      <c r="C1514" s="126"/>
      <c r="F1514" s="137"/>
      <c r="G1514" s="138"/>
      <c r="H1514" s="138"/>
      <c r="I1514" s="139"/>
      <c r="J1514" s="137"/>
      <c r="K1514" s="137"/>
      <c r="M1514" s="126"/>
      <c r="O1514" s="137"/>
      <c r="P1514" s="137"/>
      <c r="Q1514" s="126"/>
    </row>
    <row r="1515" spans="3:17" x14ac:dyDescent="0.3">
      <c r="C1515" s="126"/>
      <c r="F1515" s="137"/>
      <c r="G1515" s="138"/>
      <c r="H1515" s="138"/>
      <c r="I1515" s="139"/>
      <c r="J1515" s="137"/>
      <c r="K1515" s="137"/>
      <c r="M1515" s="126"/>
      <c r="O1515" s="137"/>
      <c r="P1515" s="137"/>
      <c r="Q1515" s="126"/>
    </row>
    <row r="1516" spans="3:17" x14ac:dyDescent="0.3">
      <c r="C1516" s="126"/>
      <c r="F1516" s="137"/>
      <c r="G1516" s="138"/>
      <c r="H1516" s="138"/>
      <c r="I1516" s="139"/>
      <c r="J1516" s="137"/>
      <c r="K1516" s="137"/>
      <c r="M1516" s="126"/>
      <c r="O1516" s="137"/>
      <c r="P1516" s="137"/>
      <c r="Q1516" s="126"/>
    </row>
    <row r="1517" spans="3:17" x14ac:dyDescent="0.3">
      <c r="C1517" s="126"/>
      <c r="F1517" s="137"/>
      <c r="G1517" s="138"/>
      <c r="H1517" s="138"/>
      <c r="I1517" s="139"/>
      <c r="J1517" s="137"/>
      <c r="K1517" s="137"/>
      <c r="M1517" s="126"/>
      <c r="O1517" s="137"/>
      <c r="P1517" s="137"/>
      <c r="Q1517" s="126"/>
    </row>
    <row r="1518" spans="3:17" x14ac:dyDescent="0.3">
      <c r="C1518" s="126"/>
      <c r="F1518" s="137"/>
      <c r="G1518" s="138"/>
      <c r="H1518" s="138"/>
      <c r="I1518" s="139"/>
      <c r="J1518" s="137"/>
      <c r="K1518" s="137"/>
      <c r="M1518" s="126"/>
      <c r="O1518" s="137"/>
      <c r="P1518" s="137"/>
      <c r="Q1518" s="126"/>
    </row>
    <row r="1519" spans="3:17" x14ac:dyDescent="0.3">
      <c r="C1519" s="126"/>
      <c r="F1519" s="137"/>
      <c r="G1519" s="138"/>
      <c r="H1519" s="138"/>
      <c r="I1519" s="139"/>
      <c r="J1519" s="137"/>
      <c r="K1519" s="137"/>
      <c r="M1519" s="126"/>
      <c r="O1519" s="137"/>
      <c r="P1519" s="137"/>
      <c r="Q1519" s="126"/>
    </row>
    <row r="1520" spans="3:17" x14ac:dyDescent="0.3">
      <c r="C1520" s="126"/>
      <c r="F1520" s="137"/>
      <c r="G1520" s="138"/>
      <c r="H1520" s="138"/>
      <c r="I1520" s="139"/>
      <c r="J1520" s="137"/>
      <c r="K1520" s="137"/>
      <c r="M1520" s="126"/>
      <c r="O1520" s="137"/>
      <c r="P1520" s="137"/>
      <c r="Q1520" s="126"/>
    </row>
    <row r="1521" spans="3:17" x14ac:dyDescent="0.3">
      <c r="C1521" s="126"/>
      <c r="F1521" s="137"/>
      <c r="G1521" s="138"/>
      <c r="H1521" s="138"/>
      <c r="I1521" s="139"/>
      <c r="J1521" s="137"/>
      <c r="K1521" s="137"/>
      <c r="M1521" s="126"/>
      <c r="O1521" s="137"/>
      <c r="P1521" s="137"/>
      <c r="Q1521" s="126"/>
    </row>
    <row r="1522" spans="3:17" x14ac:dyDescent="0.3">
      <c r="C1522" s="126"/>
      <c r="F1522" s="137"/>
      <c r="G1522" s="138"/>
      <c r="H1522" s="138"/>
      <c r="I1522" s="139"/>
      <c r="J1522" s="137"/>
      <c r="K1522" s="137"/>
      <c r="M1522" s="126"/>
      <c r="O1522" s="137"/>
      <c r="P1522" s="137"/>
      <c r="Q1522" s="126"/>
    </row>
    <row r="1523" spans="3:17" x14ac:dyDescent="0.3">
      <c r="C1523" s="126"/>
      <c r="F1523" s="137"/>
      <c r="G1523" s="138"/>
      <c r="H1523" s="138"/>
      <c r="I1523" s="139"/>
      <c r="J1523" s="137"/>
      <c r="K1523" s="137"/>
      <c r="M1523" s="126"/>
      <c r="O1523" s="137"/>
      <c r="P1523" s="137"/>
      <c r="Q1523" s="126"/>
    </row>
    <row r="1524" spans="3:17" x14ac:dyDescent="0.3">
      <c r="C1524" s="126"/>
      <c r="F1524" s="137"/>
      <c r="G1524" s="138"/>
      <c r="H1524" s="138"/>
      <c r="I1524" s="139"/>
      <c r="J1524" s="137"/>
      <c r="K1524" s="137"/>
      <c r="M1524" s="126"/>
      <c r="O1524" s="137"/>
      <c r="P1524" s="137"/>
      <c r="Q1524" s="126"/>
    </row>
    <row r="1525" spans="3:17" x14ac:dyDescent="0.3">
      <c r="C1525" s="126"/>
      <c r="F1525" s="137"/>
      <c r="G1525" s="138"/>
      <c r="H1525" s="138"/>
      <c r="I1525" s="139"/>
      <c r="J1525" s="137"/>
      <c r="K1525" s="137"/>
      <c r="M1525" s="126"/>
      <c r="O1525" s="137"/>
      <c r="P1525" s="137"/>
      <c r="Q1525" s="126"/>
    </row>
    <row r="1526" spans="3:17" x14ac:dyDescent="0.3">
      <c r="C1526" s="126"/>
      <c r="F1526" s="137"/>
      <c r="G1526" s="138"/>
      <c r="H1526" s="138"/>
      <c r="I1526" s="139"/>
      <c r="J1526" s="137"/>
      <c r="K1526" s="137"/>
      <c r="M1526" s="126"/>
      <c r="O1526" s="137"/>
      <c r="P1526" s="137"/>
      <c r="Q1526" s="126"/>
    </row>
    <row r="1527" spans="3:17" x14ac:dyDescent="0.3">
      <c r="C1527" s="126"/>
      <c r="F1527" s="137"/>
      <c r="G1527" s="138"/>
      <c r="H1527" s="138"/>
      <c r="I1527" s="139"/>
      <c r="J1527" s="137"/>
      <c r="K1527" s="137"/>
      <c r="M1527" s="126"/>
      <c r="O1527" s="137"/>
      <c r="P1527" s="137"/>
      <c r="Q1527" s="126"/>
    </row>
    <row r="1528" spans="3:17" x14ac:dyDescent="0.3">
      <c r="C1528" s="126"/>
      <c r="F1528" s="137"/>
      <c r="G1528" s="138"/>
      <c r="H1528" s="138"/>
      <c r="I1528" s="139"/>
      <c r="J1528" s="137"/>
      <c r="K1528" s="137"/>
      <c r="M1528" s="126"/>
      <c r="O1528" s="137"/>
      <c r="P1528" s="137"/>
      <c r="Q1528" s="126"/>
    </row>
    <row r="1529" spans="3:17" x14ac:dyDescent="0.3">
      <c r="C1529" s="126"/>
      <c r="F1529" s="137"/>
      <c r="G1529" s="138"/>
      <c r="H1529" s="138"/>
      <c r="I1529" s="139"/>
      <c r="J1529" s="137"/>
      <c r="K1529" s="137"/>
      <c r="M1529" s="126"/>
      <c r="O1529" s="137"/>
      <c r="P1529" s="137"/>
      <c r="Q1529" s="126"/>
    </row>
    <row r="1530" spans="3:17" x14ac:dyDescent="0.3">
      <c r="C1530" s="126"/>
      <c r="F1530" s="137"/>
      <c r="G1530" s="138"/>
      <c r="H1530" s="138"/>
      <c r="I1530" s="139"/>
      <c r="J1530" s="137"/>
      <c r="K1530" s="137"/>
      <c r="M1530" s="126"/>
      <c r="O1530" s="137"/>
      <c r="P1530" s="137"/>
      <c r="Q1530" s="126"/>
    </row>
    <row r="1531" spans="3:17" x14ac:dyDescent="0.3">
      <c r="C1531" s="126"/>
      <c r="F1531" s="137"/>
      <c r="G1531" s="138"/>
      <c r="H1531" s="138"/>
      <c r="I1531" s="139"/>
      <c r="J1531" s="137"/>
      <c r="K1531" s="137"/>
      <c r="M1531" s="126"/>
      <c r="O1531" s="137"/>
      <c r="P1531" s="137"/>
      <c r="Q1531" s="126"/>
    </row>
    <row r="1532" spans="3:17" x14ac:dyDescent="0.3">
      <c r="C1532" s="126"/>
      <c r="F1532" s="137"/>
      <c r="G1532" s="138"/>
      <c r="H1532" s="138"/>
      <c r="I1532" s="139"/>
      <c r="J1532" s="137"/>
      <c r="K1532" s="137"/>
      <c r="M1532" s="126"/>
      <c r="O1532" s="137"/>
      <c r="P1532" s="137"/>
      <c r="Q1532" s="126"/>
    </row>
    <row r="1533" spans="3:17" x14ac:dyDescent="0.3">
      <c r="C1533" s="126"/>
      <c r="F1533" s="137"/>
      <c r="G1533" s="138"/>
      <c r="H1533" s="138"/>
      <c r="I1533" s="139"/>
      <c r="J1533" s="137"/>
      <c r="K1533" s="137"/>
      <c r="M1533" s="126"/>
      <c r="O1533" s="137"/>
      <c r="P1533" s="137"/>
      <c r="Q1533" s="126"/>
    </row>
    <row r="1534" spans="3:17" x14ac:dyDescent="0.3">
      <c r="C1534" s="126"/>
      <c r="F1534" s="137"/>
      <c r="G1534" s="138"/>
      <c r="H1534" s="138"/>
      <c r="I1534" s="139"/>
      <c r="J1534" s="137"/>
      <c r="K1534" s="137"/>
      <c r="M1534" s="126"/>
      <c r="O1534" s="137"/>
      <c r="P1534" s="137"/>
      <c r="Q1534" s="126"/>
    </row>
    <row r="1535" spans="3:17" x14ac:dyDescent="0.3">
      <c r="C1535" s="126"/>
      <c r="F1535" s="137"/>
      <c r="G1535" s="138"/>
      <c r="H1535" s="138"/>
      <c r="I1535" s="139"/>
      <c r="J1535" s="137"/>
      <c r="K1535" s="137"/>
      <c r="M1535" s="126"/>
      <c r="O1535" s="137"/>
      <c r="P1535" s="137"/>
      <c r="Q1535" s="126"/>
    </row>
    <row r="1536" spans="3:17" x14ac:dyDescent="0.3">
      <c r="C1536" s="126"/>
      <c r="F1536" s="137"/>
      <c r="G1536" s="138"/>
      <c r="H1536" s="138"/>
      <c r="I1536" s="139"/>
      <c r="J1536" s="137"/>
      <c r="K1536" s="137"/>
      <c r="M1536" s="126"/>
      <c r="O1536" s="137"/>
      <c r="P1536" s="137"/>
      <c r="Q1536" s="126"/>
    </row>
    <row r="1537" spans="3:17" x14ac:dyDescent="0.3">
      <c r="C1537" s="126"/>
      <c r="F1537" s="137"/>
      <c r="G1537" s="138"/>
      <c r="H1537" s="138"/>
      <c r="I1537" s="139"/>
      <c r="J1537" s="137"/>
      <c r="K1537" s="137"/>
      <c r="M1537" s="126"/>
      <c r="O1537" s="137"/>
      <c r="P1537" s="137"/>
      <c r="Q1537" s="126"/>
    </row>
    <row r="1538" spans="3:17" x14ac:dyDescent="0.3">
      <c r="C1538" s="126"/>
      <c r="F1538" s="137"/>
      <c r="G1538" s="138"/>
      <c r="H1538" s="138"/>
      <c r="I1538" s="139"/>
      <c r="J1538" s="137"/>
      <c r="K1538" s="137"/>
      <c r="M1538" s="126"/>
      <c r="O1538" s="137"/>
      <c r="P1538" s="137"/>
      <c r="Q1538" s="126"/>
    </row>
    <row r="1539" spans="3:17" x14ac:dyDescent="0.3">
      <c r="C1539" s="126"/>
      <c r="F1539" s="137"/>
      <c r="G1539" s="138"/>
      <c r="H1539" s="138"/>
      <c r="I1539" s="139"/>
      <c r="J1539" s="137"/>
      <c r="K1539" s="137"/>
      <c r="M1539" s="126"/>
      <c r="O1539" s="137"/>
      <c r="P1539" s="137"/>
      <c r="Q1539" s="126"/>
    </row>
    <row r="1540" spans="3:17" x14ac:dyDescent="0.3">
      <c r="C1540" s="126"/>
      <c r="F1540" s="137"/>
      <c r="G1540" s="138"/>
      <c r="H1540" s="138"/>
      <c r="I1540" s="139"/>
      <c r="J1540" s="137"/>
      <c r="K1540" s="137"/>
      <c r="M1540" s="126"/>
      <c r="O1540" s="137"/>
      <c r="P1540" s="137"/>
      <c r="Q1540" s="126"/>
    </row>
    <row r="1541" spans="3:17" x14ac:dyDescent="0.3">
      <c r="C1541" s="126"/>
      <c r="F1541" s="137"/>
      <c r="G1541" s="138"/>
      <c r="H1541" s="138"/>
      <c r="I1541" s="139"/>
      <c r="J1541" s="137"/>
      <c r="K1541" s="137"/>
      <c r="M1541" s="126"/>
      <c r="O1541" s="137"/>
      <c r="P1541" s="137"/>
      <c r="Q1541" s="126"/>
    </row>
    <row r="1542" spans="3:17" x14ac:dyDescent="0.3">
      <c r="C1542" s="126"/>
      <c r="F1542" s="137"/>
      <c r="G1542" s="138"/>
      <c r="H1542" s="138"/>
      <c r="I1542" s="139"/>
      <c r="J1542" s="137"/>
      <c r="K1542" s="137"/>
      <c r="M1542" s="126"/>
      <c r="O1542" s="137"/>
      <c r="P1542" s="137"/>
      <c r="Q1542" s="126"/>
    </row>
    <row r="1543" spans="3:17" x14ac:dyDescent="0.3">
      <c r="C1543" s="126"/>
      <c r="F1543" s="137"/>
      <c r="G1543" s="138"/>
      <c r="H1543" s="138"/>
      <c r="I1543" s="139"/>
      <c r="J1543" s="137"/>
      <c r="K1543" s="137"/>
      <c r="M1543" s="126"/>
      <c r="O1543" s="137"/>
      <c r="P1543" s="137"/>
      <c r="Q1543" s="126"/>
    </row>
    <row r="1544" spans="3:17" x14ac:dyDescent="0.3">
      <c r="C1544" s="126"/>
      <c r="F1544" s="137"/>
      <c r="G1544" s="138"/>
      <c r="H1544" s="138"/>
      <c r="I1544" s="139"/>
      <c r="J1544" s="137"/>
      <c r="K1544" s="137"/>
      <c r="M1544" s="126"/>
      <c r="O1544" s="137"/>
      <c r="P1544" s="137"/>
      <c r="Q1544" s="126"/>
    </row>
    <row r="1545" spans="3:17" x14ac:dyDescent="0.3">
      <c r="C1545" s="126"/>
      <c r="F1545" s="137"/>
      <c r="G1545" s="138"/>
      <c r="H1545" s="138"/>
      <c r="I1545" s="139"/>
      <c r="J1545" s="137"/>
      <c r="K1545" s="137"/>
      <c r="M1545" s="126"/>
      <c r="O1545" s="137"/>
      <c r="P1545" s="137"/>
      <c r="Q1545" s="126"/>
    </row>
    <row r="1546" spans="3:17" x14ac:dyDescent="0.3">
      <c r="C1546" s="126"/>
      <c r="F1546" s="137"/>
      <c r="G1546" s="138"/>
      <c r="H1546" s="138"/>
      <c r="I1546" s="139"/>
      <c r="J1546" s="137"/>
      <c r="K1546" s="137"/>
      <c r="M1546" s="126"/>
      <c r="O1546" s="137"/>
      <c r="P1546" s="137"/>
      <c r="Q1546" s="126"/>
    </row>
    <row r="1547" spans="3:17" x14ac:dyDescent="0.3">
      <c r="C1547" s="126"/>
      <c r="F1547" s="137"/>
      <c r="G1547" s="138"/>
      <c r="H1547" s="138"/>
      <c r="I1547" s="139"/>
      <c r="J1547" s="137"/>
      <c r="K1547" s="137"/>
      <c r="M1547" s="126"/>
      <c r="O1547" s="137"/>
      <c r="P1547" s="137"/>
      <c r="Q1547" s="126"/>
    </row>
    <row r="1548" spans="3:17" x14ac:dyDescent="0.3">
      <c r="C1548" s="126"/>
      <c r="F1548" s="137"/>
      <c r="G1548" s="138"/>
      <c r="H1548" s="138"/>
      <c r="I1548" s="139"/>
      <c r="J1548" s="137"/>
      <c r="K1548" s="137"/>
      <c r="M1548" s="126"/>
      <c r="O1548" s="137"/>
      <c r="P1548" s="137"/>
      <c r="Q1548" s="126"/>
    </row>
    <row r="1549" spans="3:17" x14ac:dyDescent="0.3">
      <c r="C1549" s="126"/>
      <c r="F1549" s="137"/>
      <c r="G1549" s="138"/>
      <c r="H1549" s="138"/>
      <c r="I1549" s="139"/>
      <c r="J1549" s="137"/>
      <c r="K1549" s="137"/>
      <c r="M1549" s="126"/>
      <c r="O1549" s="137"/>
      <c r="P1549" s="137"/>
      <c r="Q1549" s="126"/>
    </row>
    <row r="1550" spans="3:17" x14ac:dyDescent="0.3">
      <c r="C1550" s="126"/>
      <c r="F1550" s="137"/>
      <c r="G1550" s="138"/>
      <c r="H1550" s="138"/>
      <c r="I1550" s="139"/>
      <c r="J1550" s="137"/>
      <c r="K1550" s="137"/>
      <c r="M1550" s="126"/>
      <c r="O1550" s="137"/>
      <c r="P1550" s="137"/>
      <c r="Q1550" s="126"/>
    </row>
    <row r="1551" spans="3:17" x14ac:dyDescent="0.3">
      <c r="C1551" s="126"/>
      <c r="F1551" s="137"/>
      <c r="G1551" s="138"/>
      <c r="H1551" s="138"/>
      <c r="I1551" s="139"/>
      <c r="J1551" s="137"/>
      <c r="K1551" s="137"/>
      <c r="M1551" s="126"/>
      <c r="O1551" s="137"/>
      <c r="P1551" s="137"/>
      <c r="Q1551" s="126"/>
    </row>
    <row r="1552" spans="3:17" x14ac:dyDescent="0.3">
      <c r="C1552" s="126"/>
      <c r="F1552" s="137"/>
      <c r="G1552" s="138"/>
      <c r="H1552" s="138"/>
      <c r="I1552" s="139"/>
      <c r="J1552" s="137"/>
      <c r="K1552" s="137"/>
      <c r="M1552" s="126"/>
      <c r="O1552" s="137"/>
      <c r="P1552" s="137"/>
      <c r="Q1552" s="126"/>
    </row>
    <row r="1553" spans="3:17" x14ac:dyDescent="0.3">
      <c r="C1553" s="126"/>
      <c r="F1553" s="137"/>
      <c r="G1553" s="138"/>
      <c r="H1553" s="138"/>
      <c r="I1553" s="139"/>
      <c r="J1553" s="137"/>
      <c r="K1553" s="137"/>
      <c r="M1553" s="126"/>
      <c r="O1553" s="137"/>
      <c r="P1553" s="137"/>
      <c r="Q1553" s="126"/>
    </row>
    <row r="1554" spans="3:17" x14ac:dyDescent="0.3">
      <c r="C1554" s="126"/>
      <c r="F1554" s="137"/>
      <c r="G1554" s="138"/>
      <c r="H1554" s="138"/>
      <c r="I1554" s="139"/>
      <c r="J1554" s="137"/>
      <c r="K1554" s="137"/>
      <c r="M1554" s="126"/>
      <c r="O1554" s="137"/>
      <c r="P1554" s="137"/>
      <c r="Q1554" s="126"/>
    </row>
    <row r="1555" spans="3:17" x14ac:dyDescent="0.3">
      <c r="C1555" s="126"/>
      <c r="F1555" s="137"/>
      <c r="G1555" s="138"/>
      <c r="H1555" s="138"/>
      <c r="I1555" s="139"/>
      <c r="J1555" s="137"/>
      <c r="K1555" s="137"/>
      <c r="M1555" s="126"/>
      <c r="O1555" s="137"/>
      <c r="P1555" s="137"/>
      <c r="Q1555" s="126"/>
    </row>
    <row r="1556" spans="3:17" x14ac:dyDescent="0.3">
      <c r="C1556" s="126"/>
      <c r="F1556" s="137"/>
      <c r="G1556" s="138"/>
      <c r="H1556" s="138"/>
      <c r="I1556" s="139"/>
      <c r="J1556" s="137"/>
      <c r="K1556" s="137"/>
      <c r="M1556" s="126"/>
      <c r="O1556" s="137"/>
      <c r="P1556" s="137"/>
      <c r="Q1556" s="126"/>
    </row>
    <row r="1557" spans="3:17" x14ac:dyDescent="0.3">
      <c r="C1557" s="126"/>
      <c r="F1557" s="137"/>
      <c r="G1557" s="138"/>
      <c r="H1557" s="138"/>
      <c r="I1557" s="139"/>
      <c r="J1557" s="137"/>
      <c r="K1557" s="137"/>
      <c r="M1557" s="126"/>
      <c r="O1557" s="137"/>
      <c r="P1557" s="137"/>
      <c r="Q1557" s="126"/>
    </row>
    <row r="1558" spans="3:17" x14ac:dyDescent="0.3">
      <c r="C1558" s="126"/>
      <c r="F1558" s="137"/>
      <c r="G1558" s="138"/>
      <c r="H1558" s="138"/>
      <c r="I1558" s="139"/>
      <c r="J1558" s="137"/>
      <c r="K1558" s="137"/>
      <c r="M1558" s="126"/>
      <c r="O1558" s="137"/>
      <c r="P1558" s="137"/>
      <c r="Q1558" s="126"/>
    </row>
    <row r="1559" spans="3:17" x14ac:dyDescent="0.3">
      <c r="C1559" s="126"/>
      <c r="F1559" s="137"/>
      <c r="G1559" s="138"/>
      <c r="H1559" s="138"/>
      <c r="I1559" s="139"/>
      <c r="J1559" s="137"/>
      <c r="K1559" s="137"/>
      <c r="M1559" s="126"/>
      <c r="O1559" s="137"/>
      <c r="P1559" s="137"/>
      <c r="Q1559" s="126"/>
    </row>
    <row r="1560" spans="3:17" x14ac:dyDescent="0.3">
      <c r="C1560" s="126"/>
      <c r="F1560" s="137"/>
      <c r="G1560" s="138"/>
      <c r="H1560" s="138"/>
      <c r="I1560" s="139"/>
      <c r="J1560" s="137"/>
      <c r="K1560" s="137"/>
      <c r="M1560" s="126"/>
      <c r="O1560" s="137"/>
      <c r="P1560" s="137"/>
      <c r="Q1560" s="126"/>
    </row>
    <row r="1561" spans="3:17" x14ac:dyDescent="0.3">
      <c r="C1561" s="126"/>
      <c r="F1561" s="137"/>
      <c r="G1561" s="138"/>
      <c r="H1561" s="138"/>
      <c r="I1561" s="139"/>
      <c r="J1561" s="137"/>
      <c r="K1561" s="137"/>
      <c r="M1561" s="126"/>
      <c r="O1561" s="137"/>
      <c r="P1561" s="137"/>
      <c r="Q1561" s="126"/>
    </row>
    <row r="1562" spans="3:17" x14ac:dyDescent="0.3">
      <c r="C1562" s="126"/>
      <c r="F1562" s="137"/>
      <c r="G1562" s="138"/>
      <c r="H1562" s="138"/>
      <c r="I1562" s="139"/>
      <c r="J1562" s="137"/>
      <c r="K1562" s="137"/>
      <c r="M1562" s="126"/>
      <c r="O1562" s="137"/>
      <c r="P1562" s="137"/>
      <c r="Q1562" s="126"/>
    </row>
    <row r="1563" spans="3:17" x14ac:dyDescent="0.3">
      <c r="C1563" s="126"/>
      <c r="F1563" s="137"/>
      <c r="G1563" s="138"/>
      <c r="H1563" s="138"/>
      <c r="I1563" s="139"/>
      <c r="J1563" s="137"/>
      <c r="K1563" s="137"/>
      <c r="M1563" s="126"/>
      <c r="O1563" s="137"/>
      <c r="P1563" s="137"/>
      <c r="Q1563" s="126"/>
    </row>
    <row r="1564" spans="3:17" x14ac:dyDescent="0.3">
      <c r="C1564" s="126"/>
      <c r="F1564" s="137"/>
      <c r="G1564" s="138"/>
      <c r="H1564" s="138"/>
      <c r="I1564" s="139"/>
      <c r="J1564" s="137"/>
      <c r="K1564" s="137"/>
      <c r="M1564" s="126"/>
      <c r="O1564" s="137"/>
      <c r="P1564" s="137"/>
      <c r="Q1564" s="126"/>
    </row>
    <row r="1565" spans="3:17" x14ac:dyDescent="0.3">
      <c r="C1565" s="126"/>
      <c r="F1565" s="137"/>
      <c r="G1565" s="138"/>
      <c r="H1565" s="138"/>
      <c r="I1565" s="139"/>
      <c r="J1565" s="137"/>
      <c r="K1565" s="137"/>
      <c r="M1565" s="126"/>
      <c r="O1565" s="137"/>
      <c r="P1565" s="137"/>
      <c r="Q1565" s="126"/>
    </row>
    <row r="1566" spans="3:17" x14ac:dyDescent="0.3">
      <c r="C1566" s="126"/>
      <c r="F1566" s="137"/>
      <c r="G1566" s="138"/>
      <c r="H1566" s="138"/>
      <c r="I1566" s="139"/>
      <c r="J1566" s="137"/>
      <c r="K1566" s="137"/>
      <c r="M1566" s="126"/>
      <c r="O1566" s="137"/>
      <c r="P1566" s="137"/>
      <c r="Q1566" s="126"/>
    </row>
    <row r="1567" spans="3:17" x14ac:dyDescent="0.3">
      <c r="C1567" s="126"/>
      <c r="F1567" s="137"/>
      <c r="G1567" s="138"/>
      <c r="H1567" s="138"/>
      <c r="I1567" s="139"/>
      <c r="J1567" s="137"/>
      <c r="K1567" s="137"/>
      <c r="M1567" s="126"/>
      <c r="O1567" s="137"/>
      <c r="P1567" s="137"/>
      <c r="Q1567" s="126"/>
    </row>
    <row r="1568" spans="3:17" x14ac:dyDescent="0.3">
      <c r="C1568" s="126"/>
      <c r="F1568" s="137"/>
      <c r="G1568" s="138"/>
      <c r="H1568" s="138"/>
      <c r="I1568" s="139"/>
      <c r="J1568" s="137"/>
      <c r="K1568" s="137"/>
      <c r="M1568" s="126"/>
      <c r="O1568" s="137"/>
      <c r="P1568" s="137"/>
      <c r="Q1568" s="126"/>
    </row>
    <row r="1569" spans="3:17" x14ac:dyDescent="0.3">
      <c r="C1569" s="126"/>
      <c r="F1569" s="137"/>
      <c r="G1569" s="138"/>
      <c r="H1569" s="138"/>
      <c r="I1569" s="139"/>
      <c r="J1569" s="137"/>
      <c r="K1569" s="137"/>
      <c r="M1569" s="126"/>
      <c r="O1569" s="137"/>
      <c r="P1569" s="137"/>
      <c r="Q1569" s="126"/>
    </row>
    <row r="1570" spans="3:17" x14ac:dyDescent="0.3">
      <c r="C1570" s="126"/>
      <c r="F1570" s="137"/>
      <c r="G1570" s="138"/>
      <c r="H1570" s="138"/>
      <c r="I1570" s="139"/>
      <c r="J1570" s="137"/>
      <c r="K1570" s="137"/>
      <c r="M1570" s="126"/>
      <c r="O1570" s="137"/>
      <c r="P1570" s="137"/>
      <c r="Q1570" s="126"/>
    </row>
    <row r="1571" spans="3:17" x14ac:dyDescent="0.3">
      <c r="C1571" s="126"/>
      <c r="F1571" s="137"/>
      <c r="G1571" s="138"/>
      <c r="H1571" s="138"/>
      <c r="I1571" s="139"/>
      <c r="J1571" s="137"/>
      <c r="K1571" s="137"/>
      <c r="M1571" s="126"/>
      <c r="O1571" s="137"/>
      <c r="P1571" s="137"/>
      <c r="Q1571" s="126"/>
    </row>
    <row r="1572" spans="3:17" x14ac:dyDescent="0.3">
      <c r="C1572" s="126"/>
      <c r="F1572" s="137"/>
      <c r="G1572" s="138"/>
      <c r="H1572" s="138"/>
      <c r="I1572" s="139"/>
      <c r="J1572" s="137"/>
      <c r="K1572" s="137"/>
      <c r="M1572" s="126"/>
      <c r="O1572" s="137"/>
      <c r="P1572" s="137"/>
      <c r="Q1572" s="126"/>
    </row>
    <row r="1573" spans="3:17" x14ac:dyDescent="0.3">
      <c r="C1573" s="126"/>
      <c r="F1573" s="137"/>
      <c r="G1573" s="138"/>
      <c r="H1573" s="138"/>
      <c r="I1573" s="139"/>
      <c r="J1573" s="137"/>
      <c r="K1573" s="137"/>
      <c r="M1573" s="126"/>
      <c r="O1573" s="137"/>
      <c r="P1573" s="137"/>
      <c r="Q1573" s="126"/>
    </row>
    <row r="1574" spans="3:17" x14ac:dyDescent="0.3">
      <c r="C1574" s="126"/>
      <c r="F1574" s="137"/>
      <c r="G1574" s="138"/>
      <c r="H1574" s="138"/>
      <c r="I1574" s="139"/>
      <c r="J1574" s="137"/>
      <c r="K1574" s="137"/>
      <c r="M1574" s="126"/>
      <c r="O1574" s="137"/>
      <c r="P1574" s="137"/>
      <c r="Q1574" s="126"/>
    </row>
    <row r="1575" spans="3:17" x14ac:dyDescent="0.3">
      <c r="C1575" s="126"/>
      <c r="F1575" s="137"/>
      <c r="G1575" s="138"/>
      <c r="H1575" s="138"/>
      <c r="I1575" s="139"/>
      <c r="J1575" s="137"/>
      <c r="K1575" s="137"/>
      <c r="M1575" s="126"/>
      <c r="O1575" s="137"/>
      <c r="P1575" s="137"/>
      <c r="Q1575" s="126"/>
    </row>
    <row r="1576" spans="3:17" x14ac:dyDescent="0.3">
      <c r="C1576" s="126"/>
      <c r="F1576" s="137"/>
      <c r="G1576" s="138"/>
      <c r="H1576" s="138"/>
      <c r="I1576" s="139"/>
      <c r="J1576" s="137"/>
      <c r="K1576" s="137"/>
      <c r="M1576" s="126"/>
      <c r="O1576" s="137"/>
      <c r="P1576" s="137"/>
      <c r="Q1576" s="126"/>
    </row>
    <row r="1577" spans="3:17" x14ac:dyDescent="0.3">
      <c r="C1577" s="126"/>
      <c r="F1577" s="137"/>
      <c r="G1577" s="138"/>
      <c r="H1577" s="138"/>
      <c r="I1577" s="139"/>
      <c r="J1577" s="137"/>
      <c r="K1577" s="137"/>
      <c r="M1577" s="126"/>
      <c r="O1577" s="137"/>
      <c r="P1577" s="137"/>
      <c r="Q1577" s="126"/>
    </row>
    <row r="1578" spans="3:17" x14ac:dyDescent="0.3">
      <c r="C1578" s="126"/>
      <c r="F1578" s="137"/>
      <c r="G1578" s="138"/>
      <c r="H1578" s="138"/>
      <c r="I1578" s="139"/>
      <c r="J1578" s="137"/>
      <c r="K1578" s="137"/>
      <c r="M1578" s="126"/>
      <c r="O1578" s="137"/>
      <c r="P1578" s="137"/>
      <c r="Q1578" s="126"/>
    </row>
    <row r="1579" spans="3:17" x14ac:dyDescent="0.3">
      <c r="C1579" s="126"/>
      <c r="F1579" s="137"/>
      <c r="G1579" s="138"/>
      <c r="H1579" s="138"/>
      <c r="I1579" s="139"/>
      <c r="J1579" s="137"/>
      <c r="K1579" s="137"/>
      <c r="M1579" s="126"/>
      <c r="O1579" s="137"/>
      <c r="P1579" s="137"/>
      <c r="Q1579" s="126"/>
    </row>
    <row r="1580" spans="3:17" x14ac:dyDescent="0.3">
      <c r="C1580" s="126"/>
      <c r="F1580" s="137"/>
      <c r="G1580" s="138"/>
      <c r="H1580" s="138"/>
      <c r="I1580" s="139"/>
      <c r="J1580" s="137"/>
      <c r="K1580" s="137"/>
      <c r="M1580" s="126"/>
      <c r="O1580" s="137"/>
      <c r="P1580" s="137"/>
      <c r="Q1580" s="126"/>
    </row>
    <row r="1581" spans="3:17" x14ac:dyDescent="0.3">
      <c r="C1581" s="126"/>
      <c r="F1581" s="137"/>
      <c r="G1581" s="138"/>
      <c r="H1581" s="138"/>
      <c r="I1581" s="139"/>
      <c r="J1581" s="137"/>
      <c r="K1581" s="137"/>
      <c r="M1581" s="126"/>
      <c r="O1581" s="137"/>
      <c r="P1581" s="137"/>
      <c r="Q1581" s="126"/>
    </row>
    <row r="1582" spans="3:17" x14ac:dyDescent="0.3">
      <c r="C1582" s="126"/>
      <c r="F1582" s="137"/>
      <c r="G1582" s="138"/>
      <c r="H1582" s="138"/>
      <c r="I1582" s="139"/>
      <c r="J1582" s="137"/>
      <c r="K1582" s="137"/>
      <c r="M1582" s="126"/>
      <c r="O1582" s="137"/>
      <c r="P1582" s="137"/>
      <c r="Q1582" s="126"/>
    </row>
    <row r="1583" spans="3:17" x14ac:dyDescent="0.3">
      <c r="C1583" s="126"/>
      <c r="F1583" s="137"/>
      <c r="G1583" s="138"/>
      <c r="H1583" s="138"/>
      <c r="I1583" s="139"/>
      <c r="J1583" s="137"/>
      <c r="K1583" s="137"/>
      <c r="M1583" s="126"/>
      <c r="O1583" s="137"/>
      <c r="P1583" s="137"/>
      <c r="Q1583" s="126"/>
    </row>
    <row r="1584" spans="3:17" x14ac:dyDescent="0.3">
      <c r="C1584" s="126"/>
      <c r="F1584" s="137"/>
      <c r="G1584" s="138"/>
      <c r="H1584" s="138"/>
      <c r="I1584" s="139"/>
      <c r="J1584" s="137"/>
      <c r="K1584" s="137"/>
      <c r="M1584" s="126"/>
      <c r="O1584" s="137"/>
      <c r="P1584" s="137"/>
      <c r="Q1584" s="126"/>
    </row>
    <row r="1585" spans="3:17" x14ac:dyDescent="0.3">
      <c r="C1585" s="126"/>
      <c r="F1585" s="137"/>
      <c r="G1585" s="138"/>
      <c r="H1585" s="138"/>
      <c r="I1585" s="139"/>
      <c r="J1585" s="137"/>
      <c r="K1585" s="137"/>
      <c r="M1585" s="126"/>
      <c r="O1585" s="137"/>
      <c r="P1585" s="137"/>
      <c r="Q1585" s="126"/>
    </row>
    <row r="1586" spans="3:17" x14ac:dyDescent="0.3">
      <c r="C1586" s="126"/>
      <c r="F1586" s="137"/>
      <c r="G1586" s="138"/>
      <c r="H1586" s="138"/>
      <c r="I1586" s="139"/>
      <c r="J1586" s="137"/>
      <c r="K1586" s="137"/>
      <c r="M1586" s="126"/>
      <c r="O1586" s="137"/>
      <c r="P1586" s="137"/>
      <c r="Q1586" s="126"/>
    </row>
    <row r="1587" spans="3:17" x14ac:dyDescent="0.3">
      <c r="C1587" s="126"/>
      <c r="F1587" s="137"/>
      <c r="G1587" s="138"/>
      <c r="H1587" s="138"/>
      <c r="I1587" s="139"/>
      <c r="J1587" s="137"/>
      <c r="K1587" s="137"/>
      <c r="M1587" s="126"/>
      <c r="O1587" s="137"/>
      <c r="P1587" s="137"/>
      <c r="Q1587" s="126"/>
    </row>
    <row r="1588" spans="3:17" x14ac:dyDescent="0.3">
      <c r="C1588" s="126"/>
      <c r="F1588" s="137"/>
      <c r="G1588" s="138"/>
      <c r="H1588" s="138"/>
      <c r="I1588" s="139"/>
      <c r="J1588" s="137"/>
      <c r="K1588" s="137"/>
      <c r="M1588" s="126"/>
      <c r="O1588" s="137"/>
      <c r="P1588" s="137"/>
      <c r="Q1588" s="126"/>
    </row>
    <row r="1589" spans="3:17" x14ac:dyDescent="0.3">
      <c r="C1589" s="126"/>
      <c r="F1589" s="137"/>
      <c r="G1589" s="138"/>
      <c r="H1589" s="138"/>
      <c r="I1589" s="139"/>
      <c r="J1589" s="137"/>
      <c r="K1589" s="137"/>
      <c r="M1589" s="126"/>
      <c r="O1589" s="137"/>
      <c r="P1589" s="137"/>
      <c r="Q1589" s="126"/>
    </row>
    <row r="1590" spans="3:17" x14ac:dyDescent="0.3">
      <c r="C1590" s="126"/>
      <c r="F1590" s="137"/>
      <c r="G1590" s="138"/>
      <c r="H1590" s="138"/>
      <c r="I1590" s="139"/>
      <c r="J1590" s="137"/>
      <c r="K1590" s="137"/>
      <c r="M1590" s="126"/>
      <c r="O1590" s="137"/>
      <c r="P1590" s="137"/>
      <c r="Q1590" s="126"/>
    </row>
    <row r="1591" spans="3:17" x14ac:dyDescent="0.3">
      <c r="C1591" s="126"/>
      <c r="F1591" s="137"/>
      <c r="G1591" s="138"/>
      <c r="H1591" s="138"/>
      <c r="I1591" s="139"/>
      <c r="J1591" s="137"/>
      <c r="K1591" s="137"/>
      <c r="M1591" s="126"/>
      <c r="O1591" s="137"/>
      <c r="P1591" s="137"/>
      <c r="Q1591" s="126"/>
    </row>
    <row r="1592" spans="3:17" x14ac:dyDescent="0.3">
      <c r="C1592" s="126"/>
      <c r="F1592" s="137"/>
      <c r="G1592" s="138"/>
      <c r="H1592" s="138"/>
      <c r="I1592" s="139"/>
      <c r="J1592" s="137"/>
      <c r="K1592" s="137"/>
      <c r="M1592" s="126"/>
      <c r="O1592" s="137"/>
      <c r="P1592" s="137"/>
      <c r="Q1592" s="126"/>
    </row>
    <row r="1593" spans="3:17" x14ac:dyDescent="0.3">
      <c r="C1593" s="126"/>
      <c r="F1593" s="137"/>
      <c r="G1593" s="138"/>
      <c r="H1593" s="138"/>
      <c r="I1593" s="139"/>
      <c r="J1593" s="137"/>
      <c r="K1593" s="137"/>
      <c r="M1593" s="126"/>
      <c r="O1593" s="137"/>
      <c r="P1593" s="137"/>
      <c r="Q1593" s="126"/>
    </row>
    <row r="1594" spans="3:17" x14ac:dyDescent="0.3">
      <c r="C1594" s="126"/>
      <c r="F1594" s="137"/>
      <c r="G1594" s="138"/>
      <c r="H1594" s="138"/>
      <c r="I1594" s="139"/>
      <c r="J1594" s="137"/>
      <c r="K1594" s="137"/>
      <c r="M1594" s="126"/>
      <c r="O1594" s="137"/>
      <c r="P1594" s="137"/>
      <c r="Q1594" s="126"/>
    </row>
    <row r="1595" spans="3:17" x14ac:dyDescent="0.3">
      <c r="C1595" s="126"/>
      <c r="F1595" s="137"/>
      <c r="G1595" s="138"/>
      <c r="H1595" s="138"/>
      <c r="I1595" s="139"/>
      <c r="J1595" s="137"/>
      <c r="K1595" s="137"/>
      <c r="M1595" s="126"/>
      <c r="O1595" s="137"/>
      <c r="P1595" s="137"/>
      <c r="Q1595" s="126"/>
    </row>
    <row r="1596" spans="3:17" x14ac:dyDescent="0.3">
      <c r="C1596" s="126"/>
      <c r="F1596" s="137"/>
      <c r="G1596" s="138"/>
      <c r="H1596" s="138"/>
      <c r="I1596" s="139"/>
      <c r="J1596" s="137"/>
      <c r="K1596" s="137"/>
      <c r="M1596" s="126"/>
      <c r="O1596" s="137"/>
      <c r="P1596" s="137"/>
      <c r="Q1596" s="126"/>
    </row>
    <row r="1597" spans="3:17" x14ac:dyDescent="0.3">
      <c r="C1597" s="126"/>
      <c r="F1597" s="137"/>
      <c r="G1597" s="138"/>
      <c r="H1597" s="138"/>
      <c r="I1597" s="139"/>
      <c r="J1597" s="137"/>
      <c r="K1597" s="137"/>
      <c r="M1597" s="126"/>
      <c r="O1597" s="137"/>
      <c r="P1597" s="137"/>
      <c r="Q1597" s="126"/>
    </row>
    <row r="1598" spans="3:17" x14ac:dyDescent="0.3">
      <c r="C1598" s="126"/>
      <c r="F1598" s="137"/>
      <c r="G1598" s="138"/>
      <c r="H1598" s="138"/>
      <c r="I1598" s="139"/>
      <c r="J1598" s="137"/>
      <c r="K1598" s="137"/>
      <c r="M1598" s="126"/>
      <c r="O1598" s="137"/>
      <c r="P1598" s="137"/>
      <c r="Q1598" s="126"/>
    </row>
    <row r="1599" spans="3:17" x14ac:dyDescent="0.3">
      <c r="C1599" s="126"/>
      <c r="F1599" s="137"/>
      <c r="G1599" s="138"/>
      <c r="H1599" s="138"/>
      <c r="I1599" s="139"/>
      <c r="J1599" s="137"/>
      <c r="K1599" s="137"/>
      <c r="M1599" s="126"/>
      <c r="O1599" s="137"/>
      <c r="P1599" s="137"/>
      <c r="Q1599" s="126"/>
    </row>
    <row r="1600" spans="3:17" x14ac:dyDescent="0.3">
      <c r="C1600" s="126"/>
      <c r="F1600" s="137"/>
      <c r="G1600" s="138"/>
      <c r="H1600" s="138"/>
      <c r="I1600" s="139"/>
      <c r="J1600" s="137"/>
      <c r="K1600" s="137"/>
      <c r="M1600" s="126"/>
      <c r="O1600" s="137"/>
      <c r="P1600" s="137"/>
      <c r="Q1600" s="126"/>
    </row>
    <row r="1601" spans="3:17" x14ac:dyDescent="0.3">
      <c r="C1601" s="126"/>
      <c r="F1601" s="137"/>
      <c r="G1601" s="138"/>
      <c r="H1601" s="138"/>
      <c r="I1601" s="139"/>
      <c r="J1601" s="137"/>
      <c r="K1601" s="137"/>
      <c r="M1601" s="126"/>
      <c r="O1601" s="137"/>
      <c r="P1601" s="137"/>
      <c r="Q1601" s="126"/>
    </row>
    <row r="1602" spans="3:17" x14ac:dyDescent="0.3">
      <c r="C1602" s="126"/>
      <c r="F1602" s="137"/>
      <c r="G1602" s="138"/>
      <c r="H1602" s="138"/>
      <c r="I1602" s="139"/>
      <c r="J1602" s="137"/>
      <c r="K1602" s="137"/>
      <c r="M1602" s="126"/>
      <c r="O1602" s="137"/>
      <c r="P1602" s="137"/>
      <c r="Q1602" s="126"/>
    </row>
    <row r="1603" spans="3:17" x14ac:dyDescent="0.3">
      <c r="C1603" s="126"/>
      <c r="F1603" s="137"/>
      <c r="G1603" s="138"/>
      <c r="H1603" s="138"/>
      <c r="I1603" s="139"/>
      <c r="J1603" s="137"/>
      <c r="K1603" s="137"/>
      <c r="M1603" s="126"/>
      <c r="O1603" s="137"/>
      <c r="P1603" s="137"/>
      <c r="Q1603" s="126"/>
    </row>
    <row r="1604" spans="3:17" x14ac:dyDescent="0.3">
      <c r="C1604" s="126"/>
      <c r="F1604" s="137"/>
      <c r="G1604" s="138"/>
      <c r="H1604" s="138"/>
      <c r="I1604" s="139"/>
      <c r="J1604" s="137"/>
      <c r="K1604" s="137"/>
      <c r="M1604" s="126"/>
      <c r="O1604" s="137"/>
      <c r="P1604" s="137"/>
      <c r="Q1604" s="126"/>
    </row>
    <row r="1605" spans="3:17" x14ac:dyDescent="0.3">
      <c r="C1605" s="126"/>
      <c r="F1605" s="137"/>
      <c r="G1605" s="138"/>
      <c r="H1605" s="138"/>
      <c r="I1605" s="139"/>
      <c r="J1605" s="137"/>
      <c r="K1605" s="137"/>
      <c r="M1605" s="126"/>
      <c r="O1605" s="137"/>
      <c r="P1605" s="137"/>
      <c r="Q1605" s="126"/>
    </row>
    <row r="1606" spans="3:17" x14ac:dyDescent="0.3">
      <c r="C1606" s="126"/>
      <c r="F1606" s="137"/>
      <c r="G1606" s="138"/>
      <c r="H1606" s="138"/>
      <c r="I1606" s="139"/>
      <c r="J1606" s="137"/>
      <c r="K1606" s="137"/>
      <c r="M1606" s="126"/>
      <c r="O1606" s="137"/>
      <c r="P1606" s="137"/>
      <c r="Q1606" s="126"/>
    </row>
    <row r="1607" spans="3:17" x14ac:dyDescent="0.3">
      <c r="C1607" s="126"/>
      <c r="F1607" s="137"/>
      <c r="G1607" s="138"/>
      <c r="H1607" s="138"/>
      <c r="I1607" s="139"/>
      <c r="J1607" s="137"/>
      <c r="K1607" s="137"/>
      <c r="M1607" s="126"/>
      <c r="O1607" s="137"/>
      <c r="P1607" s="137"/>
      <c r="Q1607" s="126"/>
    </row>
    <row r="1608" spans="3:17" x14ac:dyDescent="0.3">
      <c r="C1608" s="126"/>
      <c r="F1608" s="137"/>
      <c r="G1608" s="138"/>
      <c r="H1608" s="138"/>
      <c r="I1608" s="139"/>
      <c r="J1608" s="137"/>
      <c r="K1608" s="137"/>
      <c r="M1608" s="126"/>
      <c r="O1608" s="137"/>
      <c r="P1608" s="137"/>
      <c r="Q1608" s="126"/>
    </row>
    <row r="1609" spans="3:17" x14ac:dyDescent="0.3">
      <c r="C1609" s="126"/>
      <c r="F1609" s="137"/>
      <c r="G1609" s="138"/>
      <c r="H1609" s="138"/>
      <c r="I1609" s="139"/>
      <c r="J1609" s="137"/>
      <c r="K1609" s="137"/>
      <c r="M1609" s="126"/>
      <c r="O1609" s="137"/>
      <c r="P1609" s="137"/>
      <c r="Q1609" s="126"/>
    </row>
    <row r="1610" spans="3:17" x14ac:dyDescent="0.3">
      <c r="C1610" s="126"/>
      <c r="F1610" s="137"/>
      <c r="G1610" s="138"/>
      <c r="H1610" s="138"/>
      <c r="I1610" s="139"/>
      <c r="J1610" s="137"/>
      <c r="K1610" s="137"/>
      <c r="M1610" s="126"/>
      <c r="O1610" s="137"/>
      <c r="P1610" s="137"/>
      <c r="Q1610" s="126"/>
    </row>
    <row r="1611" spans="3:17" x14ac:dyDescent="0.3">
      <c r="C1611" s="126"/>
      <c r="F1611" s="137"/>
      <c r="G1611" s="138"/>
      <c r="H1611" s="138"/>
      <c r="I1611" s="139"/>
      <c r="J1611" s="137"/>
      <c r="K1611" s="137"/>
      <c r="M1611" s="126"/>
      <c r="O1611" s="137"/>
      <c r="P1611" s="137"/>
      <c r="Q1611" s="126"/>
    </row>
    <row r="1612" spans="3:17" x14ac:dyDescent="0.3">
      <c r="C1612" s="126"/>
      <c r="F1612" s="137"/>
      <c r="G1612" s="138"/>
      <c r="H1612" s="138"/>
      <c r="I1612" s="139"/>
      <c r="J1612" s="137"/>
      <c r="K1612" s="137"/>
      <c r="M1612" s="126"/>
      <c r="O1612" s="137"/>
      <c r="P1612" s="137"/>
      <c r="Q1612" s="126"/>
    </row>
    <row r="1613" spans="3:17" x14ac:dyDescent="0.3">
      <c r="C1613" s="126"/>
      <c r="F1613" s="137"/>
      <c r="G1613" s="138"/>
      <c r="H1613" s="138"/>
      <c r="I1613" s="139"/>
      <c r="J1613" s="137"/>
      <c r="K1613" s="137"/>
      <c r="M1613" s="126"/>
      <c r="O1613" s="137"/>
      <c r="P1613" s="137"/>
      <c r="Q1613" s="126"/>
    </row>
    <row r="1614" spans="3:17" x14ac:dyDescent="0.3">
      <c r="C1614" s="126"/>
      <c r="F1614" s="137"/>
      <c r="G1614" s="138"/>
      <c r="H1614" s="138"/>
      <c r="I1614" s="139"/>
      <c r="J1614" s="137"/>
      <c r="K1614" s="137"/>
      <c r="M1614" s="126"/>
      <c r="O1614" s="137"/>
      <c r="P1614" s="137"/>
      <c r="Q1614" s="126"/>
    </row>
    <row r="1615" spans="3:17" x14ac:dyDescent="0.3">
      <c r="C1615" s="126"/>
      <c r="F1615" s="137"/>
      <c r="G1615" s="138"/>
      <c r="H1615" s="138"/>
      <c r="I1615" s="139"/>
      <c r="J1615" s="137"/>
      <c r="K1615" s="137"/>
      <c r="M1615" s="126"/>
      <c r="O1615" s="137"/>
      <c r="P1615" s="137"/>
      <c r="Q1615" s="126"/>
    </row>
    <row r="1616" spans="3:17" x14ac:dyDescent="0.3">
      <c r="C1616" s="126"/>
      <c r="F1616" s="137"/>
      <c r="G1616" s="138"/>
      <c r="H1616" s="138"/>
      <c r="I1616" s="139"/>
      <c r="J1616" s="137"/>
      <c r="K1616" s="137"/>
      <c r="M1616" s="126"/>
      <c r="O1616" s="137"/>
      <c r="P1616" s="137"/>
      <c r="Q1616" s="126"/>
    </row>
    <row r="1617" spans="3:17" x14ac:dyDescent="0.3">
      <c r="C1617" s="126"/>
      <c r="F1617" s="137"/>
      <c r="G1617" s="138"/>
      <c r="H1617" s="138"/>
      <c r="I1617" s="139"/>
      <c r="J1617" s="137"/>
      <c r="K1617" s="137"/>
      <c r="M1617" s="126"/>
      <c r="O1617" s="137"/>
      <c r="P1617" s="137"/>
      <c r="Q1617" s="126"/>
    </row>
    <row r="1618" spans="3:17" x14ac:dyDescent="0.3">
      <c r="C1618" s="126"/>
      <c r="F1618" s="137"/>
      <c r="G1618" s="138"/>
      <c r="H1618" s="138"/>
      <c r="I1618" s="139"/>
      <c r="J1618" s="137"/>
      <c r="K1618" s="137"/>
      <c r="M1618" s="126"/>
      <c r="O1618" s="137"/>
      <c r="P1618" s="137"/>
      <c r="Q1618" s="126"/>
    </row>
    <row r="1619" spans="3:17" x14ac:dyDescent="0.3">
      <c r="C1619" s="126"/>
      <c r="F1619" s="137"/>
      <c r="G1619" s="138"/>
      <c r="H1619" s="138"/>
      <c r="I1619" s="139"/>
      <c r="J1619" s="137"/>
      <c r="K1619" s="137"/>
      <c r="M1619" s="126"/>
      <c r="O1619" s="137"/>
      <c r="P1619" s="137"/>
      <c r="Q1619" s="126"/>
    </row>
    <row r="1620" spans="3:17" x14ac:dyDescent="0.3">
      <c r="C1620" s="126"/>
      <c r="F1620" s="137"/>
      <c r="G1620" s="138"/>
      <c r="H1620" s="138"/>
      <c r="I1620" s="139"/>
      <c r="J1620" s="137"/>
      <c r="K1620" s="137"/>
      <c r="M1620" s="126"/>
      <c r="O1620" s="137"/>
      <c r="P1620" s="137"/>
      <c r="Q1620" s="126"/>
    </row>
    <row r="1621" spans="3:17" x14ac:dyDescent="0.3">
      <c r="C1621" s="126"/>
      <c r="F1621" s="137"/>
      <c r="G1621" s="138"/>
      <c r="H1621" s="138"/>
      <c r="I1621" s="139"/>
      <c r="J1621" s="137"/>
      <c r="K1621" s="137"/>
      <c r="M1621" s="126"/>
      <c r="O1621" s="137"/>
      <c r="P1621" s="137"/>
      <c r="Q1621" s="126"/>
    </row>
    <row r="1622" spans="3:17" x14ac:dyDescent="0.3">
      <c r="C1622" s="126"/>
      <c r="F1622" s="137"/>
      <c r="G1622" s="138"/>
      <c r="H1622" s="138"/>
      <c r="I1622" s="139"/>
      <c r="J1622" s="137"/>
      <c r="K1622" s="137"/>
      <c r="M1622" s="126"/>
      <c r="O1622" s="137"/>
      <c r="P1622" s="137"/>
      <c r="Q1622" s="126"/>
    </row>
    <row r="1623" spans="3:17" x14ac:dyDescent="0.3">
      <c r="C1623" s="126"/>
      <c r="F1623" s="137"/>
      <c r="G1623" s="138"/>
      <c r="H1623" s="138"/>
      <c r="I1623" s="139"/>
      <c r="J1623" s="137"/>
      <c r="K1623" s="137"/>
      <c r="M1623" s="126"/>
      <c r="O1623" s="137"/>
      <c r="P1623" s="137"/>
      <c r="Q1623" s="126"/>
    </row>
    <row r="1624" spans="3:17" x14ac:dyDescent="0.3">
      <c r="C1624" s="126"/>
      <c r="F1624" s="137"/>
      <c r="G1624" s="138"/>
      <c r="H1624" s="138"/>
      <c r="I1624" s="139"/>
      <c r="J1624" s="137"/>
      <c r="K1624" s="137"/>
      <c r="M1624" s="126"/>
      <c r="O1624" s="137"/>
      <c r="P1624" s="137"/>
      <c r="Q1624" s="126"/>
    </row>
    <row r="1625" spans="3:17" x14ac:dyDescent="0.3">
      <c r="C1625" s="126"/>
      <c r="F1625" s="137"/>
      <c r="G1625" s="138"/>
      <c r="H1625" s="138"/>
      <c r="I1625" s="139"/>
      <c r="J1625" s="137"/>
      <c r="K1625" s="137"/>
      <c r="M1625" s="126"/>
      <c r="O1625" s="137"/>
      <c r="P1625" s="137"/>
      <c r="Q1625" s="126"/>
    </row>
    <row r="1626" spans="3:17" x14ac:dyDescent="0.3">
      <c r="C1626" s="126"/>
      <c r="F1626" s="137"/>
      <c r="G1626" s="138"/>
      <c r="H1626" s="138"/>
      <c r="I1626" s="139"/>
      <c r="J1626" s="137"/>
      <c r="K1626" s="137"/>
      <c r="M1626" s="126"/>
      <c r="O1626" s="137"/>
      <c r="P1626" s="137"/>
      <c r="Q1626" s="126"/>
    </row>
    <row r="1627" spans="3:17" x14ac:dyDescent="0.3">
      <c r="C1627" s="126"/>
      <c r="F1627" s="137"/>
      <c r="G1627" s="138"/>
      <c r="H1627" s="138"/>
      <c r="I1627" s="139"/>
      <c r="J1627" s="137"/>
      <c r="K1627" s="137"/>
      <c r="M1627" s="126"/>
      <c r="O1627" s="137"/>
      <c r="P1627" s="137"/>
      <c r="Q1627" s="126"/>
    </row>
    <row r="1628" spans="3:17" x14ac:dyDescent="0.3">
      <c r="C1628" s="126"/>
      <c r="F1628" s="137"/>
      <c r="G1628" s="138"/>
      <c r="H1628" s="138"/>
      <c r="I1628" s="139"/>
      <c r="J1628" s="137"/>
      <c r="K1628" s="137"/>
      <c r="M1628" s="126"/>
      <c r="O1628" s="137"/>
      <c r="P1628" s="137"/>
      <c r="Q1628" s="126"/>
    </row>
    <row r="1629" spans="3:17" x14ac:dyDescent="0.3">
      <c r="C1629" s="126"/>
      <c r="F1629" s="137"/>
      <c r="G1629" s="138"/>
      <c r="H1629" s="138"/>
      <c r="I1629" s="139"/>
      <c r="J1629" s="137"/>
      <c r="K1629" s="137"/>
      <c r="M1629" s="126"/>
      <c r="O1629" s="137"/>
      <c r="P1629" s="137"/>
      <c r="Q1629" s="126"/>
    </row>
    <row r="1630" spans="3:17" x14ac:dyDescent="0.3">
      <c r="C1630" s="126"/>
      <c r="F1630" s="137"/>
      <c r="G1630" s="138"/>
      <c r="H1630" s="138"/>
      <c r="I1630" s="139"/>
      <c r="J1630" s="137"/>
      <c r="K1630" s="137"/>
      <c r="M1630" s="126"/>
      <c r="O1630" s="137"/>
      <c r="P1630" s="137"/>
      <c r="Q1630" s="126"/>
    </row>
    <row r="1631" spans="3:17" x14ac:dyDescent="0.3">
      <c r="C1631" s="126"/>
      <c r="F1631" s="137"/>
      <c r="G1631" s="138"/>
      <c r="H1631" s="138"/>
      <c r="I1631" s="139"/>
      <c r="J1631" s="137"/>
      <c r="K1631" s="137"/>
      <c r="M1631" s="126"/>
      <c r="O1631" s="137"/>
      <c r="P1631" s="137"/>
      <c r="Q1631" s="126"/>
    </row>
    <row r="1632" spans="3:17" x14ac:dyDescent="0.3">
      <c r="C1632" s="126"/>
      <c r="F1632" s="137"/>
      <c r="G1632" s="138"/>
      <c r="H1632" s="138"/>
      <c r="I1632" s="139"/>
      <c r="J1632" s="137"/>
      <c r="K1632" s="137"/>
      <c r="M1632" s="126"/>
      <c r="O1632" s="137"/>
      <c r="P1632" s="137"/>
      <c r="Q1632" s="126"/>
    </row>
    <row r="1633" spans="3:17" x14ac:dyDescent="0.3">
      <c r="C1633" s="126"/>
      <c r="F1633" s="137"/>
      <c r="G1633" s="138"/>
      <c r="H1633" s="138"/>
      <c r="I1633" s="139"/>
      <c r="J1633" s="137"/>
      <c r="K1633" s="137"/>
      <c r="M1633" s="126"/>
      <c r="O1633" s="137"/>
      <c r="P1633" s="137"/>
      <c r="Q1633" s="126"/>
    </row>
    <row r="1634" spans="3:17" x14ac:dyDescent="0.3">
      <c r="C1634" s="126"/>
      <c r="F1634" s="137"/>
      <c r="G1634" s="138"/>
      <c r="H1634" s="138"/>
      <c r="I1634" s="139"/>
      <c r="J1634" s="137"/>
      <c r="K1634" s="137"/>
      <c r="M1634" s="126"/>
      <c r="O1634" s="137"/>
      <c r="P1634" s="137"/>
      <c r="Q1634" s="126"/>
    </row>
    <row r="1635" spans="3:17" x14ac:dyDescent="0.3">
      <c r="C1635" s="126"/>
      <c r="F1635" s="137"/>
      <c r="G1635" s="138"/>
      <c r="H1635" s="138"/>
      <c r="I1635" s="139"/>
      <c r="J1635" s="137"/>
      <c r="K1635" s="137"/>
      <c r="M1635" s="126"/>
      <c r="O1635" s="137"/>
      <c r="P1635" s="137"/>
      <c r="Q1635" s="126"/>
    </row>
    <row r="1636" spans="3:17" x14ac:dyDescent="0.3">
      <c r="C1636" s="126"/>
      <c r="F1636" s="137"/>
      <c r="G1636" s="138"/>
      <c r="H1636" s="138"/>
      <c r="I1636" s="139"/>
      <c r="J1636" s="137"/>
      <c r="K1636" s="137"/>
      <c r="M1636" s="126"/>
      <c r="O1636" s="137"/>
      <c r="P1636" s="137"/>
      <c r="Q1636" s="126"/>
    </row>
    <row r="1637" spans="3:17" x14ac:dyDescent="0.3">
      <c r="C1637" s="126"/>
      <c r="F1637" s="137"/>
      <c r="G1637" s="138"/>
      <c r="H1637" s="138"/>
      <c r="I1637" s="139"/>
      <c r="J1637" s="137"/>
      <c r="K1637" s="137"/>
      <c r="M1637" s="126"/>
      <c r="O1637" s="137"/>
      <c r="P1637" s="137"/>
      <c r="Q1637" s="126"/>
    </row>
    <row r="1638" spans="3:17" x14ac:dyDescent="0.3">
      <c r="C1638" s="126"/>
      <c r="F1638" s="137"/>
      <c r="G1638" s="138"/>
      <c r="H1638" s="138"/>
      <c r="I1638" s="139"/>
      <c r="J1638" s="137"/>
      <c r="K1638" s="137"/>
      <c r="M1638" s="126"/>
      <c r="O1638" s="137"/>
      <c r="P1638" s="137"/>
      <c r="Q1638" s="126"/>
    </row>
    <row r="1639" spans="3:17" x14ac:dyDescent="0.3">
      <c r="C1639" s="126"/>
      <c r="F1639" s="137"/>
      <c r="G1639" s="138"/>
      <c r="H1639" s="138"/>
      <c r="I1639" s="139"/>
      <c r="J1639" s="137"/>
      <c r="K1639" s="137"/>
      <c r="M1639" s="126"/>
      <c r="O1639" s="137"/>
      <c r="P1639" s="137"/>
      <c r="Q1639" s="126"/>
    </row>
    <row r="1640" spans="3:17" x14ac:dyDescent="0.3">
      <c r="C1640" s="126"/>
      <c r="F1640" s="137"/>
      <c r="G1640" s="138"/>
      <c r="H1640" s="138"/>
      <c r="I1640" s="139"/>
      <c r="J1640" s="137"/>
      <c r="K1640" s="137"/>
      <c r="M1640" s="126"/>
      <c r="O1640" s="137"/>
      <c r="P1640" s="137"/>
      <c r="Q1640" s="126"/>
    </row>
    <row r="1641" spans="3:17" x14ac:dyDescent="0.3">
      <c r="C1641" s="126"/>
      <c r="F1641" s="137"/>
      <c r="G1641" s="138"/>
      <c r="H1641" s="138"/>
      <c r="I1641" s="139"/>
      <c r="J1641" s="137"/>
      <c r="K1641" s="137"/>
      <c r="M1641" s="126"/>
      <c r="O1641" s="137"/>
      <c r="P1641" s="137"/>
      <c r="Q1641" s="126"/>
    </row>
    <row r="1642" spans="3:17" x14ac:dyDescent="0.3">
      <c r="C1642" s="126"/>
      <c r="F1642" s="137"/>
      <c r="G1642" s="138"/>
      <c r="H1642" s="138"/>
      <c r="I1642" s="139"/>
      <c r="J1642" s="137"/>
      <c r="K1642" s="137"/>
      <c r="M1642" s="126"/>
      <c r="O1642" s="137"/>
      <c r="P1642" s="137"/>
      <c r="Q1642" s="126"/>
    </row>
    <row r="1643" spans="3:17" x14ac:dyDescent="0.3">
      <c r="C1643" s="126"/>
      <c r="F1643" s="137"/>
      <c r="G1643" s="138"/>
      <c r="H1643" s="138"/>
      <c r="I1643" s="139"/>
      <c r="J1643" s="137"/>
      <c r="K1643" s="137"/>
      <c r="M1643" s="126"/>
      <c r="O1643" s="137"/>
      <c r="P1643" s="137"/>
      <c r="Q1643" s="126"/>
    </row>
    <row r="1644" spans="3:17" x14ac:dyDescent="0.3">
      <c r="C1644" s="126"/>
      <c r="F1644" s="137"/>
      <c r="G1644" s="138"/>
      <c r="H1644" s="138"/>
      <c r="I1644" s="139"/>
      <c r="J1644" s="137"/>
      <c r="K1644" s="137"/>
      <c r="M1644" s="126"/>
      <c r="O1644" s="137"/>
      <c r="P1644" s="137"/>
      <c r="Q1644" s="126"/>
    </row>
    <row r="1645" spans="3:17" x14ac:dyDescent="0.3">
      <c r="C1645" s="126"/>
      <c r="F1645" s="137"/>
      <c r="G1645" s="138"/>
      <c r="H1645" s="138"/>
      <c r="I1645" s="139"/>
      <c r="J1645" s="137"/>
      <c r="K1645" s="137"/>
      <c r="M1645" s="126"/>
      <c r="O1645" s="137"/>
      <c r="P1645" s="137"/>
      <c r="Q1645" s="126"/>
    </row>
    <row r="1646" spans="3:17" x14ac:dyDescent="0.3">
      <c r="C1646" s="126"/>
      <c r="F1646" s="137"/>
      <c r="G1646" s="138"/>
      <c r="H1646" s="138"/>
      <c r="I1646" s="139"/>
      <c r="J1646" s="137"/>
      <c r="K1646" s="137"/>
      <c r="M1646" s="126"/>
      <c r="O1646" s="137"/>
      <c r="P1646" s="137"/>
      <c r="Q1646" s="126"/>
    </row>
    <row r="1647" spans="3:17" x14ac:dyDescent="0.3">
      <c r="C1647" s="126"/>
      <c r="F1647" s="137"/>
      <c r="G1647" s="138"/>
      <c r="H1647" s="138"/>
      <c r="I1647" s="139"/>
      <c r="J1647" s="137"/>
      <c r="K1647" s="137"/>
      <c r="M1647" s="126"/>
      <c r="O1647" s="137"/>
      <c r="P1647" s="137"/>
      <c r="Q1647" s="126"/>
    </row>
    <row r="1648" spans="3:17" x14ac:dyDescent="0.3">
      <c r="C1648" s="126"/>
      <c r="F1648" s="137"/>
      <c r="G1648" s="138"/>
      <c r="H1648" s="138"/>
      <c r="I1648" s="139"/>
      <c r="J1648" s="137"/>
      <c r="K1648" s="137"/>
      <c r="M1648" s="126"/>
      <c r="O1648" s="137"/>
      <c r="P1648" s="137"/>
      <c r="Q1648" s="126"/>
    </row>
    <row r="1649" spans="3:17" x14ac:dyDescent="0.3">
      <c r="C1649" s="126"/>
      <c r="F1649" s="137"/>
      <c r="G1649" s="138"/>
      <c r="H1649" s="138"/>
      <c r="I1649" s="139"/>
      <c r="J1649" s="137"/>
      <c r="K1649" s="137"/>
      <c r="M1649" s="126"/>
      <c r="O1649" s="137"/>
      <c r="P1649" s="137"/>
      <c r="Q1649" s="126"/>
    </row>
    <row r="1650" spans="3:17" x14ac:dyDescent="0.3">
      <c r="C1650" s="126"/>
      <c r="F1650" s="137"/>
      <c r="G1650" s="138"/>
      <c r="H1650" s="138"/>
      <c r="I1650" s="139"/>
      <c r="J1650" s="137"/>
      <c r="K1650" s="137"/>
      <c r="M1650" s="126"/>
      <c r="O1650" s="137"/>
      <c r="P1650" s="137"/>
      <c r="Q1650" s="126"/>
    </row>
    <row r="1651" spans="3:17" x14ac:dyDescent="0.3">
      <c r="C1651" s="126"/>
      <c r="F1651" s="137"/>
      <c r="G1651" s="138"/>
      <c r="H1651" s="138"/>
      <c r="I1651" s="139"/>
      <c r="J1651" s="137"/>
      <c r="K1651" s="137"/>
      <c r="M1651" s="126"/>
      <c r="O1651" s="137"/>
      <c r="P1651" s="137"/>
      <c r="Q1651" s="126"/>
    </row>
    <row r="1652" spans="3:17" x14ac:dyDescent="0.3">
      <c r="C1652" s="126"/>
      <c r="F1652" s="137"/>
      <c r="G1652" s="138"/>
      <c r="H1652" s="138"/>
      <c r="I1652" s="139"/>
      <c r="J1652" s="137"/>
      <c r="K1652" s="137"/>
      <c r="M1652" s="126"/>
      <c r="O1652" s="137"/>
      <c r="P1652" s="137"/>
      <c r="Q1652" s="126"/>
    </row>
    <row r="1653" spans="3:17" x14ac:dyDescent="0.3">
      <c r="C1653" s="126"/>
      <c r="F1653" s="137"/>
      <c r="G1653" s="138"/>
      <c r="H1653" s="138"/>
      <c r="I1653" s="139"/>
      <c r="J1653" s="137"/>
      <c r="K1653" s="137"/>
      <c r="M1653" s="126"/>
      <c r="O1653" s="137"/>
      <c r="P1653" s="137"/>
      <c r="Q1653" s="126"/>
    </row>
    <row r="1654" spans="3:17" x14ac:dyDescent="0.3">
      <c r="C1654" s="126"/>
      <c r="F1654" s="137"/>
      <c r="G1654" s="138"/>
      <c r="H1654" s="138"/>
      <c r="I1654" s="139"/>
      <c r="J1654" s="137"/>
      <c r="K1654" s="137"/>
      <c r="M1654" s="126"/>
      <c r="O1654" s="137"/>
      <c r="P1654" s="137"/>
      <c r="Q1654" s="126"/>
    </row>
    <row r="1655" spans="3:17" x14ac:dyDescent="0.3">
      <c r="C1655" s="126"/>
      <c r="F1655" s="137"/>
      <c r="G1655" s="138"/>
      <c r="H1655" s="138"/>
      <c r="I1655" s="139"/>
      <c r="J1655" s="137"/>
      <c r="K1655" s="137"/>
      <c r="M1655" s="126"/>
      <c r="O1655" s="137"/>
      <c r="P1655" s="137"/>
      <c r="Q1655" s="126"/>
    </row>
    <row r="1656" spans="3:17" x14ac:dyDescent="0.3">
      <c r="C1656" s="126"/>
      <c r="F1656" s="137"/>
      <c r="G1656" s="138"/>
      <c r="H1656" s="138"/>
      <c r="I1656" s="139"/>
      <c r="J1656" s="137"/>
      <c r="K1656" s="137"/>
      <c r="M1656" s="126"/>
      <c r="O1656" s="137"/>
      <c r="P1656" s="137"/>
      <c r="Q1656" s="126"/>
    </row>
    <row r="1657" spans="3:17" x14ac:dyDescent="0.3">
      <c r="C1657" s="126"/>
      <c r="F1657" s="137"/>
      <c r="G1657" s="138"/>
      <c r="H1657" s="138"/>
      <c r="I1657" s="139"/>
      <c r="J1657" s="137"/>
      <c r="K1657" s="137"/>
      <c r="M1657" s="126"/>
      <c r="O1657" s="137"/>
      <c r="P1657" s="137"/>
      <c r="Q1657" s="126"/>
    </row>
    <row r="1658" spans="3:17" x14ac:dyDescent="0.3">
      <c r="C1658" s="126"/>
      <c r="F1658" s="137"/>
      <c r="G1658" s="138"/>
      <c r="H1658" s="138"/>
      <c r="I1658" s="139"/>
      <c r="J1658" s="137"/>
      <c r="K1658" s="137"/>
      <c r="M1658" s="126"/>
      <c r="O1658" s="137"/>
      <c r="P1658" s="137"/>
      <c r="Q1658" s="126"/>
    </row>
    <row r="1659" spans="3:17" x14ac:dyDescent="0.3">
      <c r="C1659" s="126"/>
      <c r="F1659" s="137"/>
      <c r="G1659" s="138"/>
      <c r="H1659" s="138"/>
      <c r="I1659" s="139"/>
      <c r="J1659" s="137"/>
      <c r="K1659" s="137"/>
      <c r="M1659" s="126"/>
      <c r="O1659" s="137"/>
      <c r="P1659" s="137"/>
      <c r="Q1659" s="126"/>
    </row>
    <row r="1660" spans="3:17" x14ac:dyDescent="0.3">
      <c r="C1660" s="126"/>
      <c r="F1660" s="137"/>
      <c r="G1660" s="138"/>
      <c r="H1660" s="138"/>
      <c r="I1660" s="139"/>
      <c r="J1660" s="137"/>
      <c r="K1660" s="137"/>
      <c r="M1660" s="126"/>
      <c r="O1660" s="137"/>
      <c r="P1660" s="137"/>
      <c r="Q1660" s="126"/>
    </row>
    <row r="1661" spans="3:17" x14ac:dyDescent="0.3">
      <c r="C1661" s="126"/>
      <c r="F1661" s="137"/>
      <c r="G1661" s="138"/>
      <c r="H1661" s="138"/>
      <c r="I1661" s="139"/>
      <c r="J1661" s="137"/>
      <c r="K1661" s="137"/>
      <c r="M1661" s="126"/>
      <c r="O1661" s="137"/>
      <c r="P1661" s="137"/>
      <c r="Q1661" s="126"/>
    </row>
    <row r="1662" spans="3:17" x14ac:dyDescent="0.3">
      <c r="C1662" s="126"/>
      <c r="F1662" s="137"/>
      <c r="G1662" s="138"/>
      <c r="H1662" s="138"/>
      <c r="I1662" s="139"/>
      <c r="J1662" s="137"/>
      <c r="K1662" s="137"/>
      <c r="M1662" s="126"/>
      <c r="O1662" s="137"/>
      <c r="P1662" s="137"/>
      <c r="Q1662" s="126"/>
    </row>
    <row r="1663" spans="3:17" x14ac:dyDescent="0.3">
      <c r="C1663" s="126"/>
      <c r="F1663" s="137"/>
      <c r="G1663" s="138"/>
      <c r="H1663" s="138"/>
      <c r="I1663" s="139"/>
      <c r="J1663" s="137"/>
      <c r="K1663" s="137"/>
      <c r="M1663" s="126"/>
      <c r="O1663" s="137"/>
      <c r="P1663" s="137"/>
      <c r="Q1663" s="126"/>
    </row>
    <row r="1664" spans="3:17" x14ac:dyDescent="0.3">
      <c r="C1664" s="126"/>
      <c r="F1664" s="137"/>
      <c r="G1664" s="138"/>
      <c r="H1664" s="138"/>
      <c r="I1664" s="139"/>
      <c r="J1664" s="137"/>
      <c r="K1664" s="137"/>
      <c r="M1664" s="126"/>
      <c r="O1664" s="137"/>
      <c r="P1664" s="137"/>
      <c r="Q1664" s="126"/>
    </row>
    <row r="1665" spans="3:17" x14ac:dyDescent="0.3">
      <c r="C1665" s="126"/>
      <c r="F1665" s="137"/>
      <c r="G1665" s="138"/>
      <c r="H1665" s="138"/>
      <c r="I1665" s="139"/>
      <c r="J1665" s="137"/>
      <c r="K1665" s="137"/>
      <c r="M1665" s="126"/>
      <c r="O1665" s="137"/>
      <c r="P1665" s="137"/>
      <c r="Q1665" s="126"/>
    </row>
    <row r="1666" spans="3:17" x14ac:dyDescent="0.3">
      <c r="C1666" s="126"/>
      <c r="F1666" s="137"/>
      <c r="G1666" s="138"/>
      <c r="H1666" s="138"/>
      <c r="I1666" s="139"/>
      <c r="J1666" s="137"/>
      <c r="K1666" s="137"/>
      <c r="M1666" s="126"/>
      <c r="O1666" s="137"/>
      <c r="P1666" s="137"/>
      <c r="Q1666" s="126"/>
    </row>
    <row r="1667" spans="3:17" x14ac:dyDescent="0.3">
      <c r="C1667" s="126"/>
      <c r="F1667" s="137"/>
      <c r="G1667" s="138"/>
      <c r="H1667" s="138"/>
      <c r="I1667" s="139"/>
      <c r="J1667" s="137"/>
      <c r="K1667" s="137"/>
      <c r="M1667" s="126"/>
      <c r="O1667" s="137"/>
      <c r="P1667" s="137"/>
      <c r="Q1667" s="126"/>
    </row>
    <row r="1668" spans="3:17" x14ac:dyDescent="0.3">
      <c r="C1668" s="126"/>
      <c r="F1668" s="137"/>
      <c r="G1668" s="138"/>
      <c r="H1668" s="138"/>
      <c r="I1668" s="139"/>
      <c r="J1668" s="137"/>
      <c r="K1668" s="137"/>
      <c r="M1668" s="126"/>
      <c r="O1668" s="137"/>
      <c r="P1668" s="137"/>
      <c r="Q1668" s="126"/>
    </row>
    <row r="1669" spans="3:17" x14ac:dyDescent="0.3">
      <c r="C1669" s="126"/>
      <c r="F1669" s="137"/>
      <c r="G1669" s="138"/>
      <c r="H1669" s="138"/>
      <c r="I1669" s="139"/>
      <c r="J1669" s="137"/>
      <c r="K1669" s="137"/>
      <c r="M1669" s="126"/>
      <c r="O1669" s="137"/>
      <c r="P1669" s="137"/>
      <c r="Q1669" s="126"/>
    </row>
    <row r="1670" spans="3:17" x14ac:dyDescent="0.3">
      <c r="C1670" s="126"/>
      <c r="F1670" s="137"/>
      <c r="G1670" s="138"/>
      <c r="H1670" s="138"/>
      <c r="I1670" s="139"/>
      <c r="J1670" s="137"/>
      <c r="K1670" s="137"/>
      <c r="M1670" s="126"/>
      <c r="O1670" s="137"/>
      <c r="P1670" s="137"/>
      <c r="Q1670" s="126"/>
    </row>
    <row r="1671" spans="3:17" x14ac:dyDescent="0.3">
      <c r="C1671" s="126"/>
      <c r="F1671" s="137"/>
      <c r="G1671" s="138"/>
      <c r="H1671" s="138"/>
      <c r="I1671" s="139"/>
      <c r="J1671" s="137"/>
      <c r="K1671" s="137"/>
      <c r="M1671" s="126"/>
      <c r="O1671" s="137"/>
      <c r="P1671" s="137"/>
      <c r="Q1671" s="126"/>
    </row>
    <row r="1672" spans="3:17" x14ac:dyDescent="0.3">
      <c r="C1672" s="126"/>
      <c r="F1672" s="137"/>
      <c r="G1672" s="138"/>
      <c r="H1672" s="138"/>
      <c r="I1672" s="139"/>
      <c r="J1672" s="137"/>
      <c r="K1672" s="137"/>
      <c r="M1672" s="126"/>
      <c r="O1672" s="137"/>
      <c r="P1672" s="137"/>
      <c r="Q1672" s="126"/>
    </row>
    <row r="1673" spans="3:17" x14ac:dyDescent="0.3">
      <c r="C1673" s="126"/>
      <c r="F1673" s="137"/>
      <c r="G1673" s="138"/>
      <c r="H1673" s="138"/>
      <c r="I1673" s="139"/>
      <c r="J1673" s="137"/>
      <c r="K1673" s="137"/>
      <c r="M1673" s="126"/>
      <c r="O1673" s="137"/>
      <c r="P1673" s="137"/>
      <c r="Q1673" s="126"/>
    </row>
    <row r="1674" spans="3:17" x14ac:dyDescent="0.3">
      <c r="C1674" s="126"/>
      <c r="F1674" s="137"/>
      <c r="G1674" s="138"/>
      <c r="H1674" s="138"/>
      <c r="I1674" s="139"/>
      <c r="J1674" s="137"/>
      <c r="K1674" s="137"/>
      <c r="M1674" s="126"/>
      <c r="O1674" s="137"/>
      <c r="P1674" s="137"/>
      <c r="Q1674" s="126"/>
    </row>
    <row r="1675" spans="3:17" x14ac:dyDescent="0.3">
      <c r="C1675" s="126"/>
      <c r="F1675" s="137"/>
      <c r="G1675" s="138"/>
      <c r="H1675" s="138"/>
      <c r="I1675" s="139"/>
      <c r="J1675" s="137"/>
      <c r="K1675" s="137"/>
      <c r="M1675" s="126"/>
      <c r="O1675" s="137"/>
      <c r="P1675" s="137"/>
      <c r="Q1675" s="126"/>
    </row>
    <row r="1676" spans="3:17" x14ac:dyDescent="0.3">
      <c r="C1676" s="126"/>
      <c r="F1676" s="137"/>
      <c r="G1676" s="138"/>
      <c r="H1676" s="138"/>
      <c r="I1676" s="139"/>
      <c r="J1676" s="137"/>
      <c r="K1676" s="137"/>
      <c r="M1676" s="126"/>
      <c r="O1676" s="137"/>
      <c r="P1676" s="137"/>
      <c r="Q1676" s="126"/>
    </row>
    <row r="1677" spans="3:17" x14ac:dyDescent="0.3">
      <c r="C1677" s="126"/>
      <c r="F1677" s="137"/>
      <c r="G1677" s="138"/>
      <c r="H1677" s="138"/>
      <c r="I1677" s="139"/>
      <c r="J1677" s="137"/>
      <c r="K1677" s="137"/>
      <c r="M1677" s="126"/>
      <c r="O1677" s="137"/>
      <c r="P1677" s="137"/>
      <c r="Q1677" s="126"/>
    </row>
    <row r="1678" spans="3:17" x14ac:dyDescent="0.3">
      <c r="C1678" s="126"/>
      <c r="F1678" s="137"/>
      <c r="G1678" s="138"/>
      <c r="H1678" s="138"/>
      <c r="I1678" s="139"/>
      <c r="J1678" s="137"/>
      <c r="K1678" s="137"/>
      <c r="M1678" s="126"/>
      <c r="O1678" s="137"/>
      <c r="P1678" s="137"/>
      <c r="Q1678" s="126"/>
    </row>
    <row r="1679" spans="3:17" x14ac:dyDescent="0.3">
      <c r="C1679" s="126"/>
      <c r="F1679" s="137"/>
      <c r="G1679" s="138"/>
      <c r="H1679" s="138"/>
      <c r="I1679" s="139"/>
      <c r="J1679" s="137"/>
      <c r="K1679" s="137"/>
      <c r="M1679" s="126"/>
      <c r="O1679" s="137"/>
      <c r="P1679" s="137"/>
      <c r="Q1679" s="126"/>
    </row>
    <row r="1680" spans="3:17" x14ac:dyDescent="0.3">
      <c r="C1680" s="126"/>
      <c r="F1680" s="137"/>
      <c r="G1680" s="138"/>
      <c r="H1680" s="138"/>
      <c r="I1680" s="139"/>
      <c r="J1680" s="137"/>
      <c r="K1680" s="137"/>
      <c r="M1680" s="126"/>
      <c r="O1680" s="137"/>
      <c r="P1680" s="137"/>
      <c r="Q1680" s="126"/>
    </row>
    <row r="1681" spans="3:17" x14ac:dyDescent="0.3">
      <c r="C1681" s="126"/>
      <c r="F1681" s="137"/>
      <c r="G1681" s="138"/>
      <c r="H1681" s="138"/>
      <c r="I1681" s="139"/>
      <c r="J1681" s="137"/>
      <c r="K1681" s="137"/>
      <c r="M1681" s="126"/>
      <c r="O1681" s="137"/>
      <c r="P1681" s="137"/>
      <c r="Q1681" s="126"/>
    </row>
    <row r="1682" spans="3:17" x14ac:dyDescent="0.3">
      <c r="C1682" s="126"/>
      <c r="F1682" s="137"/>
      <c r="G1682" s="138"/>
      <c r="H1682" s="138"/>
      <c r="I1682" s="139"/>
      <c r="J1682" s="137"/>
      <c r="K1682" s="137"/>
      <c r="M1682" s="126"/>
      <c r="O1682" s="137"/>
      <c r="P1682" s="137"/>
      <c r="Q1682" s="126"/>
    </row>
    <row r="1683" spans="3:17" x14ac:dyDescent="0.3">
      <c r="C1683" s="126"/>
      <c r="F1683" s="137"/>
      <c r="G1683" s="138"/>
      <c r="H1683" s="138"/>
      <c r="I1683" s="139"/>
      <c r="J1683" s="137"/>
      <c r="K1683" s="137"/>
      <c r="M1683" s="126"/>
      <c r="O1683" s="137"/>
      <c r="P1683" s="137"/>
      <c r="Q1683" s="126"/>
    </row>
    <row r="1684" spans="3:17" x14ac:dyDescent="0.3">
      <c r="C1684" s="126"/>
      <c r="F1684" s="137"/>
      <c r="G1684" s="138"/>
      <c r="H1684" s="138"/>
      <c r="I1684" s="139"/>
      <c r="J1684" s="137"/>
      <c r="K1684" s="137"/>
      <c r="M1684" s="126"/>
      <c r="O1684" s="137"/>
      <c r="P1684" s="137"/>
      <c r="Q1684" s="126"/>
    </row>
    <row r="1685" spans="3:17" x14ac:dyDescent="0.3">
      <c r="C1685" s="126"/>
      <c r="F1685" s="137"/>
      <c r="G1685" s="138"/>
      <c r="H1685" s="138"/>
      <c r="I1685" s="139"/>
      <c r="J1685" s="137"/>
      <c r="K1685" s="137"/>
      <c r="M1685" s="126"/>
      <c r="O1685" s="137"/>
      <c r="P1685" s="137"/>
      <c r="Q1685" s="126"/>
    </row>
    <row r="1686" spans="3:17" x14ac:dyDescent="0.3">
      <c r="C1686" s="126"/>
      <c r="F1686" s="137"/>
      <c r="G1686" s="138"/>
      <c r="H1686" s="138"/>
      <c r="I1686" s="139"/>
      <c r="J1686" s="137"/>
      <c r="K1686" s="137"/>
      <c r="M1686" s="126"/>
      <c r="O1686" s="137"/>
      <c r="P1686" s="137"/>
      <c r="Q1686" s="126"/>
    </row>
    <row r="1687" spans="3:17" x14ac:dyDescent="0.3">
      <c r="C1687" s="126"/>
      <c r="F1687" s="137"/>
      <c r="G1687" s="138"/>
      <c r="H1687" s="138"/>
      <c r="I1687" s="139"/>
      <c r="J1687" s="137"/>
      <c r="K1687" s="137"/>
      <c r="M1687" s="126"/>
      <c r="O1687" s="137"/>
      <c r="P1687" s="137"/>
      <c r="Q1687" s="126"/>
    </row>
    <row r="1688" spans="3:17" x14ac:dyDescent="0.3">
      <c r="C1688" s="126"/>
      <c r="F1688" s="137"/>
      <c r="G1688" s="138"/>
      <c r="H1688" s="138"/>
      <c r="I1688" s="139"/>
      <c r="J1688" s="137"/>
      <c r="K1688" s="137"/>
      <c r="M1688" s="126"/>
      <c r="O1688" s="137"/>
      <c r="P1688" s="137"/>
      <c r="Q1688" s="126"/>
    </row>
    <row r="1689" spans="3:17" x14ac:dyDescent="0.3">
      <c r="C1689" s="126"/>
      <c r="F1689" s="137"/>
      <c r="G1689" s="138"/>
      <c r="H1689" s="138"/>
      <c r="I1689" s="139"/>
      <c r="J1689" s="137"/>
      <c r="K1689" s="137"/>
      <c r="M1689" s="126"/>
      <c r="O1689" s="137"/>
      <c r="P1689" s="137"/>
      <c r="Q1689" s="126"/>
    </row>
    <row r="1690" spans="3:17" x14ac:dyDescent="0.3">
      <c r="C1690" s="126"/>
      <c r="F1690" s="137"/>
      <c r="G1690" s="138"/>
      <c r="H1690" s="138"/>
      <c r="I1690" s="139"/>
      <c r="J1690" s="137"/>
      <c r="K1690" s="137"/>
      <c r="M1690" s="126"/>
      <c r="O1690" s="137"/>
      <c r="P1690" s="137"/>
      <c r="Q1690" s="126"/>
    </row>
    <row r="1691" spans="3:17" x14ac:dyDescent="0.3">
      <c r="C1691" s="126"/>
      <c r="F1691" s="137"/>
      <c r="G1691" s="138"/>
      <c r="H1691" s="138"/>
      <c r="I1691" s="139"/>
      <c r="J1691" s="137"/>
      <c r="K1691" s="137"/>
      <c r="M1691" s="126"/>
      <c r="O1691" s="137"/>
      <c r="P1691" s="137"/>
      <c r="Q1691" s="126"/>
    </row>
    <row r="1692" spans="3:17" x14ac:dyDescent="0.3">
      <c r="C1692" s="126"/>
      <c r="F1692" s="137"/>
      <c r="G1692" s="138"/>
      <c r="H1692" s="138"/>
      <c r="I1692" s="139"/>
      <c r="J1692" s="137"/>
      <c r="K1692" s="137"/>
      <c r="M1692" s="126"/>
      <c r="O1692" s="137"/>
      <c r="P1692" s="137"/>
      <c r="Q1692" s="126"/>
    </row>
    <row r="1693" spans="3:17" x14ac:dyDescent="0.3">
      <c r="C1693" s="126"/>
      <c r="F1693" s="137"/>
      <c r="G1693" s="138"/>
      <c r="H1693" s="138"/>
      <c r="I1693" s="139"/>
      <c r="J1693" s="137"/>
      <c r="K1693" s="137"/>
      <c r="M1693" s="126"/>
      <c r="O1693" s="137"/>
      <c r="P1693" s="137"/>
      <c r="Q1693" s="126"/>
    </row>
    <row r="1694" spans="3:17" x14ac:dyDescent="0.3">
      <c r="C1694" s="126"/>
      <c r="F1694" s="137"/>
      <c r="G1694" s="138"/>
      <c r="H1694" s="138"/>
      <c r="I1694" s="139"/>
      <c r="J1694" s="137"/>
      <c r="K1694" s="137"/>
      <c r="M1694" s="126"/>
      <c r="O1694" s="137"/>
      <c r="P1694" s="137"/>
      <c r="Q1694" s="126"/>
    </row>
    <row r="1695" spans="3:17" x14ac:dyDescent="0.3">
      <c r="C1695" s="126"/>
      <c r="F1695" s="137"/>
      <c r="G1695" s="138"/>
      <c r="H1695" s="138"/>
      <c r="I1695" s="139"/>
      <c r="J1695" s="137"/>
      <c r="K1695" s="137"/>
      <c r="M1695" s="126"/>
      <c r="O1695" s="137"/>
      <c r="P1695" s="137"/>
      <c r="Q1695" s="126"/>
    </row>
    <row r="1696" spans="3:17" x14ac:dyDescent="0.3">
      <c r="C1696" s="126"/>
      <c r="F1696" s="137"/>
      <c r="G1696" s="138"/>
      <c r="H1696" s="138"/>
      <c r="I1696" s="139"/>
      <c r="J1696" s="137"/>
      <c r="K1696" s="137"/>
      <c r="M1696" s="126"/>
      <c r="O1696" s="137"/>
      <c r="P1696" s="137"/>
      <c r="Q1696" s="126"/>
    </row>
    <row r="1697" spans="3:17" x14ac:dyDescent="0.3">
      <c r="C1697" s="126"/>
      <c r="F1697" s="137"/>
      <c r="G1697" s="138"/>
      <c r="H1697" s="138"/>
      <c r="I1697" s="139"/>
      <c r="J1697" s="137"/>
      <c r="K1697" s="137"/>
      <c r="M1697" s="126"/>
      <c r="O1697" s="137"/>
      <c r="P1697" s="137"/>
      <c r="Q1697" s="126"/>
    </row>
    <row r="1698" spans="3:17" x14ac:dyDescent="0.3">
      <c r="C1698" s="126"/>
      <c r="F1698" s="137"/>
      <c r="G1698" s="138"/>
      <c r="H1698" s="138"/>
      <c r="I1698" s="139"/>
      <c r="J1698" s="137"/>
      <c r="K1698" s="137"/>
      <c r="M1698" s="126"/>
      <c r="O1698" s="137"/>
      <c r="P1698" s="137"/>
      <c r="Q1698" s="126"/>
    </row>
    <row r="1699" spans="3:17" x14ac:dyDescent="0.3">
      <c r="C1699" s="126"/>
      <c r="F1699" s="137"/>
      <c r="G1699" s="138"/>
      <c r="H1699" s="138"/>
      <c r="I1699" s="139"/>
      <c r="J1699" s="137"/>
      <c r="K1699" s="137"/>
      <c r="M1699" s="126"/>
      <c r="O1699" s="137"/>
      <c r="P1699" s="137"/>
      <c r="Q1699" s="126"/>
    </row>
    <row r="1700" spans="3:17" x14ac:dyDescent="0.3">
      <c r="C1700" s="126"/>
      <c r="F1700" s="137"/>
      <c r="G1700" s="138"/>
      <c r="H1700" s="138"/>
      <c r="I1700" s="139"/>
      <c r="J1700" s="137"/>
      <c r="K1700" s="137"/>
      <c r="M1700" s="126"/>
      <c r="O1700" s="137"/>
      <c r="P1700" s="137"/>
      <c r="Q1700" s="126"/>
    </row>
    <row r="1701" spans="3:17" x14ac:dyDescent="0.3">
      <c r="C1701" s="126"/>
      <c r="F1701" s="137"/>
      <c r="G1701" s="138"/>
      <c r="H1701" s="138"/>
      <c r="I1701" s="139"/>
      <c r="J1701" s="137"/>
      <c r="K1701" s="137"/>
      <c r="M1701" s="126"/>
      <c r="O1701" s="137"/>
      <c r="P1701" s="137"/>
      <c r="Q1701" s="126"/>
    </row>
    <row r="1702" spans="3:17" x14ac:dyDescent="0.3">
      <c r="C1702" s="126"/>
      <c r="F1702" s="137"/>
      <c r="G1702" s="138"/>
      <c r="H1702" s="138"/>
      <c r="I1702" s="139"/>
      <c r="J1702" s="137"/>
      <c r="K1702" s="137"/>
      <c r="M1702" s="126"/>
      <c r="O1702" s="137"/>
      <c r="P1702" s="137"/>
      <c r="Q1702" s="126"/>
    </row>
    <row r="1703" spans="3:17" x14ac:dyDescent="0.3">
      <c r="C1703" s="126"/>
      <c r="F1703" s="137"/>
      <c r="G1703" s="138"/>
      <c r="H1703" s="138"/>
      <c r="I1703" s="139"/>
      <c r="J1703" s="137"/>
      <c r="K1703" s="137"/>
      <c r="M1703" s="126"/>
      <c r="O1703" s="137"/>
      <c r="P1703" s="137"/>
      <c r="Q1703" s="126"/>
    </row>
    <row r="1704" spans="3:17" x14ac:dyDescent="0.3">
      <c r="C1704" s="126"/>
      <c r="F1704" s="137"/>
      <c r="G1704" s="138"/>
      <c r="H1704" s="138"/>
      <c r="I1704" s="139"/>
      <c r="J1704" s="137"/>
      <c r="K1704" s="137"/>
      <c r="M1704" s="126"/>
      <c r="O1704" s="137"/>
      <c r="P1704" s="137"/>
      <c r="Q1704" s="126"/>
    </row>
    <row r="1705" spans="3:17" x14ac:dyDescent="0.3">
      <c r="C1705" s="126"/>
      <c r="F1705" s="137"/>
      <c r="G1705" s="138"/>
      <c r="H1705" s="138"/>
      <c r="I1705" s="139"/>
      <c r="J1705" s="137"/>
      <c r="K1705" s="137"/>
      <c r="M1705" s="126"/>
      <c r="O1705" s="137"/>
      <c r="P1705" s="137"/>
      <c r="Q1705" s="126"/>
    </row>
    <row r="1706" spans="3:17" x14ac:dyDescent="0.3">
      <c r="C1706" s="126"/>
      <c r="F1706" s="137"/>
      <c r="G1706" s="138"/>
      <c r="H1706" s="138"/>
      <c r="I1706" s="139"/>
      <c r="J1706" s="137"/>
      <c r="K1706" s="137"/>
      <c r="M1706" s="126"/>
      <c r="O1706" s="137"/>
      <c r="P1706" s="137"/>
      <c r="Q1706" s="126"/>
    </row>
    <row r="1707" spans="3:17" x14ac:dyDescent="0.3">
      <c r="C1707" s="126"/>
      <c r="F1707" s="137"/>
      <c r="G1707" s="138"/>
      <c r="H1707" s="138"/>
      <c r="I1707" s="139"/>
      <c r="J1707" s="137"/>
      <c r="K1707" s="137"/>
      <c r="M1707" s="126"/>
      <c r="O1707" s="137"/>
      <c r="P1707" s="137"/>
      <c r="Q1707" s="126"/>
    </row>
    <row r="1708" spans="3:17" x14ac:dyDescent="0.3">
      <c r="C1708" s="126"/>
      <c r="F1708" s="137"/>
      <c r="G1708" s="138"/>
      <c r="H1708" s="138"/>
      <c r="I1708" s="139"/>
      <c r="J1708" s="137"/>
      <c r="K1708" s="137"/>
      <c r="M1708" s="126"/>
      <c r="O1708" s="137"/>
      <c r="P1708" s="137"/>
      <c r="Q1708" s="126"/>
    </row>
    <row r="1709" spans="3:17" x14ac:dyDescent="0.3">
      <c r="C1709" s="126"/>
      <c r="F1709" s="137"/>
      <c r="G1709" s="138"/>
      <c r="H1709" s="138"/>
      <c r="I1709" s="139"/>
      <c r="J1709" s="137"/>
      <c r="K1709" s="137"/>
      <c r="M1709" s="126"/>
      <c r="O1709" s="137"/>
      <c r="P1709" s="137"/>
      <c r="Q1709" s="126"/>
    </row>
    <row r="1710" spans="3:17" x14ac:dyDescent="0.3">
      <c r="C1710" s="126"/>
      <c r="F1710" s="137"/>
      <c r="G1710" s="138"/>
      <c r="H1710" s="138"/>
      <c r="I1710" s="139"/>
      <c r="J1710" s="137"/>
      <c r="K1710" s="137"/>
      <c r="M1710" s="126"/>
      <c r="O1710" s="137"/>
      <c r="P1710" s="137"/>
      <c r="Q1710" s="126"/>
    </row>
    <row r="1711" spans="3:17" x14ac:dyDescent="0.3">
      <c r="C1711" s="126"/>
      <c r="F1711" s="137"/>
      <c r="G1711" s="138"/>
      <c r="H1711" s="138"/>
      <c r="I1711" s="139"/>
      <c r="J1711" s="137"/>
      <c r="K1711" s="137"/>
      <c r="M1711" s="126"/>
      <c r="O1711" s="137"/>
      <c r="P1711" s="137"/>
      <c r="Q1711" s="126"/>
    </row>
    <row r="1712" spans="3:17" x14ac:dyDescent="0.3">
      <c r="C1712" s="126"/>
      <c r="F1712" s="137"/>
      <c r="G1712" s="138"/>
      <c r="H1712" s="138"/>
      <c r="I1712" s="139"/>
      <c r="J1712" s="137"/>
      <c r="K1712" s="137"/>
      <c r="M1712" s="126"/>
      <c r="O1712" s="137"/>
      <c r="P1712" s="137"/>
      <c r="Q1712" s="126"/>
    </row>
    <row r="1713" spans="3:17" x14ac:dyDescent="0.3">
      <c r="C1713" s="126"/>
      <c r="F1713" s="137"/>
      <c r="G1713" s="138"/>
      <c r="H1713" s="138"/>
      <c r="I1713" s="139"/>
      <c r="J1713" s="137"/>
      <c r="K1713" s="137"/>
      <c r="M1713" s="126"/>
      <c r="O1713" s="137"/>
      <c r="P1713" s="137"/>
      <c r="Q1713" s="126"/>
    </row>
    <row r="1714" spans="3:17" x14ac:dyDescent="0.3">
      <c r="C1714" s="126"/>
      <c r="F1714" s="137"/>
      <c r="G1714" s="138"/>
      <c r="H1714" s="138"/>
      <c r="I1714" s="139"/>
      <c r="J1714" s="137"/>
      <c r="K1714" s="137"/>
      <c r="M1714" s="126"/>
      <c r="O1714" s="137"/>
      <c r="P1714" s="137"/>
      <c r="Q1714" s="126"/>
    </row>
    <row r="1715" spans="3:17" x14ac:dyDescent="0.3">
      <c r="C1715" s="126"/>
      <c r="F1715" s="137"/>
      <c r="G1715" s="138"/>
      <c r="H1715" s="138"/>
      <c r="I1715" s="139"/>
      <c r="J1715" s="137"/>
      <c r="K1715" s="137"/>
      <c r="M1715" s="126"/>
      <c r="O1715" s="137"/>
      <c r="P1715" s="137"/>
      <c r="Q1715" s="126"/>
    </row>
    <row r="1716" spans="3:17" x14ac:dyDescent="0.3">
      <c r="C1716" s="126"/>
      <c r="F1716" s="137"/>
      <c r="G1716" s="138"/>
      <c r="H1716" s="138"/>
      <c r="I1716" s="139"/>
      <c r="J1716" s="137"/>
      <c r="K1716" s="137"/>
      <c r="M1716" s="126"/>
      <c r="O1716" s="137"/>
      <c r="P1716" s="137"/>
      <c r="Q1716" s="126"/>
    </row>
    <row r="1717" spans="3:17" x14ac:dyDescent="0.3">
      <c r="C1717" s="126"/>
      <c r="F1717" s="137"/>
      <c r="G1717" s="138"/>
      <c r="H1717" s="138"/>
      <c r="I1717" s="139"/>
      <c r="J1717" s="137"/>
      <c r="K1717" s="137"/>
      <c r="M1717" s="126"/>
      <c r="O1717" s="137"/>
      <c r="P1717" s="137"/>
      <c r="Q1717" s="126"/>
    </row>
    <row r="1718" spans="3:17" x14ac:dyDescent="0.3">
      <c r="C1718" s="126"/>
      <c r="F1718" s="137"/>
      <c r="G1718" s="138"/>
      <c r="H1718" s="138"/>
      <c r="I1718" s="139"/>
      <c r="J1718" s="137"/>
      <c r="K1718" s="137"/>
      <c r="M1718" s="126"/>
      <c r="O1718" s="137"/>
      <c r="P1718" s="137"/>
      <c r="Q1718" s="126"/>
    </row>
    <row r="1719" spans="3:17" x14ac:dyDescent="0.3">
      <c r="C1719" s="126"/>
      <c r="F1719" s="137"/>
      <c r="G1719" s="138"/>
      <c r="H1719" s="138"/>
      <c r="I1719" s="139"/>
      <c r="J1719" s="137"/>
      <c r="K1719" s="137"/>
      <c r="M1719" s="126"/>
      <c r="O1719" s="137"/>
      <c r="P1719" s="137"/>
      <c r="Q1719" s="126"/>
    </row>
    <row r="1720" spans="3:17" x14ac:dyDescent="0.3">
      <c r="C1720" s="126"/>
      <c r="F1720" s="137"/>
      <c r="G1720" s="138"/>
      <c r="H1720" s="138"/>
      <c r="I1720" s="139"/>
      <c r="J1720" s="137"/>
      <c r="K1720" s="137"/>
      <c r="M1720" s="126"/>
      <c r="O1720" s="137"/>
      <c r="P1720" s="137"/>
      <c r="Q1720" s="126"/>
    </row>
    <row r="1721" spans="3:17" x14ac:dyDescent="0.3">
      <c r="C1721" s="126"/>
      <c r="F1721" s="137"/>
      <c r="G1721" s="138"/>
      <c r="H1721" s="138"/>
      <c r="I1721" s="139"/>
      <c r="J1721" s="137"/>
      <c r="K1721" s="137"/>
      <c r="M1721" s="126"/>
      <c r="O1721" s="137"/>
      <c r="P1721" s="137"/>
      <c r="Q1721" s="126"/>
    </row>
    <row r="1722" spans="3:17" x14ac:dyDescent="0.3">
      <c r="C1722" s="126"/>
      <c r="F1722" s="137"/>
      <c r="G1722" s="138"/>
      <c r="H1722" s="138"/>
      <c r="I1722" s="139"/>
      <c r="J1722" s="137"/>
      <c r="K1722" s="137"/>
      <c r="M1722" s="126"/>
      <c r="O1722" s="137"/>
      <c r="P1722" s="137"/>
      <c r="Q1722" s="126"/>
    </row>
    <row r="1723" spans="3:17" x14ac:dyDescent="0.3">
      <c r="C1723" s="126"/>
      <c r="F1723" s="137"/>
      <c r="G1723" s="138"/>
      <c r="H1723" s="138"/>
      <c r="I1723" s="139"/>
      <c r="J1723" s="137"/>
      <c r="K1723" s="137"/>
      <c r="M1723" s="126"/>
      <c r="O1723" s="137"/>
      <c r="P1723" s="137"/>
      <c r="Q1723" s="126"/>
    </row>
    <row r="1724" spans="3:17" x14ac:dyDescent="0.3">
      <c r="C1724" s="126"/>
      <c r="F1724" s="137"/>
      <c r="G1724" s="138"/>
      <c r="H1724" s="138"/>
      <c r="I1724" s="139"/>
      <c r="J1724" s="137"/>
      <c r="K1724" s="137"/>
      <c r="M1724" s="126"/>
      <c r="O1724" s="137"/>
      <c r="P1724" s="137"/>
      <c r="Q1724" s="126"/>
    </row>
    <row r="1725" spans="3:17" x14ac:dyDescent="0.3">
      <c r="C1725" s="126"/>
      <c r="F1725" s="137"/>
      <c r="G1725" s="138"/>
      <c r="H1725" s="138"/>
      <c r="I1725" s="139"/>
      <c r="J1725" s="137"/>
      <c r="K1725" s="137"/>
      <c r="M1725" s="126"/>
      <c r="O1725" s="137"/>
      <c r="P1725" s="137"/>
      <c r="Q1725" s="126"/>
    </row>
    <row r="1726" spans="3:17" x14ac:dyDescent="0.3">
      <c r="C1726" s="126"/>
      <c r="F1726" s="137"/>
      <c r="G1726" s="138"/>
      <c r="H1726" s="138"/>
      <c r="I1726" s="139"/>
      <c r="J1726" s="137"/>
      <c r="K1726" s="137"/>
      <c r="M1726" s="126"/>
      <c r="O1726" s="137"/>
      <c r="P1726" s="137"/>
      <c r="Q1726" s="126"/>
    </row>
    <row r="1727" spans="3:17" x14ac:dyDescent="0.3">
      <c r="C1727" s="126"/>
      <c r="F1727" s="137"/>
      <c r="G1727" s="138"/>
      <c r="H1727" s="138"/>
      <c r="I1727" s="139"/>
      <c r="J1727" s="137"/>
      <c r="K1727" s="137"/>
      <c r="M1727" s="126"/>
      <c r="O1727" s="137"/>
      <c r="P1727" s="137"/>
      <c r="Q1727" s="126"/>
    </row>
    <row r="1728" spans="3:17" x14ac:dyDescent="0.3">
      <c r="C1728" s="126"/>
      <c r="F1728" s="137"/>
      <c r="G1728" s="138"/>
      <c r="H1728" s="138"/>
      <c r="I1728" s="139"/>
      <c r="J1728" s="137"/>
      <c r="K1728" s="137"/>
      <c r="M1728" s="126"/>
      <c r="O1728" s="137"/>
      <c r="P1728" s="137"/>
      <c r="Q1728" s="126"/>
    </row>
    <row r="1729" spans="3:17" x14ac:dyDescent="0.3">
      <c r="C1729" s="126"/>
      <c r="F1729" s="137"/>
      <c r="G1729" s="138"/>
      <c r="H1729" s="138"/>
      <c r="I1729" s="139"/>
      <c r="J1729" s="137"/>
      <c r="K1729" s="137"/>
      <c r="M1729" s="126"/>
      <c r="O1729" s="137"/>
      <c r="P1729" s="137"/>
      <c r="Q1729" s="126"/>
    </row>
    <row r="1730" spans="3:17" x14ac:dyDescent="0.3">
      <c r="C1730" s="126"/>
      <c r="F1730" s="137"/>
      <c r="G1730" s="138"/>
      <c r="H1730" s="138"/>
      <c r="I1730" s="139"/>
      <c r="J1730" s="137"/>
      <c r="K1730" s="137"/>
      <c r="M1730" s="126"/>
      <c r="O1730" s="137"/>
      <c r="P1730" s="137"/>
      <c r="Q1730" s="126"/>
    </row>
    <row r="1731" spans="3:17" x14ac:dyDescent="0.3">
      <c r="C1731" s="126"/>
      <c r="F1731" s="137"/>
      <c r="G1731" s="138"/>
      <c r="H1731" s="138"/>
      <c r="I1731" s="139"/>
      <c r="J1731" s="137"/>
      <c r="K1731" s="137"/>
      <c r="M1731" s="126"/>
      <c r="O1731" s="137"/>
      <c r="P1731" s="137"/>
      <c r="Q1731" s="126"/>
    </row>
    <row r="1732" spans="3:17" x14ac:dyDescent="0.3">
      <c r="C1732" s="126"/>
      <c r="F1732" s="137"/>
      <c r="G1732" s="138"/>
      <c r="H1732" s="138"/>
      <c r="I1732" s="139"/>
      <c r="J1732" s="137"/>
      <c r="K1732" s="137"/>
      <c r="M1732" s="126"/>
      <c r="O1732" s="137"/>
      <c r="P1732" s="137"/>
      <c r="Q1732" s="126"/>
    </row>
    <row r="1733" spans="3:17" x14ac:dyDescent="0.3">
      <c r="C1733" s="126"/>
      <c r="F1733" s="137"/>
      <c r="G1733" s="138"/>
      <c r="H1733" s="138"/>
      <c r="I1733" s="139"/>
      <c r="J1733" s="137"/>
      <c r="K1733" s="137"/>
      <c r="M1733" s="126"/>
      <c r="O1733" s="137"/>
      <c r="P1733" s="137"/>
      <c r="Q1733" s="126"/>
    </row>
    <row r="1734" spans="3:17" x14ac:dyDescent="0.3">
      <c r="C1734" s="126"/>
      <c r="F1734" s="137"/>
      <c r="G1734" s="138"/>
      <c r="H1734" s="138"/>
      <c r="I1734" s="139"/>
      <c r="J1734" s="137"/>
      <c r="K1734" s="137"/>
      <c r="M1734" s="126"/>
      <c r="O1734" s="137"/>
      <c r="P1734" s="137"/>
      <c r="Q1734" s="126"/>
    </row>
    <row r="1735" spans="3:17" x14ac:dyDescent="0.3">
      <c r="C1735" s="126"/>
      <c r="F1735" s="137"/>
      <c r="G1735" s="138"/>
      <c r="H1735" s="138"/>
      <c r="I1735" s="139"/>
      <c r="J1735" s="137"/>
      <c r="K1735" s="137"/>
      <c r="M1735" s="126"/>
      <c r="O1735" s="137"/>
      <c r="P1735" s="137"/>
      <c r="Q1735" s="126"/>
    </row>
    <row r="1736" spans="3:17" x14ac:dyDescent="0.3">
      <c r="C1736" s="126"/>
      <c r="F1736" s="137"/>
      <c r="G1736" s="138"/>
      <c r="H1736" s="138"/>
      <c r="I1736" s="139"/>
      <c r="J1736" s="137"/>
      <c r="K1736" s="137"/>
      <c r="M1736" s="126"/>
      <c r="O1736" s="137"/>
      <c r="P1736" s="137"/>
      <c r="Q1736" s="126"/>
    </row>
    <row r="1737" spans="3:17" x14ac:dyDescent="0.3">
      <c r="C1737" s="126"/>
      <c r="F1737" s="137"/>
      <c r="G1737" s="138"/>
      <c r="H1737" s="138"/>
      <c r="I1737" s="139"/>
      <c r="J1737" s="137"/>
      <c r="K1737" s="137"/>
      <c r="M1737" s="126"/>
      <c r="O1737" s="137"/>
      <c r="P1737" s="137"/>
      <c r="Q1737" s="126"/>
    </row>
    <row r="1738" spans="3:17" x14ac:dyDescent="0.3">
      <c r="C1738" s="126"/>
      <c r="F1738" s="137"/>
      <c r="G1738" s="138"/>
      <c r="H1738" s="138"/>
      <c r="I1738" s="139"/>
      <c r="J1738" s="137"/>
      <c r="K1738" s="137"/>
      <c r="M1738" s="126"/>
      <c r="O1738" s="137"/>
      <c r="P1738" s="137"/>
      <c r="Q1738" s="126"/>
    </row>
    <row r="1739" spans="3:17" x14ac:dyDescent="0.3">
      <c r="C1739" s="126"/>
      <c r="F1739" s="137"/>
      <c r="G1739" s="138"/>
      <c r="H1739" s="138"/>
      <c r="I1739" s="139"/>
      <c r="J1739" s="137"/>
      <c r="K1739" s="137"/>
      <c r="M1739" s="126"/>
      <c r="O1739" s="137"/>
      <c r="P1739" s="137"/>
      <c r="Q1739" s="126"/>
    </row>
    <row r="1740" spans="3:17" x14ac:dyDescent="0.3">
      <c r="C1740" s="126"/>
      <c r="F1740" s="137"/>
      <c r="G1740" s="138"/>
      <c r="H1740" s="138"/>
      <c r="I1740" s="139"/>
      <c r="J1740" s="137"/>
      <c r="K1740" s="137"/>
      <c r="M1740" s="126"/>
      <c r="O1740" s="137"/>
      <c r="P1740" s="137"/>
      <c r="Q1740" s="126"/>
    </row>
    <row r="1741" spans="3:17" x14ac:dyDescent="0.3">
      <c r="C1741" s="126"/>
      <c r="F1741" s="137"/>
      <c r="G1741" s="138"/>
      <c r="H1741" s="138"/>
      <c r="I1741" s="139"/>
      <c r="J1741" s="137"/>
      <c r="K1741" s="137"/>
      <c r="M1741" s="126"/>
      <c r="O1741" s="137"/>
      <c r="P1741" s="137"/>
      <c r="Q1741" s="126"/>
    </row>
    <row r="1742" spans="3:17" x14ac:dyDescent="0.3">
      <c r="C1742" s="126"/>
      <c r="F1742" s="137"/>
      <c r="G1742" s="138"/>
      <c r="H1742" s="138"/>
      <c r="I1742" s="139"/>
      <c r="J1742" s="137"/>
      <c r="K1742" s="137"/>
      <c r="M1742" s="126"/>
      <c r="O1742" s="137"/>
      <c r="P1742" s="137"/>
      <c r="Q1742" s="126"/>
    </row>
    <row r="1743" spans="3:17" x14ac:dyDescent="0.3">
      <c r="C1743" s="126"/>
      <c r="F1743" s="137"/>
      <c r="G1743" s="138"/>
      <c r="H1743" s="138"/>
      <c r="I1743" s="139"/>
      <c r="J1743" s="137"/>
      <c r="K1743" s="137"/>
      <c r="M1743" s="126"/>
      <c r="O1743" s="137"/>
      <c r="P1743" s="137"/>
      <c r="Q1743" s="126"/>
    </row>
    <row r="1744" spans="3:17" x14ac:dyDescent="0.3">
      <c r="C1744" s="126"/>
      <c r="F1744" s="137"/>
      <c r="G1744" s="138"/>
      <c r="H1744" s="138"/>
      <c r="I1744" s="139"/>
      <c r="J1744" s="137"/>
      <c r="K1744" s="137"/>
      <c r="M1744" s="126"/>
      <c r="O1744" s="137"/>
      <c r="P1744" s="137"/>
      <c r="Q1744" s="126"/>
    </row>
    <row r="1745" spans="3:17" x14ac:dyDescent="0.3">
      <c r="C1745" s="126"/>
      <c r="F1745" s="137"/>
      <c r="G1745" s="138"/>
      <c r="H1745" s="138"/>
      <c r="I1745" s="139"/>
      <c r="J1745" s="137"/>
      <c r="K1745" s="137"/>
      <c r="M1745" s="126"/>
      <c r="O1745" s="137"/>
      <c r="P1745" s="137"/>
      <c r="Q1745" s="126"/>
    </row>
    <row r="1746" spans="3:17" x14ac:dyDescent="0.3">
      <c r="C1746" s="126"/>
      <c r="F1746" s="137"/>
      <c r="G1746" s="138"/>
      <c r="H1746" s="138"/>
      <c r="I1746" s="139"/>
      <c r="J1746" s="137"/>
      <c r="K1746" s="137"/>
      <c r="M1746" s="126"/>
      <c r="O1746" s="137"/>
      <c r="P1746" s="137"/>
      <c r="Q1746" s="126"/>
    </row>
    <row r="1747" spans="3:17" x14ac:dyDescent="0.3">
      <c r="C1747" s="126"/>
      <c r="F1747" s="137"/>
      <c r="G1747" s="138"/>
      <c r="H1747" s="138"/>
      <c r="I1747" s="139"/>
      <c r="J1747" s="137"/>
      <c r="K1747" s="137"/>
      <c r="M1747" s="126"/>
      <c r="O1747" s="137"/>
      <c r="P1747" s="137"/>
      <c r="Q1747" s="126"/>
    </row>
    <row r="1748" spans="3:17" x14ac:dyDescent="0.3">
      <c r="C1748" s="126"/>
      <c r="F1748" s="137"/>
      <c r="G1748" s="138"/>
      <c r="H1748" s="138"/>
      <c r="I1748" s="139"/>
      <c r="J1748" s="137"/>
      <c r="K1748" s="137"/>
      <c r="M1748" s="126"/>
      <c r="O1748" s="137"/>
      <c r="P1748" s="137"/>
      <c r="Q1748" s="126"/>
    </row>
    <row r="1749" spans="3:17" x14ac:dyDescent="0.3">
      <c r="C1749" s="126"/>
      <c r="F1749" s="137"/>
      <c r="G1749" s="138"/>
      <c r="H1749" s="138"/>
      <c r="I1749" s="139"/>
      <c r="J1749" s="137"/>
      <c r="K1749" s="137"/>
      <c r="M1749" s="126"/>
      <c r="O1749" s="137"/>
      <c r="P1749" s="137"/>
      <c r="Q1749" s="126"/>
    </row>
    <row r="1750" spans="3:17" x14ac:dyDescent="0.3">
      <c r="C1750" s="126"/>
      <c r="F1750" s="137"/>
      <c r="G1750" s="138"/>
      <c r="H1750" s="138"/>
      <c r="I1750" s="139"/>
      <c r="J1750" s="137"/>
      <c r="K1750" s="137"/>
      <c r="M1750" s="126"/>
      <c r="O1750" s="137"/>
      <c r="P1750" s="137"/>
      <c r="Q1750" s="126"/>
    </row>
    <row r="1751" spans="3:17" x14ac:dyDescent="0.3">
      <c r="C1751" s="126"/>
      <c r="F1751" s="137"/>
      <c r="G1751" s="138"/>
      <c r="H1751" s="138"/>
      <c r="I1751" s="139"/>
      <c r="J1751" s="137"/>
      <c r="K1751" s="137"/>
      <c r="M1751" s="126"/>
      <c r="O1751" s="137"/>
      <c r="P1751" s="137"/>
      <c r="Q1751" s="126"/>
    </row>
    <row r="1752" spans="3:17" x14ac:dyDescent="0.3">
      <c r="C1752" s="126"/>
      <c r="F1752" s="137"/>
      <c r="G1752" s="138"/>
      <c r="H1752" s="138"/>
      <c r="I1752" s="139"/>
      <c r="J1752" s="137"/>
      <c r="K1752" s="137"/>
      <c r="M1752" s="126"/>
      <c r="O1752" s="137"/>
      <c r="P1752" s="137"/>
      <c r="Q1752" s="126"/>
    </row>
    <row r="1753" spans="3:17" x14ac:dyDescent="0.3">
      <c r="C1753" s="126"/>
      <c r="F1753" s="137"/>
      <c r="G1753" s="138"/>
      <c r="H1753" s="138"/>
      <c r="I1753" s="139"/>
      <c r="J1753" s="137"/>
      <c r="K1753" s="137"/>
      <c r="M1753" s="126"/>
      <c r="O1753" s="137"/>
      <c r="P1753" s="137"/>
      <c r="Q1753" s="126"/>
    </row>
    <row r="1754" spans="3:17" x14ac:dyDescent="0.3">
      <c r="C1754" s="126"/>
      <c r="F1754" s="137"/>
      <c r="G1754" s="138"/>
      <c r="H1754" s="138"/>
      <c r="I1754" s="139"/>
      <c r="J1754" s="137"/>
      <c r="K1754" s="137"/>
      <c r="M1754" s="126"/>
      <c r="O1754" s="137"/>
      <c r="P1754" s="137"/>
      <c r="Q1754" s="126"/>
    </row>
    <row r="1755" spans="3:17" x14ac:dyDescent="0.3">
      <c r="C1755" s="126"/>
      <c r="F1755" s="137"/>
      <c r="G1755" s="138"/>
      <c r="H1755" s="138"/>
      <c r="I1755" s="139"/>
      <c r="J1755" s="137"/>
      <c r="K1755" s="137"/>
      <c r="M1755" s="126"/>
      <c r="O1755" s="137"/>
      <c r="P1755" s="137"/>
      <c r="Q1755" s="126"/>
    </row>
    <row r="1756" spans="3:17" x14ac:dyDescent="0.3">
      <c r="C1756" s="126"/>
      <c r="F1756" s="137"/>
      <c r="G1756" s="138"/>
      <c r="H1756" s="138"/>
      <c r="I1756" s="139"/>
      <c r="J1756" s="137"/>
      <c r="K1756" s="137"/>
      <c r="M1756" s="126"/>
      <c r="O1756" s="137"/>
      <c r="P1756" s="137"/>
      <c r="Q1756" s="126"/>
    </row>
    <row r="1757" spans="3:17" x14ac:dyDescent="0.3">
      <c r="C1757" s="126"/>
      <c r="F1757" s="137"/>
      <c r="G1757" s="138"/>
      <c r="H1757" s="138"/>
      <c r="I1757" s="139"/>
      <c r="J1757" s="137"/>
      <c r="K1757" s="137"/>
      <c r="M1757" s="126"/>
      <c r="O1757" s="137"/>
      <c r="P1757" s="137"/>
      <c r="Q1757" s="126"/>
    </row>
    <row r="1758" spans="3:17" x14ac:dyDescent="0.3">
      <c r="C1758" s="126"/>
      <c r="F1758" s="137"/>
      <c r="G1758" s="138"/>
      <c r="H1758" s="138"/>
      <c r="I1758" s="139"/>
      <c r="J1758" s="137"/>
      <c r="K1758" s="137"/>
      <c r="M1758" s="126"/>
      <c r="O1758" s="137"/>
      <c r="P1758" s="137"/>
      <c r="Q1758" s="126"/>
    </row>
    <row r="1759" spans="3:17" x14ac:dyDescent="0.3">
      <c r="C1759" s="126"/>
      <c r="F1759" s="137"/>
      <c r="G1759" s="138"/>
      <c r="H1759" s="138"/>
      <c r="I1759" s="139"/>
      <c r="J1759" s="137"/>
      <c r="K1759" s="137"/>
      <c r="M1759" s="126"/>
      <c r="O1759" s="137"/>
      <c r="P1759" s="137"/>
      <c r="Q1759" s="126"/>
    </row>
    <row r="1760" spans="3:17" x14ac:dyDescent="0.3">
      <c r="C1760" s="126"/>
      <c r="F1760" s="137"/>
      <c r="G1760" s="138"/>
      <c r="H1760" s="138"/>
      <c r="I1760" s="139"/>
      <c r="J1760" s="137"/>
      <c r="K1760" s="137"/>
      <c r="M1760" s="126"/>
      <c r="O1760" s="137"/>
      <c r="P1760" s="137"/>
      <c r="Q1760" s="126"/>
    </row>
    <row r="1761" spans="3:17" x14ac:dyDescent="0.3">
      <c r="C1761" s="126"/>
      <c r="F1761" s="137"/>
      <c r="G1761" s="138"/>
      <c r="H1761" s="138"/>
      <c r="I1761" s="139"/>
      <c r="J1761" s="137"/>
      <c r="K1761" s="137"/>
      <c r="M1761" s="126"/>
      <c r="O1761" s="137"/>
      <c r="P1761" s="137"/>
      <c r="Q1761" s="126"/>
    </row>
    <row r="1762" spans="3:17" x14ac:dyDescent="0.3">
      <c r="C1762" s="126"/>
      <c r="F1762" s="137"/>
      <c r="G1762" s="138"/>
      <c r="H1762" s="138"/>
      <c r="I1762" s="139"/>
      <c r="J1762" s="137"/>
      <c r="K1762" s="137"/>
      <c r="M1762" s="126"/>
      <c r="O1762" s="137"/>
      <c r="P1762" s="137"/>
      <c r="Q1762" s="126"/>
    </row>
    <row r="1763" spans="3:17" x14ac:dyDescent="0.3">
      <c r="C1763" s="126"/>
      <c r="F1763" s="137"/>
      <c r="G1763" s="138"/>
      <c r="H1763" s="138"/>
      <c r="I1763" s="139"/>
      <c r="J1763" s="137"/>
      <c r="K1763" s="137"/>
      <c r="M1763" s="126"/>
      <c r="O1763" s="137"/>
      <c r="P1763" s="137"/>
      <c r="Q1763" s="126"/>
    </row>
    <row r="1764" spans="3:17" x14ac:dyDescent="0.3">
      <c r="C1764" s="126"/>
      <c r="F1764" s="137"/>
      <c r="G1764" s="138"/>
      <c r="H1764" s="138"/>
      <c r="I1764" s="139"/>
      <c r="J1764" s="137"/>
      <c r="K1764" s="137"/>
      <c r="M1764" s="126"/>
      <c r="O1764" s="137"/>
      <c r="P1764" s="137"/>
      <c r="Q1764" s="126"/>
    </row>
    <row r="1765" spans="3:17" x14ac:dyDescent="0.3">
      <c r="C1765" s="126"/>
      <c r="F1765" s="137"/>
      <c r="G1765" s="138"/>
      <c r="H1765" s="138"/>
      <c r="I1765" s="139"/>
      <c r="J1765" s="137"/>
      <c r="K1765" s="137"/>
      <c r="M1765" s="126"/>
      <c r="O1765" s="137"/>
      <c r="P1765" s="137"/>
      <c r="Q1765" s="126"/>
    </row>
    <row r="1766" spans="3:17" x14ac:dyDescent="0.3">
      <c r="C1766" s="126"/>
      <c r="F1766" s="137"/>
      <c r="G1766" s="138"/>
      <c r="H1766" s="138"/>
      <c r="I1766" s="139"/>
      <c r="J1766" s="137"/>
      <c r="K1766" s="137"/>
      <c r="M1766" s="126"/>
      <c r="O1766" s="137"/>
      <c r="P1766" s="137"/>
      <c r="Q1766" s="126"/>
    </row>
    <row r="1767" spans="3:17" x14ac:dyDescent="0.3">
      <c r="C1767" s="126"/>
      <c r="F1767" s="137"/>
      <c r="G1767" s="138"/>
      <c r="H1767" s="138"/>
      <c r="I1767" s="139"/>
      <c r="J1767" s="137"/>
      <c r="K1767" s="137"/>
      <c r="M1767" s="126"/>
      <c r="O1767" s="137"/>
      <c r="P1767" s="137"/>
      <c r="Q1767" s="126"/>
    </row>
    <row r="1768" spans="3:17" x14ac:dyDescent="0.3">
      <c r="C1768" s="126"/>
      <c r="F1768" s="137"/>
      <c r="G1768" s="138"/>
      <c r="H1768" s="138"/>
      <c r="I1768" s="139"/>
      <c r="J1768" s="137"/>
      <c r="K1768" s="137"/>
      <c r="M1768" s="126"/>
      <c r="O1768" s="137"/>
      <c r="P1768" s="137"/>
      <c r="Q1768" s="126"/>
    </row>
    <row r="1769" spans="3:17" x14ac:dyDescent="0.3">
      <c r="C1769" s="126"/>
      <c r="F1769" s="137"/>
      <c r="G1769" s="138"/>
      <c r="H1769" s="138"/>
      <c r="I1769" s="139"/>
      <c r="J1769" s="137"/>
      <c r="K1769" s="137"/>
      <c r="M1769" s="126"/>
      <c r="O1769" s="137"/>
      <c r="P1769" s="137"/>
      <c r="Q1769" s="126"/>
    </row>
    <row r="1770" spans="3:17" x14ac:dyDescent="0.3">
      <c r="C1770" s="126"/>
      <c r="F1770" s="137"/>
      <c r="G1770" s="138"/>
      <c r="H1770" s="138"/>
      <c r="I1770" s="139"/>
      <c r="J1770" s="137"/>
      <c r="K1770" s="137"/>
      <c r="M1770" s="126"/>
      <c r="O1770" s="137"/>
      <c r="P1770" s="137"/>
      <c r="Q1770" s="126"/>
    </row>
    <row r="1771" spans="3:17" x14ac:dyDescent="0.3">
      <c r="C1771" s="126"/>
      <c r="F1771" s="137"/>
      <c r="G1771" s="138"/>
      <c r="H1771" s="138"/>
      <c r="I1771" s="139"/>
      <c r="J1771" s="137"/>
      <c r="K1771" s="137"/>
      <c r="M1771" s="126"/>
      <c r="O1771" s="137"/>
      <c r="P1771" s="137"/>
      <c r="Q1771" s="126"/>
    </row>
    <row r="1772" spans="3:17" x14ac:dyDescent="0.3">
      <c r="C1772" s="126"/>
      <c r="F1772" s="137"/>
      <c r="G1772" s="138"/>
      <c r="H1772" s="138"/>
      <c r="I1772" s="139"/>
      <c r="J1772" s="137"/>
      <c r="K1772" s="137"/>
      <c r="M1772" s="126"/>
      <c r="O1772" s="137"/>
      <c r="P1772" s="137"/>
      <c r="Q1772" s="126"/>
    </row>
    <row r="1773" spans="3:17" x14ac:dyDescent="0.3">
      <c r="C1773" s="126"/>
      <c r="F1773" s="137"/>
      <c r="G1773" s="138"/>
      <c r="H1773" s="138"/>
      <c r="I1773" s="139"/>
      <c r="J1773" s="137"/>
      <c r="K1773" s="137"/>
      <c r="M1773" s="126"/>
      <c r="O1773" s="137"/>
      <c r="P1773" s="137"/>
      <c r="Q1773" s="126"/>
    </row>
    <row r="1774" spans="3:17" x14ac:dyDescent="0.3">
      <c r="C1774" s="126"/>
      <c r="F1774" s="137"/>
      <c r="G1774" s="138"/>
      <c r="H1774" s="138"/>
      <c r="I1774" s="139"/>
      <c r="J1774" s="137"/>
      <c r="K1774" s="137"/>
      <c r="M1774" s="126"/>
      <c r="O1774" s="137"/>
      <c r="P1774" s="137"/>
      <c r="Q1774" s="126"/>
    </row>
    <row r="1775" spans="3:17" x14ac:dyDescent="0.3">
      <c r="C1775" s="126"/>
      <c r="F1775" s="137"/>
      <c r="G1775" s="138"/>
      <c r="H1775" s="138"/>
      <c r="I1775" s="139"/>
      <c r="J1775" s="137"/>
      <c r="K1775" s="137"/>
      <c r="M1775" s="126"/>
      <c r="O1775" s="137"/>
      <c r="P1775" s="137"/>
      <c r="Q1775" s="126"/>
    </row>
    <row r="1776" spans="3:17" x14ac:dyDescent="0.3">
      <c r="C1776" s="126"/>
      <c r="F1776" s="137"/>
      <c r="G1776" s="138"/>
      <c r="H1776" s="138"/>
      <c r="I1776" s="139"/>
      <c r="J1776" s="137"/>
      <c r="K1776" s="137"/>
      <c r="M1776" s="126"/>
      <c r="O1776" s="137"/>
      <c r="P1776" s="137"/>
      <c r="Q1776" s="126"/>
    </row>
    <row r="1777" spans="3:17" x14ac:dyDescent="0.3">
      <c r="C1777" s="126"/>
      <c r="F1777" s="137"/>
      <c r="G1777" s="138"/>
      <c r="H1777" s="138"/>
      <c r="I1777" s="139"/>
      <c r="J1777" s="137"/>
      <c r="K1777" s="137"/>
      <c r="M1777" s="126"/>
      <c r="O1777" s="137"/>
      <c r="P1777" s="137"/>
      <c r="Q1777" s="126"/>
    </row>
    <row r="1778" spans="3:17" x14ac:dyDescent="0.3">
      <c r="C1778" s="126"/>
      <c r="F1778" s="137"/>
      <c r="G1778" s="138"/>
      <c r="H1778" s="138"/>
      <c r="I1778" s="139"/>
      <c r="J1778" s="137"/>
      <c r="K1778" s="137"/>
      <c r="M1778" s="126"/>
      <c r="O1778" s="137"/>
      <c r="P1778" s="137"/>
      <c r="Q1778" s="126"/>
    </row>
    <row r="1779" spans="3:17" x14ac:dyDescent="0.3">
      <c r="C1779" s="126"/>
      <c r="F1779" s="137"/>
      <c r="G1779" s="138"/>
      <c r="H1779" s="138"/>
      <c r="I1779" s="139"/>
      <c r="J1779" s="137"/>
      <c r="K1779" s="137"/>
      <c r="M1779" s="126"/>
      <c r="O1779" s="137"/>
      <c r="P1779" s="137"/>
      <c r="Q1779" s="126"/>
    </row>
    <row r="1780" spans="3:17" x14ac:dyDescent="0.3">
      <c r="C1780" s="126"/>
      <c r="F1780" s="137"/>
      <c r="G1780" s="138"/>
      <c r="H1780" s="138"/>
      <c r="I1780" s="139"/>
      <c r="J1780" s="137"/>
      <c r="K1780" s="137"/>
      <c r="M1780" s="126"/>
      <c r="O1780" s="137"/>
      <c r="P1780" s="137"/>
      <c r="Q1780" s="126"/>
    </row>
    <row r="1781" spans="3:17" x14ac:dyDescent="0.3">
      <c r="C1781" s="126"/>
      <c r="F1781" s="137"/>
      <c r="G1781" s="138"/>
      <c r="H1781" s="138"/>
      <c r="I1781" s="139"/>
      <c r="J1781" s="137"/>
      <c r="K1781" s="137"/>
      <c r="M1781" s="126"/>
      <c r="O1781" s="137"/>
      <c r="P1781" s="137"/>
      <c r="Q1781" s="126"/>
    </row>
    <row r="1782" spans="3:17" x14ac:dyDescent="0.3">
      <c r="C1782" s="126"/>
      <c r="F1782" s="137"/>
      <c r="G1782" s="138"/>
      <c r="H1782" s="138"/>
      <c r="I1782" s="139"/>
      <c r="J1782" s="137"/>
      <c r="K1782" s="137"/>
      <c r="M1782" s="126"/>
      <c r="O1782" s="137"/>
      <c r="P1782" s="137"/>
      <c r="Q1782" s="126"/>
    </row>
    <row r="1783" spans="3:17" x14ac:dyDescent="0.3">
      <c r="C1783" s="126"/>
      <c r="F1783" s="137"/>
      <c r="G1783" s="138"/>
      <c r="H1783" s="138"/>
      <c r="I1783" s="139"/>
      <c r="J1783" s="137"/>
      <c r="K1783" s="137"/>
      <c r="M1783" s="126"/>
      <c r="O1783" s="137"/>
      <c r="P1783" s="137"/>
      <c r="Q1783" s="126"/>
    </row>
    <row r="1784" spans="3:17" x14ac:dyDescent="0.3">
      <c r="C1784" s="126"/>
      <c r="F1784" s="137"/>
      <c r="G1784" s="138"/>
      <c r="H1784" s="138"/>
      <c r="I1784" s="139"/>
      <c r="J1784" s="137"/>
      <c r="K1784" s="137"/>
      <c r="M1784" s="126"/>
      <c r="O1784" s="137"/>
      <c r="P1784" s="137"/>
      <c r="Q1784" s="126"/>
    </row>
    <row r="1785" spans="3:17" x14ac:dyDescent="0.3">
      <c r="C1785" s="126"/>
      <c r="F1785" s="137"/>
      <c r="G1785" s="138"/>
      <c r="H1785" s="138"/>
      <c r="I1785" s="139"/>
      <c r="J1785" s="137"/>
      <c r="K1785" s="137"/>
      <c r="M1785" s="126"/>
      <c r="O1785" s="137"/>
      <c r="P1785" s="137"/>
      <c r="Q1785" s="126"/>
    </row>
    <row r="1786" spans="3:17" x14ac:dyDescent="0.3">
      <c r="C1786" s="126"/>
      <c r="F1786" s="137"/>
      <c r="G1786" s="138"/>
      <c r="H1786" s="138"/>
      <c r="I1786" s="139"/>
      <c r="J1786" s="137"/>
      <c r="K1786" s="137"/>
      <c r="M1786" s="126"/>
      <c r="O1786" s="137"/>
      <c r="P1786" s="137"/>
      <c r="Q1786" s="126"/>
    </row>
    <row r="1787" spans="3:17" x14ac:dyDescent="0.3">
      <c r="C1787" s="126"/>
      <c r="F1787" s="137"/>
      <c r="G1787" s="138"/>
      <c r="H1787" s="138"/>
      <c r="I1787" s="139"/>
      <c r="J1787" s="137"/>
      <c r="K1787" s="137"/>
      <c r="M1787" s="126"/>
      <c r="O1787" s="137"/>
      <c r="P1787" s="137"/>
      <c r="Q1787" s="126"/>
    </row>
    <row r="1788" spans="3:17" x14ac:dyDescent="0.3">
      <c r="C1788" s="126"/>
      <c r="F1788" s="137"/>
      <c r="G1788" s="138"/>
      <c r="H1788" s="138"/>
      <c r="I1788" s="139"/>
      <c r="J1788" s="137"/>
      <c r="K1788" s="137"/>
      <c r="M1788" s="126"/>
      <c r="O1788" s="137"/>
      <c r="P1788" s="137"/>
      <c r="Q1788" s="126"/>
    </row>
    <row r="1789" spans="3:17" x14ac:dyDescent="0.3">
      <c r="C1789" s="126"/>
      <c r="F1789" s="137"/>
      <c r="G1789" s="138"/>
      <c r="H1789" s="138"/>
      <c r="I1789" s="139"/>
      <c r="J1789" s="137"/>
      <c r="K1789" s="137"/>
      <c r="M1789" s="126"/>
      <c r="O1789" s="137"/>
      <c r="P1789" s="137"/>
      <c r="Q1789" s="126"/>
    </row>
    <row r="1790" spans="3:17" x14ac:dyDescent="0.3">
      <c r="C1790" s="126"/>
      <c r="F1790" s="137"/>
      <c r="G1790" s="138"/>
      <c r="H1790" s="138"/>
      <c r="I1790" s="139"/>
      <c r="J1790" s="137"/>
      <c r="K1790" s="137"/>
      <c r="M1790" s="126"/>
      <c r="O1790" s="137"/>
      <c r="P1790" s="137"/>
      <c r="Q1790" s="126"/>
    </row>
    <row r="1791" spans="3:17" x14ac:dyDescent="0.3">
      <c r="C1791" s="126"/>
      <c r="F1791" s="137"/>
      <c r="G1791" s="138"/>
      <c r="H1791" s="138"/>
      <c r="I1791" s="139"/>
      <c r="J1791" s="137"/>
      <c r="K1791" s="137"/>
      <c r="M1791" s="126"/>
      <c r="O1791" s="137"/>
      <c r="P1791" s="137"/>
      <c r="Q1791" s="126"/>
    </row>
    <row r="1792" spans="3:17" x14ac:dyDescent="0.3">
      <c r="C1792" s="126"/>
      <c r="F1792" s="137"/>
      <c r="G1792" s="138"/>
      <c r="H1792" s="138"/>
      <c r="I1792" s="139"/>
      <c r="J1792" s="137"/>
      <c r="K1792" s="137"/>
      <c r="M1792" s="126"/>
      <c r="O1792" s="137"/>
      <c r="P1792" s="137"/>
      <c r="Q1792" s="126"/>
    </row>
    <row r="1793" spans="3:17" x14ac:dyDescent="0.3">
      <c r="C1793" s="126"/>
      <c r="F1793" s="137"/>
      <c r="G1793" s="138"/>
      <c r="H1793" s="138"/>
      <c r="I1793" s="139"/>
      <c r="J1793" s="137"/>
      <c r="K1793" s="137"/>
      <c r="M1793" s="126"/>
      <c r="O1793" s="137"/>
      <c r="P1793" s="137"/>
      <c r="Q1793" s="126"/>
    </row>
    <row r="1794" spans="3:17" x14ac:dyDescent="0.3">
      <c r="C1794" s="126"/>
      <c r="F1794" s="137"/>
      <c r="G1794" s="138"/>
      <c r="H1794" s="138"/>
      <c r="I1794" s="139"/>
      <c r="J1794" s="137"/>
      <c r="K1794" s="137"/>
      <c r="M1794" s="126"/>
      <c r="O1794" s="137"/>
      <c r="P1794" s="137"/>
      <c r="Q1794" s="126"/>
    </row>
    <row r="1795" spans="3:17" x14ac:dyDescent="0.3">
      <c r="C1795" s="126"/>
      <c r="F1795" s="137"/>
      <c r="G1795" s="138"/>
      <c r="H1795" s="138"/>
      <c r="I1795" s="139"/>
      <c r="J1795" s="137"/>
      <c r="K1795" s="137"/>
      <c r="M1795" s="126"/>
      <c r="O1795" s="137"/>
      <c r="P1795" s="137"/>
      <c r="Q1795" s="126"/>
    </row>
    <row r="1796" spans="3:17" x14ac:dyDescent="0.3">
      <c r="C1796" s="126"/>
      <c r="F1796" s="137"/>
      <c r="G1796" s="138"/>
      <c r="H1796" s="138"/>
      <c r="I1796" s="139"/>
      <c r="J1796" s="137"/>
      <c r="K1796" s="137"/>
      <c r="M1796" s="126"/>
      <c r="O1796" s="137"/>
      <c r="P1796" s="137"/>
      <c r="Q1796" s="126"/>
    </row>
    <row r="1797" spans="3:17" x14ac:dyDescent="0.3">
      <c r="C1797" s="126"/>
      <c r="F1797" s="137"/>
      <c r="G1797" s="138"/>
      <c r="H1797" s="138"/>
      <c r="I1797" s="139"/>
      <c r="J1797" s="137"/>
      <c r="K1797" s="137"/>
      <c r="M1797" s="126"/>
      <c r="O1797" s="137"/>
      <c r="P1797" s="137"/>
      <c r="Q1797" s="126"/>
    </row>
    <row r="1798" spans="3:17" x14ac:dyDescent="0.3">
      <c r="C1798" s="126"/>
      <c r="F1798" s="137"/>
      <c r="G1798" s="138"/>
      <c r="H1798" s="138"/>
      <c r="I1798" s="139"/>
      <c r="J1798" s="137"/>
      <c r="K1798" s="137"/>
      <c r="M1798" s="126"/>
      <c r="O1798" s="137"/>
      <c r="P1798" s="137"/>
      <c r="Q1798" s="126"/>
    </row>
    <row r="1799" spans="3:17" x14ac:dyDescent="0.3">
      <c r="C1799" s="126"/>
      <c r="F1799" s="137"/>
      <c r="G1799" s="138"/>
      <c r="H1799" s="138"/>
      <c r="I1799" s="139"/>
      <c r="J1799" s="137"/>
      <c r="K1799" s="137"/>
      <c r="M1799" s="126"/>
      <c r="O1799" s="137"/>
      <c r="P1799" s="137"/>
      <c r="Q1799" s="126"/>
    </row>
    <row r="1800" spans="3:17" x14ac:dyDescent="0.3">
      <c r="C1800" s="126"/>
      <c r="F1800" s="137"/>
      <c r="G1800" s="138"/>
      <c r="H1800" s="138"/>
      <c r="I1800" s="139"/>
      <c r="J1800" s="137"/>
      <c r="K1800" s="137"/>
      <c r="M1800" s="126"/>
      <c r="O1800" s="137"/>
      <c r="P1800" s="137"/>
      <c r="Q1800" s="126"/>
    </row>
    <row r="1801" spans="3:17" x14ac:dyDescent="0.3">
      <c r="C1801" s="126"/>
      <c r="F1801" s="137"/>
      <c r="G1801" s="138"/>
      <c r="H1801" s="138"/>
      <c r="I1801" s="139"/>
      <c r="J1801" s="137"/>
      <c r="K1801" s="137"/>
      <c r="M1801" s="126"/>
      <c r="O1801" s="137"/>
      <c r="P1801" s="137"/>
      <c r="Q1801" s="126"/>
    </row>
    <row r="1802" spans="3:17" x14ac:dyDescent="0.3">
      <c r="C1802" s="126"/>
      <c r="F1802" s="137"/>
      <c r="G1802" s="138"/>
      <c r="H1802" s="138"/>
      <c r="I1802" s="139"/>
      <c r="J1802" s="137"/>
      <c r="K1802" s="137"/>
      <c r="M1802" s="126"/>
      <c r="O1802" s="137"/>
      <c r="P1802" s="137"/>
      <c r="Q1802" s="126"/>
    </row>
    <row r="1803" spans="3:17" x14ac:dyDescent="0.3">
      <c r="C1803" s="126"/>
      <c r="F1803" s="137"/>
      <c r="G1803" s="138"/>
      <c r="H1803" s="138"/>
      <c r="I1803" s="139"/>
      <c r="J1803" s="137"/>
      <c r="K1803" s="137"/>
      <c r="M1803" s="126"/>
      <c r="O1803" s="137"/>
      <c r="P1803" s="137"/>
      <c r="Q1803" s="126"/>
    </row>
    <row r="1804" spans="3:17" x14ac:dyDescent="0.3">
      <c r="C1804" s="126"/>
      <c r="F1804" s="137"/>
      <c r="G1804" s="138"/>
      <c r="H1804" s="138"/>
      <c r="I1804" s="139"/>
      <c r="J1804" s="137"/>
      <c r="K1804" s="137"/>
      <c r="M1804" s="126"/>
      <c r="O1804" s="137"/>
      <c r="P1804" s="137"/>
      <c r="Q1804" s="126"/>
    </row>
    <row r="1805" spans="3:17" x14ac:dyDescent="0.3">
      <c r="C1805" s="126"/>
      <c r="F1805" s="137"/>
      <c r="G1805" s="138"/>
      <c r="H1805" s="138"/>
      <c r="I1805" s="139"/>
      <c r="J1805" s="137"/>
      <c r="K1805" s="137"/>
      <c r="M1805" s="126"/>
      <c r="O1805" s="137"/>
      <c r="P1805" s="137"/>
      <c r="Q1805" s="126"/>
    </row>
    <row r="1806" spans="3:17" x14ac:dyDescent="0.3">
      <c r="C1806" s="126"/>
      <c r="F1806" s="137"/>
      <c r="G1806" s="138"/>
      <c r="H1806" s="138"/>
      <c r="I1806" s="139"/>
      <c r="J1806" s="137"/>
      <c r="K1806" s="137"/>
      <c r="M1806" s="126"/>
      <c r="O1806" s="137"/>
      <c r="P1806" s="137"/>
      <c r="Q1806" s="126"/>
    </row>
    <row r="1807" spans="3:17" x14ac:dyDescent="0.3">
      <c r="C1807" s="126"/>
      <c r="F1807" s="137"/>
      <c r="G1807" s="138"/>
      <c r="H1807" s="138"/>
      <c r="I1807" s="139"/>
      <c r="J1807" s="137"/>
      <c r="K1807" s="137"/>
      <c r="M1807" s="126"/>
      <c r="O1807" s="137"/>
      <c r="P1807" s="137"/>
      <c r="Q1807" s="126"/>
    </row>
    <row r="1808" spans="3:17" x14ac:dyDescent="0.3">
      <c r="C1808" s="126"/>
      <c r="F1808" s="137"/>
      <c r="G1808" s="138"/>
      <c r="H1808" s="138"/>
      <c r="I1808" s="139"/>
      <c r="J1808" s="137"/>
      <c r="K1808" s="137"/>
      <c r="M1808" s="126"/>
      <c r="O1808" s="137"/>
      <c r="P1808" s="137"/>
      <c r="Q1808" s="126"/>
    </row>
    <row r="1809" spans="3:17" x14ac:dyDescent="0.3">
      <c r="C1809" s="126"/>
      <c r="F1809" s="137"/>
      <c r="G1809" s="138"/>
      <c r="H1809" s="138"/>
      <c r="I1809" s="139"/>
      <c r="J1809" s="137"/>
      <c r="K1809" s="137"/>
      <c r="M1809" s="126"/>
      <c r="O1809" s="137"/>
      <c r="P1809" s="137"/>
      <c r="Q1809" s="126"/>
    </row>
    <row r="1810" spans="3:17" x14ac:dyDescent="0.3">
      <c r="C1810" s="126"/>
      <c r="F1810" s="137"/>
      <c r="G1810" s="138"/>
      <c r="H1810" s="138"/>
      <c r="I1810" s="139"/>
      <c r="J1810" s="137"/>
      <c r="K1810" s="137"/>
      <c r="M1810" s="126"/>
      <c r="O1810" s="137"/>
      <c r="P1810" s="137"/>
      <c r="Q1810" s="126"/>
    </row>
    <row r="1811" spans="3:17" x14ac:dyDescent="0.3">
      <c r="C1811" s="126"/>
      <c r="F1811" s="137"/>
      <c r="G1811" s="138"/>
      <c r="H1811" s="138"/>
      <c r="I1811" s="139"/>
      <c r="J1811" s="137"/>
      <c r="K1811" s="137"/>
      <c r="M1811" s="126"/>
      <c r="O1811" s="137"/>
      <c r="P1811" s="137"/>
      <c r="Q1811" s="126"/>
    </row>
    <row r="1812" spans="3:17" x14ac:dyDescent="0.3">
      <c r="C1812" s="126"/>
      <c r="F1812" s="137"/>
      <c r="G1812" s="138"/>
      <c r="H1812" s="138"/>
      <c r="I1812" s="139"/>
      <c r="J1812" s="137"/>
      <c r="K1812" s="137"/>
      <c r="M1812" s="126"/>
      <c r="O1812" s="137"/>
      <c r="P1812" s="137"/>
      <c r="Q1812" s="126"/>
    </row>
    <row r="1813" spans="3:17" x14ac:dyDescent="0.3">
      <c r="C1813" s="126"/>
      <c r="F1813" s="137"/>
      <c r="G1813" s="138"/>
      <c r="H1813" s="138"/>
      <c r="I1813" s="139"/>
      <c r="J1813" s="137"/>
      <c r="K1813" s="137"/>
      <c r="M1813" s="126"/>
      <c r="O1813" s="137"/>
      <c r="P1813" s="137"/>
      <c r="Q1813" s="126"/>
    </row>
    <row r="1814" spans="3:17" x14ac:dyDescent="0.3">
      <c r="C1814" s="126"/>
      <c r="F1814" s="137"/>
      <c r="G1814" s="138"/>
      <c r="H1814" s="138"/>
      <c r="I1814" s="139"/>
      <c r="J1814" s="137"/>
      <c r="K1814" s="137"/>
      <c r="M1814" s="126"/>
      <c r="O1814" s="137"/>
      <c r="P1814" s="137"/>
      <c r="Q1814" s="126"/>
    </row>
    <row r="1815" spans="3:17" x14ac:dyDescent="0.3">
      <c r="C1815" s="126"/>
      <c r="F1815" s="137"/>
      <c r="G1815" s="138"/>
      <c r="H1815" s="138"/>
      <c r="I1815" s="139"/>
      <c r="J1815" s="137"/>
      <c r="K1815" s="137"/>
      <c r="M1815" s="126"/>
      <c r="O1815" s="137"/>
      <c r="P1815" s="137"/>
      <c r="Q1815" s="126"/>
    </row>
    <row r="1816" spans="3:17" x14ac:dyDescent="0.3">
      <c r="C1816" s="126"/>
      <c r="F1816" s="137"/>
      <c r="G1816" s="138"/>
      <c r="H1816" s="138"/>
      <c r="I1816" s="139"/>
      <c r="J1816" s="137"/>
      <c r="K1816" s="137"/>
      <c r="M1816" s="126"/>
      <c r="O1816" s="137"/>
      <c r="P1816" s="137"/>
      <c r="Q1816" s="126"/>
    </row>
    <row r="1817" spans="3:17" x14ac:dyDescent="0.3">
      <c r="C1817" s="126"/>
      <c r="F1817" s="137"/>
      <c r="G1817" s="138"/>
      <c r="H1817" s="138"/>
      <c r="I1817" s="139"/>
      <c r="J1817" s="137"/>
      <c r="K1817" s="137"/>
      <c r="M1817" s="126"/>
      <c r="O1817" s="137"/>
      <c r="P1817" s="137"/>
      <c r="Q1817" s="126"/>
    </row>
    <row r="1818" spans="3:17" x14ac:dyDescent="0.3">
      <c r="C1818" s="126"/>
      <c r="F1818" s="137"/>
      <c r="G1818" s="138"/>
      <c r="H1818" s="138"/>
      <c r="I1818" s="139"/>
      <c r="J1818" s="137"/>
      <c r="K1818" s="137"/>
      <c r="M1818" s="126"/>
      <c r="O1818" s="137"/>
      <c r="P1818" s="137"/>
      <c r="Q1818" s="126"/>
    </row>
    <row r="1819" spans="3:17" x14ac:dyDescent="0.3">
      <c r="C1819" s="126"/>
      <c r="F1819" s="137"/>
      <c r="G1819" s="138"/>
      <c r="H1819" s="138"/>
      <c r="I1819" s="139"/>
      <c r="J1819" s="137"/>
      <c r="K1819" s="137"/>
      <c r="M1819" s="126"/>
      <c r="O1819" s="137"/>
      <c r="P1819" s="137"/>
      <c r="Q1819" s="126"/>
    </row>
    <row r="1820" spans="3:17" x14ac:dyDescent="0.3">
      <c r="C1820" s="126"/>
      <c r="F1820" s="137"/>
      <c r="G1820" s="138"/>
      <c r="H1820" s="138"/>
      <c r="I1820" s="139"/>
      <c r="J1820" s="137"/>
      <c r="K1820" s="137"/>
      <c r="M1820" s="126"/>
      <c r="O1820" s="137"/>
      <c r="P1820" s="137"/>
      <c r="Q1820" s="126"/>
    </row>
    <row r="1821" spans="3:17" x14ac:dyDescent="0.3">
      <c r="C1821" s="126"/>
      <c r="F1821" s="137"/>
      <c r="G1821" s="138"/>
      <c r="H1821" s="138"/>
      <c r="I1821" s="139"/>
      <c r="J1821" s="137"/>
      <c r="K1821" s="137"/>
      <c r="M1821" s="126"/>
      <c r="O1821" s="137"/>
      <c r="P1821" s="137"/>
      <c r="Q1821" s="126"/>
    </row>
    <row r="1822" spans="3:17" x14ac:dyDescent="0.3">
      <c r="C1822" s="126"/>
      <c r="F1822" s="137"/>
      <c r="G1822" s="138"/>
      <c r="H1822" s="138"/>
      <c r="I1822" s="139"/>
      <c r="J1822" s="137"/>
      <c r="K1822" s="137"/>
      <c r="M1822" s="126"/>
      <c r="O1822" s="137"/>
      <c r="P1822" s="137"/>
      <c r="Q1822" s="126"/>
    </row>
    <row r="1823" spans="3:17" x14ac:dyDescent="0.3">
      <c r="C1823" s="126"/>
      <c r="F1823" s="137"/>
      <c r="G1823" s="138"/>
      <c r="H1823" s="138"/>
      <c r="I1823" s="139"/>
      <c r="J1823" s="137"/>
      <c r="K1823" s="137"/>
      <c r="M1823" s="126"/>
      <c r="O1823" s="137"/>
      <c r="P1823" s="137"/>
      <c r="Q1823" s="126"/>
    </row>
    <row r="1824" spans="3:17" x14ac:dyDescent="0.3">
      <c r="C1824" s="126"/>
      <c r="F1824" s="137"/>
      <c r="G1824" s="138"/>
      <c r="H1824" s="138"/>
      <c r="I1824" s="139"/>
      <c r="J1824" s="137"/>
      <c r="K1824" s="137"/>
      <c r="M1824" s="126"/>
      <c r="O1824" s="137"/>
      <c r="P1824" s="137"/>
      <c r="Q1824" s="126"/>
    </row>
    <row r="1825" spans="3:17" x14ac:dyDescent="0.3">
      <c r="C1825" s="126"/>
      <c r="F1825" s="137"/>
      <c r="G1825" s="138"/>
      <c r="H1825" s="138"/>
      <c r="I1825" s="139"/>
      <c r="J1825" s="137"/>
      <c r="K1825" s="137"/>
      <c r="M1825" s="126"/>
      <c r="O1825" s="137"/>
      <c r="P1825" s="137"/>
      <c r="Q1825" s="126"/>
    </row>
    <row r="1826" spans="3:17" x14ac:dyDescent="0.3">
      <c r="C1826" s="126"/>
      <c r="F1826" s="137"/>
      <c r="G1826" s="138"/>
      <c r="H1826" s="138"/>
      <c r="I1826" s="139"/>
      <c r="J1826" s="137"/>
      <c r="K1826" s="137"/>
      <c r="M1826" s="126"/>
      <c r="O1826" s="137"/>
      <c r="P1826" s="137"/>
      <c r="Q1826" s="126"/>
    </row>
    <row r="1827" spans="3:17" x14ac:dyDescent="0.3">
      <c r="C1827" s="126"/>
      <c r="F1827" s="137"/>
      <c r="G1827" s="138"/>
      <c r="H1827" s="138"/>
      <c r="I1827" s="139"/>
      <c r="J1827" s="137"/>
      <c r="K1827" s="137"/>
      <c r="M1827" s="126"/>
      <c r="O1827" s="137"/>
      <c r="P1827" s="137"/>
      <c r="Q1827" s="126"/>
    </row>
    <row r="1828" spans="3:17" x14ac:dyDescent="0.3">
      <c r="C1828" s="126"/>
      <c r="F1828" s="137"/>
      <c r="G1828" s="138"/>
      <c r="H1828" s="138"/>
      <c r="I1828" s="139"/>
      <c r="J1828" s="137"/>
      <c r="K1828" s="137"/>
      <c r="M1828" s="126"/>
      <c r="O1828" s="137"/>
      <c r="P1828" s="137"/>
      <c r="Q1828" s="126"/>
    </row>
    <row r="1829" spans="3:17" x14ac:dyDescent="0.3">
      <c r="C1829" s="126"/>
      <c r="F1829" s="137"/>
      <c r="G1829" s="138"/>
      <c r="H1829" s="138"/>
      <c r="I1829" s="139"/>
      <c r="J1829" s="137"/>
      <c r="K1829" s="137"/>
      <c r="M1829" s="126"/>
      <c r="O1829" s="137"/>
      <c r="P1829" s="137"/>
      <c r="Q1829" s="126"/>
    </row>
    <row r="1830" spans="3:17" x14ac:dyDescent="0.3">
      <c r="C1830" s="126"/>
      <c r="F1830" s="137"/>
      <c r="G1830" s="138"/>
      <c r="H1830" s="138"/>
      <c r="I1830" s="139"/>
      <c r="J1830" s="137"/>
      <c r="K1830" s="137"/>
      <c r="M1830" s="126"/>
      <c r="O1830" s="137"/>
      <c r="P1830" s="137"/>
      <c r="Q1830" s="126"/>
    </row>
    <row r="1831" spans="3:17" x14ac:dyDescent="0.3">
      <c r="C1831" s="126"/>
      <c r="F1831" s="137"/>
      <c r="G1831" s="138"/>
      <c r="H1831" s="138"/>
      <c r="I1831" s="139"/>
      <c r="J1831" s="137"/>
      <c r="K1831" s="137"/>
      <c r="M1831" s="126"/>
      <c r="O1831" s="137"/>
      <c r="P1831" s="137"/>
      <c r="Q1831" s="126"/>
    </row>
    <row r="1832" spans="3:17" x14ac:dyDescent="0.3">
      <c r="C1832" s="126"/>
      <c r="F1832" s="137"/>
      <c r="G1832" s="138"/>
      <c r="H1832" s="138"/>
      <c r="I1832" s="139"/>
      <c r="J1832" s="137"/>
      <c r="K1832" s="137"/>
      <c r="M1832" s="126"/>
      <c r="O1832" s="137"/>
      <c r="P1832" s="137"/>
      <c r="Q1832" s="126"/>
    </row>
    <row r="1833" spans="3:17" x14ac:dyDescent="0.3">
      <c r="C1833" s="126"/>
      <c r="F1833" s="137"/>
      <c r="G1833" s="138"/>
      <c r="H1833" s="138"/>
      <c r="I1833" s="139"/>
      <c r="J1833" s="137"/>
      <c r="K1833" s="137"/>
      <c r="M1833" s="126"/>
      <c r="O1833" s="137"/>
      <c r="P1833" s="137"/>
      <c r="Q1833" s="126"/>
    </row>
    <row r="1834" spans="3:17" x14ac:dyDescent="0.3">
      <c r="C1834" s="126"/>
      <c r="F1834" s="137"/>
      <c r="G1834" s="138"/>
      <c r="H1834" s="138"/>
      <c r="I1834" s="139"/>
      <c r="J1834" s="137"/>
      <c r="K1834" s="137"/>
      <c r="M1834" s="126"/>
      <c r="O1834" s="137"/>
      <c r="P1834" s="137"/>
      <c r="Q1834" s="126"/>
    </row>
    <row r="1835" spans="3:17" x14ac:dyDescent="0.3">
      <c r="C1835" s="126"/>
      <c r="F1835" s="137"/>
      <c r="G1835" s="138"/>
      <c r="H1835" s="138"/>
      <c r="I1835" s="139"/>
      <c r="J1835" s="137"/>
      <c r="K1835" s="137"/>
      <c r="M1835" s="126"/>
      <c r="O1835" s="137"/>
      <c r="P1835" s="137"/>
      <c r="Q1835" s="126"/>
    </row>
    <row r="1836" spans="3:17" x14ac:dyDescent="0.3">
      <c r="C1836" s="126"/>
      <c r="F1836" s="137"/>
      <c r="G1836" s="138"/>
      <c r="H1836" s="138"/>
      <c r="I1836" s="139"/>
      <c r="J1836" s="137"/>
      <c r="K1836" s="137"/>
      <c r="M1836" s="126"/>
      <c r="O1836" s="137"/>
      <c r="P1836" s="137"/>
      <c r="Q1836" s="126"/>
    </row>
    <row r="1837" spans="3:17" x14ac:dyDescent="0.3">
      <c r="C1837" s="126"/>
      <c r="F1837" s="137"/>
      <c r="G1837" s="138"/>
      <c r="H1837" s="138"/>
      <c r="I1837" s="139"/>
      <c r="J1837" s="137"/>
      <c r="K1837" s="137"/>
      <c r="M1837" s="126"/>
      <c r="O1837" s="137"/>
      <c r="P1837" s="137"/>
      <c r="Q1837" s="126"/>
    </row>
    <row r="1838" spans="3:17" x14ac:dyDescent="0.3">
      <c r="C1838" s="126"/>
      <c r="F1838" s="137"/>
      <c r="G1838" s="138"/>
      <c r="H1838" s="138"/>
      <c r="I1838" s="139"/>
      <c r="J1838" s="137"/>
      <c r="K1838" s="137"/>
      <c r="M1838" s="126"/>
      <c r="O1838" s="137"/>
      <c r="P1838" s="137"/>
      <c r="Q1838" s="126"/>
    </row>
    <row r="1839" spans="3:17" x14ac:dyDescent="0.3">
      <c r="C1839" s="126"/>
      <c r="F1839" s="137"/>
      <c r="G1839" s="138"/>
      <c r="H1839" s="138"/>
      <c r="I1839" s="139"/>
      <c r="J1839" s="137"/>
      <c r="K1839" s="137"/>
      <c r="M1839" s="126"/>
      <c r="O1839" s="137"/>
      <c r="P1839" s="137"/>
      <c r="Q1839" s="126"/>
    </row>
    <row r="1840" spans="3:17" x14ac:dyDescent="0.3">
      <c r="C1840" s="126"/>
      <c r="F1840" s="137"/>
      <c r="G1840" s="138"/>
      <c r="H1840" s="138"/>
      <c r="I1840" s="139"/>
      <c r="J1840" s="137"/>
      <c r="K1840" s="137"/>
      <c r="M1840" s="126"/>
      <c r="O1840" s="137"/>
      <c r="P1840" s="137"/>
      <c r="Q1840" s="126"/>
    </row>
    <row r="1841" spans="3:17" x14ac:dyDescent="0.3">
      <c r="C1841" s="126"/>
      <c r="F1841" s="137"/>
      <c r="G1841" s="138"/>
      <c r="H1841" s="138"/>
      <c r="I1841" s="139"/>
      <c r="J1841" s="137"/>
      <c r="K1841" s="137"/>
      <c r="M1841" s="126"/>
      <c r="O1841" s="137"/>
      <c r="P1841" s="137"/>
      <c r="Q1841" s="126"/>
    </row>
    <row r="1842" spans="3:17" x14ac:dyDescent="0.3">
      <c r="C1842" s="126"/>
      <c r="F1842" s="137"/>
      <c r="G1842" s="138"/>
      <c r="H1842" s="138"/>
      <c r="I1842" s="139"/>
      <c r="J1842" s="137"/>
      <c r="K1842" s="137"/>
      <c r="M1842" s="126"/>
      <c r="O1842" s="137"/>
      <c r="P1842" s="137"/>
      <c r="Q1842" s="126"/>
    </row>
    <row r="1843" spans="3:17" x14ac:dyDescent="0.3">
      <c r="C1843" s="126"/>
      <c r="F1843" s="137"/>
      <c r="G1843" s="138"/>
      <c r="H1843" s="138"/>
      <c r="I1843" s="139"/>
      <c r="J1843" s="137"/>
      <c r="K1843" s="137"/>
      <c r="M1843" s="126"/>
      <c r="O1843" s="137"/>
      <c r="P1843" s="137"/>
      <c r="Q1843" s="126"/>
    </row>
    <row r="1844" spans="3:17" x14ac:dyDescent="0.3">
      <c r="C1844" s="126"/>
      <c r="F1844" s="137"/>
      <c r="G1844" s="138"/>
      <c r="H1844" s="138"/>
      <c r="I1844" s="139"/>
      <c r="J1844" s="137"/>
      <c r="K1844" s="137"/>
      <c r="M1844" s="126"/>
      <c r="O1844" s="137"/>
      <c r="P1844" s="137"/>
      <c r="Q1844" s="126"/>
    </row>
    <row r="1845" spans="3:17" x14ac:dyDescent="0.3">
      <c r="C1845" s="126"/>
      <c r="F1845" s="137"/>
      <c r="G1845" s="138"/>
      <c r="H1845" s="138"/>
      <c r="I1845" s="139"/>
      <c r="J1845" s="137"/>
      <c r="K1845" s="137"/>
      <c r="M1845" s="126"/>
      <c r="O1845" s="137"/>
      <c r="P1845" s="137"/>
      <c r="Q1845" s="126"/>
    </row>
    <row r="1846" spans="3:17" x14ac:dyDescent="0.3">
      <c r="C1846" s="126"/>
      <c r="F1846" s="137"/>
      <c r="G1846" s="138"/>
      <c r="H1846" s="138"/>
      <c r="I1846" s="139"/>
      <c r="J1846" s="137"/>
      <c r="K1846" s="137"/>
      <c r="M1846" s="126"/>
      <c r="O1846" s="137"/>
      <c r="P1846" s="137"/>
      <c r="Q1846" s="126"/>
    </row>
    <row r="1847" spans="3:17" x14ac:dyDescent="0.3">
      <c r="C1847" s="126"/>
      <c r="F1847" s="137"/>
      <c r="G1847" s="138"/>
      <c r="H1847" s="138"/>
      <c r="I1847" s="139"/>
      <c r="J1847" s="137"/>
      <c r="K1847" s="137"/>
      <c r="M1847" s="126"/>
      <c r="O1847" s="137"/>
      <c r="P1847" s="137"/>
      <c r="Q1847" s="126"/>
    </row>
    <row r="1848" spans="3:17" x14ac:dyDescent="0.3">
      <c r="C1848" s="126"/>
      <c r="F1848" s="137"/>
      <c r="G1848" s="138"/>
      <c r="H1848" s="138"/>
      <c r="I1848" s="139"/>
      <c r="J1848" s="137"/>
      <c r="K1848" s="137"/>
      <c r="M1848" s="126"/>
      <c r="O1848" s="137"/>
      <c r="P1848" s="137"/>
      <c r="Q1848" s="126"/>
    </row>
    <row r="1849" spans="3:17" x14ac:dyDescent="0.3">
      <c r="C1849" s="126"/>
      <c r="F1849" s="137"/>
      <c r="G1849" s="138"/>
      <c r="H1849" s="138"/>
      <c r="I1849" s="139"/>
      <c r="J1849" s="137"/>
      <c r="K1849" s="137"/>
      <c r="M1849" s="126"/>
      <c r="O1849" s="137"/>
      <c r="P1849" s="137"/>
      <c r="Q1849" s="126"/>
    </row>
    <row r="1850" spans="3:17" x14ac:dyDescent="0.3">
      <c r="C1850" s="126"/>
      <c r="F1850" s="137"/>
      <c r="G1850" s="138"/>
      <c r="H1850" s="138"/>
      <c r="I1850" s="139"/>
      <c r="J1850" s="137"/>
      <c r="K1850" s="137"/>
      <c r="M1850" s="126"/>
      <c r="O1850" s="137"/>
      <c r="P1850" s="137"/>
      <c r="Q1850" s="126"/>
    </row>
    <row r="1851" spans="3:17" x14ac:dyDescent="0.3">
      <c r="C1851" s="126"/>
      <c r="F1851" s="137"/>
      <c r="G1851" s="138"/>
      <c r="H1851" s="138"/>
      <c r="I1851" s="139"/>
      <c r="J1851" s="137"/>
      <c r="K1851" s="137"/>
      <c r="M1851" s="126"/>
      <c r="O1851" s="137"/>
      <c r="P1851" s="137"/>
      <c r="Q1851" s="126"/>
    </row>
    <row r="1852" spans="3:17" x14ac:dyDescent="0.3">
      <c r="C1852" s="126"/>
      <c r="F1852" s="137"/>
      <c r="G1852" s="138"/>
      <c r="H1852" s="138"/>
      <c r="I1852" s="139"/>
      <c r="J1852" s="137"/>
      <c r="K1852" s="137"/>
      <c r="M1852" s="126"/>
      <c r="O1852" s="137"/>
      <c r="P1852" s="137"/>
      <c r="Q1852" s="126"/>
    </row>
    <row r="1853" spans="3:17" x14ac:dyDescent="0.3">
      <c r="C1853" s="126"/>
      <c r="F1853" s="137"/>
      <c r="G1853" s="138"/>
      <c r="H1853" s="138"/>
      <c r="I1853" s="139"/>
      <c r="J1853" s="137"/>
      <c r="K1853" s="137"/>
      <c r="M1853" s="126"/>
      <c r="O1853" s="137"/>
      <c r="P1853" s="137"/>
      <c r="Q1853" s="126"/>
    </row>
    <row r="1854" spans="3:17" x14ac:dyDescent="0.3">
      <c r="C1854" s="126"/>
      <c r="F1854" s="137"/>
      <c r="G1854" s="138"/>
      <c r="H1854" s="138"/>
      <c r="I1854" s="139"/>
      <c r="J1854" s="137"/>
      <c r="K1854" s="137"/>
      <c r="M1854" s="126"/>
      <c r="O1854" s="137"/>
      <c r="P1854" s="137"/>
      <c r="Q1854" s="126"/>
    </row>
    <row r="1855" spans="3:17" x14ac:dyDescent="0.3">
      <c r="C1855" s="126"/>
      <c r="F1855" s="137"/>
      <c r="G1855" s="138"/>
      <c r="H1855" s="138"/>
      <c r="I1855" s="139"/>
      <c r="J1855" s="137"/>
      <c r="K1855" s="137"/>
      <c r="M1855" s="126"/>
      <c r="O1855" s="137"/>
      <c r="P1855" s="137"/>
      <c r="Q1855" s="126"/>
    </row>
    <row r="1856" spans="3:17" x14ac:dyDescent="0.3">
      <c r="C1856" s="126"/>
      <c r="F1856" s="137"/>
      <c r="G1856" s="138"/>
      <c r="H1856" s="138"/>
      <c r="I1856" s="139"/>
      <c r="J1856" s="137"/>
      <c r="K1856" s="137"/>
      <c r="M1856" s="126"/>
      <c r="O1856" s="137"/>
      <c r="P1856" s="137"/>
      <c r="Q1856" s="126"/>
    </row>
    <row r="1857" spans="3:17" x14ac:dyDescent="0.3">
      <c r="C1857" s="126"/>
      <c r="F1857" s="137"/>
      <c r="G1857" s="138"/>
      <c r="H1857" s="138"/>
      <c r="I1857" s="139"/>
      <c r="J1857" s="137"/>
      <c r="K1857" s="137"/>
      <c r="M1857" s="126"/>
      <c r="O1857" s="137"/>
      <c r="P1857" s="137"/>
      <c r="Q1857" s="126"/>
    </row>
    <row r="1858" spans="3:17" x14ac:dyDescent="0.3">
      <c r="C1858" s="126"/>
      <c r="F1858" s="137"/>
      <c r="G1858" s="138"/>
      <c r="H1858" s="138"/>
      <c r="I1858" s="139"/>
      <c r="J1858" s="137"/>
      <c r="K1858" s="137"/>
      <c r="M1858" s="126"/>
      <c r="O1858" s="137"/>
      <c r="P1858" s="137"/>
      <c r="Q1858" s="126"/>
    </row>
    <row r="1859" spans="3:17" x14ac:dyDescent="0.3">
      <c r="C1859" s="126"/>
      <c r="F1859" s="137"/>
      <c r="G1859" s="138"/>
      <c r="H1859" s="138"/>
      <c r="I1859" s="139"/>
      <c r="J1859" s="137"/>
      <c r="K1859" s="137"/>
      <c r="M1859" s="126"/>
      <c r="O1859" s="137"/>
      <c r="P1859" s="137"/>
      <c r="Q1859" s="126"/>
    </row>
    <row r="1860" spans="3:17" x14ac:dyDescent="0.3">
      <c r="C1860" s="126"/>
      <c r="F1860" s="137"/>
      <c r="G1860" s="138"/>
      <c r="H1860" s="138"/>
      <c r="I1860" s="139"/>
      <c r="J1860" s="137"/>
      <c r="K1860" s="137"/>
      <c r="M1860" s="126"/>
      <c r="O1860" s="137"/>
      <c r="P1860" s="137"/>
      <c r="Q1860" s="126"/>
    </row>
    <row r="1861" spans="3:17" x14ac:dyDescent="0.3">
      <c r="C1861" s="126"/>
      <c r="F1861" s="137"/>
      <c r="G1861" s="138"/>
      <c r="H1861" s="138"/>
      <c r="I1861" s="139"/>
      <c r="J1861" s="137"/>
      <c r="K1861" s="137"/>
      <c r="M1861" s="126"/>
      <c r="O1861" s="137"/>
      <c r="P1861" s="137"/>
      <c r="Q1861" s="126"/>
    </row>
    <row r="1862" spans="3:17" x14ac:dyDescent="0.3">
      <c r="C1862" s="126"/>
      <c r="F1862" s="137"/>
      <c r="G1862" s="138"/>
      <c r="H1862" s="138"/>
      <c r="I1862" s="139"/>
      <c r="J1862" s="137"/>
      <c r="K1862" s="137"/>
      <c r="M1862" s="126"/>
      <c r="O1862" s="137"/>
      <c r="P1862" s="137"/>
      <c r="Q1862" s="126"/>
    </row>
    <row r="1863" spans="3:17" x14ac:dyDescent="0.3">
      <c r="C1863" s="126"/>
      <c r="F1863" s="137"/>
      <c r="G1863" s="138"/>
      <c r="H1863" s="138"/>
      <c r="I1863" s="139"/>
      <c r="J1863" s="137"/>
      <c r="K1863" s="137"/>
      <c r="M1863" s="126"/>
      <c r="O1863" s="137"/>
      <c r="P1863" s="137"/>
      <c r="Q1863" s="126"/>
    </row>
    <row r="1864" spans="3:17" x14ac:dyDescent="0.3">
      <c r="C1864" s="126"/>
      <c r="F1864" s="137"/>
      <c r="G1864" s="138"/>
      <c r="H1864" s="138"/>
      <c r="I1864" s="139"/>
      <c r="J1864" s="137"/>
      <c r="K1864" s="137"/>
      <c r="M1864" s="126"/>
      <c r="O1864" s="137"/>
      <c r="P1864" s="137"/>
      <c r="Q1864" s="126"/>
    </row>
    <row r="1865" spans="3:17" x14ac:dyDescent="0.3">
      <c r="C1865" s="126"/>
      <c r="F1865" s="137"/>
      <c r="G1865" s="138"/>
      <c r="H1865" s="138"/>
      <c r="I1865" s="139"/>
      <c r="J1865" s="137"/>
      <c r="K1865" s="137"/>
      <c r="M1865" s="126"/>
      <c r="O1865" s="137"/>
      <c r="P1865" s="137"/>
      <c r="Q1865" s="126"/>
    </row>
    <row r="1866" spans="3:17" x14ac:dyDescent="0.3">
      <c r="C1866" s="126"/>
      <c r="F1866" s="137"/>
      <c r="G1866" s="138"/>
      <c r="H1866" s="138"/>
      <c r="I1866" s="139"/>
      <c r="J1866" s="137"/>
      <c r="K1866" s="137"/>
      <c r="M1866" s="126"/>
      <c r="O1866" s="137"/>
      <c r="P1866" s="137"/>
      <c r="Q1866" s="126"/>
    </row>
    <row r="1867" spans="3:17" x14ac:dyDescent="0.3">
      <c r="C1867" s="126"/>
      <c r="F1867" s="137"/>
      <c r="G1867" s="138"/>
      <c r="H1867" s="138"/>
      <c r="I1867" s="139"/>
      <c r="J1867" s="137"/>
      <c r="K1867" s="137"/>
      <c r="M1867" s="126"/>
      <c r="O1867" s="137"/>
      <c r="P1867" s="137"/>
      <c r="Q1867" s="126"/>
    </row>
    <row r="1868" spans="3:17" x14ac:dyDescent="0.3">
      <c r="C1868" s="126"/>
      <c r="F1868" s="137"/>
      <c r="G1868" s="138"/>
      <c r="H1868" s="138"/>
      <c r="I1868" s="139"/>
      <c r="J1868" s="137"/>
      <c r="K1868" s="137"/>
      <c r="M1868" s="126"/>
      <c r="O1868" s="137"/>
      <c r="P1868" s="137"/>
      <c r="Q1868" s="126"/>
    </row>
    <row r="1869" spans="3:17" x14ac:dyDescent="0.3">
      <c r="C1869" s="126"/>
      <c r="F1869" s="137"/>
      <c r="G1869" s="138"/>
      <c r="H1869" s="138"/>
      <c r="I1869" s="139"/>
      <c r="J1869" s="137"/>
      <c r="K1869" s="137"/>
      <c r="M1869" s="126"/>
      <c r="O1869" s="137"/>
      <c r="P1869" s="137"/>
      <c r="Q1869" s="126"/>
    </row>
    <row r="1870" spans="3:17" x14ac:dyDescent="0.3">
      <c r="C1870" s="126"/>
      <c r="F1870" s="137"/>
      <c r="G1870" s="138"/>
      <c r="H1870" s="138"/>
      <c r="I1870" s="139"/>
      <c r="J1870" s="137"/>
      <c r="K1870" s="137"/>
      <c r="M1870" s="126"/>
      <c r="O1870" s="137"/>
      <c r="P1870" s="137"/>
      <c r="Q1870" s="126"/>
    </row>
    <row r="1871" spans="3:17" x14ac:dyDescent="0.3">
      <c r="C1871" s="126"/>
      <c r="F1871" s="137"/>
      <c r="G1871" s="138"/>
      <c r="H1871" s="138"/>
      <c r="I1871" s="139"/>
      <c r="J1871" s="137"/>
      <c r="K1871" s="137"/>
      <c r="M1871" s="126"/>
      <c r="O1871" s="137"/>
      <c r="P1871" s="137"/>
      <c r="Q1871" s="126"/>
    </row>
    <row r="1872" spans="3:17" x14ac:dyDescent="0.3">
      <c r="C1872" s="126"/>
      <c r="F1872" s="137"/>
      <c r="G1872" s="138"/>
      <c r="H1872" s="138"/>
      <c r="I1872" s="139"/>
      <c r="J1872" s="137"/>
      <c r="K1872" s="137"/>
      <c r="M1872" s="126"/>
      <c r="O1872" s="137"/>
      <c r="P1872" s="137"/>
      <c r="Q1872" s="126"/>
    </row>
    <row r="1873" spans="3:17" x14ac:dyDescent="0.3">
      <c r="C1873" s="126"/>
      <c r="F1873" s="137"/>
      <c r="G1873" s="138"/>
      <c r="H1873" s="138"/>
      <c r="I1873" s="139"/>
      <c r="J1873" s="137"/>
      <c r="K1873" s="137"/>
      <c r="M1873" s="126"/>
      <c r="O1873" s="137"/>
      <c r="P1873" s="137"/>
      <c r="Q1873" s="126"/>
    </row>
    <row r="1874" spans="3:17" x14ac:dyDescent="0.3">
      <c r="C1874" s="126"/>
      <c r="F1874" s="137"/>
      <c r="G1874" s="138"/>
      <c r="H1874" s="138"/>
      <c r="I1874" s="139"/>
      <c r="J1874" s="137"/>
      <c r="K1874" s="137"/>
      <c r="M1874" s="126"/>
      <c r="O1874" s="137"/>
      <c r="P1874" s="137"/>
      <c r="Q1874" s="126"/>
    </row>
    <row r="1875" spans="3:17" x14ac:dyDescent="0.3">
      <c r="C1875" s="126"/>
      <c r="F1875" s="137"/>
      <c r="G1875" s="138"/>
      <c r="H1875" s="138"/>
      <c r="I1875" s="139"/>
      <c r="J1875" s="137"/>
      <c r="K1875" s="137"/>
      <c r="M1875" s="126"/>
      <c r="O1875" s="137"/>
      <c r="P1875" s="137"/>
      <c r="Q1875" s="126"/>
    </row>
    <row r="1876" spans="3:17" x14ac:dyDescent="0.3">
      <c r="C1876" s="126"/>
      <c r="F1876" s="137"/>
      <c r="G1876" s="138"/>
      <c r="H1876" s="138"/>
      <c r="I1876" s="139"/>
      <c r="J1876" s="137"/>
      <c r="K1876" s="137"/>
      <c r="M1876" s="126"/>
      <c r="O1876" s="137"/>
      <c r="P1876" s="137"/>
      <c r="Q1876" s="126"/>
    </row>
    <row r="1877" spans="3:17" x14ac:dyDescent="0.3">
      <c r="C1877" s="126"/>
      <c r="F1877" s="137"/>
      <c r="G1877" s="138"/>
      <c r="H1877" s="138"/>
      <c r="I1877" s="139"/>
      <c r="J1877" s="137"/>
      <c r="K1877" s="137"/>
      <c r="M1877" s="126"/>
      <c r="O1877" s="137"/>
      <c r="P1877" s="137"/>
      <c r="Q1877" s="126"/>
    </row>
    <row r="1878" spans="3:17" x14ac:dyDescent="0.3">
      <c r="C1878" s="126"/>
      <c r="F1878" s="137"/>
      <c r="G1878" s="138"/>
      <c r="H1878" s="138"/>
      <c r="I1878" s="139"/>
      <c r="J1878" s="137"/>
      <c r="K1878" s="137"/>
      <c r="M1878" s="126"/>
      <c r="O1878" s="137"/>
      <c r="P1878" s="137"/>
      <c r="Q1878" s="126"/>
    </row>
    <row r="1879" spans="3:17" x14ac:dyDescent="0.3">
      <c r="C1879" s="126"/>
      <c r="F1879" s="137"/>
      <c r="G1879" s="138"/>
      <c r="H1879" s="138"/>
      <c r="I1879" s="139"/>
      <c r="J1879" s="137"/>
      <c r="K1879" s="137"/>
      <c r="M1879" s="126"/>
      <c r="O1879" s="137"/>
      <c r="P1879" s="137"/>
      <c r="Q1879" s="126"/>
    </row>
    <row r="1880" spans="3:17" x14ac:dyDescent="0.3">
      <c r="C1880" s="126"/>
      <c r="F1880" s="137"/>
      <c r="G1880" s="138"/>
      <c r="H1880" s="138"/>
      <c r="I1880" s="139"/>
      <c r="J1880" s="137"/>
      <c r="K1880" s="137"/>
      <c r="M1880" s="126"/>
      <c r="O1880" s="137"/>
      <c r="P1880" s="137"/>
      <c r="Q1880" s="126"/>
    </row>
    <row r="1881" spans="3:17" x14ac:dyDescent="0.3">
      <c r="C1881" s="126"/>
      <c r="F1881" s="137"/>
      <c r="G1881" s="138"/>
      <c r="H1881" s="138"/>
      <c r="I1881" s="139"/>
      <c r="J1881" s="137"/>
      <c r="K1881" s="137"/>
      <c r="M1881" s="126"/>
      <c r="O1881" s="137"/>
      <c r="P1881" s="137"/>
      <c r="Q1881" s="126"/>
    </row>
    <row r="1882" spans="3:17" x14ac:dyDescent="0.3">
      <c r="C1882" s="126"/>
      <c r="F1882" s="137"/>
      <c r="G1882" s="138"/>
      <c r="H1882" s="138"/>
      <c r="I1882" s="139"/>
      <c r="J1882" s="137"/>
      <c r="K1882" s="137"/>
      <c r="M1882" s="126"/>
      <c r="O1882" s="137"/>
      <c r="P1882" s="137"/>
      <c r="Q1882" s="126"/>
    </row>
    <row r="1883" spans="3:17" x14ac:dyDescent="0.3">
      <c r="C1883" s="126"/>
      <c r="F1883" s="137"/>
      <c r="G1883" s="138"/>
      <c r="H1883" s="138"/>
      <c r="I1883" s="139"/>
      <c r="J1883" s="137"/>
      <c r="K1883" s="137"/>
      <c r="M1883" s="126"/>
      <c r="O1883" s="137"/>
      <c r="P1883" s="137"/>
      <c r="Q1883" s="126"/>
    </row>
    <row r="1884" spans="3:17" x14ac:dyDescent="0.3">
      <c r="C1884" s="126"/>
      <c r="F1884" s="137"/>
      <c r="G1884" s="138"/>
      <c r="H1884" s="138"/>
      <c r="I1884" s="139"/>
      <c r="J1884" s="137"/>
      <c r="K1884" s="137"/>
      <c r="M1884" s="126"/>
      <c r="O1884" s="137"/>
      <c r="P1884" s="137"/>
      <c r="Q1884" s="126"/>
    </row>
    <row r="1885" spans="3:17" x14ac:dyDescent="0.3">
      <c r="C1885" s="126"/>
      <c r="F1885" s="137"/>
      <c r="G1885" s="138"/>
      <c r="H1885" s="138"/>
      <c r="I1885" s="139"/>
      <c r="J1885" s="137"/>
      <c r="K1885" s="137"/>
      <c r="M1885" s="126"/>
      <c r="O1885" s="137"/>
      <c r="P1885" s="137"/>
      <c r="Q1885" s="126"/>
    </row>
    <row r="1886" spans="3:17" x14ac:dyDescent="0.3">
      <c r="C1886" s="126"/>
      <c r="F1886" s="137"/>
      <c r="G1886" s="138"/>
      <c r="H1886" s="138"/>
      <c r="I1886" s="139"/>
      <c r="J1886" s="137"/>
      <c r="K1886" s="137"/>
      <c r="M1886" s="126"/>
      <c r="O1886" s="137"/>
      <c r="P1886" s="137"/>
      <c r="Q1886" s="126"/>
    </row>
    <row r="1887" spans="3:17" x14ac:dyDescent="0.3">
      <c r="C1887" s="126"/>
      <c r="F1887" s="137"/>
      <c r="G1887" s="138"/>
      <c r="H1887" s="138"/>
      <c r="I1887" s="139"/>
      <c r="J1887" s="137"/>
      <c r="K1887" s="137"/>
      <c r="M1887" s="126"/>
      <c r="O1887" s="137"/>
      <c r="P1887" s="137"/>
      <c r="Q1887" s="126"/>
    </row>
    <row r="1888" spans="3:17" x14ac:dyDescent="0.3">
      <c r="C1888" s="126"/>
      <c r="F1888" s="137"/>
      <c r="G1888" s="138"/>
      <c r="H1888" s="138"/>
      <c r="I1888" s="139"/>
      <c r="J1888" s="137"/>
      <c r="K1888" s="137"/>
      <c r="M1888" s="126"/>
      <c r="O1888" s="137"/>
      <c r="P1888" s="137"/>
      <c r="Q1888" s="126"/>
    </row>
    <row r="1889" spans="3:17" x14ac:dyDescent="0.3">
      <c r="C1889" s="126"/>
      <c r="F1889" s="137"/>
      <c r="G1889" s="138"/>
      <c r="H1889" s="138"/>
      <c r="I1889" s="139"/>
      <c r="J1889" s="137"/>
      <c r="K1889" s="137"/>
      <c r="M1889" s="126"/>
      <c r="O1889" s="137"/>
      <c r="P1889" s="137"/>
      <c r="Q1889" s="126"/>
    </row>
    <row r="1890" spans="3:17" x14ac:dyDescent="0.3">
      <c r="C1890" s="126"/>
      <c r="F1890" s="137"/>
      <c r="G1890" s="138"/>
      <c r="H1890" s="138"/>
      <c r="I1890" s="139"/>
      <c r="J1890" s="137"/>
      <c r="K1890" s="137"/>
      <c r="M1890" s="126"/>
      <c r="O1890" s="137"/>
      <c r="P1890" s="137"/>
      <c r="Q1890" s="126"/>
    </row>
    <row r="1891" spans="3:17" x14ac:dyDescent="0.3">
      <c r="C1891" s="126"/>
      <c r="F1891" s="137"/>
      <c r="G1891" s="138"/>
      <c r="H1891" s="138"/>
      <c r="I1891" s="139"/>
      <c r="J1891" s="137"/>
      <c r="K1891" s="137"/>
      <c r="M1891" s="126"/>
      <c r="O1891" s="137"/>
      <c r="P1891" s="137"/>
      <c r="Q1891" s="126"/>
    </row>
    <row r="1892" spans="3:17" x14ac:dyDescent="0.3">
      <c r="C1892" s="126"/>
      <c r="F1892" s="137"/>
      <c r="G1892" s="138"/>
      <c r="H1892" s="138"/>
      <c r="I1892" s="139"/>
      <c r="J1892" s="137"/>
      <c r="K1892" s="137"/>
      <c r="M1892" s="126"/>
      <c r="O1892" s="137"/>
      <c r="P1892" s="137"/>
      <c r="Q1892" s="126"/>
    </row>
    <row r="1893" spans="3:17" x14ac:dyDescent="0.3">
      <c r="C1893" s="126"/>
      <c r="F1893" s="137"/>
      <c r="G1893" s="138"/>
      <c r="H1893" s="138"/>
      <c r="I1893" s="139"/>
      <c r="J1893" s="137"/>
      <c r="K1893" s="137"/>
      <c r="M1893" s="126"/>
      <c r="O1893" s="137"/>
      <c r="P1893" s="137"/>
      <c r="Q1893" s="126"/>
    </row>
    <row r="1894" spans="3:17" x14ac:dyDescent="0.3">
      <c r="C1894" s="126"/>
      <c r="F1894" s="137"/>
      <c r="G1894" s="138"/>
      <c r="H1894" s="138"/>
      <c r="I1894" s="139"/>
      <c r="J1894" s="137"/>
      <c r="K1894" s="137"/>
      <c r="M1894" s="126"/>
      <c r="O1894" s="137"/>
      <c r="P1894" s="137"/>
      <c r="Q1894" s="126"/>
    </row>
    <row r="1895" spans="3:17" x14ac:dyDescent="0.3">
      <c r="C1895" s="126"/>
      <c r="F1895" s="137"/>
      <c r="G1895" s="138"/>
      <c r="H1895" s="138"/>
      <c r="I1895" s="139"/>
      <c r="J1895" s="137"/>
      <c r="K1895" s="137"/>
      <c r="M1895" s="126"/>
      <c r="O1895" s="137"/>
      <c r="P1895" s="137"/>
      <c r="Q1895" s="126"/>
    </row>
    <row r="1896" spans="3:17" x14ac:dyDescent="0.3">
      <c r="C1896" s="126"/>
      <c r="F1896" s="137"/>
      <c r="G1896" s="138"/>
      <c r="H1896" s="138"/>
      <c r="I1896" s="139"/>
      <c r="J1896" s="137"/>
      <c r="K1896" s="137"/>
      <c r="M1896" s="126"/>
      <c r="O1896" s="137"/>
      <c r="P1896" s="137"/>
      <c r="Q1896" s="126"/>
    </row>
    <row r="1897" spans="3:17" x14ac:dyDescent="0.3">
      <c r="C1897" s="126"/>
      <c r="F1897" s="137"/>
      <c r="G1897" s="138"/>
      <c r="H1897" s="138"/>
      <c r="I1897" s="139"/>
      <c r="J1897" s="137"/>
      <c r="K1897" s="137"/>
      <c r="M1897" s="126"/>
      <c r="O1897" s="137"/>
      <c r="P1897" s="137"/>
      <c r="Q1897" s="126"/>
    </row>
    <row r="1898" spans="3:17" x14ac:dyDescent="0.3">
      <c r="C1898" s="126"/>
      <c r="F1898" s="137"/>
      <c r="G1898" s="138"/>
      <c r="H1898" s="138"/>
      <c r="I1898" s="139"/>
      <c r="J1898" s="137"/>
      <c r="K1898" s="137"/>
      <c r="M1898" s="126"/>
      <c r="O1898" s="137"/>
      <c r="P1898" s="137"/>
      <c r="Q1898" s="126"/>
    </row>
    <row r="1899" spans="3:17" x14ac:dyDescent="0.3">
      <c r="C1899" s="126"/>
      <c r="F1899" s="137"/>
      <c r="G1899" s="138"/>
      <c r="H1899" s="138"/>
      <c r="I1899" s="139"/>
      <c r="J1899" s="137"/>
      <c r="K1899" s="137"/>
      <c r="M1899" s="126"/>
      <c r="O1899" s="137"/>
      <c r="P1899" s="137"/>
      <c r="Q1899" s="126"/>
    </row>
    <row r="1900" spans="3:17" x14ac:dyDescent="0.3">
      <c r="C1900" s="126"/>
      <c r="F1900" s="137"/>
      <c r="G1900" s="138"/>
      <c r="H1900" s="138"/>
      <c r="I1900" s="139"/>
      <c r="J1900" s="137"/>
      <c r="K1900" s="137"/>
      <c r="M1900" s="126"/>
      <c r="O1900" s="137"/>
      <c r="P1900" s="137"/>
      <c r="Q1900" s="126"/>
    </row>
    <row r="1901" spans="3:17" x14ac:dyDescent="0.3">
      <c r="C1901" s="126"/>
      <c r="F1901" s="137"/>
      <c r="G1901" s="138"/>
      <c r="H1901" s="138"/>
      <c r="I1901" s="139"/>
      <c r="J1901" s="137"/>
      <c r="K1901" s="137"/>
      <c r="M1901" s="126"/>
      <c r="O1901" s="137"/>
      <c r="P1901" s="137"/>
      <c r="Q1901" s="126"/>
    </row>
    <row r="1902" spans="3:17" x14ac:dyDescent="0.3">
      <c r="C1902" s="126"/>
      <c r="F1902" s="137"/>
      <c r="G1902" s="138"/>
      <c r="H1902" s="138"/>
      <c r="I1902" s="139"/>
      <c r="J1902" s="137"/>
      <c r="K1902" s="137"/>
      <c r="M1902" s="126"/>
      <c r="O1902" s="137"/>
      <c r="P1902" s="137"/>
      <c r="Q1902" s="126"/>
    </row>
    <row r="1903" spans="3:17" x14ac:dyDescent="0.3">
      <c r="C1903" s="126"/>
      <c r="F1903" s="137"/>
      <c r="G1903" s="138"/>
      <c r="H1903" s="138"/>
      <c r="I1903" s="139"/>
      <c r="J1903" s="137"/>
      <c r="K1903" s="137"/>
      <c r="M1903" s="126"/>
      <c r="O1903" s="137"/>
      <c r="P1903" s="137"/>
      <c r="Q1903" s="126"/>
    </row>
    <row r="1904" spans="3:17" x14ac:dyDescent="0.3">
      <c r="C1904" s="126"/>
      <c r="F1904" s="137"/>
      <c r="G1904" s="138"/>
      <c r="H1904" s="138"/>
      <c r="I1904" s="139"/>
      <c r="J1904" s="137"/>
      <c r="K1904" s="137"/>
      <c r="M1904" s="126"/>
      <c r="O1904" s="137"/>
      <c r="P1904" s="137"/>
      <c r="Q1904" s="126"/>
    </row>
    <row r="1905" spans="3:17" x14ac:dyDescent="0.3">
      <c r="C1905" s="126"/>
      <c r="F1905" s="137"/>
      <c r="G1905" s="138"/>
      <c r="H1905" s="138"/>
      <c r="I1905" s="139"/>
      <c r="J1905" s="137"/>
      <c r="K1905" s="137"/>
      <c r="M1905" s="126"/>
      <c r="O1905" s="137"/>
      <c r="P1905" s="137"/>
      <c r="Q1905" s="126"/>
    </row>
    <row r="1906" spans="3:17" x14ac:dyDescent="0.3">
      <c r="C1906" s="126"/>
      <c r="F1906" s="137"/>
      <c r="G1906" s="138"/>
      <c r="H1906" s="138"/>
      <c r="I1906" s="139"/>
      <c r="J1906" s="137"/>
      <c r="K1906" s="137"/>
      <c r="M1906" s="126"/>
      <c r="O1906" s="137"/>
      <c r="P1906" s="137"/>
      <c r="Q1906" s="126"/>
    </row>
    <row r="1907" spans="3:17" x14ac:dyDescent="0.3">
      <c r="C1907" s="126"/>
      <c r="F1907" s="137"/>
      <c r="G1907" s="138"/>
      <c r="H1907" s="138"/>
      <c r="I1907" s="139"/>
      <c r="J1907" s="137"/>
      <c r="K1907" s="137"/>
      <c r="M1907" s="126"/>
      <c r="O1907" s="137"/>
      <c r="P1907" s="137"/>
      <c r="Q1907" s="126"/>
    </row>
    <row r="1908" spans="3:17" x14ac:dyDescent="0.3">
      <c r="C1908" s="126"/>
      <c r="F1908" s="137"/>
      <c r="G1908" s="138"/>
      <c r="H1908" s="138"/>
      <c r="I1908" s="139"/>
      <c r="J1908" s="137"/>
      <c r="K1908" s="137"/>
      <c r="M1908" s="126"/>
      <c r="O1908" s="137"/>
      <c r="P1908" s="137"/>
      <c r="Q1908" s="126"/>
    </row>
    <row r="1909" spans="3:17" x14ac:dyDescent="0.3">
      <c r="C1909" s="126"/>
      <c r="F1909" s="137"/>
      <c r="G1909" s="138"/>
      <c r="H1909" s="138"/>
      <c r="I1909" s="139"/>
      <c r="J1909" s="137"/>
      <c r="K1909" s="137"/>
      <c r="M1909" s="126"/>
      <c r="O1909" s="137"/>
      <c r="P1909" s="137"/>
      <c r="Q1909" s="126"/>
    </row>
    <row r="1910" spans="3:17" x14ac:dyDescent="0.3">
      <c r="C1910" s="126"/>
      <c r="F1910" s="137"/>
      <c r="G1910" s="138"/>
      <c r="H1910" s="138"/>
      <c r="I1910" s="139"/>
      <c r="J1910" s="137"/>
      <c r="K1910" s="137"/>
      <c r="M1910" s="126"/>
      <c r="O1910" s="137"/>
      <c r="P1910" s="137"/>
      <c r="Q1910" s="126"/>
    </row>
    <row r="1911" spans="3:17" x14ac:dyDescent="0.3">
      <c r="C1911" s="126"/>
      <c r="F1911" s="137"/>
      <c r="G1911" s="138"/>
      <c r="H1911" s="138"/>
      <c r="I1911" s="139"/>
      <c r="J1911" s="137"/>
      <c r="K1911" s="137"/>
      <c r="M1911" s="126"/>
      <c r="O1911" s="137"/>
      <c r="P1911" s="137"/>
      <c r="Q1911" s="126"/>
    </row>
    <row r="1912" spans="3:17" x14ac:dyDescent="0.3">
      <c r="C1912" s="126"/>
      <c r="F1912" s="137"/>
      <c r="G1912" s="138"/>
      <c r="H1912" s="138"/>
      <c r="I1912" s="139"/>
      <c r="J1912" s="137"/>
      <c r="K1912" s="137"/>
      <c r="M1912" s="126"/>
      <c r="O1912" s="137"/>
      <c r="P1912" s="137"/>
      <c r="Q1912" s="126"/>
    </row>
    <row r="1913" spans="3:17" x14ac:dyDescent="0.3">
      <c r="C1913" s="126"/>
      <c r="F1913" s="137"/>
      <c r="G1913" s="138"/>
      <c r="H1913" s="138"/>
      <c r="I1913" s="139"/>
      <c r="J1913" s="137"/>
      <c r="K1913" s="137"/>
      <c r="M1913" s="126"/>
      <c r="O1913" s="137"/>
      <c r="P1913" s="137"/>
      <c r="Q1913" s="126"/>
    </row>
    <row r="1914" spans="3:17" x14ac:dyDescent="0.3">
      <c r="C1914" s="126"/>
      <c r="F1914" s="137"/>
      <c r="G1914" s="138"/>
      <c r="H1914" s="138"/>
      <c r="I1914" s="139"/>
      <c r="J1914" s="137"/>
      <c r="K1914" s="137"/>
      <c r="M1914" s="126"/>
      <c r="O1914" s="137"/>
      <c r="P1914" s="137"/>
      <c r="Q1914" s="126"/>
    </row>
    <row r="1915" spans="3:17" x14ac:dyDescent="0.3">
      <c r="C1915" s="126"/>
      <c r="F1915" s="137"/>
      <c r="G1915" s="138"/>
      <c r="H1915" s="138"/>
      <c r="I1915" s="139"/>
      <c r="J1915" s="137"/>
      <c r="K1915" s="137"/>
      <c r="M1915" s="126"/>
      <c r="O1915" s="137"/>
      <c r="P1915" s="137"/>
      <c r="Q1915" s="126"/>
    </row>
    <row r="1916" spans="3:17" x14ac:dyDescent="0.3">
      <c r="C1916" s="126"/>
      <c r="F1916" s="137"/>
      <c r="G1916" s="138"/>
      <c r="H1916" s="138"/>
      <c r="I1916" s="139"/>
      <c r="J1916" s="137"/>
      <c r="K1916" s="137"/>
      <c r="M1916" s="126"/>
      <c r="O1916" s="137"/>
      <c r="P1916" s="137"/>
      <c r="Q1916" s="126"/>
    </row>
    <row r="1917" spans="3:17" x14ac:dyDescent="0.3">
      <c r="C1917" s="126"/>
      <c r="F1917" s="137"/>
      <c r="G1917" s="138"/>
      <c r="H1917" s="138"/>
      <c r="I1917" s="139"/>
      <c r="J1917" s="137"/>
      <c r="K1917" s="137"/>
      <c r="M1917" s="126"/>
      <c r="O1917" s="137"/>
      <c r="P1917" s="137"/>
      <c r="Q1917" s="126"/>
    </row>
    <row r="1918" spans="3:17" x14ac:dyDescent="0.3">
      <c r="C1918" s="126"/>
      <c r="F1918" s="137"/>
      <c r="G1918" s="138"/>
      <c r="H1918" s="138"/>
      <c r="I1918" s="139"/>
      <c r="J1918" s="137"/>
      <c r="K1918" s="137"/>
      <c r="M1918" s="126"/>
      <c r="O1918" s="137"/>
      <c r="P1918" s="137"/>
      <c r="Q1918" s="126"/>
    </row>
    <row r="1919" spans="3:17" x14ac:dyDescent="0.3">
      <c r="C1919" s="126"/>
      <c r="F1919" s="137"/>
      <c r="G1919" s="138"/>
      <c r="H1919" s="138"/>
      <c r="I1919" s="139"/>
      <c r="J1919" s="137"/>
      <c r="K1919" s="137"/>
      <c r="M1919" s="126"/>
      <c r="O1919" s="137"/>
      <c r="P1919" s="137"/>
      <c r="Q1919" s="126"/>
    </row>
    <row r="1920" spans="3:17" x14ac:dyDescent="0.3">
      <c r="C1920" s="126"/>
      <c r="F1920" s="137"/>
      <c r="G1920" s="138"/>
      <c r="H1920" s="138"/>
      <c r="I1920" s="139"/>
      <c r="J1920" s="137"/>
      <c r="K1920" s="137"/>
      <c r="M1920" s="126"/>
      <c r="O1920" s="137"/>
      <c r="P1920" s="137"/>
      <c r="Q1920" s="126"/>
    </row>
    <row r="1921" spans="3:17" x14ac:dyDescent="0.3">
      <c r="C1921" s="126"/>
      <c r="F1921" s="137"/>
      <c r="G1921" s="138"/>
      <c r="H1921" s="138"/>
      <c r="I1921" s="139"/>
      <c r="J1921" s="137"/>
      <c r="K1921" s="137"/>
      <c r="M1921" s="126"/>
      <c r="O1921" s="137"/>
      <c r="P1921" s="137"/>
      <c r="Q1921" s="126"/>
    </row>
    <row r="1922" spans="3:17" x14ac:dyDescent="0.3">
      <c r="C1922" s="126"/>
      <c r="F1922" s="137"/>
      <c r="G1922" s="138"/>
      <c r="H1922" s="138"/>
      <c r="I1922" s="139"/>
      <c r="J1922" s="137"/>
      <c r="K1922" s="137"/>
      <c r="M1922" s="126"/>
      <c r="O1922" s="137"/>
      <c r="P1922" s="137"/>
      <c r="Q1922" s="126"/>
    </row>
    <row r="1923" spans="3:17" x14ac:dyDescent="0.3">
      <c r="C1923" s="126"/>
      <c r="F1923" s="137"/>
      <c r="G1923" s="138"/>
      <c r="H1923" s="138"/>
      <c r="I1923" s="139"/>
      <c r="J1923" s="137"/>
      <c r="K1923" s="137"/>
      <c r="M1923" s="126"/>
      <c r="O1923" s="137"/>
      <c r="P1923" s="137"/>
      <c r="Q1923" s="126"/>
    </row>
    <row r="1924" spans="3:17" x14ac:dyDescent="0.3">
      <c r="C1924" s="126"/>
      <c r="F1924" s="137"/>
      <c r="G1924" s="138"/>
      <c r="H1924" s="138"/>
      <c r="I1924" s="139"/>
      <c r="J1924" s="137"/>
      <c r="K1924" s="137"/>
      <c r="M1924" s="126"/>
      <c r="O1924" s="137"/>
      <c r="P1924" s="137"/>
      <c r="Q1924" s="126"/>
    </row>
    <row r="1925" spans="3:17" x14ac:dyDescent="0.3">
      <c r="C1925" s="126"/>
      <c r="F1925" s="137"/>
      <c r="G1925" s="138"/>
      <c r="H1925" s="138"/>
      <c r="I1925" s="139"/>
      <c r="J1925" s="137"/>
      <c r="K1925" s="137"/>
      <c r="M1925" s="126"/>
      <c r="O1925" s="137"/>
      <c r="P1925" s="137"/>
      <c r="Q1925" s="126"/>
    </row>
    <row r="1926" spans="3:17" x14ac:dyDescent="0.3">
      <c r="C1926" s="126"/>
      <c r="F1926" s="137"/>
      <c r="G1926" s="138"/>
      <c r="H1926" s="138"/>
      <c r="I1926" s="139"/>
      <c r="J1926" s="137"/>
      <c r="K1926" s="137"/>
      <c r="M1926" s="126"/>
      <c r="O1926" s="137"/>
      <c r="P1926" s="137"/>
      <c r="Q1926" s="126"/>
    </row>
    <row r="1927" spans="3:17" x14ac:dyDescent="0.3">
      <c r="C1927" s="126"/>
      <c r="F1927" s="137"/>
      <c r="G1927" s="138"/>
      <c r="H1927" s="138"/>
      <c r="I1927" s="139"/>
      <c r="J1927" s="137"/>
      <c r="K1927" s="137"/>
      <c r="M1927" s="126"/>
      <c r="O1927" s="137"/>
      <c r="P1927" s="137"/>
      <c r="Q1927" s="126"/>
    </row>
    <row r="1928" spans="3:17" x14ac:dyDescent="0.3">
      <c r="C1928" s="126"/>
      <c r="F1928" s="137"/>
      <c r="G1928" s="138"/>
      <c r="H1928" s="138"/>
      <c r="I1928" s="139"/>
      <c r="J1928" s="137"/>
      <c r="K1928" s="137"/>
      <c r="M1928" s="126"/>
      <c r="O1928" s="137"/>
      <c r="P1928" s="137"/>
      <c r="Q1928" s="126"/>
    </row>
    <row r="1929" spans="3:17" x14ac:dyDescent="0.3">
      <c r="C1929" s="126"/>
      <c r="F1929" s="137"/>
      <c r="G1929" s="138"/>
      <c r="H1929" s="138"/>
      <c r="I1929" s="139"/>
      <c r="J1929" s="137"/>
      <c r="K1929" s="137"/>
      <c r="M1929" s="126"/>
      <c r="O1929" s="137"/>
      <c r="P1929" s="137"/>
      <c r="Q1929" s="126"/>
    </row>
    <row r="1930" spans="3:17" x14ac:dyDescent="0.3">
      <c r="C1930" s="126"/>
      <c r="F1930" s="137"/>
      <c r="G1930" s="138"/>
      <c r="H1930" s="138"/>
      <c r="I1930" s="139"/>
      <c r="J1930" s="137"/>
      <c r="K1930" s="137"/>
      <c r="M1930" s="126"/>
      <c r="O1930" s="137"/>
      <c r="P1930" s="137"/>
      <c r="Q1930" s="126"/>
    </row>
    <row r="1931" spans="3:17" x14ac:dyDescent="0.3">
      <c r="C1931" s="126"/>
      <c r="F1931" s="137"/>
      <c r="G1931" s="138"/>
      <c r="H1931" s="138"/>
      <c r="I1931" s="139"/>
      <c r="J1931" s="137"/>
      <c r="K1931" s="137"/>
      <c r="M1931" s="126"/>
      <c r="O1931" s="137"/>
      <c r="P1931" s="137"/>
      <c r="Q1931" s="126"/>
    </row>
    <row r="1932" spans="3:17" x14ac:dyDescent="0.3">
      <c r="C1932" s="126"/>
      <c r="F1932" s="137"/>
      <c r="G1932" s="138"/>
      <c r="H1932" s="138"/>
      <c r="I1932" s="139"/>
      <c r="J1932" s="137"/>
      <c r="K1932" s="137"/>
      <c r="M1932" s="126"/>
      <c r="O1932" s="137"/>
      <c r="P1932" s="137"/>
      <c r="Q1932" s="126"/>
    </row>
    <row r="1933" spans="3:17" x14ac:dyDescent="0.3">
      <c r="C1933" s="126"/>
      <c r="F1933" s="137"/>
      <c r="G1933" s="138"/>
      <c r="H1933" s="138"/>
      <c r="I1933" s="139"/>
      <c r="J1933" s="137"/>
      <c r="K1933" s="137"/>
      <c r="M1933" s="126"/>
      <c r="O1933" s="137"/>
      <c r="P1933" s="137"/>
      <c r="Q1933" s="126"/>
    </row>
    <row r="1934" spans="3:17" x14ac:dyDescent="0.3">
      <c r="C1934" s="126"/>
      <c r="F1934" s="137"/>
      <c r="G1934" s="138"/>
      <c r="H1934" s="138"/>
      <c r="I1934" s="139"/>
      <c r="J1934" s="137"/>
      <c r="K1934" s="137"/>
      <c r="M1934" s="126"/>
      <c r="O1934" s="137"/>
      <c r="P1934" s="137"/>
      <c r="Q1934" s="126"/>
    </row>
    <row r="1935" spans="3:17" x14ac:dyDescent="0.3">
      <c r="C1935" s="126"/>
      <c r="F1935" s="137"/>
      <c r="G1935" s="138"/>
      <c r="H1935" s="138"/>
      <c r="I1935" s="139"/>
      <c r="J1935" s="137"/>
      <c r="K1935" s="137"/>
      <c r="M1935" s="126"/>
      <c r="O1935" s="137"/>
      <c r="P1935" s="137"/>
      <c r="Q1935" s="126"/>
    </row>
    <row r="1936" spans="3:17" x14ac:dyDescent="0.3">
      <c r="C1936" s="126"/>
      <c r="F1936" s="137"/>
      <c r="G1936" s="138"/>
      <c r="H1936" s="138"/>
      <c r="I1936" s="139"/>
      <c r="J1936" s="137"/>
      <c r="K1936" s="137"/>
      <c r="M1936" s="126"/>
      <c r="O1936" s="137"/>
      <c r="P1936" s="137"/>
      <c r="Q1936" s="126"/>
    </row>
    <row r="1937" spans="3:17" x14ac:dyDescent="0.3">
      <c r="C1937" s="126"/>
      <c r="F1937" s="137"/>
      <c r="G1937" s="138"/>
      <c r="H1937" s="138"/>
      <c r="I1937" s="139"/>
      <c r="J1937" s="137"/>
      <c r="K1937" s="137"/>
      <c r="M1937" s="126"/>
      <c r="O1937" s="137"/>
      <c r="P1937" s="137"/>
      <c r="Q1937" s="126"/>
    </row>
    <row r="1938" spans="3:17" x14ac:dyDescent="0.3">
      <c r="C1938" s="126"/>
      <c r="F1938" s="137"/>
      <c r="G1938" s="138"/>
      <c r="H1938" s="138"/>
      <c r="I1938" s="139"/>
      <c r="J1938" s="137"/>
      <c r="K1938" s="137"/>
      <c r="M1938" s="126"/>
      <c r="O1938" s="137"/>
      <c r="P1938" s="137"/>
      <c r="Q1938" s="126"/>
    </row>
    <row r="1939" spans="3:17" x14ac:dyDescent="0.3">
      <c r="C1939" s="126"/>
      <c r="F1939" s="137"/>
      <c r="G1939" s="138"/>
      <c r="H1939" s="138"/>
      <c r="I1939" s="139"/>
      <c r="J1939" s="137"/>
      <c r="K1939" s="137"/>
      <c r="M1939" s="126"/>
      <c r="O1939" s="137"/>
      <c r="P1939" s="137"/>
      <c r="Q1939" s="126"/>
    </row>
    <row r="1940" spans="3:17" x14ac:dyDescent="0.3">
      <c r="C1940" s="126"/>
      <c r="F1940" s="137"/>
      <c r="G1940" s="138"/>
      <c r="H1940" s="138"/>
      <c r="I1940" s="139"/>
      <c r="J1940" s="137"/>
      <c r="K1940" s="137"/>
      <c r="M1940" s="126"/>
      <c r="O1940" s="137"/>
      <c r="P1940" s="137"/>
      <c r="Q1940" s="126"/>
    </row>
    <row r="1941" spans="3:17" x14ac:dyDescent="0.3">
      <c r="C1941" s="126"/>
      <c r="F1941" s="137"/>
      <c r="G1941" s="138"/>
      <c r="H1941" s="138"/>
      <c r="I1941" s="139"/>
      <c r="J1941" s="137"/>
      <c r="K1941" s="137"/>
      <c r="M1941" s="126"/>
      <c r="O1941" s="137"/>
      <c r="P1941" s="137"/>
      <c r="Q1941" s="126"/>
    </row>
    <row r="1942" spans="3:17" x14ac:dyDescent="0.3">
      <c r="C1942" s="126"/>
      <c r="F1942" s="137"/>
      <c r="G1942" s="138"/>
      <c r="H1942" s="138"/>
      <c r="I1942" s="139"/>
      <c r="J1942" s="137"/>
      <c r="K1942" s="137"/>
      <c r="M1942" s="126"/>
      <c r="O1942" s="137"/>
      <c r="P1942" s="137"/>
      <c r="Q1942" s="126"/>
    </row>
    <row r="1943" spans="3:17" x14ac:dyDescent="0.3">
      <c r="C1943" s="126"/>
      <c r="F1943" s="137"/>
      <c r="G1943" s="138"/>
      <c r="H1943" s="138"/>
      <c r="I1943" s="139"/>
      <c r="J1943" s="137"/>
      <c r="K1943" s="137"/>
      <c r="M1943" s="126"/>
      <c r="O1943" s="137"/>
      <c r="P1943" s="137"/>
      <c r="Q1943" s="126"/>
    </row>
    <row r="1944" spans="3:17" x14ac:dyDescent="0.3">
      <c r="C1944" s="126"/>
      <c r="F1944" s="137"/>
      <c r="G1944" s="138"/>
      <c r="H1944" s="138"/>
      <c r="I1944" s="139"/>
      <c r="J1944" s="137"/>
      <c r="K1944" s="137"/>
      <c r="M1944" s="126"/>
      <c r="O1944" s="137"/>
      <c r="P1944" s="137"/>
      <c r="Q1944" s="126"/>
    </row>
    <row r="1945" spans="3:17" x14ac:dyDescent="0.3">
      <c r="C1945" s="126"/>
      <c r="F1945" s="137"/>
      <c r="G1945" s="138"/>
      <c r="H1945" s="138"/>
      <c r="I1945" s="139"/>
      <c r="J1945" s="137"/>
      <c r="K1945" s="137"/>
      <c r="M1945" s="126"/>
      <c r="O1945" s="137"/>
      <c r="P1945" s="137"/>
      <c r="Q1945" s="126"/>
    </row>
    <row r="1946" spans="3:17" x14ac:dyDescent="0.3">
      <c r="C1946" s="126"/>
      <c r="F1946" s="137"/>
      <c r="G1946" s="138"/>
      <c r="H1946" s="138"/>
      <c r="I1946" s="139"/>
      <c r="J1946" s="137"/>
      <c r="K1946" s="137"/>
      <c r="M1946" s="126"/>
      <c r="O1946" s="137"/>
      <c r="P1946" s="137"/>
      <c r="Q1946" s="126"/>
    </row>
    <row r="1947" spans="3:17" x14ac:dyDescent="0.3">
      <c r="C1947" s="126"/>
      <c r="F1947" s="137"/>
      <c r="G1947" s="138"/>
      <c r="H1947" s="138"/>
      <c r="I1947" s="139"/>
      <c r="J1947" s="137"/>
      <c r="K1947" s="137"/>
      <c r="M1947" s="126"/>
      <c r="O1947" s="137"/>
      <c r="P1947" s="137"/>
      <c r="Q1947" s="126"/>
    </row>
    <row r="1948" spans="3:17" x14ac:dyDescent="0.3">
      <c r="C1948" s="126"/>
      <c r="F1948" s="137"/>
      <c r="G1948" s="138"/>
      <c r="H1948" s="138"/>
      <c r="I1948" s="139"/>
      <c r="J1948" s="137"/>
      <c r="K1948" s="137"/>
      <c r="M1948" s="126"/>
      <c r="O1948" s="137"/>
      <c r="P1948" s="137"/>
      <c r="Q1948" s="126"/>
    </row>
    <row r="1949" spans="3:17" x14ac:dyDescent="0.3">
      <c r="C1949" s="126"/>
      <c r="F1949" s="137"/>
      <c r="G1949" s="138"/>
      <c r="H1949" s="138"/>
      <c r="I1949" s="139"/>
      <c r="J1949" s="137"/>
      <c r="K1949" s="137"/>
      <c r="M1949" s="126"/>
      <c r="O1949" s="137"/>
      <c r="P1949" s="137"/>
      <c r="Q1949" s="126"/>
    </row>
    <row r="1950" spans="3:17" x14ac:dyDescent="0.3">
      <c r="C1950" s="126"/>
      <c r="F1950" s="137"/>
      <c r="G1950" s="138"/>
      <c r="H1950" s="138"/>
      <c r="I1950" s="139"/>
      <c r="J1950" s="137"/>
      <c r="K1950" s="137"/>
      <c r="M1950" s="126"/>
      <c r="O1950" s="137"/>
      <c r="P1950" s="137"/>
      <c r="Q1950" s="126"/>
    </row>
    <row r="1951" spans="3:17" x14ac:dyDescent="0.3">
      <c r="C1951" s="126"/>
      <c r="F1951" s="137"/>
      <c r="G1951" s="138"/>
      <c r="H1951" s="138"/>
      <c r="I1951" s="139"/>
      <c r="J1951" s="137"/>
      <c r="K1951" s="137"/>
      <c r="M1951" s="126"/>
      <c r="O1951" s="137"/>
      <c r="P1951" s="137"/>
      <c r="Q1951" s="126"/>
    </row>
    <row r="1952" spans="3:17" x14ac:dyDescent="0.3">
      <c r="C1952" s="126"/>
      <c r="F1952" s="137"/>
      <c r="G1952" s="138"/>
      <c r="H1952" s="138"/>
      <c r="I1952" s="139"/>
      <c r="J1952" s="137"/>
      <c r="K1952" s="137"/>
      <c r="M1952" s="126"/>
      <c r="O1952" s="137"/>
      <c r="P1952" s="137"/>
      <c r="Q1952" s="126"/>
    </row>
    <row r="1953" spans="3:17" x14ac:dyDescent="0.3">
      <c r="C1953" s="126"/>
      <c r="F1953" s="137"/>
      <c r="G1953" s="138"/>
      <c r="H1953" s="138"/>
      <c r="I1953" s="139"/>
      <c r="J1953" s="137"/>
      <c r="K1953" s="137"/>
      <c r="M1953" s="126"/>
      <c r="O1953" s="137"/>
      <c r="P1953" s="137"/>
      <c r="Q1953" s="126"/>
    </row>
    <row r="1954" spans="3:17" x14ac:dyDescent="0.3">
      <c r="C1954" s="126"/>
      <c r="F1954" s="137"/>
      <c r="G1954" s="138"/>
      <c r="H1954" s="138"/>
      <c r="I1954" s="139"/>
      <c r="J1954" s="137"/>
      <c r="K1954" s="137"/>
      <c r="M1954" s="126"/>
      <c r="O1954" s="137"/>
      <c r="P1954" s="137"/>
      <c r="Q1954" s="126"/>
    </row>
    <row r="1955" spans="3:17" x14ac:dyDescent="0.3">
      <c r="C1955" s="126"/>
      <c r="F1955" s="137"/>
      <c r="G1955" s="138"/>
      <c r="H1955" s="138"/>
      <c r="I1955" s="139"/>
      <c r="J1955" s="137"/>
      <c r="K1955" s="137"/>
      <c r="M1955" s="126"/>
      <c r="O1955" s="137"/>
      <c r="P1955" s="137"/>
      <c r="Q1955" s="126"/>
    </row>
    <row r="1956" spans="3:17" x14ac:dyDescent="0.3">
      <c r="C1956" s="126"/>
      <c r="F1956" s="137"/>
      <c r="G1956" s="138"/>
      <c r="H1956" s="138"/>
      <c r="I1956" s="139"/>
      <c r="J1956" s="137"/>
      <c r="K1956" s="137"/>
      <c r="M1956" s="126"/>
      <c r="O1956" s="137"/>
      <c r="P1956" s="137"/>
      <c r="Q1956" s="126"/>
    </row>
    <row r="1957" spans="3:17" x14ac:dyDescent="0.3">
      <c r="C1957" s="126"/>
      <c r="F1957" s="137"/>
      <c r="G1957" s="138"/>
      <c r="H1957" s="138"/>
      <c r="I1957" s="139"/>
      <c r="J1957" s="137"/>
      <c r="K1957" s="137"/>
      <c r="M1957" s="126"/>
      <c r="O1957" s="137"/>
      <c r="P1957" s="137"/>
      <c r="Q1957" s="126"/>
    </row>
    <row r="1958" spans="3:17" x14ac:dyDescent="0.3">
      <c r="C1958" s="126"/>
      <c r="F1958" s="137"/>
      <c r="G1958" s="138"/>
      <c r="H1958" s="138"/>
      <c r="I1958" s="139"/>
      <c r="J1958" s="137"/>
      <c r="K1958" s="137"/>
      <c r="M1958" s="126"/>
      <c r="O1958" s="137"/>
      <c r="P1958" s="137"/>
      <c r="Q1958" s="126"/>
    </row>
    <row r="1959" spans="3:17" x14ac:dyDescent="0.3">
      <c r="C1959" s="126"/>
      <c r="F1959" s="137"/>
      <c r="G1959" s="138"/>
      <c r="H1959" s="138"/>
      <c r="I1959" s="139"/>
      <c r="J1959" s="137"/>
      <c r="K1959" s="137"/>
      <c r="M1959" s="126"/>
      <c r="O1959" s="137"/>
      <c r="P1959" s="137"/>
      <c r="Q1959" s="126"/>
    </row>
    <row r="1960" spans="3:17" x14ac:dyDescent="0.3">
      <c r="C1960" s="126"/>
      <c r="F1960" s="137"/>
      <c r="G1960" s="138"/>
      <c r="H1960" s="138"/>
      <c r="I1960" s="139"/>
      <c r="J1960" s="137"/>
      <c r="K1960" s="137"/>
      <c r="M1960" s="126"/>
      <c r="O1960" s="137"/>
      <c r="P1960" s="137"/>
      <c r="Q1960" s="126"/>
    </row>
    <row r="1961" spans="3:17" x14ac:dyDescent="0.3">
      <c r="C1961" s="126"/>
      <c r="F1961" s="137"/>
      <c r="G1961" s="138"/>
      <c r="H1961" s="138"/>
      <c r="I1961" s="139"/>
      <c r="J1961" s="137"/>
      <c r="K1961" s="137"/>
      <c r="M1961" s="126"/>
      <c r="O1961" s="137"/>
      <c r="P1961" s="137"/>
      <c r="Q1961" s="126"/>
    </row>
    <row r="1962" spans="3:17" x14ac:dyDescent="0.3">
      <c r="C1962" s="126"/>
      <c r="F1962" s="137"/>
      <c r="G1962" s="138"/>
      <c r="H1962" s="138"/>
      <c r="I1962" s="139"/>
      <c r="J1962" s="137"/>
      <c r="K1962" s="137"/>
      <c r="M1962" s="126"/>
      <c r="O1962" s="137"/>
      <c r="P1962" s="137"/>
      <c r="Q1962" s="126"/>
    </row>
    <row r="1963" spans="3:17" x14ac:dyDescent="0.3">
      <c r="C1963" s="126"/>
      <c r="F1963" s="137"/>
      <c r="G1963" s="138"/>
      <c r="H1963" s="138"/>
      <c r="I1963" s="139"/>
      <c r="J1963" s="137"/>
      <c r="K1963" s="137"/>
      <c r="M1963" s="126"/>
      <c r="O1963" s="137"/>
      <c r="P1963" s="137"/>
      <c r="Q1963" s="126"/>
    </row>
    <row r="1964" spans="3:17" x14ac:dyDescent="0.3">
      <c r="C1964" s="126"/>
      <c r="F1964" s="137"/>
      <c r="G1964" s="138"/>
      <c r="H1964" s="138"/>
      <c r="I1964" s="139"/>
      <c r="J1964" s="137"/>
      <c r="K1964" s="137"/>
      <c r="M1964" s="126"/>
      <c r="O1964" s="137"/>
      <c r="P1964" s="137"/>
      <c r="Q1964" s="126"/>
    </row>
    <row r="1965" spans="3:17" x14ac:dyDescent="0.3">
      <c r="C1965" s="126"/>
      <c r="F1965" s="137"/>
      <c r="G1965" s="138"/>
      <c r="H1965" s="138"/>
      <c r="I1965" s="139"/>
      <c r="J1965" s="137"/>
      <c r="K1965" s="137"/>
      <c r="M1965" s="126"/>
      <c r="O1965" s="137"/>
      <c r="P1965" s="137"/>
      <c r="Q1965" s="126"/>
    </row>
    <row r="1966" spans="3:17" x14ac:dyDescent="0.3">
      <c r="C1966" s="126"/>
      <c r="F1966" s="137"/>
      <c r="G1966" s="138"/>
      <c r="H1966" s="138"/>
      <c r="I1966" s="139"/>
      <c r="J1966" s="137"/>
      <c r="K1966" s="137"/>
      <c r="M1966" s="126"/>
      <c r="O1966" s="137"/>
      <c r="P1966" s="137"/>
      <c r="Q1966" s="126"/>
    </row>
    <row r="1967" spans="3:17" x14ac:dyDescent="0.3">
      <c r="C1967" s="126"/>
      <c r="F1967" s="137"/>
      <c r="G1967" s="138"/>
      <c r="H1967" s="138"/>
      <c r="I1967" s="139"/>
      <c r="J1967" s="137"/>
      <c r="K1967" s="137"/>
      <c r="M1967" s="126"/>
      <c r="O1967" s="137"/>
      <c r="P1967" s="137"/>
      <c r="Q1967" s="126"/>
    </row>
    <row r="1968" spans="3:17" x14ac:dyDescent="0.3">
      <c r="C1968" s="126"/>
      <c r="F1968" s="137"/>
      <c r="G1968" s="138"/>
      <c r="H1968" s="138"/>
      <c r="I1968" s="139"/>
      <c r="J1968" s="137"/>
      <c r="K1968" s="137"/>
      <c r="M1968" s="126"/>
      <c r="O1968" s="137"/>
      <c r="P1968" s="137"/>
      <c r="Q1968" s="126"/>
    </row>
    <row r="1969" spans="3:17" x14ac:dyDescent="0.3">
      <c r="C1969" s="126"/>
      <c r="F1969" s="137"/>
      <c r="G1969" s="138"/>
      <c r="H1969" s="138"/>
      <c r="I1969" s="139"/>
      <c r="J1969" s="137"/>
      <c r="K1969" s="137"/>
      <c r="M1969" s="126"/>
      <c r="O1969" s="137"/>
      <c r="P1969" s="137"/>
      <c r="Q1969" s="126"/>
    </row>
    <row r="1970" spans="3:17" x14ac:dyDescent="0.3">
      <c r="C1970" s="126"/>
      <c r="F1970" s="137"/>
      <c r="G1970" s="138"/>
      <c r="H1970" s="138"/>
      <c r="I1970" s="139"/>
      <c r="J1970" s="137"/>
      <c r="K1970" s="137"/>
      <c r="M1970" s="126"/>
      <c r="O1970" s="137"/>
      <c r="P1970" s="137"/>
      <c r="Q1970" s="126"/>
    </row>
    <row r="1971" spans="3:17" x14ac:dyDescent="0.3">
      <c r="C1971" s="126"/>
      <c r="F1971" s="137"/>
      <c r="G1971" s="138"/>
      <c r="H1971" s="138"/>
      <c r="I1971" s="139"/>
      <c r="J1971" s="137"/>
      <c r="K1971" s="137"/>
      <c r="M1971" s="126"/>
      <c r="O1971" s="137"/>
      <c r="P1971" s="137"/>
      <c r="Q1971" s="126"/>
    </row>
    <row r="1972" spans="3:17" x14ac:dyDescent="0.3">
      <c r="C1972" s="126"/>
      <c r="F1972" s="137"/>
      <c r="G1972" s="138"/>
      <c r="H1972" s="138"/>
      <c r="I1972" s="139"/>
      <c r="J1972" s="137"/>
      <c r="K1972" s="137"/>
      <c r="M1972" s="126"/>
      <c r="O1972" s="137"/>
      <c r="P1972" s="137"/>
      <c r="Q1972" s="126"/>
    </row>
    <row r="1973" spans="3:17" x14ac:dyDescent="0.3">
      <c r="C1973" s="126"/>
      <c r="F1973" s="137"/>
      <c r="G1973" s="138"/>
      <c r="H1973" s="138"/>
      <c r="I1973" s="139"/>
      <c r="J1973" s="137"/>
      <c r="K1973" s="137"/>
      <c r="M1973" s="126"/>
      <c r="O1973" s="137"/>
      <c r="P1973" s="137"/>
      <c r="Q1973" s="126"/>
    </row>
    <row r="1974" spans="3:17" x14ac:dyDescent="0.3">
      <c r="C1974" s="126"/>
      <c r="F1974" s="137"/>
      <c r="G1974" s="138"/>
      <c r="H1974" s="138"/>
      <c r="I1974" s="139"/>
      <c r="J1974" s="137"/>
      <c r="K1974" s="137"/>
      <c r="M1974" s="126"/>
      <c r="O1974" s="137"/>
      <c r="P1974" s="137"/>
      <c r="Q1974" s="126"/>
    </row>
    <row r="1975" spans="3:17" x14ac:dyDescent="0.3">
      <c r="C1975" s="126"/>
      <c r="F1975" s="137"/>
      <c r="G1975" s="138"/>
      <c r="H1975" s="138"/>
      <c r="I1975" s="139"/>
      <c r="J1975" s="137"/>
      <c r="K1975" s="137"/>
      <c r="M1975" s="126"/>
      <c r="O1975" s="137"/>
      <c r="P1975" s="137"/>
      <c r="Q1975" s="126"/>
    </row>
    <row r="1976" spans="3:17" x14ac:dyDescent="0.3">
      <c r="C1976" s="126"/>
      <c r="F1976" s="137"/>
      <c r="G1976" s="138"/>
      <c r="H1976" s="138"/>
      <c r="I1976" s="139"/>
      <c r="J1976" s="137"/>
      <c r="K1976" s="137"/>
      <c r="M1976" s="126"/>
      <c r="O1976" s="137"/>
      <c r="P1976" s="137"/>
      <c r="Q1976" s="126"/>
    </row>
    <row r="1977" spans="3:17" x14ac:dyDescent="0.3">
      <c r="C1977" s="126"/>
      <c r="F1977" s="137"/>
      <c r="G1977" s="138"/>
      <c r="H1977" s="138"/>
      <c r="I1977" s="139"/>
      <c r="J1977" s="137"/>
      <c r="K1977" s="137"/>
      <c r="M1977" s="126"/>
      <c r="O1977" s="137"/>
      <c r="P1977" s="137"/>
      <c r="Q1977" s="126"/>
    </row>
    <row r="1978" spans="3:17" x14ac:dyDescent="0.3">
      <c r="C1978" s="126"/>
      <c r="F1978" s="137"/>
      <c r="G1978" s="138"/>
      <c r="H1978" s="138"/>
      <c r="I1978" s="139"/>
      <c r="J1978" s="137"/>
      <c r="K1978" s="137"/>
      <c r="M1978" s="126"/>
      <c r="O1978" s="137"/>
      <c r="P1978" s="137"/>
      <c r="Q1978" s="126"/>
    </row>
    <row r="1979" spans="3:17" x14ac:dyDescent="0.3">
      <c r="C1979" s="126"/>
      <c r="F1979" s="137"/>
      <c r="G1979" s="138"/>
      <c r="H1979" s="138"/>
      <c r="I1979" s="139"/>
      <c r="J1979" s="137"/>
      <c r="K1979" s="137"/>
      <c r="M1979" s="126"/>
      <c r="O1979" s="137"/>
      <c r="P1979" s="137"/>
      <c r="Q1979" s="126"/>
    </row>
    <row r="1980" spans="3:17" x14ac:dyDescent="0.3">
      <c r="C1980" s="126"/>
      <c r="F1980" s="137"/>
      <c r="G1980" s="138"/>
      <c r="H1980" s="138"/>
      <c r="I1980" s="139"/>
      <c r="J1980" s="137"/>
      <c r="K1980" s="137"/>
      <c r="M1980" s="126"/>
      <c r="O1980" s="137"/>
      <c r="P1980" s="137"/>
      <c r="Q1980" s="126"/>
    </row>
    <row r="1981" spans="3:17" x14ac:dyDescent="0.3">
      <c r="C1981" s="126"/>
      <c r="F1981" s="137"/>
      <c r="G1981" s="138"/>
      <c r="H1981" s="138"/>
      <c r="I1981" s="139"/>
      <c r="J1981" s="137"/>
      <c r="K1981" s="137"/>
      <c r="M1981" s="126"/>
      <c r="O1981" s="137"/>
      <c r="P1981" s="137"/>
      <c r="Q1981" s="126"/>
    </row>
    <row r="1982" spans="3:17" x14ac:dyDescent="0.3">
      <c r="C1982" s="126"/>
      <c r="F1982" s="137"/>
      <c r="G1982" s="138"/>
      <c r="H1982" s="138"/>
      <c r="I1982" s="139"/>
      <c r="J1982" s="137"/>
      <c r="K1982" s="137"/>
      <c r="M1982" s="126"/>
      <c r="O1982" s="137"/>
      <c r="P1982" s="137"/>
      <c r="Q1982" s="126"/>
    </row>
    <row r="1983" spans="3:17" x14ac:dyDescent="0.3">
      <c r="C1983" s="126"/>
      <c r="F1983" s="137"/>
      <c r="G1983" s="138"/>
      <c r="H1983" s="138"/>
      <c r="I1983" s="139"/>
      <c r="J1983" s="137"/>
      <c r="K1983" s="137"/>
      <c r="M1983" s="126"/>
      <c r="O1983" s="137"/>
      <c r="P1983" s="137"/>
      <c r="Q1983" s="126"/>
    </row>
    <row r="1984" spans="3:17" x14ac:dyDescent="0.3">
      <c r="C1984" s="126"/>
      <c r="F1984" s="137"/>
      <c r="G1984" s="138"/>
      <c r="H1984" s="138"/>
      <c r="I1984" s="139"/>
      <c r="J1984" s="137"/>
      <c r="K1984" s="137"/>
      <c r="M1984" s="126"/>
      <c r="O1984" s="137"/>
      <c r="P1984" s="137"/>
      <c r="Q1984" s="126"/>
    </row>
    <row r="1985" spans="3:17" x14ac:dyDescent="0.3">
      <c r="C1985" s="126"/>
      <c r="F1985" s="137"/>
      <c r="G1985" s="138"/>
      <c r="H1985" s="138"/>
      <c r="I1985" s="139"/>
      <c r="J1985" s="137"/>
      <c r="K1985" s="137"/>
      <c r="M1985" s="126"/>
      <c r="O1985" s="137"/>
      <c r="P1985" s="137"/>
      <c r="Q1985" s="126"/>
    </row>
    <row r="1986" spans="3:17" x14ac:dyDescent="0.3">
      <c r="C1986" s="126"/>
      <c r="F1986" s="137"/>
      <c r="G1986" s="138"/>
      <c r="H1986" s="138"/>
      <c r="I1986" s="139"/>
      <c r="J1986" s="137"/>
      <c r="K1986" s="137"/>
      <c r="M1986" s="126"/>
      <c r="O1986" s="137"/>
      <c r="P1986" s="137"/>
      <c r="Q1986" s="126"/>
    </row>
    <row r="1987" spans="3:17" x14ac:dyDescent="0.3">
      <c r="C1987" s="126"/>
      <c r="F1987" s="137"/>
      <c r="G1987" s="138"/>
      <c r="H1987" s="138"/>
      <c r="I1987" s="139"/>
      <c r="J1987" s="137"/>
      <c r="K1987" s="137"/>
      <c r="M1987" s="126"/>
      <c r="O1987" s="137"/>
      <c r="P1987" s="137"/>
      <c r="Q1987" s="126"/>
    </row>
    <row r="1988" spans="3:17" x14ac:dyDescent="0.3">
      <c r="C1988" s="126"/>
      <c r="F1988" s="137"/>
      <c r="G1988" s="138"/>
      <c r="H1988" s="138"/>
      <c r="I1988" s="139"/>
      <c r="J1988" s="137"/>
      <c r="K1988" s="137"/>
      <c r="M1988" s="126"/>
      <c r="O1988" s="137"/>
      <c r="P1988" s="137"/>
      <c r="Q1988" s="126"/>
    </row>
    <row r="1989" spans="3:17" x14ac:dyDescent="0.3">
      <c r="C1989" s="126"/>
      <c r="F1989" s="137"/>
      <c r="G1989" s="138"/>
      <c r="H1989" s="138"/>
      <c r="I1989" s="139"/>
      <c r="J1989" s="137"/>
      <c r="K1989" s="137"/>
      <c r="M1989" s="126"/>
      <c r="O1989" s="137"/>
      <c r="P1989" s="137"/>
      <c r="Q1989" s="126"/>
    </row>
    <row r="1990" spans="3:17" x14ac:dyDescent="0.3">
      <c r="C1990" s="126"/>
      <c r="F1990" s="137"/>
      <c r="G1990" s="138"/>
      <c r="H1990" s="138"/>
      <c r="I1990" s="139"/>
      <c r="J1990" s="137"/>
      <c r="K1990" s="137"/>
      <c r="M1990" s="126"/>
      <c r="O1990" s="137"/>
      <c r="P1990" s="137"/>
      <c r="Q1990" s="126"/>
    </row>
    <row r="1991" spans="3:17" x14ac:dyDescent="0.3">
      <c r="C1991" s="126"/>
      <c r="F1991" s="137"/>
      <c r="G1991" s="138"/>
      <c r="H1991" s="138"/>
      <c r="I1991" s="139"/>
      <c r="J1991" s="137"/>
      <c r="K1991" s="137"/>
      <c r="M1991" s="126"/>
      <c r="O1991" s="137"/>
      <c r="P1991" s="137"/>
      <c r="Q1991" s="126"/>
    </row>
    <row r="1992" spans="3:17" x14ac:dyDescent="0.3">
      <c r="C1992" s="126"/>
      <c r="F1992" s="137"/>
      <c r="G1992" s="138"/>
      <c r="H1992" s="138"/>
      <c r="I1992" s="139"/>
      <c r="J1992" s="137"/>
      <c r="K1992" s="137"/>
      <c r="M1992" s="126"/>
      <c r="O1992" s="137"/>
      <c r="P1992" s="137"/>
      <c r="Q1992" s="126"/>
    </row>
    <row r="1993" spans="3:17" x14ac:dyDescent="0.3">
      <c r="C1993" s="126"/>
      <c r="F1993" s="137"/>
      <c r="G1993" s="138"/>
      <c r="H1993" s="138"/>
      <c r="I1993" s="139"/>
      <c r="J1993" s="137"/>
      <c r="K1993" s="137"/>
      <c r="M1993" s="126"/>
      <c r="O1993" s="137"/>
      <c r="P1993" s="137"/>
      <c r="Q1993" s="126"/>
    </row>
    <row r="1994" spans="3:17" x14ac:dyDescent="0.3">
      <c r="C1994" s="126"/>
      <c r="F1994" s="137"/>
      <c r="G1994" s="138"/>
      <c r="H1994" s="138"/>
      <c r="I1994" s="139"/>
      <c r="J1994" s="137"/>
      <c r="K1994" s="137"/>
      <c r="M1994" s="126"/>
      <c r="O1994" s="137"/>
      <c r="P1994" s="137"/>
      <c r="Q1994" s="126"/>
    </row>
    <row r="1995" spans="3:17" x14ac:dyDescent="0.3">
      <c r="C1995" s="126"/>
      <c r="F1995" s="137"/>
      <c r="G1995" s="138"/>
      <c r="H1995" s="138"/>
      <c r="I1995" s="139"/>
      <c r="J1995" s="137"/>
      <c r="K1995" s="137"/>
      <c r="M1995" s="126"/>
      <c r="O1995" s="137"/>
      <c r="P1995" s="137"/>
      <c r="Q1995" s="126"/>
    </row>
    <row r="1996" spans="3:17" x14ac:dyDescent="0.3">
      <c r="C1996" s="126"/>
      <c r="F1996" s="137"/>
      <c r="G1996" s="138"/>
      <c r="H1996" s="138"/>
      <c r="I1996" s="139"/>
      <c r="J1996" s="137"/>
      <c r="K1996" s="137"/>
      <c r="M1996" s="126"/>
      <c r="O1996" s="137"/>
      <c r="P1996" s="137"/>
      <c r="Q1996" s="126"/>
    </row>
    <row r="1997" spans="3:17" x14ac:dyDescent="0.3">
      <c r="C1997" s="126"/>
      <c r="F1997" s="137"/>
      <c r="G1997" s="138"/>
      <c r="H1997" s="138"/>
      <c r="I1997" s="139"/>
      <c r="J1997" s="137"/>
      <c r="K1997" s="137"/>
      <c r="M1997" s="126"/>
      <c r="O1997" s="137"/>
      <c r="P1997" s="137"/>
      <c r="Q1997" s="126"/>
    </row>
    <row r="1998" spans="3:17" x14ac:dyDescent="0.3">
      <c r="C1998" s="126"/>
      <c r="F1998" s="137"/>
      <c r="G1998" s="138"/>
      <c r="H1998" s="138"/>
      <c r="I1998" s="139"/>
      <c r="J1998" s="137"/>
      <c r="K1998" s="137"/>
      <c r="M1998" s="126"/>
      <c r="O1998" s="137"/>
      <c r="P1998" s="137"/>
      <c r="Q1998" s="126"/>
    </row>
    <row r="1999" spans="3:17" x14ac:dyDescent="0.3">
      <c r="C1999" s="126"/>
      <c r="F1999" s="137"/>
      <c r="G1999" s="138"/>
      <c r="H1999" s="138"/>
      <c r="I1999" s="139"/>
      <c r="J1999" s="137"/>
      <c r="K1999" s="137"/>
      <c r="M1999" s="126"/>
      <c r="O1999" s="137"/>
      <c r="P1999" s="137"/>
      <c r="Q1999" s="126"/>
    </row>
    <row r="2000" spans="3:17" x14ac:dyDescent="0.3">
      <c r="C2000" s="126"/>
      <c r="F2000" s="137"/>
      <c r="G2000" s="138"/>
      <c r="H2000" s="138"/>
      <c r="I2000" s="139"/>
      <c r="J2000" s="137"/>
      <c r="K2000" s="137"/>
      <c r="M2000" s="126"/>
      <c r="O2000" s="137"/>
      <c r="P2000" s="137"/>
      <c r="Q2000" s="126"/>
    </row>
    <row r="2001" spans="3:17" x14ac:dyDescent="0.3">
      <c r="C2001" s="126"/>
      <c r="F2001" s="137"/>
      <c r="G2001" s="138"/>
      <c r="H2001" s="138"/>
      <c r="I2001" s="139"/>
      <c r="J2001" s="137"/>
      <c r="K2001" s="137"/>
      <c r="M2001" s="126"/>
      <c r="O2001" s="137"/>
      <c r="P2001" s="137"/>
      <c r="Q2001" s="126"/>
    </row>
    <row r="2002" spans="3:17" x14ac:dyDescent="0.3">
      <c r="C2002" s="126"/>
      <c r="F2002" s="137"/>
      <c r="G2002" s="138"/>
      <c r="H2002" s="138"/>
      <c r="I2002" s="139"/>
      <c r="J2002" s="137"/>
      <c r="K2002" s="137"/>
      <c r="M2002" s="126"/>
      <c r="O2002" s="137"/>
      <c r="P2002" s="137"/>
      <c r="Q2002" s="126"/>
    </row>
    <row r="2003" spans="3:17" x14ac:dyDescent="0.3">
      <c r="C2003" s="126"/>
      <c r="F2003" s="137"/>
      <c r="G2003" s="138"/>
      <c r="H2003" s="138"/>
      <c r="I2003" s="139"/>
      <c r="J2003" s="137"/>
      <c r="K2003" s="137"/>
      <c r="M2003" s="126"/>
      <c r="O2003" s="137"/>
      <c r="P2003" s="137"/>
      <c r="Q2003" s="126"/>
    </row>
    <row r="2004" spans="3:17" x14ac:dyDescent="0.3">
      <c r="C2004" s="126"/>
      <c r="F2004" s="137"/>
      <c r="G2004" s="138"/>
      <c r="H2004" s="138"/>
      <c r="I2004" s="139"/>
      <c r="J2004" s="137"/>
      <c r="K2004" s="137"/>
      <c r="M2004" s="126"/>
      <c r="O2004" s="137"/>
      <c r="P2004" s="137"/>
      <c r="Q2004" s="126"/>
    </row>
    <row r="2005" spans="3:17" x14ac:dyDescent="0.3">
      <c r="C2005" s="126"/>
      <c r="F2005" s="137"/>
      <c r="G2005" s="138"/>
      <c r="H2005" s="138"/>
      <c r="I2005" s="139"/>
      <c r="J2005" s="137"/>
      <c r="K2005" s="137"/>
      <c r="M2005" s="126"/>
      <c r="O2005" s="137"/>
      <c r="P2005" s="137"/>
      <c r="Q2005" s="126"/>
    </row>
    <row r="2006" spans="3:17" x14ac:dyDescent="0.3">
      <c r="C2006" s="126"/>
      <c r="F2006" s="137"/>
      <c r="G2006" s="138"/>
      <c r="H2006" s="138"/>
      <c r="I2006" s="139"/>
      <c r="J2006" s="137"/>
      <c r="K2006" s="137"/>
      <c r="M2006" s="126"/>
      <c r="O2006" s="137"/>
      <c r="P2006" s="137"/>
      <c r="Q2006" s="126"/>
    </row>
    <row r="2007" spans="3:17" x14ac:dyDescent="0.3">
      <c r="C2007" s="126"/>
      <c r="F2007" s="137"/>
      <c r="G2007" s="138"/>
      <c r="H2007" s="138"/>
      <c r="I2007" s="139"/>
      <c r="J2007" s="137"/>
      <c r="K2007" s="137"/>
      <c r="M2007" s="126"/>
      <c r="O2007" s="137"/>
      <c r="P2007" s="137"/>
      <c r="Q2007" s="126"/>
    </row>
    <row r="2008" spans="3:17" x14ac:dyDescent="0.3">
      <c r="C2008" s="126"/>
      <c r="F2008" s="137"/>
      <c r="G2008" s="138"/>
      <c r="H2008" s="138"/>
      <c r="I2008" s="139"/>
      <c r="J2008" s="137"/>
      <c r="K2008" s="137"/>
      <c r="M2008" s="126"/>
      <c r="O2008" s="137"/>
      <c r="P2008" s="137"/>
      <c r="Q2008" s="126"/>
    </row>
    <row r="2009" spans="3:17" x14ac:dyDescent="0.3">
      <c r="C2009" s="126"/>
      <c r="F2009" s="137"/>
      <c r="G2009" s="138"/>
      <c r="H2009" s="138"/>
      <c r="I2009" s="139"/>
      <c r="J2009" s="137"/>
      <c r="K2009" s="137"/>
      <c r="M2009" s="126"/>
      <c r="O2009" s="137"/>
      <c r="P2009" s="137"/>
      <c r="Q2009" s="126"/>
    </row>
    <row r="2010" spans="3:17" x14ac:dyDescent="0.3">
      <c r="C2010" s="126"/>
      <c r="F2010" s="137"/>
      <c r="G2010" s="138"/>
      <c r="H2010" s="138"/>
      <c r="I2010" s="139"/>
      <c r="J2010" s="137"/>
      <c r="K2010" s="137"/>
      <c r="M2010" s="126"/>
      <c r="O2010" s="137"/>
      <c r="P2010" s="137"/>
      <c r="Q2010" s="126"/>
    </row>
    <row r="2011" spans="3:17" x14ac:dyDescent="0.3">
      <c r="C2011" s="126"/>
      <c r="F2011" s="137"/>
      <c r="G2011" s="138"/>
      <c r="H2011" s="138"/>
      <c r="I2011" s="139"/>
      <c r="J2011" s="137"/>
      <c r="K2011" s="137"/>
      <c r="M2011" s="126"/>
      <c r="O2011" s="137"/>
      <c r="P2011" s="137"/>
      <c r="Q2011" s="126"/>
    </row>
    <row r="2012" spans="3:17" x14ac:dyDescent="0.3">
      <c r="C2012" s="126"/>
      <c r="F2012" s="137"/>
      <c r="G2012" s="138"/>
      <c r="H2012" s="138"/>
      <c r="I2012" s="139"/>
      <c r="J2012" s="137"/>
      <c r="K2012" s="137"/>
      <c r="M2012" s="126"/>
      <c r="O2012" s="137"/>
      <c r="P2012" s="137"/>
      <c r="Q2012" s="126"/>
    </row>
    <row r="2013" spans="3:17" x14ac:dyDescent="0.3">
      <c r="C2013" s="126"/>
      <c r="F2013" s="137"/>
      <c r="G2013" s="138"/>
      <c r="H2013" s="138"/>
      <c r="I2013" s="139"/>
      <c r="J2013" s="137"/>
      <c r="K2013" s="137"/>
      <c r="M2013" s="126"/>
      <c r="O2013" s="137"/>
      <c r="P2013" s="137"/>
      <c r="Q2013" s="126"/>
    </row>
    <row r="2014" spans="3:17" x14ac:dyDescent="0.3">
      <c r="C2014" s="126"/>
      <c r="F2014" s="137"/>
      <c r="G2014" s="138"/>
      <c r="H2014" s="138"/>
      <c r="I2014" s="139"/>
      <c r="J2014" s="137"/>
      <c r="K2014" s="137"/>
      <c r="M2014" s="126"/>
      <c r="O2014" s="137"/>
      <c r="P2014" s="137"/>
      <c r="Q2014" s="126"/>
    </row>
    <row r="2015" spans="3:17" x14ac:dyDescent="0.3">
      <c r="C2015" s="126"/>
      <c r="F2015" s="137"/>
      <c r="G2015" s="138"/>
      <c r="H2015" s="138"/>
      <c r="I2015" s="139"/>
      <c r="J2015" s="137"/>
      <c r="K2015" s="137"/>
      <c r="M2015" s="126"/>
      <c r="O2015" s="137"/>
      <c r="P2015" s="137"/>
      <c r="Q2015" s="126"/>
    </row>
    <row r="2016" spans="3:17" x14ac:dyDescent="0.3">
      <c r="C2016" s="126"/>
      <c r="F2016" s="137"/>
      <c r="G2016" s="138"/>
      <c r="H2016" s="138"/>
      <c r="I2016" s="139"/>
      <c r="J2016" s="137"/>
      <c r="K2016" s="137"/>
      <c r="M2016" s="126"/>
      <c r="O2016" s="137"/>
      <c r="P2016" s="137"/>
      <c r="Q2016" s="126"/>
    </row>
    <row r="2017" spans="3:17" x14ac:dyDescent="0.3">
      <c r="C2017" s="126"/>
      <c r="F2017" s="137"/>
      <c r="G2017" s="138"/>
      <c r="H2017" s="138"/>
      <c r="I2017" s="139"/>
      <c r="J2017" s="137"/>
      <c r="K2017" s="137"/>
      <c r="M2017" s="126"/>
      <c r="O2017" s="137"/>
      <c r="P2017" s="137"/>
      <c r="Q2017" s="126"/>
    </row>
    <row r="2018" spans="3:17" x14ac:dyDescent="0.3">
      <c r="C2018" s="126"/>
      <c r="F2018" s="137"/>
      <c r="G2018" s="138"/>
      <c r="H2018" s="138"/>
      <c r="I2018" s="139"/>
      <c r="J2018" s="137"/>
      <c r="K2018" s="137"/>
      <c r="M2018" s="126"/>
      <c r="O2018" s="137"/>
      <c r="P2018" s="137"/>
      <c r="Q2018" s="126"/>
    </row>
    <row r="2019" spans="3:17" x14ac:dyDescent="0.3">
      <c r="C2019" s="126"/>
      <c r="F2019" s="137"/>
      <c r="G2019" s="138"/>
      <c r="H2019" s="138"/>
      <c r="I2019" s="139"/>
      <c r="J2019" s="137"/>
      <c r="K2019" s="137"/>
      <c r="M2019" s="126"/>
      <c r="O2019" s="137"/>
      <c r="P2019" s="137"/>
      <c r="Q2019" s="126"/>
    </row>
    <row r="2020" spans="3:17" x14ac:dyDescent="0.3">
      <c r="C2020" s="126"/>
      <c r="F2020" s="137"/>
      <c r="G2020" s="138"/>
      <c r="H2020" s="138"/>
      <c r="I2020" s="139"/>
      <c r="J2020" s="137"/>
      <c r="K2020" s="137"/>
      <c r="M2020" s="126"/>
      <c r="O2020" s="137"/>
      <c r="P2020" s="137"/>
      <c r="Q2020" s="126"/>
    </row>
    <row r="2021" spans="3:17" x14ac:dyDescent="0.3">
      <c r="C2021" s="126"/>
      <c r="F2021" s="137"/>
      <c r="G2021" s="138"/>
      <c r="H2021" s="138"/>
      <c r="I2021" s="139"/>
      <c r="J2021" s="137"/>
      <c r="K2021" s="137"/>
      <c r="M2021" s="126"/>
      <c r="O2021" s="137"/>
      <c r="P2021" s="137"/>
      <c r="Q2021" s="126"/>
    </row>
    <row r="2022" spans="3:17" x14ac:dyDescent="0.3">
      <c r="C2022" s="126"/>
      <c r="F2022" s="137"/>
      <c r="G2022" s="138"/>
      <c r="H2022" s="138"/>
      <c r="I2022" s="139"/>
      <c r="J2022" s="137"/>
      <c r="K2022" s="137"/>
      <c r="M2022" s="126"/>
      <c r="O2022" s="137"/>
      <c r="P2022" s="137"/>
      <c r="Q2022" s="126"/>
    </row>
    <row r="2023" spans="3:17" x14ac:dyDescent="0.3">
      <c r="C2023" s="126"/>
      <c r="F2023" s="137"/>
      <c r="G2023" s="138"/>
      <c r="H2023" s="138"/>
      <c r="I2023" s="139"/>
      <c r="J2023" s="137"/>
      <c r="K2023" s="137"/>
      <c r="M2023" s="126"/>
      <c r="O2023" s="137"/>
      <c r="P2023" s="137"/>
      <c r="Q2023" s="126"/>
    </row>
    <row r="2024" spans="3:17" x14ac:dyDescent="0.3">
      <c r="C2024" s="126"/>
      <c r="F2024" s="137"/>
      <c r="G2024" s="138"/>
      <c r="H2024" s="138"/>
      <c r="I2024" s="139"/>
      <c r="J2024" s="137"/>
      <c r="K2024" s="137"/>
      <c r="M2024" s="126"/>
      <c r="O2024" s="137"/>
      <c r="P2024" s="137"/>
      <c r="Q2024" s="126"/>
    </row>
    <row r="2025" spans="3:17" x14ac:dyDescent="0.3">
      <c r="C2025" s="126"/>
      <c r="F2025" s="137"/>
      <c r="G2025" s="138"/>
      <c r="H2025" s="138"/>
      <c r="I2025" s="139"/>
      <c r="J2025" s="137"/>
      <c r="K2025" s="137"/>
      <c r="M2025" s="126"/>
      <c r="O2025" s="137"/>
      <c r="P2025" s="137"/>
      <c r="Q2025" s="126"/>
    </row>
    <row r="2026" spans="3:17" x14ac:dyDescent="0.3">
      <c r="C2026" s="126"/>
      <c r="F2026" s="137"/>
      <c r="G2026" s="138"/>
      <c r="H2026" s="138"/>
      <c r="I2026" s="139"/>
      <c r="J2026" s="137"/>
      <c r="K2026" s="137"/>
      <c r="M2026" s="126"/>
      <c r="O2026" s="137"/>
      <c r="P2026" s="137"/>
      <c r="Q2026" s="126"/>
    </row>
    <row r="2027" spans="3:17" x14ac:dyDescent="0.3">
      <c r="C2027" s="126"/>
      <c r="F2027" s="137"/>
      <c r="G2027" s="138"/>
      <c r="H2027" s="138"/>
      <c r="I2027" s="139"/>
      <c r="J2027" s="137"/>
      <c r="K2027" s="137"/>
      <c r="M2027" s="126"/>
      <c r="O2027" s="137"/>
      <c r="P2027" s="137"/>
      <c r="Q2027" s="126"/>
    </row>
    <row r="2028" spans="3:17" x14ac:dyDescent="0.3">
      <c r="C2028" s="126"/>
      <c r="F2028" s="137"/>
      <c r="G2028" s="138"/>
      <c r="H2028" s="138"/>
      <c r="I2028" s="139"/>
      <c r="J2028" s="137"/>
      <c r="K2028" s="137"/>
      <c r="M2028" s="126"/>
      <c r="O2028" s="137"/>
      <c r="P2028" s="137"/>
      <c r="Q2028" s="126"/>
    </row>
    <row r="2029" spans="3:17" x14ac:dyDescent="0.3">
      <c r="C2029" s="126"/>
      <c r="F2029" s="137"/>
      <c r="G2029" s="138"/>
      <c r="H2029" s="138"/>
      <c r="I2029" s="139"/>
      <c r="J2029" s="137"/>
      <c r="K2029" s="137"/>
      <c r="M2029" s="126"/>
      <c r="O2029" s="137"/>
      <c r="P2029" s="137"/>
      <c r="Q2029" s="126"/>
    </row>
    <row r="2030" spans="3:17" x14ac:dyDescent="0.3">
      <c r="C2030" s="126"/>
      <c r="F2030" s="137"/>
      <c r="G2030" s="138"/>
      <c r="H2030" s="138"/>
      <c r="I2030" s="139"/>
      <c r="J2030" s="137"/>
      <c r="K2030" s="137"/>
      <c r="M2030" s="126"/>
      <c r="O2030" s="137"/>
      <c r="P2030" s="137"/>
      <c r="Q2030" s="126"/>
    </row>
    <row r="2031" spans="3:17" x14ac:dyDescent="0.3">
      <c r="C2031" s="126"/>
      <c r="F2031" s="137"/>
      <c r="G2031" s="138"/>
      <c r="H2031" s="138"/>
      <c r="I2031" s="139"/>
      <c r="J2031" s="137"/>
      <c r="K2031" s="137"/>
      <c r="M2031" s="126"/>
      <c r="O2031" s="137"/>
      <c r="P2031" s="137"/>
      <c r="Q2031" s="126"/>
    </row>
    <row r="2032" spans="3:17" x14ac:dyDescent="0.3">
      <c r="C2032" s="126"/>
      <c r="F2032" s="137"/>
      <c r="G2032" s="138"/>
      <c r="H2032" s="138"/>
      <c r="I2032" s="139"/>
      <c r="J2032" s="137"/>
      <c r="K2032" s="137"/>
      <c r="M2032" s="126"/>
      <c r="O2032" s="137"/>
      <c r="P2032" s="137"/>
      <c r="Q2032" s="126"/>
    </row>
    <row r="2033" spans="3:17" x14ac:dyDescent="0.3">
      <c r="C2033" s="126"/>
      <c r="F2033" s="137"/>
      <c r="G2033" s="138"/>
      <c r="H2033" s="138"/>
      <c r="I2033" s="139"/>
      <c r="J2033" s="137"/>
      <c r="K2033" s="137"/>
      <c r="M2033" s="126"/>
      <c r="O2033" s="137"/>
      <c r="P2033" s="137"/>
      <c r="Q2033" s="126"/>
    </row>
    <row r="2034" spans="3:17" x14ac:dyDescent="0.3">
      <c r="C2034" s="126"/>
      <c r="F2034" s="137"/>
      <c r="G2034" s="138"/>
      <c r="H2034" s="138"/>
      <c r="I2034" s="139"/>
      <c r="J2034" s="137"/>
      <c r="K2034" s="137"/>
      <c r="M2034" s="126"/>
      <c r="O2034" s="137"/>
      <c r="P2034" s="137"/>
      <c r="Q2034" s="126"/>
    </row>
    <row r="2035" spans="3:17" x14ac:dyDescent="0.3">
      <c r="C2035" s="126"/>
      <c r="F2035" s="137"/>
      <c r="G2035" s="138"/>
      <c r="H2035" s="138"/>
      <c r="I2035" s="139"/>
      <c r="J2035" s="137"/>
      <c r="K2035" s="137"/>
      <c r="M2035" s="126"/>
      <c r="O2035" s="137"/>
      <c r="P2035" s="137"/>
      <c r="Q2035" s="126"/>
    </row>
    <row r="2036" spans="3:17" x14ac:dyDescent="0.3">
      <c r="C2036" s="126"/>
      <c r="F2036" s="137"/>
      <c r="G2036" s="138"/>
      <c r="H2036" s="138"/>
      <c r="I2036" s="139"/>
      <c r="J2036" s="137"/>
      <c r="K2036" s="137"/>
      <c r="M2036" s="126"/>
      <c r="O2036" s="137"/>
      <c r="P2036" s="137"/>
      <c r="Q2036" s="126"/>
    </row>
    <row r="2037" spans="3:17" x14ac:dyDescent="0.3">
      <c r="C2037" s="126"/>
      <c r="F2037" s="137"/>
      <c r="G2037" s="138"/>
      <c r="H2037" s="138"/>
      <c r="I2037" s="139"/>
      <c r="J2037" s="137"/>
      <c r="K2037" s="137"/>
      <c r="M2037" s="126"/>
      <c r="O2037" s="137"/>
      <c r="P2037" s="137"/>
      <c r="Q2037" s="126"/>
    </row>
    <row r="2038" spans="3:17" x14ac:dyDescent="0.3">
      <c r="C2038" s="126"/>
      <c r="F2038" s="137"/>
      <c r="G2038" s="138"/>
      <c r="H2038" s="138"/>
      <c r="I2038" s="139"/>
      <c r="J2038" s="137"/>
      <c r="K2038" s="137"/>
      <c r="M2038" s="126"/>
      <c r="O2038" s="137"/>
      <c r="P2038" s="137"/>
      <c r="Q2038" s="126"/>
    </row>
    <row r="2039" spans="3:17" x14ac:dyDescent="0.3">
      <c r="C2039" s="126"/>
      <c r="F2039" s="137"/>
      <c r="G2039" s="138"/>
      <c r="H2039" s="138"/>
      <c r="I2039" s="139"/>
      <c r="J2039" s="137"/>
      <c r="K2039" s="137"/>
      <c r="M2039" s="126"/>
      <c r="O2039" s="137"/>
      <c r="P2039" s="137"/>
      <c r="Q2039" s="126"/>
    </row>
    <row r="2040" spans="3:17" x14ac:dyDescent="0.3">
      <c r="C2040" s="126"/>
      <c r="F2040" s="137"/>
      <c r="G2040" s="138"/>
      <c r="H2040" s="138"/>
      <c r="I2040" s="139"/>
      <c r="J2040" s="137"/>
      <c r="K2040" s="137"/>
      <c r="M2040" s="126"/>
      <c r="O2040" s="137"/>
      <c r="P2040" s="137"/>
      <c r="Q2040" s="126"/>
    </row>
    <row r="2041" spans="3:17" x14ac:dyDescent="0.3">
      <c r="C2041" s="126"/>
      <c r="F2041" s="137"/>
      <c r="G2041" s="138"/>
      <c r="H2041" s="138"/>
      <c r="I2041" s="139"/>
      <c r="J2041" s="137"/>
      <c r="K2041" s="137"/>
      <c r="M2041" s="126"/>
      <c r="O2041" s="137"/>
      <c r="P2041" s="137"/>
      <c r="Q2041" s="126"/>
    </row>
    <row r="2042" spans="3:17" x14ac:dyDescent="0.3">
      <c r="C2042" s="126"/>
      <c r="F2042" s="137"/>
      <c r="G2042" s="138"/>
      <c r="H2042" s="138"/>
      <c r="I2042" s="139"/>
      <c r="J2042" s="137"/>
      <c r="K2042" s="137"/>
      <c r="M2042" s="126"/>
      <c r="O2042" s="137"/>
      <c r="P2042" s="137"/>
      <c r="Q2042" s="126"/>
    </row>
    <row r="2043" spans="3:17" x14ac:dyDescent="0.3">
      <c r="C2043" s="126"/>
      <c r="F2043" s="137"/>
      <c r="G2043" s="138"/>
      <c r="H2043" s="138"/>
      <c r="I2043" s="139"/>
      <c r="J2043" s="137"/>
      <c r="K2043" s="137"/>
      <c r="M2043" s="126"/>
      <c r="O2043" s="137"/>
      <c r="P2043" s="137"/>
      <c r="Q2043" s="126"/>
    </row>
    <row r="2044" spans="3:17" x14ac:dyDescent="0.3">
      <c r="C2044" s="126"/>
      <c r="F2044" s="137"/>
      <c r="G2044" s="138"/>
      <c r="H2044" s="138"/>
      <c r="I2044" s="139"/>
      <c r="J2044" s="137"/>
      <c r="K2044" s="137"/>
      <c r="M2044" s="126"/>
      <c r="O2044" s="137"/>
      <c r="P2044" s="137"/>
      <c r="Q2044" s="126"/>
    </row>
    <row r="2045" spans="3:17" x14ac:dyDescent="0.3">
      <c r="C2045" s="126"/>
      <c r="F2045" s="137"/>
      <c r="G2045" s="138"/>
      <c r="H2045" s="138"/>
      <c r="I2045" s="139"/>
      <c r="J2045" s="137"/>
      <c r="K2045" s="137"/>
      <c r="M2045" s="126"/>
      <c r="O2045" s="137"/>
      <c r="P2045" s="137"/>
      <c r="Q2045" s="126"/>
    </row>
    <row r="2046" spans="3:17" x14ac:dyDescent="0.3">
      <c r="C2046" s="126"/>
      <c r="F2046" s="137"/>
      <c r="G2046" s="138"/>
      <c r="H2046" s="138"/>
      <c r="I2046" s="139"/>
      <c r="J2046" s="137"/>
      <c r="K2046" s="137"/>
      <c r="M2046" s="126"/>
      <c r="O2046" s="137"/>
      <c r="P2046" s="137"/>
      <c r="Q2046" s="126"/>
    </row>
    <row r="2047" spans="3:17" x14ac:dyDescent="0.3">
      <c r="C2047" s="126"/>
      <c r="F2047" s="137"/>
      <c r="G2047" s="138"/>
      <c r="H2047" s="138"/>
      <c r="I2047" s="139"/>
      <c r="J2047" s="137"/>
      <c r="K2047" s="137"/>
      <c r="M2047" s="126"/>
      <c r="O2047" s="137"/>
      <c r="P2047" s="137"/>
      <c r="Q2047" s="126"/>
    </row>
    <row r="2048" spans="3:17" x14ac:dyDescent="0.3">
      <c r="C2048" s="126"/>
      <c r="F2048" s="137"/>
      <c r="G2048" s="138"/>
      <c r="H2048" s="138"/>
      <c r="I2048" s="139"/>
      <c r="J2048" s="137"/>
      <c r="K2048" s="137"/>
      <c r="M2048" s="126"/>
      <c r="O2048" s="137"/>
      <c r="P2048" s="137"/>
      <c r="Q2048" s="126"/>
    </row>
    <row r="2049" spans="3:17" x14ac:dyDescent="0.3">
      <c r="C2049" s="126"/>
      <c r="F2049" s="137"/>
      <c r="G2049" s="138"/>
      <c r="H2049" s="138"/>
      <c r="I2049" s="139"/>
      <c r="J2049" s="137"/>
      <c r="K2049" s="137"/>
      <c r="M2049" s="126"/>
      <c r="O2049" s="137"/>
      <c r="P2049" s="137"/>
      <c r="Q2049" s="126"/>
    </row>
    <row r="2050" spans="3:17" x14ac:dyDescent="0.3">
      <c r="C2050" s="126"/>
      <c r="F2050" s="137"/>
      <c r="G2050" s="138"/>
      <c r="H2050" s="138"/>
      <c r="I2050" s="139"/>
      <c r="J2050" s="137"/>
      <c r="K2050" s="137"/>
      <c r="M2050" s="126"/>
      <c r="O2050" s="137"/>
      <c r="P2050" s="137"/>
      <c r="Q2050" s="126"/>
    </row>
    <row r="2051" spans="3:17" x14ac:dyDescent="0.3">
      <c r="C2051" s="126"/>
      <c r="F2051" s="137"/>
      <c r="G2051" s="138"/>
      <c r="H2051" s="138"/>
      <c r="I2051" s="139"/>
      <c r="J2051" s="137"/>
      <c r="K2051" s="137"/>
      <c r="M2051" s="126"/>
      <c r="O2051" s="137"/>
      <c r="P2051" s="137"/>
      <c r="Q2051" s="126"/>
    </row>
    <row r="2052" spans="3:17" x14ac:dyDescent="0.3">
      <c r="C2052" s="126"/>
      <c r="F2052" s="137"/>
      <c r="G2052" s="138"/>
      <c r="H2052" s="138"/>
      <c r="I2052" s="139"/>
      <c r="J2052" s="137"/>
      <c r="K2052" s="137"/>
      <c r="M2052" s="126"/>
      <c r="O2052" s="137"/>
      <c r="P2052" s="137"/>
      <c r="Q2052" s="126"/>
    </row>
    <row r="2053" spans="3:17" x14ac:dyDescent="0.3">
      <c r="C2053" s="126"/>
      <c r="F2053" s="137"/>
      <c r="G2053" s="138"/>
      <c r="H2053" s="138"/>
      <c r="I2053" s="139"/>
      <c r="J2053" s="137"/>
      <c r="K2053" s="137"/>
      <c r="M2053" s="126"/>
      <c r="O2053" s="137"/>
      <c r="P2053" s="137"/>
      <c r="Q2053" s="126"/>
    </row>
    <row r="2054" spans="3:17" x14ac:dyDescent="0.3">
      <c r="C2054" s="126"/>
      <c r="F2054" s="137"/>
      <c r="G2054" s="138"/>
      <c r="H2054" s="138"/>
      <c r="I2054" s="139"/>
      <c r="J2054" s="137"/>
      <c r="K2054" s="137"/>
      <c r="M2054" s="126"/>
      <c r="O2054" s="137"/>
      <c r="P2054" s="137"/>
      <c r="Q2054" s="126"/>
    </row>
    <row r="2055" spans="3:17" x14ac:dyDescent="0.3">
      <c r="C2055" s="126"/>
      <c r="F2055" s="137"/>
      <c r="G2055" s="138"/>
      <c r="H2055" s="138"/>
      <c r="I2055" s="139"/>
      <c r="J2055" s="137"/>
      <c r="K2055" s="137"/>
      <c r="M2055" s="126"/>
      <c r="O2055" s="137"/>
      <c r="P2055" s="137"/>
      <c r="Q2055" s="126"/>
    </row>
    <row r="2056" spans="3:17" x14ac:dyDescent="0.3">
      <c r="C2056" s="126"/>
      <c r="F2056" s="137"/>
      <c r="G2056" s="138"/>
      <c r="H2056" s="138"/>
      <c r="I2056" s="139"/>
      <c r="J2056" s="137"/>
      <c r="K2056" s="137"/>
      <c r="M2056" s="126"/>
      <c r="O2056" s="137"/>
      <c r="P2056" s="137"/>
      <c r="Q2056" s="126"/>
    </row>
    <row r="2057" spans="3:17" x14ac:dyDescent="0.3">
      <c r="C2057" s="126"/>
      <c r="F2057" s="137"/>
      <c r="G2057" s="138"/>
      <c r="H2057" s="138"/>
      <c r="I2057" s="139"/>
      <c r="J2057" s="137"/>
      <c r="K2057" s="137"/>
      <c r="M2057" s="126"/>
      <c r="O2057" s="137"/>
      <c r="P2057" s="137"/>
      <c r="Q2057" s="126"/>
    </row>
    <row r="2058" spans="3:17" x14ac:dyDescent="0.3">
      <c r="C2058" s="126"/>
      <c r="F2058" s="137"/>
      <c r="G2058" s="138"/>
      <c r="H2058" s="138"/>
      <c r="I2058" s="139"/>
      <c r="J2058" s="137"/>
      <c r="K2058" s="137"/>
      <c r="M2058" s="126"/>
      <c r="O2058" s="137"/>
      <c r="P2058" s="137"/>
      <c r="Q2058" s="126"/>
    </row>
    <row r="2059" spans="3:17" x14ac:dyDescent="0.3">
      <c r="C2059" s="126"/>
      <c r="F2059" s="137"/>
      <c r="G2059" s="138"/>
      <c r="H2059" s="138"/>
      <c r="I2059" s="139"/>
      <c r="J2059" s="137"/>
      <c r="K2059" s="137"/>
      <c r="M2059" s="126"/>
      <c r="O2059" s="137"/>
      <c r="P2059" s="137"/>
      <c r="Q2059" s="126"/>
    </row>
    <row r="2060" spans="3:17" x14ac:dyDescent="0.3">
      <c r="C2060" s="126"/>
      <c r="F2060" s="137"/>
      <c r="G2060" s="138"/>
      <c r="H2060" s="138"/>
      <c r="I2060" s="139"/>
      <c r="J2060" s="137"/>
      <c r="K2060" s="137"/>
      <c r="M2060" s="126"/>
      <c r="O2060" s="137"/>
      <c r="P2060" s="137"/>
      <c r="Q2060" s="126"/>
    </row>
    <row r="2061" spans="3:17" x14ac:dyDescent="0.3">
      <c r="C2061" s="126"/>
      <c r="F2061" s="137"/>
      <c r="G2061" s="138"/>
      <c r="H2061" s="138"/>
      <c r="I2061" s="139"/>
      <c r="J2061" s="137"/>
      <c r="K2061" s="137"/>
      <c r="M2061" s="126"/>
      <c r="O2061" s="137"/>
      <c r="P2061" s="137"/>
      <c r="Q2061" s="126"/>
    </row>
    <row r="2062" spans="3:17" x14ac:dyDescent="0.3">
      <c r="C2062" s="126"/>
      <c r="F2062" s="137"/>
      <c r="G2062" s="138"/>
      <c r="H2062" s="138"/>
      <c r="I2062" s="139"/>
      <c r="J2062" s="137"/>
      <c r="K2062" s="137"/>
      <c r="M2062" s="126"/>
      <c r="O2062" s="137"/>
      <c r="P2062" s="137"/>
      <c r="Q2062" s="126"/>
    </row>
    <row r="2063" spans="3:17" x14ac:dyDescent="0.3">
      <c r="C2063" s="126"/>
      <c r="F2063" s="137"/>
      <c r="G2063" s="138"/>
      <c r="H2063" s="138"/>
      <c r="I2063" s="139"/>
      <c r="J2063" s="137"/>
      <c r="K2063" s="137"/>
      <c r="M2063" s="126"/>
      <c r="O2063" s="137"/>
      <c r="P2063" s="137"/>
      <c r="Q2063" s="126"/>
    </row>
    <row r="2064" spans="3:17" x14ac:dyDescent="0.3">
      <c r="C2064" s="126"/>
      <c r="F2064" s="137"/>
      <c r="G2064" s="138"/>
      <c r="H2064" s="138"/>
      <c r="I2064" s="139"/>
      <c r="J2064" s="137"/>
      <c r="K2064" s="137"/>
      <c r="M2064" s="126"/>
      <c r="O2064" s="137"/>
      <c r="P2064" s="137"/>
      <c r="Q2064" s="126"/>
    </row>
    <row r="2065" spans="3:17" x14ac:dyDescent="0.3">
      <c r="C2065" s="126"/>
      <c r="F2065" s="137"/>
      <c r="G2065" s="138"/>
      <c r="H2065" s="138"/>
      <c r="I2065" s="139"/>
      <c r="J2065" s="137"/>
      <c r="K2065" s="137"/>
      <c r="M2065" s="126"/>
      <c r="O2065" s="137"/>
      <c r="P2065" s="137"/>
      <c r="Q2065" s="126"/>
    </row>
    <row r="2066" spans="3:17" x14ac:dyDescent="0.3">
      <c r="C2066" s="126"/>
      <c r="F2066" s="137"/>
      <c r="G2066" s="138"/>
      <c r="H2066" s="138"/>
      <c r="I2066" s="139"/>
      <c r="J2066" s="137"/>
      <c r="K2066" s="137"/>
      <c r="M2066" s="126"/>
      <c r="O2066" s="137"/>
      <c r="P2066" s="137"/>
      <c r="Q2066" s="126"/>
    </row>
    <row r="2067" spans="3:17" x14ac:dyDescent="0.3">
      <c r="C2067" s="126"/>
      <c r="F2067" s="137"/>
      <c r="G2067" s="138"/>
      <c r="H2067" s="138"/>
      <c r="I2067" s="139"/>
      <c r="J2067" s="137"/>
      <c r="K2067" s="137"/>
      <c r="M2067" s="126"/>
      <c r="O2067" s="137"/>
      <c r="P2067" s="137"/>
      <c r="Q2067" s="126"/>
    </row>
    <row r="2068" spans="3:17" x14ac:dyDescent="0.3">
      <c r="C2068" s="126"/>
      <c r="F2068" s="137"/>
      <c r="G2068" s="138"/>
      <c r="H2068" s="138"/>
      <c r="I2068" s="139"/>
      <c r="J2068" s="137"/>
      <c r="K2068" s="137"/>
      <c r="M2068" s="126"/>
      <c r="O2068" s="137"/>
      <c r="P2068" s="137"/>
      <c r="Q2068" s="126"/>
    </row>
    <row r="2069" spans="3:17" x14ac:dyDescent="0.3">
      <c r="C2069" s="126"/>
      <c r="F2069" s="137"/>
      <c r="G2069" s="138"/>
      <c r="H2069" s="138"/>
      <c r="I2069" s="139"/>
      <c r="J2069" s="137"/>
      <c r="K2069" s="137"/>
      <c r="M2069" s="126"/>
      <c r="O2069" s="137"/>
      <c r="P2069" s="137"/>
      <c r="Q2069" s="126"/>
    </row>
    <row r="2070" spans="3:17" x14ac:dyDescent="0.3">
      <c r="C2070" s="126"/>
      <c r="F2070" s="137"/>
      <c r="G2070" s="138"/>
      <c r="H2070" s="138"/>
      <c r="I2070" s="139"/>
      <c r="J2070" s="137"/>
      <c r="K2070" s="137"/>
      <c r="M2070" s="126"/>
      <c r="O2070" s="137"/>
      <c r="P2070" s="137"/>
      <c r="Q2070" s="126"/>
    </row>
    <row r="2071" spans="3:17" x14ac:dyDescent="0.3">
      <c r="C2071" s="126"/>
      <c r="F2071" s="137"/>
      <c r="G2071" s="138"/>
      <c r="H2071" s="138"/>
      <c r="I2071" s="139"/>
      <c r="J2071" s="137"/>
      <c r="K2071" s="137"/>
      <c r="M2071" s="126"/>
      <c r="O2071" s="137"/>
      <c r="P2071" s="137"/>
      <c r="Q2071" s="126"/>
    </row>
    <row r="2072" spans="3:17" x14ac:dyDescent="0.3">
      <c r="C2072" s="126"/>
      <c r="F2072" s="137"/>
      <c r="G2072" s="138"/>
      <c r="H2072" s="138"/>
      <c r="I2072" s="139"/>
      <c r="J2072" s="137"/>
      <c r="K2072" s="137"/>
      <c r="M2072" s="126"/>
      <c r="O2072" s="137"/>
      <c r="P2072" s="137"/>
      <c r="Q2072" s="126"/>
    </row>
    <row r="2073" spans="3:17" x14ac:dyDescent="0.3">
      <c r="C2073" s="126"/>
      <c r="F2073" s="137"/>
      <c r="G2073" s="138"/>
      <c r="H2073" s="138"/>
      <c r="I2073" s="139"/>
      <c r="J2073" s="137"/>
      <c r="K2073" s="137"/>
      <c r="M2073" s="126"/>
      <c r="O2073" s="137"/>
      <c r="P2073" s="137"/>
      <c r="Q2073" s="126"/>
    </row>
    <row r="2074" spans="3:17" x14ac:dyDescent="0.3">
      <c r="C2074" s="126"/>
      <c r="F2074" s="137"/>
      <c r="G2074" s="138"/>
      <c r="H2074" s="138"/>
      <c r="I2074" s="139"/>
      <c r="J2074" s="137"/>
      <c r="K2074" s="137"/>
      <c r="M2074" s="126"/>
      <c r="O2074" s="137"/>
      <c r="P2074" s="137"/>
      <c r="Q2074" s="126"/>
    </row>
    <row r="2075" spans="3:17" x14ac:dyDescent="0.3">
      <c r="C2075" s="126"/>
      <c r="F2075" s="137"/>
      <c r="G2075" s="138"/>
      <c r="H2075" s="138"/>
      <c r="I2075" s="139"/>
      <c r="J2075" s="137"/>
      <c r="K2075" s="137"/>
      <c r="M2075" s="126"/>
      <c r="O2075" s="137"/>
      <c r="P2075" s="137"/>
      <c r="Q2075" s="126"/>
    </row>
    <row r="2076" spans="3:17" x14ac:dyDescent="0.3">
      <c r="C2076" s="126"/>
      <c r="F2076" s="137"/>
      <c r="G2076" s="138"/>
      <c r="H2076" s="138"/>
      <c r="I2076" s="139"/>
      <c r="J2076" s="137"/>
      <c r="K2076" s="137"/>
      <c r="M2076" s="126"/>
      <c r="O2076" s="137"/>
      <c r="P2076" s="137"/>
      <c r="Q2076" s="126"/>
    </row>
    <row r="2077" spans="3:17" x14ac:dyDescent="0.3">
      <c r="C2077" s="126"/>
      <c r="F2077" s="137"/>
      <c r="G2077" s="138"/>
      <c r="H2077" s="138"/>
      <c r="I2077" s="139"/>
      <c r="J2077" s="137"/>
      <c r="K2077" s="137"/>
      <c r="M2077" s="126"/>
      <c r="O2077" s="137"/>
      <c r="P2077" s="137"/>
      <c r="Q2077" s="126"/>
    </row>
    <row r="2078" spans="3:17" x14ac:dyDescent="0.3">
      <c r="C2078" s="126"/>
      <c r="F2078" s="137"/>
      <c r="G2078" s="138"/>
      <c r="H2078" s="138"/>
      <c r="I2078" s="139"/>
      <c r="J2078" s="137"/>
      <c r="K2078" s="137"/>
      <c r="M2078" s="126"/>
      <c r="O2078" s="137"/>
      <c r="P2078" s="137"/>
      <c r="Q2078" s="126"/>
    </row>
    <row r="2079" spans="3:17" x14ac:dyDescent="0.3">
      <c r="C2079" s="126"/>
      <c r="F2079" s="137"/>
      <c r="G2079" s="138"/>
      <c r="H2079" s="138"/>
      <c r="I2079" s="139"/>
      <c r="J2079" s="137"/>
      <c r="K2079" s="137"/>
      <c r="M2079" s="126"/>
      <c r="O2079" s="137"/>
      <c r="P2079" s="137"/>
      <c r="Q2079" s="126"/>
    </row>
    <row r="2080" spans="3:17" x14ac:dyDescent="0.3">
      <c r="C2080" s="126"/>
      <c r="F2080" s="137"/>
      <c r="G2080" s="138"/>
      <c r="H2080" s="138"/>
      <c r="I2080" s="139"/>
      <c r="J2080" s="137"/>
      <c r="K2080" s="137"/>
      <c r="M2080" s="126"/>
      <c r="O2080" s="137"/>
      <c r="P2080" s="137"/>
      <c r="Q2080" s="126"/>
    </row>
    <row r="2081" spans="3:17" x14ac:dyDescent="0.3">
      <c r="C2081" s="126"/>
      <c r="F2081" s="137"/>
      <c r="G2081" s="138"/>
      <c r="H2081" s="138"/>
      <c r="I2081" s="139"/>
      <c r="J2081" s="137"/>
      <c r="K2081" s="137"/>
      <c r="M2081" s="126"/>
      <c r="O2081" s="137"/>
      <c r="P2081" s="137"/>
      <c r="Q2081" s="126"/>
    </row>
    <row r="2082" spans="3:17" x14ac:dyDescent="0.3">
      <c r="C2082" s="126"/>
      <c r="F2082" s="137"/>
      <c r="G2082" s="138"/>
      <c r="H2082" s="138"/>
      <c r="I2082" s="139"/>
      <c r="J2082" s="137"/>
      <c r="K2082" s="137"/>
      <c r="M2082" s="126"/>
      <c r="O2082" s="137"/>
      <c r="P2082" s="137"/>
      <c r="Q2082" s="126"/>
    </row>
    <row r="2083" spans="3:17" x14ac:dyDescent="0.3">
      <c r="C2083" s="126"/>
      <c r="F2083" s="137"/>
      <c r="G2083" s="138"/>
      <c r="H2083" s="138"/>
      <c r="I2083" s="139"/>
      <c r="J2083" s="137"/>
      <c r="K2083" s="137"/>
      <c r="M2083" s="126"/>
      <c r="O2083" s="137"/>
      <c r="P2083" s="137"/>
      <c r="Q2083" s="126"/>
    </row>
    <row r="2084" spans="3:17" x14ac:dyDescent="0.3">
      <c r="C2084" s="126"/>
      <c r="F2084" s="137"/>
      <c r="G2084" s="138"/>
      <c r="H2084" s="138"/>
      <c r="I2084" s="139"/>
      <c r="J2084" s="137"/>
      <c r="K2084" s="137"/>
      <c r="M2084" s="126"/>
      <c r="O2084" s="137"/>
      <c r="P2084" s="137"/>
      <c r="Q2084" s="126"/>
    </row>
    <row r="2085" spans="3:17" x14ac:dyDescent="0.3">
      <c r="C2085" s="126"/>
      <c r="F2085" s="137"/>
      <c r="G2085" s="138"/>
      <c r="H2085" s="138"/>
      <c r="I2085" s="139"/>
      <c r="J2085" s="137"/>
      <c r="K2085" s="137"/>
      <c r="M2085" s="126"/>
      <c r="O2085" s="137"/>
      <c r="P2085" s="137"/>
      <c r="Q2085" s="126"/>
    </row>
    <row r="2086" spans="3:17" x14ac:dyDescent="0.3">
      <c r="C2086" s="126"/>
      <c r="F2086" s="137"/>
      <c r="G2086" s="138"/>
      <c r="H2086" s="138"/>
      <c r="I2086" s="139"/>
      <c r="J2086" s="137"/>
      <c r="K2086" s="137"/>
      <c r="M2086" s="126"/>
      <c r="O2086" s="137"/>
      <c r="P2086" s="137"/>
      <c r="Q2086" s="126"/>
    </row>
    <row r="2087" spans="3:17" x14ac:dyDescent="0.3">
      <c r="C2087" s="126"/>
      <c r="F2087" s="137"/>
      <c r="G2087" s="138"/>
      <c r="H2087" s="138"/>
      <c r="I2087" s="139"/>
      <c r="J2087" s="137"/>
      <c r="K2087" s="137"/>
      <c r="M2087" s="126"/>
      <c r="O2087" s="137"/>
      <c r="P2087" s="137"/>
      <c r="Q2087" s="126"/>
    </row>
    <row r="2088" spans="3:17" x14ac:dyDescent="0.3">
      <c r="C2088" s="126"/>
      <c r="F2088" s="137"/>
      <c r="G2088" s="138"/>
      <c r="H2088" s="138"/>
      <c r="I2088" s="139"/>
      <c r="J2088" s="137"/>
      <c r="K2088" s="137"/>
      <c r="M2088" s="126"/>
      <c r="O2088" s="137"/>
      <c r="P2088" s="137"/>
      <c r="Q2088" s="126"/>
    </row>
    <row r="2089" spans="3:17" x14ac:dyDescent="0.3">
      <c r="C2089" s="126"/>
      <c r="F2089" s="137"/>
      <c r="G2089" s="138"/>
      <c r="H2089" s="138"/>
      <c r="I2089" s="139"/>
      <c r="J2089" s="137"/>
      <c r="K2089" s="137"/>
      <c r="M2089" s="126"/>
      <c r="O2089" s="137"/>
      <c r="P2089" s="137"/>
      <c r="Q2089" s="126"/>
    </row>
    <row r="2090" spans="3:17" x14ac:dyDescent="0.3">
      <c r="C2090" s="126"/>
      <c r="F2090" s="137"/>
      <c r="G2090" s="138"/>
      <c r="H2090" s="138"/>
      <c r="I2090" s="139"/>
      <c r="J2090" s="137"/>
      <c r="K2090" s="137"/>
      <c r="M2090" s="126"/>
      <c r="O2090" s="137"/>
      <c r="P2090" s="137"/>
      <c r="Q2090" s="126"/>
    </row>
    <row r="2091" spans="3:17" x14ac:dyDescent="0.3">
      <c r="C2091" s="126"/>
      <c r="F2091" s="137"/>
      <c r="G2091" s="138"/>
      <c r="H2091" s="138"/>
      <c r="I2091" s="139"/>
      <c r="J2091" s="137"/>
      <c r="K2091" s="137"/>
      <c r="M2091" s="126"/>
      <c r="O2091" s="137"/>
      <c r="P2091" s="137"/>
      <c r="Q2091" s="126"/>
    </row>
    <row r="2092" spans="3:17" x14ac:dyDescent="0.3">
      <c r="C2092" s="126"/>
      <c r="F2092" s="137"/>
      <c r="G2092" s="138"/>
      <c r="H2092" s="138"/>
      <c r="I2092" s="139"/>
      <c r="J2092" s="137"/>
      <c r="K2092" s="137"/>
      <c r="M2092" s="126"/>
      <c r="O2092" s="137"/>
      <c r="P2092" s="137"/>
      <c r="Q2092" s="126"/>
    </row>
    <row r="2093" spans="3:17" x14ac:dyDescent="0.3">
      <c r="C2093" s="126"/>
      <c r="F2093" s="137"/>
      <c r="G2093" s="138"/>
      <c r="H2093" s="138"/>
      <c r="I2093" s="139"/>
      <c r="J2093" s="137"/>
      <c r="K2093" s="137"/>
      <c r="M2093" s="126"/>
      <c r="O2093" s="137"/>
      <c r="P2093" s="137"/>
      <c r="Q2093" s="126"/>
    </row>
    <row r="2094" spans="3:17" x14ac:dyDescent="0.3">
      <c r="C2094" s="126"/>
      <c r="F2094" s="137"/>
      <c r="G2094" s="138"/>
      <c r="H2094" s="138"/>
      <c r="I2094" s="139"/>
      <c r="J2094" s="137"/>
      <c r="K2094" s="137"/>
      <c r="M2094" s="126"/>
      <c r="O2094" s="137"/>
      <c r="P2094" s="137"/>
      <c r="Q2094" s="126"/>
    </row>
    <row r="2095" spans="3:17" x14ac:dyDescent="0.3">
      <c r="C2095" s="126"/>
      <c r="F2095" s="137"/>
      <c r="G2095" s="138"/>
      <c r="H2095" s="138"/>
      <c r="I2095" s="139"/>
      <c r="J2095" s="137"/>
      <c r="K2095" s="137"/>
      <c r="M2095" s="126"/>
      <c r="O2095" s="137"/>
      <c r="P2095" s="137"/>
      <c r="Q2095" s="126"/>
    </row>
    <row r="2096" spans="3:17" x14ac:dyDescent="0.3">
      <c r="C2096" s="126"/>
      <c r="F2096" s="137"/>
      <c r="G2096" s="138"/>
      <c r="H2096" s="138"/>
      <c r="I2096" s="139"/>
      <c r="J2096" s="137"/>
      <c r="K2096" s="137"/>
      <c r="M2096" s="126"/>
      <c r="O2096" s="137"/>
      <c r="P2096" s="137"/>
      <c r="Q2096" s="126"/>
    </row>
    <row r="2097" spans="3:17" x14ac:dyDescent="0.3">
      <c r="C2097" s="126"/>
      <c r="F2097" s="137"/>
      <c r="G2097" s="138"/>
      <c r="H2097" s="138"/>
      <c r="I2097" s="139"/>
      <c r="J2097" s="137"/>
      <c r="K2097" s="137"/>
      <c r="M2097" s="126"/>
      <c r="O2097" s="137"/>
      <c r="P2097" s="137"/>
      <c r="Q2097" s="126"/>
    </row>
    <row r="2098" spans="3:17" x14ac:dyDescent="0.3">
      <c r="C2098" s="126"/>
      <c r="F2098" s="137"/>
      <c r="G2098" s="138"/>
      <c r="H2098" s="138"/>
      <c r="I2098" s="139"/>
      <c r="J2098" s="137"/>
      <c r="K2098" s="137"/>
      <c r="M2098" s="126"/>
      <c r="O2098" s="137"/>
      <c r="P2098" s="137"/>
      <c r="Q2098" s="126"/>
    </row>
    <row r="2099" spans="3:17" x14ac:dyDescent="0.3">
      <c r="C2099" s="126"/>
      <c r="F2099" s="137"/>
      <c r="G2099" s="138"/>
      <c r="H2099" s="138"/>
      <c r="I2099" s="139"/>
      <c r="J2099" s="137"/>
      <c r="K2099" s="137"/>
      <c r="M2099" s="126"/>
      <c r="O2099" s="137"/>
      <c r="P2099" s="137"/>
      <c r="Q2099" s="126"/>
    </row>
    <row r="2100" spans="3:17" x14ac:dyDescent="0.3">
      <c r="C2100" s="126"/>
      <c r="F2100" s="137"/>
      <c r="G2100" s="138"/>
      <c r="H2100" s="138"/>
      <c r="I2100" s="139"/>
      <c r="J2100" s="137"/>
      <c r="K2100" s="137"/>
      <c r="M2100" s="126"/>
      <c r="O2100" s="137"/>
      <c r="P2100" s="137"/>
      <c r="Q2100" s="126"/>
    </row>
    <row r="2101" spans="3:17" x14ac:dyDescent="0.3">
      <c r="C2101" s="126"/>
      <c r="F2101" s="137"/>
      <c r="G2101" s="138"/>
      <c r="H2101" s="138"/>
      <c r="I2101" s="139"/>
      <c r="J2101" s="137"/>
      <c r="K2101" s="137"/>
      <c r="M2101" s="126"/>
      <c r="O2101" s="137"/>
      <c r="P2101" s="137"/>
      <c r="Q2101" s="126"/>
    </row>
    <row r="2102" spans="3:17" x14ac:dyDescent="0.3">
      <c r="C2102" s="126"/>
      <c r="F2102" s="137"/>
      <c r="G2102" s="138"/>
      <c r="H2102" s="138"/>
      <c r="I2102" s="139"/>
      <c r="J2102" s="137"/>
      <c r="K2102" s="137"/>
      <c r="M2102" s="126"/>
      <c r="O2102" s="137"/>
      <c r="P2102" s="137"/>
      <c r="Q2102" s="126"/>
    </row>
    <row r="2103" spans="3:17" x14ac:dyDescent="0.3">
      <c r="C2103" s="126"/>
      <c r="F2103" s="137"/>
      <c r="G2103" s="138"/>
      <c r="H2103" s="138"/>
      <c r="I2103" s="139"/>
      <c r="J2103" s="137"/>
      <c r="K2103" s="137"/>
      <c r="M2103" s="126"/>
      <c r="O2103" s="137"/>
      <c r="P2103" s="137"/>
      <c r="Q2103" s="126"/>
    </row>
    <row r="2104" spans="3:17" x14ac:dyDescent="0.3">
      <c r="C2104" s="126"/>
      <c r="F2104" s="137"/>
      <c r="G2104" s="138"/>
      <c r="H2104" s="138"/>
      <c r="I2104" s="139"/>
      <c r="J2104" s="137"/>
      <c r="K2104" s="137"/>
      <c r="M2104" s="126"/>
      <c r="O2104" s="137"/>
      <c r="P2104" s="137"/>
      <c r="Q2104" s="126"/>
    </row>
    <row r="2105" spans="3:17" x14ac:dyDescent="0.3">
      <c r="C2105" s="126"/>
      <c r="F2105" s="137"/>
      <c r="G2105" s="138"/>
      <c r="H2105" s="138"/>
      <c r="I2105" s="139"/>
      <c r="J2105" s="137"/>
      <c r="K2105" s="137"/>
      <c r="M2105" s="126"/>
      <c r="O2105" s="137"/>
      <c r="P2105" s="137"/>
      <c r="Q2105" s="126"/>
    </row>
    <row r="2106" spans="3:17" x14ac:dyDescent="0.3">
      <c r="C2106" s="126"/>
      <c r="F2106" s="137"/>
      <c r="G2106" s="138"/>
      <c r="H2106" s="138"/>
      <c r="I2106" s="139"/>
      <c r="J2106" s="137"/>
      <c r="K2106" s="137"/>
      <c r="M2106" s="126"/>
      <c r="O2106" s="137"/>
      <c r="P2106" s="137"/>
      <c r="Q2106" s="126"/>
    </row>
    <row r="2107" spans="3:17" x14ac:dyDescent="0.3">
      <c r="C2107" s="126"/>
      <c r="F2107" s="137"/>
      <c r="G2107" s="138"/>
      <c r="H2107" s="138"/>
      <c r="I2107" s="139"/>
      <c r="J2107" s="137"/>
      <c r="K2107" s="137"/>
      <c r="M2107" s="126"/>
      <c r="O2107" s="137"/>
      <c r="P2107" s="137"/>
      <c r="Q2107" s="126"/>
    </row>
    <row r="2108" spans="3:17" x14ac:dyDescent="0.3">
      <c r="C2108" s="126"/>
      <c r="F2108" s="137"/>
      <c r="G2108" s="138"/>
      <c r="H2108" s="138"/>
      <c r="I2108" s="139"/>
      <c r="J2108" s="137"/>
      <c r="K2108" s="137"/>
      <c r="M2108" s="126"/>
      <c r="O2108" s="137"/>
      <c r="P2108" s="137"/>
      <c r="Q2108" s="126"/>
    </row>
    <row r="2109" spans="3:17" x14ac:dyDescent="0.3">
      <c r="C2109" s="126"/>
      <c r="F2109" s="137"/>
      <c r="G2109" s="138"/>
      <c r="H2109" s="138"/>
      <c r="I2109" s="139"/>
      <c r="J2109" s="137"/>
      <c r="K2109" s="137"/>
      <c r="M2109" s="126"/>
      <c r="O2109" s="137"/>
      <c r="P2109" s="137"/>
      <c r="Q2109" s="126"/>
    </row>
    <row r="2110" spans="3:17" x14ac:dyDescent="0.3">
      <c r="C2110" s="126"/>
      <c r="F2110" s="137"/>
      <c r="G2110" s="138"/>
      <c r="H2110" s="138"/>
      <c r="I2110" s="139"/>
      <c r="J2110" s="137"/>
      <c r="K2110" s="137"/>
      <c r="M2110" s="126"/>
      <c r="O2110" s="137"/>
      <c r="P2110" s="137"/>
      <c r="Q2110" s="126"/>
    </row>
    <row r="2111" spans="3:17" x14ac:dyDescent="0.3">
      <c r="C2111" s="126"/>
      <c r="F2111" s="137"/>
      <c r="G2111" s="138"/>
      <c r="H2111" s="138"/>
      <c r="I2111" s="139"/>
      <c r="J2111" s="137"/>
      <c r="K2111" s="137"/>
      <c r="M2111" s="126"/>
      <c r="O2111" s="137"/>
      <c r="P2111" s="137"/>
      <c r="Q2111" s="126"/>
    </row>
    <row r="2112" spans="3:17" x14ac:dyDescent="0.3">
      <c r="C2112" s="126"/>
      <c r="F2112" s="137"/>
      <c r="G2112" s="138"/>
      <c r="H2112" s="138"/>
      <c r="I2112" s="139"/>
      <c r="J2112" s="137"/>
      <c r="K2112" s="137"/>
      <c r="M2112" s="126"/>
      <c r="O2112" s="137"/>
      <c r="P2112" s="137"/>
      <c r="Q2112" s="126"/>
    </row>
    <row r="2113" spans="3:17" x14ac:dyDescent="0.3">
      <c r="C2113" s="126"/>
      <c r="F2113" s="137"/>
      <c r="G2113" s="138"/>
      <c r="H2113" s="138"/>
      <c r="I2113" s="139"/>
      <c r="J2113" s="137"/>
      <c r="K2113" s="137"/>
      <c r="M2113" s="126"/>
      <c r="O2113" s="137"/>
      <c r="P2113" s="137"/>
      <c r="Q2113" s="126"/>
    </row>
    <row r="2114" spans="3:17" x14ac:dyDescent="0.3">
      <c r="C2114" s="126"/>
      <c r="F2114" s="137"/>
      <c r="G2114" s="138"/>
      <c r="H2114" s="138"/>
      <c r="I2114" s="139"/>
      <c r="J2114" s="137"/>
      <c r="K2114" s="137"/>
      <c r="M2114" s="126"/>
      <c r="O2114" s="137"/>
      <c r="P2114" s="137"/>
      <c r="Q2114" s="126"/>
    </row>
    <row r="2115" spans="3:17" x14ac:dyDescent="0.3">
      <c r="C2115" s="126"/>
      <c r="F2115" s="137"/>
      <c r="G2115" s="138"/>
      <c r="H2115" s="138"/>
      <c r="I2115" s="139"/>
      <c r="J2115" s="137"/>
      <c r="K2115" s="137"/>
      <c r="M2115" s="126"/>
      <c r="O2115" s="137"/>
      <c r="P2115" s="137"/>
      <c r="Q2115" s="126"/>
    </row>
    <row r="2116" spans="3:17" x14ac:dyDescent="0.3">
      <c r="C2116" s="126"/>
      <c r="F2116" s="137"/>
      <c r="G2116" s="138"/>
      <c r="H2116" s="138"/>
      <c r="I2116" s="139"/>
      <c r="J2116" s="137"/>
      <c r="K2116" s="137"/>
      <c r="M2116" s="126"/>
      <c r="O2116" s="137"/>
      <c r="P2116" s="137"/>
      <c r="Q2116" s="126"/>
    </row>
    <row r="2117" spans="3:17" x14ac:dyDescent="0.3">
      <c r="C2117" s="126"/>
      <c r="F2117" s="137"/>
      <c r="G2117" s="138"/>
      <c r="H2117" s="138"/>
      <c r="I2117" s="139"/>
      <c r="J2117" s="137"/>
      <c r="K2117" s="137"/>
      <c r="M2117" s="126"/>
      <c r="O2117" s="137"/>
      <c r="P2117" s="137"/>
      <c r="Q2117" s="126"/>
    </row>
    <row r="2118" spans="3:17" x14ac:dyDescent="0.3">
      <c r="C2118" s="126"/>
      <c r="F2118" s="137"/>
      <c r="G2118" s="138"/>
      <c r="H2118" s="138"/>
      <c r="I2118" s="139"/>
      <c r="J2118" s="137"/>
      <c r="K2118" s="137"/>
      <c r="M2118" s="126"/>
      <c r="O2118" s="137"/>
      <c r="P2118" s="137"/>
      <c r="Q2118" s="126"/>
    </row>
    <row r="2119" spans="3:17" x14ac:dyDescent="0.3">
      <c r="C2119" s="126"/>
      <c r="F2119" s="137"/>
      <c r="G2119" s="138"/>
      <c r="H2119" s="138"/>
      <c r="I2119" s="139"/>
      <c r="J2119" s="137"/>
      <c r="K2119" s="137"/>
      <c r="M2119" s="126"/>
      <c r="O2119" s="137"/>
      <c r="P2119" s="137"/>
      <c r="Q2119" s="126"/>
    </row>
    <row r="2120" spans="3:17" x14ac:dyDescent="0.3">
      <c r="C2120" s="126"/>
      <c r="F2120" s="137"/>
      <c r="G2120" s="138"/>
      <c r="H2120" s="138"/>
      <c r="I2120" s="139"/>
      <c r="J2120" s="137"/>
      <c r="K2120" s="137"/>
      <c r="M2120" s="126"/>
      <c r="O2120" s="137"/>
      <c r="P2120" s="137"/>
      <c r="Q2120" s="126"/>
    </row>
    <row r="2121" spans="3:17" x14ac:dyDescent="0.3">
      <c r="C2121" s="126"/>
      <c r="F2121" s="137"/>
      <c r="G2121" s="138"/>
      <c r="H2121" s="138"/>
      <c r="I2121" s="139"/>
      <c r="J2121" s="137"/>
      <c r="K2121" s="137"/>
      <c r="M2121" s="126"/>
      <c r="O2121" s="137"/>
      <c r="P2121" s="137"/>
      <c r="Q2121" s="126"/>
    </row>
    <row r="2122" spans="3:17" x14ac:dyDescent="0.3">
      <c r="C2122" s="126"/>
      <c r="F2122" s="137"/>
      <c r="G2122" s="138"/>
      <c r="H2122" s="138"/>
      <c r="I2122" s="139"/>
      <c r="J2122" s="137"/>
      <c r="K2122" s="137"/>
      <c r="M2122" s="126"/>
      <c r="O2122" s="137"/>
      <c r="P2122" s="137"/>
      <c r="Q2122" s="126"/>
    </row>
    <row r="2123" spans="3:17" x14ac:dyDescent="0.3">
      <c r="C2123" s="126"/>
      <c r="F2123" s="137"/>
      <c r="G2123" s="138"/>
      <c r="H2123" s="138"/>
      <c r="I2123" s="139"/>
      <c r="J2123" s="137"/>
      <c r="K2123" s="137"/>
      <c r="M2123" s="126"/>
      <c r="O2123" s="137"/>
      <c r="P2123" s="137"/>
      <c r="Q2123" s="126"/>
    </row>
    <row r="2124" spans="3:17" x14ac:dyDescent="0.3">
      <c r="C2124" s="126"/>
      <c r="F2124" s="137"/>
      <c r="G2124" s="138"/>
      <c r="H2124" s="138"/>
      <c r="I2124" s="139"/>
      <c r="J2124" s="137"/>
      <c r="K2124" s="137"/>
      <c r="M2124" s="126"/>
      <c r="O2124" s="137"/>
      <c r="P2124" s="137"/>
      <c r="Q2124" s="126"/>
    </row>
    <row r="2125" spans="3:17" x14ac:dyDescent="0.3">
      <c r="C2125" s="126"/>
      <c r="F2125" s="137"/>
      <c r="G2125" s="138"/>
      <c r="H2125" s="138"/>
      <c r="I2125" s="139"/>
      <c r="J2125" s="137"/>
      <c r="K2125" s="137"/>
      <c r="M2125" s="126"/>
      <c r="O2125" s="137"/>
      <c r="P2125" s="137"/>
      <c r="Q2125" s="126"/>
    </row>
    <row r="2126" spans="3:17" x14ac:dyDescent="0.3">
      <c r="C2126" s="126"/>
      <c r="F2126" s="137"/>
      <c r="G2126" s="138"/>
      <c r="H2126" s="138"/>
      <c r="I2126" s="139"/>
      <c r="J2126" s="137"/>
      <c r="K2126" s="137"/>
      <c r="M2126" s="126"/>
      <c r="O2126" s="137"/>
      <c r="P2126" s="137"/>
      <c r="Q2126" s="126"/>
    </row>
    <row r="2127" spans="3:17" x14ac:dyDescent="0.3">
      <c r="C2127" s="126"/>
      <c r="F2127" s="137"/>
      <c r="G2127" s="138"/>
      <c r="H2127" s="138"/>
      <c r="I2127" s="139"/>
      <c r="J2127" s="137"/>
      <c r="K2127" s="137"/>
      <c r="M2127" s="126"/>
      <c r="O2127" s="137"/>
      <c r="P2127" s="137"/>
      <c r="Q2127" s="126"/>
    </row>
    <row r="2128" spans="3:17" x14ac:dyDescent="0.3">
      <c r="C2128" s="126"/>
      <c r="F2128" s="137"/>
      <c r="G2128" s="138"/>
      <c r="H2128" s="138"/>
      <c r="I2128" s="139"/>
      <c r="J2128" s="137"/>
      <c r="K2128" s="137"/>
      <c r="M2128" s="126"/>
      <c r="O2128" s="137"/>
      <c r="P2128" s="137"/>
      <c r="Q2128" s="126"/>
    </row>
    <row r="2129" spans="3:17" x14ac:dyDescent="0.3">
      <c r="C2129" s="126"/>
      <c r="F2129" s="137"/>
      <c r="G2129" s="138"/>
      <c r="H2129" s="138"/>
      <c r="I2129" s="139"/>
      <c r="J2129" s="137"/>
      <c r="K2129" s="137"/>
      <c r="M2129" s="126"/>
      <c r="O2129" s="137"/>
      <c r="P2129" s="137"/>
      <c r="Q2129" s="126"/>
    </row>
    <row r="2130" spans="3:17" x14ac:dyDescent="0.3">
      <c r="C2130" s="126"/>
      <c r="F2130" s="137"/>
      <c r="G2130" s="138"/>
      <c r="H2130" s="138"/>
      <c r="I2130" s="139"/>
      <c r="J2130" s="137"/>
      <c r="K2130" s="137"/>
      <c r="M2130" s="126"/>
      <c r="O2130" s="137"/>
      <c r="P2130" s="137"/>
      <c r="Q2130" s="126"/>
    </row>
    <row r="2131" spans="3:17" x14ac:dyDescent="0.3">
      <c r="C2131" s="126"/>
      <c r="F2131" s="137"/>
      <c r="G2131" s="138"/>
      <c r="H2131" s="138"/>
      <c r="I2131" s="139"/>
      <c r="J2131" s="137"/>
      <c r="K2131" s="137"/>
      <c r="M2131" s="126"/>
      <c r="O2131" s="137"/>
      <c r="P2131" s="137"/>
      <c r="Q2131" s="126"/>
    </row>
    <row r="2132" spans="3:17" x14ac:dyDescent="0.3">
      <c r="C2132" s="126"/>
      <c r="F2132" s="137"/>
      <c r="G2132" s="138"/>
      <c r="H2132" s="138"/>
      <c r="I2132" s="139"/>
      <c r="J2132" s="137"/>
      <c r="K2132" s="137"/>
      <c r="M2132" s="126"/>
      <c r="O2132" s="137"/>
      <c r="P2132" s="137"/>
      <c r="Q2132" s="126"/>
    </row>
    <row r="2133" spans="3:17" x14ac:dyDescent="0.3">
      <c r="C2133" s="126"/>
      <c r="F2133" s="137"/>
      <c r="G2133" s="138"/>
      <c r="H2133" s="138"/>
      <c r="I2133" s="139"/>
      <c r="J2133" s="137"/>
      <c r="K2133" s="137"/>
      <c r="M2133" s="126"/>
      <c r="O2133" s="137"/>
      <c r="P2133" s="137"/>
      <c r="Q2133" s="126"/>
    </row>
    <row r="2134" spans="3:17" x14ac:dyDescent="0.3">
      <c r="C2134" s="126"/>
      <c r="F2134" s="137"/>
      <c r="G2134" s="138"/>
      <c r="H2134" s="138"/>
      <c r="I2134" s="139"/>
      <c r="J2134" s="137"/>
      <c r="K2134" s="137"/>
      <c r="M2134" s="126"/>
      <c r="O2134" s="137"/>
      <c r="P2134" s="137"/>
      <c r="Q2134" s="126"/>
    </row>
    <row r="2135" spans="3:17" x14ac:dyDescent="0.3">
      <c r="C2135" s="126"/>
      <c r="F2135" s="137"/>
      <c r="G2135" s="138"/>
      <c r="H2135" s="138"/>
      <c r="I2135" s="139"/>
      <c r="J2135" s="137"/>
      <c r="K2135" s="137"/>
      <c r="M2135" s="126"/>
      <c r="O2135" s="137"/>
      <c r="P2135" s="137"/>
      <c r="Q2135" s="126"/>
    </row>
    <row r="2136" spans="3:17" x14ac:dyDescent="0.3">
      <c r="C2136" s="126"/>
      <c r="F2136" s="137"/>
      <c r="G2136" s="138"/>
      <c r="H2136" s="138"/>
      <c r="I2136" s="139"/>
      <c r="J2136" s="137"/>
      <c r="K2136" s="137"/>
      <c r="M2136" s="126"/>
      <c r="O2136" s="137"/>
      <c r="P2136" s="137"/>
      <c r="Q2136" s="126"/>
    </row>
    <row r="2137" spans="3:17" x14ac:dyDescent="0.3">
      <c r="C2137" s="126"/>
      <c r="F2137" s="137"/>
      <c r="G2137" s="138"/>
      <c r="H2137" s="138"/>
      <c r="I2137" s="139"/>
      <c r="J2137" s="137"/>
      <c r="K2137" s="137"/>
      <c r="M2137" s="126"/>
      <c r="O2137" s="137"/>
      <c r="P2137" s="137"/>
      <c r="Q2137" s="126"/>
    </row>
    <row r="2138" spans="3:17" x14ac:dyDescent="0.3">
      <c r="C2138" s="126"/>
      <c r="F2138" s="137"/>
      <c r="G2138" s="138"/>
      <c r="H2138" s="138"/>
      <c r="I2138" s="139"/>
      <c r="J2138" s="137"/>
      <c r="K2138" s="137"/>
      <c r="M2138" s="126"/>
      <c r="O2138" s="137"/>
      <c r="P2138" s="137"/>
      <c r="Q2138" s="126"/>
    </row>
    <row r="2139" spans="3:17" x14ac:dyDescent="0.3">
      <c r="C2139" s="126"/>
      <c r="F2139" s="137"/>
      <c r="G2139" s="138"/>
      <c r="H2139" s="138"/>
      <c r="I2139" s="139"/>
      <c r="J2139" s="137"/>
      <c r="K2139" s="137"/>
      <c r="M2139" s="126"/>
      <c r="O2139" s="137"/>
      <c r="P2139" s="137"/>
      <c r="Q2139" s="126"/>
    </row>
    <row r="2140" spans="3:17" x14ac:dyDescent="0.3">
      <c r="C2140" s="126"/>
      <c r="F2140" s="137"/>
      <c r="G2140" s="138"/>
      <c r="H2140" s="138"/>
      <c r="I2140" s="139"/>
      <c r="J2140" s="137"/>
      <c r="K2140" s="137"/>
      <c r="M2140" s="126"/>
      <c r="O2140" s="137"/>
      <c r="P2140" s="137"/>
      <c r="Q2140" s="126"/>
    </row>
    <row r="2141" spans="3:17" x14ac:dyDescent="0.3">
      <c r="C2141" s="126"/>
      <c r="F2141" s="137"/>
      <c r="G2141" s="138"/>
      <c r="H2141" s="138"/>
      <c r="I2141" s="139"/>
      <c r="J2141" s="137"/>
      <c r="K2141" s="137"/>
      <c r="M2141" s="126"/>
      <c r="O2141" s="137"/>
      <c r="P2141" s="137"/>
      <c r="Q2141" s="126"/>
    </row>
    <row r="2142" spans="3:17" x14ac:dyDescent="0.3">
      <c r="C2142" s="126"/>
      <c r="F2142" s="137"/>
      <c r="G2142" s="138"/>
      <c r="H2142" s="138"/>
      <c r="I2142" s="139"/>
      <c r="J2142" s="137"/>
      <c r="K2142" s="137"/>
      <c r="M2142" s="126"/>
      <c r="O2142" s="137"/>
      <c r="P2142" s="137"/>
      <c r="Q2142" s="126"/>
    </row>
    <row r="2143" spans="3:17" x14ac:dyDescent="0.3">
      <c r="C2143" s="126"/>
      <c r="F2143" s="137"/>
      <c r="G2143" s="138"/>
      <c r="H2143" s="138"/>
      <c r="I2143" s="139"/>
      <c r="J2143" s="137"/>
      <c r="K2143" s="137"/>
      <c r="M2143" s="126"/>
      <c r="O2143" s="137"/>
      <c r="P2143" s="137"/>
      <c r="Q2143" s="126"/>
    </row>
    <row r="2144" spans="3:17" x14ac:dyDescent="0.3">
      <c r="C2144" s="126"/>
      <c r="F2144" s="137"/>
      <c r="G2144" s="138"/>
      <c r="H2144" s="138"/>
      <c r="I2144" s="139"/>
      <c r="J2144" s="137"/>
      <c r="K2144" s="137"/>
      <c r="M2144" s="126"/>
      <c r="O2144" s="137"/>
      <c r="P2144" s="137"/>
      <c r="Q2144" s="126"/>
    </row>
    <row r="2145" spans="3:17" x14ac:dyDescent="0.3">
      <c r="C2145" s="126"/>
      <c r="F2145" s="137"/>
      <c r="G2145" s="138"/>
      <c r="H2145" s="138"/>
      <c r="I2145" s="139"/>
      <c r="J2145" s="137"/>
      <c r="K2145" s="137"/>
      <c r="M2145" s="126"/>
      <c r="O2145" s="137"/>
      <c r="P2145" s="137"/>
      <c r="Q2145" s="126"/>
    </row>
    <row r="2146" spans="3:17" x14ac:dyDescent="0.3">
      <c r="C2146" s="126"/>
      <c r="F2146" s="137"/>
      <c r="G2146" s="138"/>
      <c r="H2146" s="138"/>
      <c r="I2146" s="139"/>
      <c r="J2146" s="137"/>
      <c r="K2146" s="137"/>
      <c r="M2146" s="126"/>
      <c r="O2146" s="137"/>
      <c r="P2146" s="137"/>
      <c r="Q2146" s="126"/>
    </row>
    <row r="2147" spans="3:17" x14ac:dyDescent="0.3">
      <c r="C2147" s="126"/>
      <c r="F2147" s="137"/>
      <c r="G2147" s="138"/>
      <c r="H2147" s="138"/>
      <c r="I2147" s="139"/>
      <c r="J2147" s="137"/>
      <c r="K2147" s="137"/>
      <c r="M2147" s="126"/>
      <c r="O2147" s="137"/>
      <c r="P2147" s="137"/>
      <c r="Q2147" s="126"/>
    </row>
    <row r="2148" spans="3:17" x14ac:dyDescent="0.3">
      <c r="C2148" s="126"/>
      <c r="F2148" s="137"/>
      <c r="G2148" s="138"/>
      <c r="H2148" s="138"/>
      <c r="I2148" s="139"/>
      <c r="J2148" s="137"/>
      <c r="K2148" s="137"/>
      <c r="M2148" s="126"/>
      <c r="O2148" s="137"/>
      <c r="P2148" s="137"/>
      <c r="Q2148" s="126"/>
    </row>
    <row r="2149" spans="3:17" x14ac:dyDescent="0.3">
      <c r="C2149" s="126"/>
      <c r="F2149" s="137"/>
      <c r="G2149" s="138"/>
      <c r="H2149" s="138"/>
      <c r="I2149" s="139"/>
      <c r="J2149" s="137"/>
      <c r="K2149" s="137"/>
      <c r="M2149" s="126"/>
      <c r="O2149" s="137"/>
      <c r="P2149" s="137"/>
      <c r="Q2149" s="126"/>
    </row>
    <row r="2150" spans="3:17" x14ac:dyDescent="0.3">
      <c r="C2150" s="126"/>
      <c r="F2150" s="137"/>
      <c r="G2150" s="138"/>
      <c r="H2150" s="138"/>
      <c r="I2150" s="139"/>
      <c r="J2150" s="137"/>
      <c r="K2150" s="137"/>
      <c r="M2150" s="126"/>
      <c r="O2150" s="137"/>
      <c r="P2150" s="137"/>
      <c r="Q2150" s="126"/>
    </row>
    <row r="2151" spans="3:17" x14ac:dyDescent="0.3">
      <c r="C2151" s="126"/>
      <c r="F2151" s="137"/>
      <c r="G2151" s="138"/>
      <c r="H2151" s="138"/>
      <c r="I2151" s="139"/>
      <c r="J2151" s="137"/>
      <c r="K2151" s="137"/>
      <c r="M2151" s="126"/>
      <c r="O2151" s="137"/>
      <c r="P2151" s="137"/>
      <c r="Q2151" s="126"/>
    </row>
    <row r="2152" spans="3:17" x14ac:dyDescent="0.3">
      <c r="C2152" s="126"/>
      <c r="F2152" s="137"/>
      <c r="G2152" s="138"/>
      <c r="H2152" s="138"/>
      <c r="I2152" s="139"/>
      <c r="J2152" s="137"/>
      <c r="K2152" s="137"/>
      <c r="M2152" s="126"/>
      <c r="O2152" s="137"/>
      <c r="P2152" s="137"/>
      <c r="Q2152" s="126"/>
    </row>
    <row r="2153" spans="3:17" x14ac:dyDescent="0.3">
      <c r="C2153" s="126"/>
      <c r="F2153" s="137"/>
      <c r="G2153" s="138"/>
      <c r="H2153" s="138"/>
      <c r="I2153" s="139"/>
      <c r="J2153" s="137"/>
      <c r="K2153" s="137"/>
      <c r="M2153" s="126"/>
      <c r="O2153" s="137"/>
      <c r="P2153" s="137"/>
      <c r="Q2153" s="126"/>
    </row>
    <row r="2154" spans="3:17" x14ac:dyDescent="0.3">
      <c r="C2154" s="126"/>
      <c r="F2154" s="137"/>
      <c r="G2154" s="138"/>
      <c r="H2154" s="138"/>
      <c r="I2154" s="139"/>
      <c r="J2154" s="137"/>
      <c r="K2154" s="137"/>
      <c r="M2154" s="126"/>
      <c r="O2154" s="137"/>
      <c r="P2154" s="137"/>
      <c r="Q2154" s="126"/>
    </row>
    <row r="2155" spans="3:17" x14ac:dyDescent="0.3">
      <c r="C2155" s="126"/>
      <c r="F2155" s="137"/>
      <c r="G2155" s="138"/>
      <c r="H2155" s="138"/>
      <c r="I2155" s="139"/>
      <c r="J2155" s="137"/>
      <c r="K2155" s="137"/>
      <c r="M2155" s="126"/>
      <c r="O2155" s="137"/>
      <c r="P2155" s="137"/>
      <c r="Q2155" s="126"/>
    </row>
    <row r="2156" spans="3:17" x14ac:dyDescent="0.3">
      <c r="C2156" s="126"/>
      <c r="F2156" s="137"/>
      <c r="G2156" s="138"/>
      <c r="H2156" s="138"/>
      <c r="I2156" s="139"/>
      <c r="J2156" s="137"/>
      <c r="K2156" s="137"/>
      <c r="M2156" s="126"/>
      <c r="O2156" s="137"/>
      <c r="P2156" s="137"/>
      <c r="Q2156" s="126"/>
    </row>
    <row r="2157" spans="3:17" x14ac:dyDescent="0.3">
      <c r="C2157" s="126"/>
      <c r="F2157" s="137"/>
      <c r="G2157" s="138"/>
      <c r="H2157" s="138"/>
      <c r="I2157" s="139"/>
      <c r="J2157" s="137"/>
      <c r="K2157" s="137"/>
      <c r="M2157" s="126"/>
      <c r="O2157" s="137"/>
      <c r="P2157" s="137"/>
      <c r="Q2157" s="126"/>
    </row>
    <row r="2158" spans="3:17" x14ac:dyDescent="0.3">
      <c r="C2158" s="126"/>
      <c r="F2158" s="137"/>
      <c r="G2158" s="138"/>
      <c r="H2158" s="138"/>
      <c r="I2158" s="139"/>
      <c r="J2158" s="137"/>
      <c r="K2158" s="137"/>
      <c r="M2158" s="126"/>
      <c r="O2158" s="137"/>
      <c r="P2158" s="137"/>
      <c r="Q2158" s="126"/>
    </row>
    <row r="2159" spans="3:17" x14ac:dyDescent="0.3">
      <c r="C2159" s="126"/>
      <c r="F2159" s="137"/>
      <c r="G2159" s="138"/>
      <c r="H2159" s="138"/>
      <c r="I2159" s="139"/>
      <c r="J2159" s="137"/>
      <c r="K2159" s="137"/>
      <c r="M2159" s="126"/>
      <c r="O2159" s="137"/>
      <c r="P2159" s="137"/>
      <c r="Q2159" s="126"/>
    </row>
    <row r="2160" spans="3:17" x14ac:dyDescent="0.3">
      <c r="C2160" s="126"/>
      <c r="F2160" s="137"/>
      <c r="G2160" s="138"/>
      <c r="H2160" s="138"/>
      <c r="I2160" s="139"/>
      <c r="J2160" s="137"/>
      <c r="K2160" s="137"/>
      <c r="M2160" s="126"/>
      <c r="O2160" s="137"/>
      <c r="P2160" s="137"/>
      <c r="Q2160" s="126"/>
    </row>
    <row r="2161" spans="3:17" x14ac:dyDescent="0.3">
      <c r="C2161" s="126"/>
      <c r="F2161" s="137"/>
      <c r="G2161" s="138"/>
      <c r="H2161" s="138"/>
      <c r="I2161" s="139"/>
      <c r="J2161" s="137"/>
      <c r="K2161" s="137"/>
      <c r="M2161" s="126"/>
      <c r="O2161" s="137"/>
      <c r="P2161" s="137"/>
      <c r="Q2161" s="126"/>
    </row>
    <row r="2162" spans="3:17" x14ac:dyDescent="0.3">
      <c r="C2162" s="126"/>
      <c r="F2162" s="137"/>
      <c r="G2162" s="138"/>
      <c r="H2162" s="138"/>
      <c r="I2162" s="139"/>
      <c r="J2162" s="137"/>
      <c r="K2162" s="137"/>
      <c r="M2162" s="126"/>
      <c r="O2162" s="137"/>
      <c r="P2162" s="137"/>
      <c r="Q2162" s="126"/>
    </row>
    <row r="2163" spans="3:17" x14ac:dyDescent="0.3">
      <c r="C2163" s="126"/>
      <c r="F2163" s="137"/>
      <c r="G2163" s="138"/>
      <c r="H2163" s="138"/>
      <c r="I2163" s="139"/>
      <c r="J2163" s="137"/>
      <c r="K2163" s="137"/>
      <c r="M2163" s="126"/>
      <c r="O2163" s="137"/>
      <c r="P2163" s="137"/>
      <c r="Q2163" s="126"/>
    </row>
    <row r="2164" spans="3:17" x14ac:dyDescent="0.3">
      <c r="C2164" s="126"/>
      <c r="F2164" s="137"/>
      <c r="G2164" s="138"/>
      <c r="H2164" s="138"/>
      <c r="I2164" s="139"/>
      <c r="J2164" s="137"/>
      <c r="K2164" s="137"/>
      <c r="M2164" s="126"/>
      <c r="O2164" s="137"/>
      <c r="P2164" s="137"/>
      <c r="Q2164" s="126"/>
    </row>
    <row r="2165" spans="3:17" x14ac:dyDescent="0.3">
      <c r="C2165" s="126"/>
      <c r="F2165" s="137"/>
      <c r="G2165" s="138"/>
      <c r="H2165" s="138"/>
      <c r="I2165" s="139"/>
      <c r="J2165" s="137"/>
      <c r="K2165" s="137"/>
      <c r="M2165" s="126"/>
      <c r="O2165" s="137"/>
      <c r="P2165" s="137"/>
      <c r="Q2165" s="126"/>
    </row>
    <row r="2166" spans="3:17" x14ac:dyDescent="0.3">
      <c r="C2166" s="126"/>
      <c r="F2166" s="137"/>
      <c r="G2166" s="138"/>
      <c r="H2166" s="138"/>
      <c r="I2166" s="139"/>
      <c r="J2166" s="137"/>
      <c r="K2166" s="137"/>
      <c r="M2166" s="126"/>
      <c r="O2166" s="137"/>
      <c r="P2166" s="137"/>
      <c r="Q2166" s="126"/>
    </row>
    <row r="2167" spans="3:17" x14ac:dyDescent="0.3">
      <c r="C2167" s="126"/>
      <c r="F2167" s="137"/>
      <c r="G2167" s="138"/>
      <c r="H2167" s="138"/>
      <c r="I2167" s="139"/>
      <c r="J2167" s="137"/>
      <c r="K2167" s="137"/>
      <c r="M2167" s="126"/>
      <c r="O2167" s="137"/>
      <c r="P2167" s="137"/>
      <c r="Q2167" s="126"/>
    </row>
    <row r="2168" spans="3:17" x14ac:dyDescent="0.3">
      <c r="C2168" s="126"/>
      <c r="F2168" s="137"/>
      <c r="G2168" s="138"/>
      <c r="H2168" s="138"/>
      <c r="I2168" s="139"/>
      <c r="J2168" s="137"/>
      <c r="K2168" s="137"/>
      <c r="M2168" s="126"/>
      <c r="O2168" s="137"/>
      <c r="P2168" s="137"/>
      <c r="Q2168" s="126"/>
    </row>
    <row r="2169" spans="3:17" x14ac:dyDescent="0.3">
      <c r="C2169" s="126"/>
      <c r="F2169" s="137"/>
      <c r="G2169" s="138"/>
      <c r="H2169" s="138"/>
      <c r="I2169" s="139"/>
      <c r="J2169" s="137"/>
      <c r="K2169" s="137"/>
      <c r="M2169" s="126"/>
      <c r="O2169" s="137"/>
      <c r="P2169" s="137"/>
      <c r="Q2169" s="126"/>
    </row>
    <row r="2170" spans="3:17" x14ac:dyDescent="0.3">
      <c r="C2170" s="126"/>
      <c r="F2170" s="137"/>
      <c r="G2170" s="138"/>
      <c r="H2170" s="138"/>
      <c r="I2170" s="139"/>
      <c r="J2170" s="137"/>
      <c r="K2170" s="137"/>
      <c r="M2170" s="126"/>
      <c r="O2170" s="137"/>
      <c r="P2170" s="137"/>
      <c r="Q2170" s="126"/>
    </row>
    <row r="2171" spans="3:17" x14ac:dyDescent="0.3">
      <c r="C2171" s="126"/>
      <c r="F2171" s="137"/>
      <c r="G2171" s="138"/>
      <c r="H2171" s="138"/>
      <c r="I2171" s="139"/>
      <c r="J2171" s="137"/>
      <c r="K2171" s="137"/>
      <c r="M2171" s="126"/>
      <c r="O2171" s="137"/>
      <c r="P2171" s="137"/>
      <c r="Q2171" s="126"/>
    </row>
    <row r="2172" spans="3:17" x14ac:dyDescent="0.3">
      <c r="C2172" s="126"/>
      <c r="F2172" s="137"/>
      <c r="G2172" s="138"/>
      <c r="H2172" s="138"/>
      <c r="I2172" s="139"/>
      <c r="J2172" s="137"/>
      <c r="K2172" s="137"/>
      <c r="M2172" s="126"/>
      <c r="O2172" s="137"/>
      <c r="P2172" s="137"/>
      <c r="Q2172" s="126"/>
    </row>
    <row r="2173" spans="3:17" x14ac:dyDescent="0.3">
      <c r="C2173" s="126"/>
      <c r="F2173" s="137"/>
      <c r="G2173" s="138"/>
      <c r="H2173" s="138"/>
      <c r="I2173" s="139"/>
      <c r="J2173" s="137"/>
      <c r="K2173" s="137"/>
      <c r="M2173" s="126"/>
      <c r="O2173" s="137"/>
      <c r="P2173" s="137"/>
      <c r="Q2173" s="126"/>
    </row>
    <row r="2174" spans="3:17" x14ac:dyDescent="0.3">
      <c r="C2174" s="126"/>
      <c r="F2174" s="137"/>
      <c r="G2174" s="138"/>
      <c r="H2174" s="138"/>
      <c r="I2174" s="139"/>
      <c r="J2174" s="137"/>
      <c r="K2174" s="137"/>
      <c r="M2174" s="126"/>
      <c r="O2174" s="137"/>
      <c r="P2174" s="137"/>
      <c r="Q2174" s="126"/>
    </row>
    <row r="2175" spans="3:17" x14ac:dyDescent="0.3">
      <c r="C2175" s="126"/>
      <c r="F2175" s="137"/>
      <c r="G2175" s="138"/>
      <c r="H2175" s="138"/>
      <c r="I2175" s="139"/>
      <c r="J2175" s="137"/>
      <c r="K2175" s="137"/>
      <c r="M2175" s="126"/>
      <c r="O2175" s="137"/>
      <c r="P2175" s="137"/>
      <c r="Q2175" s="126"/>
    </row>
    <row r="2176" spans="3:17" x14ac:dyDescent="0.3">
      <c r="C2176" s="126"/>
      <c r="F2176" s="137"/>
      <c r="G2176" s="138"/>
      <c r="H2176" s="138"/>
      <c r="I2176" s="139"/>
      <c r="J2176" s="137"/>
      <c r="K2176" s="137"/>
      <c r="M2176" s="126"/>
      <c r="O2176" s="137"/>
      <c r="P2176" s="137"/>
      <c r="Q2176" s="126"/>
    </row>
    <row r="2177" spans="3:17" x14ac:dyDescent="0.3">
      <c r="C2177" s="126"/>
      <c r="F2177" s="137"/>
      <c r="G2177" s="138"/>
      <c r="H2177" s="138"/>
      <c r="I2177" s="139"/>
      <c r="J2177" s="137"/>
      <c r="K2177" s="137"/>
      <c r="M2177" s="126"/>
      <c r="O2177" s="137"/>
      <c r="P2177" s="137"/>
      <c r="Q2177" s="126"/>
    </row>
    <row r="2178" spans="3:17" x14ac:dyDescent="0.3">
      <c r="C2178" s="126"/>
      <c r="F2178" s="137"/>
      <c r="G2178" s="138"/>
      <c r="H2178" s="138"/>
      <c r="I2178" s="139"/>
      <c r="J2178" s="137"/>
      <c r="K2178" s="137"/>
      <c r="M2178" s="126"/>
      <c r="O2178" s="137"/>
      <c r="P2178" s="137"/>
      <c r="Q2178" s="126"/>
    </row>
    <row r="2179" spans="3:17" x14ac:dyDescent="0.3">
      <c r="C2179" s="126"/>
      <c r="F2179" s="137"/>
      <c r="G2179" s="138"/>
      <c r="H2179" s="138"/>
      <c r="I2179" s="139"/>
      <c r="J2179" s="137"/>
      <c r="K2179" s="137"/>
      <c r="M2179" s="126"/>
      <c r="O2179" s="137"/>
      <c r="P2179" s="137"/>
      <c r="Q2179" s="126"/>
    </row>
    <row r="2180" spans="3:17" x14ac:dyDescent="0.3">
      <c r="C2180" s="126"/>
      <c r="F2180" s="137"/>
      <c r="G2180" s="138"/>
      <c r="H2180" s="138"/>
      <c r="I2180" s="139"/>
      <c r="J2180" s="137"/>
      <c r="K2180" s="137"/>
      <c r="M2180" s="126"/>
      <c r="O2180" s="137"/>
      <c r="P2180" s="137"/>
      <c r="Q2180" s="126"/>
    </row>
    <row r="2181" spans="3:17" x14ac:dyDescent="0.3">
      <c r="C2181" s="126"/>
      <c r="F2181" s="137"/>
      <c r="G2181" s="138"/>
      <c r="H2181" s="138"/>
      <c r="I2181" s="139"/>
      <c r="J2181" s="137"/>
      <c r="K2181" s="137"/>
      <c r="M2181" s="126"/>
      <c r="O2181" s="137"/>
      <c r="P2181" s="137"/>
      <c r="Q2181" s="126"/>
    </row>
    <row r="2182" spans="3:17" x14ac:dyDescent="0.3">
      <c r="C2182" s="126"/>
      <c r="F2182" s="137"/>
      <c r="G2182" s="138"/>
      <c r="H2182" s="138"/>
      <c r="I2182" s="139"/>
      <c r="J2182" s="137"/>
      <c r="K2182" s="137"/>
      <c r="M2182" s="126"/>
      <c r="O2182" s="137"/>
      <c r="P2182" s="137"/>
      <c r="Q2182" s="126"/>
    </row>
    <row r="2183" spans="3:17" x14ac:dyDescent="0.3">
      <c r="C2183" s="126"/>
      <c r="F2183" s="137"/>
      <c r="G2183" s="138"/>
      <c r="H2183" s="138"/>
      <c r="I2183" s="139"/>
      <c r="J2183" s="137"/>
      <c r="K2183" s="137"/>
      <c r="M2183" s="126"/>
      <c r="O2183" s="137"/>
      <c r="P2183" s="137"/>
      <c r="Q2183" s="126"/>
    </row>
    <row r="2184" spans="3:17" x14ac:dyDescent="0.3">
      <c r="C2184" s="126"/>
      <c r="F2184" s="137"/>
      <c r="G2184" s="138"/>
      <c r="H2184" s="138"/>
      <c r="I2184" s="139"/>
      <c r="J2184" s="137"/>
      <c r="K2184" s="137"/>
      <c r="M2184" s="126"/>
      <c r="O2184" s="137"/>
      <c r="P2184" s="137"/>
      <c r="Q2184" s="126"/>
    </row>
    <row r="2185" spans="3:17" x14ac:dyDescent="0.3">
      <c r="C2185" s="126"/>
      <c r="F2185" s="137"/>
      <c r="G2185" s="138"/>
      <c r="H2185" s="138"/>
      <c r="I2185" s="139"/>
      <c r="J2185" s="137"/>
      <c r="K2185" s="137"/>
      <c r="M2185" s="126"/>
      <c r="O2185" s="137"/>
      <c r="P2185" s="137"/>
      <c r="Q2185" s="126"/>
    </row>
    <row r="2186" spans="3:17" x14ac:dyDescent="0.3">
      <c r="C2186" s="126"/>
      <c r="F2186" s="137"/>
      <c r="G2186" s="138"/>
      <c r="H2186" s="138"/>
      <c r="I2186" s="139"/>
      <c r="J2186" s="137"/>
      <c r="K2186" s="137"/>
      <c r="M2186" s="126"/>
      <c r="O2186" s="137"/>
      <c r="P2186" s="137"/>
      <c r="Q2186" s="126"/>
    </row>
    <row r="2187" spans="3:17" x14ac:dyDescent="0.3">
      <c r="C2187" s="126"/>
      <c r="F2187" s="137"/>
      <c r="G2187" s="138"/>
      <c r="H2187" s="138"/>
      <c r="I2187" s="139"/>
      <c r="J2187" s="137"/>
      <c r="K2187" s="137"/>
      <c r="M2187" s="126"/>
      <c r="O2187" s="137"/>
      <c r="P2187" s="137"/>
      <c r="Q2187" s="126"/>
    </row>
    <row r="2188" spans="3:17" x14ac:dyDescent="0.3">
      <c r="C2188" s="126"/>
      <c r="F2188" s="137"/>
      <c r="G2188" s="138"/>
      <c r="H2188" s="138"/>
      <c r="I2188" s="139"/>
      <c r="J2188" s="137"/>
      <c r="K2188" s="137"/>
      <c r="M2188" s="126"/>
      <c r="O2188" s="137"/>
      <c r="P2188" s="137"/>
      <c r="Q2188" s="126"/>
    </row>
    <row r="2189" spans="3:17" x14ac:dyDescent="0.3">
      <c r="C2189" s="126"/>
      <c r="F2189" s="137"/>
      <c r="G2189" s="138"/>
      <c r="H2189" s="138"/>
      <c r="I2189" s="139"/>
      <c r="J2189" s="137"/>
      <c r="K2189" s="137"/>
      <c r="M2189" s="126"/>
      <c r="O2189" s="137"/>
      <c r="P2189" s="137"/>
      <c r="Q2189" s="126"/>
    </row>
    <row r="2190" spans="3:17" x14ac:dyDescent="0.3">
      <c r="C2190" s="126"/>
      <c r="F2190" s="137"/>
      <c r="G2190" s="138"/>
      <c r="H2190" s="138"/>
      <c r="I2190" s="139"/>
      <c r="J2190" s="137"/>
      <c r="K2190" s="137"/>
      <c r="M2190" s="126"/>
      <c r="O2190" s="137"/>
      <c r="P2190" s="137"/>
      <c r="Q2190" s="126"/>
    </row>
    <row r="2191" spans="3:17" x14ac:dyDescent="0.3">
      <c r="C2191" s="126"/>
      <c r="F2191" s="137"/>
      <c r="G2191" s="138"/>
      <c r="H2191" s="138"/>
      <c r="I2191" s="139"/>
      <c r="J2191" s="137"/>
      <c r="K2191" s="137"/>
      <c r="M2191" s="126"/>
      <c r="O2191" s="137"/>
      <c r="P2191" s="137"/>
      <c r="Q2191" s="126"/>
    </row>
    <row r="2192" spans="3:17" x14ac:dyDescent="0.3">
      <c r="C2192" s="126"/>
      <c r="F2192" s="137"/>
      <c r="G2192" s="138"/>
      <c r="H2192" s="138"/>
      <c r="I2192" s="139"/>
      <c r="J2192" s="137"/>
      <c r="K2192" s="137"/>
      <c r="M2192" s="126"/>
      <c r="O2192" s="137"/>
      <c r="P2192" s="137"/>
      <c r="Q2192" s="126"/>
    </row>
    <row r="2193" spans="3:17" x14ac:dyDescent="0.3">
      <c r="C2193" s="126"/>
      <c r="F2193" s="137"/>
      <c r="G2193" s="138"/>
      <c r="H2193" s="138"/>
      <c r="I2193" s="139"/>
      <c r="J2193" s="137"/>
      <c r="K2193" s="137"/>
      <c r="M2193" s="126"/>
      <c r="O2193" s="137"/>
      <c r="P2193" s="137"/>
      <c r="Q2193" s="126"/>
    </row>
    <row r="2194" spans="3:17" x14ac:dyDescent="0.3">
      <c r="C2194" s="126"/>
      <c r="F2194" s="137"/>
      <c r="G2194" s="138"/>
      <c r="H2194" s="138"/>
      <c r="I2194" s="139"/>
      <c r="J2194" s="137"/>
      <c r="K2194" s="137"/>
      <c r="M2194" s="126"/>
      <c r="O2194" s="137"/>
      <c r="P2194" s="137"/>
      <c r="Q2194" s="126"/>
    </row>
    <row r="2195" spans="3:17" x14ac:dyDescent="0.3">
      <c r="C2195" s="126"/>
      <c r="F2195" s="137"/>
      <c r="G2195" s="138"/>
      <c r="H2195" s="138"/>
      <c r="I2195" s="139"/>
      <c r="J2195" s="137"/>
      <c r="K2195" s="137"/>
      <c r="M2195" s="126"/>
      <c r="O2195" s="137"/>
      <c r="P2195" s="137"/>
      <c r="Q2195" s="126"/>
    </row>
    <row r="2196" spans="3:17" x14ac:dyDescent="0.3">
      <c r="C2196" s="126"/>
      <c r="F2196" s="137"/>
      <c r="G2196" s="138"/>
      <c r="H2196" s="138"/>
      <c r="I2196" s="139"/>
      <c r="J2196" s="137"/>
      <c r="K2196" s="137"/>
      <c r="M2196" s="126"/>
      <c r="O2196" s="137"/>
      <c r="P2196" s="137"/>
      <c r="Q2196" s="126"/>
    </row>
    <row r="2197" spans="3:17" x14ac:dyDescent="0.3">
      <c r="C2197" s="126"/>
      <c r="F2197" s="137"/>
      <c r="G2197" s="138"/>
      <c r="H2197" s="138"/>
      <c r="I2197" s="139"/>
      <c r="J2197" s="137"/>
      <c r="K2197" s="137"/>
      <c r="M2197" s="126"/>
      <c r="O2197" s="137"/>
      <c r="P2197" s="137"/>
      <c r="Q2197" s="126"/>
    </row>
    <row r="2198" spans="3:17" x14ac:dyDescent="0.3">
      <c r="C2198" s="126"/>
      <c r="F2198" s="137"/>
      <c r="G2198" s="138"/>
      <c r="H2198" s="138"/>
      <c r="I2198" s="139"/>
      <c r="J2198" s="137"/>
      <c r="K2198" s="137"/>
      <c r="M2198" s="126"/>
      <c r="O2198" s="137"/>
      <c r="P2198" s="137"/>
      <c r="Q2198" s="126"/>
    </row>
    <row r="2199" spans="3:17" x14ac:dyDescent="0.3">
      <c r="C2199" s="126"/>
      <c r="F2199" s="137"/>
      <c r="G2199" s="138"/>
      <c r="H2199" s="138"/>
      <c r="I2199" s="139"/>
      <c r="J2199" s="137"/>
      <c r="K2199" s="137"/>
      <c r="M2199" s="126"/>
      <c r="O2199" s="137"/>
      <c r="P2199" s="137"/>
      <c r="Q2199" s="126"/>
    </row>
    <row r="2200" spans="3:17" x14ac:dyDescent="0.3">
      <c r="C2200" s="126"/>
      <c r="F2200" s="137"/>
      <c r="G2200" s="138"/>
      <c r="H2200" s="138"/>
      <c r="I2200" s="139"/>
      <c r="J2200" s="137"/>
      <c r="K2200" s="137"/>
      <c r="M2200" s="126"/>
      <c r="O2200" s="137"/>
      <c r="P2200" s="137"/>
      <c r="Q2200" s="126"/>
    </row>
    <row r="2201" spans="3:17" x14ac:dyDescent="0.3">
      <c r="C2201" s="126"/>
      <c r="F2201" s="137"/>
      <c r="G2201" s="138"/>
      <c r="H2201" s="138"/>
      <c r="I2201" s="139"/>
      <c r="J2201" s="137"/>
      <c r="K2201" s="137"/>
      <c r="M2201" s="126"/>
      <c r="O2201" s="137"/>
      <c r="P2201" s="137"/>
      <c r="Q2201" s="126"/>
    </row>
    <row r="2202" spans="3:17" x14ac:dyDescent="0.3">
      <c r="C2202" s="126"/>
      <c r="F2202" s="137"/>
      <c r="G2202" s="138"/>
      <c r="H2202" s="138"/>
      <c r="I2202" s="139"/>
      <c r="J2202" s="137"/>
      <c r="K2202" s="137"/>
      <c r="M2202" s="126"/>
      <c r="O2202" s="137"/>
      <c r="P2202" s="137"/>
      <c r="Q2202" s="126"/>
    </row>
    <row r="2203" spans="3:17" x14ac:dyDescent="0.3">
      <c r="C2203" s="126"/>
      <c r="F2203" s="137"/>
      <c r="G2203" s="138"/>
      <c r="H2203" s="138"/>
      <c r="I2203" s="139"/>
      <c r="J2203" s="137"/>
      <c r="K2203" s="137"/>
      <c r="M2203" s="126"/>
      <c r="O2203" s="137"/>
      <c r="P2203" s="137"/>
      <c r="Q2203" s="126"/>
    </row>
    <row r="2204" spans="3:17" x14ac:dyDescent="0.3">
      <c r="C2204" s="126"/>
      <c r="F2204" s="137"/>
      <c r="G2204" s="138"/>
      <c r="H2204" s="138"/>
      <c r="I2204" s="139"/>
      <c r="J2204" s="137"/>
      <c r="K2204" s="137"/>
      <c r="M2204" s="126"/>
      <c r="O2204" s="137"/>
      <c r="P2204" s="137"/>
      <c r="Q2204" s="126"/>
    </row>
    <row r="2205" spans="3:17" x14ac:dyDescent="0.3">
      <c r="C2205" s="126"/>
      <c r="F2205" s="137"/>
      <c r="G2205" s="138"/>
      <c r="H2205" s="138"/>
      <c r="I2205" s="139"/>
      <c r="J2205" s="137"/>
      <c r="K2205" s="137"/>
      <c r="M2205" s="126"/>
      <c r="O2205" s="137"/>
      <c r="P2205" s="137"/>
      <c r="Q2205" s="126"/>
    </row>
    <row r="2206" spans="3:17" x14ac:dyDescent="0.3">
      <c r="C2206" s="126"/>
      <c r="F2206" s="137"/>
      <c r="G2206" s="138"/>
      <c r="H2206" s="138"/>
      <c r="I2206" s="139"/>
      <c r="J2206" s="137"/>
      <c r="K2206" s="137"/>
      <c r="M2206" s="126"/>
      <c r="O2206" s="137"/>
      <c r="P2206" s="137"/>
      <c r="Q2206" s="126"/>
    </row>
    <row r="2207" spans="3:17" x14ac:dyDescent="0.3">
      <c r="C2207" s="126"/>
      <c r="F2207" s="137"/>
      <c r="G2207" s="138"/>
      <c r="H2207" s="138"/>
      <c r="I2207" s="139"/>
      <c r="J2207" s="137"/>
      <c r="K2207" s="137"/>
      <c r="M2207" s="126"/>
      <c r="O2207" s="137"/>
      <c r="P2207" s="137"/>
      <c r="Q2207" s="126"/>
    </row>
    <row r="2208" spans="3:17" x14ac:dyDescent="0.3">
      <c r="C2208" s="126"/>
      <c r="F2208" s="137"/>
      <c r="G2208" s="138"/>
      <c r="H2208" s="138"/>
      <c r="I2208" s="139"/>
      <c r="J2208" s="137"/>
      <c r="K2208" s="137"/>
      <c r="M2208" s="126"/>
      <c r="O2208" s="137"/>
      <c r="P2208" s="137"/>
      <c r="Q2208" s="126"/>
    </row>
    <row r="2209" spans="3:17" x14ac:dyDescent="0.3">
      <c r="C2209" s="126"/>
      <c r="F2209" s="137"/>
      <c r="G2209" s="138"/>
      <c r="H2209" s="138"/>
      <c r="I2209" s="139"/>
      <c r="J2209" s="137"/>
      <c r="K2209" s="137"/>
      <c r="M2209" s="126"/>
      <c r="O2209" s="137"/>
      <c r="P2209" s="137"/>
      <c r="Q2209" s="126"/>
    </row>
    <row r="2210" spans="3:17" x14ac:dyDescent="0.3">
      <c r="C2210" s="126"/>
      <c r="F2210" s="137"/>
      <c r="G2210" s="138"/>
      <c r="H2210" s="138"/>
      <c r="I2210" s="139"/>
      <c r="J2210" s="137"/>
      <c r="K2210" s="137"/>
      <c r="M2210" s="126"/>
      <c r="O2210" s="137"/>
      <c r="P2210" s="137"/>
      <c r="Q2210" s="126"/>
    </row>
    <row r="2211" spans="3:17" x14ac:dyDescent="0.3">
      <c r="C2211" s="126"/>
      <c r="F2211" s="137"/>
      <c r="G2211" s="138"/>
      <c r="H2211" s="138"/>
      <c r="I2211" s="139"/>
      <c r="J2211" s="137"/>
      <c r="K2211" s="137"/>
      <c r="M2211" s="126"/>
      <c r="O2211" s="137"/>
      <c r="P2211" s="137"/>
      <c r="Q2211" s="126"/>
    </row>
    <row r="2212" spans="3:17" x14ac:dyDescent="0.3">
      <c r="C2212" s="126"/>
      <c r="F2212" s="137"/>
      <c r="G2212" s="138"/>
      <c r="H2212" s="138"/>
      <c r="I2212" s="139"/>
      <c r="J2212" s="137"/>
      <c r="K2212" s="137"/>
      <c r="M2212" s="126"/>
      <c r="O2212" s="137"/>
      <c r="P2212" s="137"/>
      <c r="Q2212" s="126"/>
    </row>
    <row r="2213" spans="3:17" x14ac:dyDescent="0.3">
      <c r="C2213" s="126"/>
      <c r="F2213" s="137"/>
      <c r="G2213" s="138"/>
      <c r="H2213" s="138"/>
      <c r="I2213" s="139"/>
      <c r="J2213" s="137"/>
      <c r="K2213" s="137"/>
      <c r="M2213" s="126"/>
      <c r="O2213" s="137"/>
      <c r="P2213" s="137"/>
      <c r="Q2213" s="126"/>
    </row>
    <row r="2214" spans="3:17" x14ac:dyDescent="0.3">
      <c r="C2214" s="126"/>
      <c r="F2214" s="137"/>
      <c r="G2214" s="138"/>
      <c r="H2214" s="138"/>
      <c r="I2214" s="139"/>
      <c r="J2214" s="137"/>
      <c r="K2214" s="137"/>
      <c r="M2214" s="126"/>
      <c r="O2214" s="137"/>
      <c r="P2214" s="137"/>
      <c r="Q2214" s="126"/>
    </row>
    <row r="2215" spans="3:17" x14ac:dyDescent="0.3">
      <c r="C2215" s="126"/>
      <c r="F2215" s="137"/>
      <c r="G2215" s="138"/>
      <c r="H2215" s="138"/>
      <c r="I2215" s="139"/>
      <c r="J2215" s="137"/>
      <c r="K2215" s="137"/>
      <c r="M2215" s="126"/>
      <c r="O2215" s="137"/>
      <c r="P2215" s="137"/>
      <c r="Q2215" s="126"/>
    </row>
    <row r="2216" spans="3:17" x14ac:dyDescent="0.3">
      <c r="C2216" s="126"/>
      <c r="F2216" s="137"/>
      <c r="G2216" s="138"/>
      <c r="H2216" s="138"/>
      <c r="I2216" s="139"/>
      <c r="J2216" s="137"/>
      <c r="K2216" s="137"/>
      <c r="M2216" s="126"/>
      <c r="O2216" s="137"/>
      <c r="P2216" s="137"/>
      <c r="Q2216" s="126"/>
    </row>
    <row r="2217" spans="3:17" x14ac:dyDescent="0.3">
      <c r="C2217" s="126"/>
      <c r="F2217" s="137"/>
      <c r="G2217" s="138"/>
      <c r="H2217" s="138"/>
      <c r="I2217" s="139"/>
      <c r="J2217" s="137"/>
      <c r="K2217" s="137"/>
      <c r="M2217" s="126"/>
      <c r="O2217" s="137"/>
      <c r="P2217" s="137"/>
      <c r="Q2217" s="126"/>
    </row>
    <row r="2218" spans="3:17" x14ac:dyDescent="0.3">
      <c r="C2218" s="126"/>
      <c r="F2218" s="137"/>
      <c r="G2218" s="138"/>
      <c r="H2218" s="138"/>
      <c r="I2218" s="139"/>
      <c r="J2218" s="137"/>
      <c r="K2218" s="137"/>
      <c r="M2218" s="126"/>
      <c r="O2218" s="137"/>
      <c r="P2218" s="137"/>
      <c r="Q2218" s="126"/>
    </row>
    <row r="2219" spans="3:17" x14ac:dyDescent="0.3">
      <c r="C2219" s="126"/>
      <c r="F2219" s="137"/>
      <c r="G2219" s="138"/>
      <c r="H2219" s="138"/>
      <c r="I2219" s="139"/>
      <c r="J2219" s="137"/>
      <c r="K2219" s="137"/>
      <c r="M2219" s="126"/>
      <c r="O2219" s="137"/>
      <c r="P2219" s="137"/>
      <c r="Q2219" s="126"/>
    </row>
    <row r="2220" spans="3:17" x14ac:dyDescent="0.3">
      <c r="C2220" s="126"/>
      <c r="F2220" s="137"/>
      <c r="G2220" s="138"/>
      <c r="H2220" s="138"/>
      <c r="I2220" s="139"/>
      <c r="J2220" s="137"/>
      <c r="K2220" s="137"/>
      <c r="M2220" s="126"/>
      <c r="O2220" s="137"/>
      <c r="P2220" s="137"/>
      <c r="Q2220" s="126"/>
    </row>
    <row r="2221" spans="3:17" x14ac:dyDescent="0.3">
      <c r="C2221" s="126"/>
      <c r="F2221" s="137"/>
      <c r="G2221" s="138"/>
      <c r="H2221" s="138"/>
      <c r="I2221" s="139"/>
      <c r="J2221" s="137"/>
      <c r="K2221" s="137"/>
      <c r="M2221" s="126"/>
      <c r="O2221" s="137"/>
      <c r="P2221" s="137"/>
      <c r="Q2221" s="126"/>
    </row>
    <row r="2222" spans="3:17" x14ac:dyDescent="0.3">
      <c r="C2222" s="126"/>
      <c r="F2222" s="137"/>
      <c r="G2222" s="138"/>
      <c r="H2222" s="138"/>
      <c r="I2222" s="139"/>
      <c r="J2222" s="137"/>
      <c r="K2222" s="137"/>
      <c r="M2222" s="126"/>
      <c r="O2222" s="137"/>
      <c r="P2222" s="137"/>
      <c r="Q2222" s="126"/>
    </row>
    <row r="2223" spans="3:17" x14ac:dyDescent="0.3">
      <c r="C2223" s="126"/>
      <c r="F2223" s="137"/>
      <c r="G2223" s="138"/>
      <c r="H2223" s="138"/>
      <c r="I2223" s="139"/>
      <c r="J2223" s="137"/>
      <c r="K2223" s="137"/>
      <c r="M2223" s="126"/>
      <c r="O2223" s="137"/>
      <c r="P2223" s="137"/>
      <c r="Q2223" s="126"/>
    </row>
    <row r="2224" spans="3:17" x14ac:dyDescent="0.3">
      <c r="C2224" s="126"/>
      <c r="F2224" s="137"/>
      <c r="G2224" s="138"/>
      <c r="H2224" s="138"/>
      <c r="I2224" s="139"/>
      <c r="J2224" s="137"/>
      <c r="K2224" s="137"/>
      <c r="M2224" s="126"/>
      <c r="O2224" s="137"/>
      <c r="P2224" s="137"/>
      <c r="Q2224" s="126"/>
    </row>
    <row r="2225" spans="3:17" x14ac:dyDescent="0.3">
      <c r="C2225" s="126"/>
      <c r="F2225" s="137"/>
      <c r="G2225" s="138"/>
      <c r="H2225" s="138"/>
      <c r="I2225" s="139"/>
      <c r="J2225" s="137"/>
      <c r="K2225" s="137"/>
      <c r="M2225" s="126"/>
      <c r="O2225" s="137"/>
      <c r="P2225" s="137"/>
      <c r="Q2225" s="126"/>
    </row>
    <row r="2226" spans="3:17" x14ac:dyDescent="0.3">
      <c r="C2226" s="126"/>
      <c r="F2226" s="137"/>
      <c r="G2226" s="138"/>
      <c r="H2226" s="138"/>
      <c r="I2226" s="139"/>
      <c r="J2226" s="137"/>
      <c r="K2226" s="137"/>
      <c r="M2226" s="126"/>
      <c r="O2226" s="137"/>
      <c r="P2226" s="137"/>
      <c r="Q2226" s="126"/>
    </row>
    <row r="2227" spans="3:17" x14ac:dyDescent="0.3">
      <c r="C2227" s="126"/>
      <c r="F2227" s="137"/>
      <c r="G2227" s="138"/>
      <c r="H2227" s="138"/>
      <c r="I2227" s="139"/>
      <c r="J2227" s="137"/>
      <c r="K2227" s="137"/>
      <c r="M2227" s="126"/>
      <c r="O2227" s="137"/>
      <c r="P2227" s="137"/>
      <c r="Q2227" s="126"/>
    </row>
    <row r="2228" spans="3:17" x14ac:dyDescent="0.3">
      <c r="C2228" s="126"/>
      <c r="F2228" s="137"/>
      <c r="G2228" s="138"/>
      <c r="H2228" s="138"/>
      <c r="I2228" s="139"/>
      <c r="J2228" s="137"/>
      <c r="K2228" s="137"/>
      <c r="M2228" s="126"/>
      <c r="O2228" s="137"/>
      <c r="P2228" s="137"/>
      <c r="Q2228" s="126"/>
    </row>
    <row r="2229" spans="3:17" x14ac:dyDescent="0.3">
      <c r="C2229" s="126"/>
      <c r="F2229" s="137"/>
      <c r="G2229" s="138"/>
      <c r="H2229" s="138"/>
      <c r="I2229" s="139"/>
      <c r="J2229" s="137"/>
      <c r="K2229" s="137"/>
      <c r="M2229" s="126"/>
      <c r="O2229" s="137"/>
      <c r="P2229" s="137"/>
      <c r="Q2229" s="126"/>
    </row>
    <row r="2230" spans="3:17" x14ac:dyDescent="0.3">
      <c r="C2230" s="126"/>
      <c r="F2230" s="137"/>
      <c r="G2230" s="138"/>
      <c r="H2230" s="138"/>
      <c r="I2230" s="139"/>
      <c r="J2230" s="137"/>
      <c r="K2230" s="137"/>
      <c r="M2230" s="126"/>
      <c r="O2230" s="137"/>
      <c r="P2230" s="137"/>
      <c r="Q2230" s="126"/>
    </row>
    <row r="2231" spans="3:17" x14ac:dyDescent="0.3">
      <c r="C2231" s="126"/>
      <c r="F2231" s="137"/>
      <c r="G2231" s="138"/>
      <c r="H2231" s="138"/>
      <c r="I2231" s="139"/>
      <c r="J2231" s="137"/>
      <c r="K2231" s="137"/>
      <c r="M2231" s="126"/>
      <c r="O2231" s="137"/>
      <c r="P2231" s="137"/>
      <c r="Q2231" s="126"/>
    </row>
    <row r="2232" spans="3:17" x14ac:dyDescent="0.3">
      <c r="C2232" s="126"/>
      <c r="F2232" s="137"/>
      <c r="G2232" s="138"/>
      <c r="H2232" s="138"/>
      <c r="I2232" s="139"/>
      <c r="J2232" s="137"/>
      <c r="K2232" s="137"/>
      <c r="M2232" s="126"/>
      <c r="O2232" s="137"/>
      <c r="P2232" s="137"/>
      <c r="Q2232" s="126"/>
    </row>
    <row r="2233" spans="3:17" x14ac:dyDescent="0.3">
      <c r="C2233" s="126"/>
      <c r="F2233" s="137"/>
      <c r="G2233" s="138"/>
      <c r="H2233" s="138"/>
      <c r="I2233" s="139"/>
      <c r="J2233" s="137"/>
      <c r="K2233" s="137"/>
      <c r="M2233" s="126"/>
      <c r="O2233" s="137"/>
      <c r="P2233" s="137"/>
      <c r="Q2233" s="126"/>
    </row>
    <row r="2234" spans="3:17" x14ac:dyDescent="0.3">
      <c r="C2234" s="126"/>
      <c r="F2234" s="137"/>
      <c r="G2234" s="138"/>
      <c r="H2234" s="138"/>
      <c r="I2234" s="139"/>
      <c r="J2234" s="137"/>
      <c r="K2234" s="137"/>
      <c r="M2234" s="126"/>
      <c r="O2234" s="137"/>
      <c r="P2234" s="137"/>
      <c r="Q2234" s="126"/>
    </row>
    <row r="2235" spans="3:17" x14ac:dyDescent="0.3">
      <c r="C2235" s="126"/>
      <c r="F2235" s="137"/>
      <c r="G2235" s="138"/>
      <c r="H2235" s="138"/>
      <c r="I2235" s="139"/>
      <c r="J2235" s="137"/>
      <c r="K2235" s="137"/>
      <c r="M2235" s="126"/>
      <c r="O2235" s="137"/>
      <c r="P2235" s="137"/>
      <c r="Q2235" s="126"/>
    </row>
    <row r="2236" spans="3:17" x14ac:dyDescent="0.3">
      <c r="C2236" s="126"/>
      <c r="F2236" s="137"/>
      <c r="G2236" s="138"/>
      <c r="H2236" s="138"/>
      <c r="I2236" s="139"/>
      <c r="J2236" s="137"/>
      <c r="K2236" s="137"/>
      <c r="M2236" s="126"/>
      <c r="O2236" s="137"/>
      <c r="P2236" s="137"/>
      <c r="Q2236" s="126"/>
    </row>
    <row r="2237" spans="3:17" x14ac:dyDescent="0.3">
      <c r="C2237" s="126"/>
      <c r="F2237" s="137"/>
      <c r="G2237" s="138"/>
      <c r="H2237" s="138"/>
      <c r="I2237" s="139"/>
      <c r="J2237" s="137"/>
      <c r="K2237" s="137"/>
      <c r="M2237" s="126"/>
      <c r="O2237" s="137"/>
      <c r="P2237" s="137"/>
      <c r="Q2237" s="126"/>
    </row>
    <row r="2238" spans="3:17" x14ac:dyDescent="0.3">
      <c r="C2238" s="126"/>
      <c r="F2238" s="137"/>
      <c r="G2238" s="138"/>
      <c r="H2238" s="138"/>
      <c r="I2238" s="139"/>
      <c r="J2238" s="137"/>
      <c r="K2238" s="137"/>
      <c r="M2238" s="126"/>
      <c r="O2238" s="137"/>
      <c r="P2238" s="137"/>
      <c r="Q2238" s="126"/>
    </row>
    <row r="2239" spans="3:17" x14ac:dyDescent="0.3">
      <c r="C2239" s="126"/>
      <c r="F2239" s="137"/>
      <c r="G2239" s="138"/>
      <c r="H2239" s="138"/>
      <c r="I2239" s="139"/>
      <c r="J2239" s="137"/>
      <c r="K2239" s="137"/>
      <c r="M2239" s="126"/>
      <c r="O2239" s="137"/>
      <c r="P2239" s="137"/>
      <c r="Q2239" s="126"/>
    </row>
    <row r="2240" spans="3:17" x14ac:dyDescent="0.3">
      <c r="C2240" s="126"/>
      <c r="F2240" s="137"/>
      <c r="G2240" s="138"/>
      <c r="H2240" s="138"/>
      <c r="I2240" s="139"/>
      <c r="J2240" s="137"/>
      <c r="K2240" s="137"/>
      <c r="M2240" s="126"/>
      <c r="O2240" s="137"/>
      <c r="P2240" s="137"/>
      <c r="Q2240" s="126"/>
    </row>
    <row r="2241" spans="3:17" x14ac:dyDescent="0.3">
      <c r="C2241" s="126"/>
      <c r="F2241" s="137"/>
      <c r="G2241" s="138"/>
      <c r="H2241" s="138"/>
      <c r="I2241" s="139"/>
      <c r="J2241" s="137"/>
      <c r="K2241" s="137"/>
      <c r="M2241" s="126"/>
      <c r="O2241" s="137"/>
      <c r="P2241" s="137"/>
      <c r="Q2241" s="126"/>
    </row>
    <row r="2242" spans="3:17" x14ac:dyDescent="0.3">
      <c r="C2242" s="126"/>
      <c r="F2242" s="137"/>
      <c r="G2242" s="138"/>
      <c r="H2242" s="138"/>
      <c r="I2242" s="139"/>
      <c r="J2242" s="137"/>
      <c r="K2242" s="137"/>
      <c r="M2242" s="126"/>
      <c r="O2242" s="137"/>
      <c r="P2242" s="137"/>
      <c r="Q2242" s="126"/>
    </row>
    <row r="2243" spans="3:17" x14ac:dyDescent="0.3">
      <c r="C2243" s="126"/>
      <c r="F2243" s="137"/>
      <c r="G2243" s="138"/>
      <c r="H2243" s="138"/>
      <c r="I2243" s="139"/>
      <c r="J2243" s="137"/>
      <c r="K2243" s="137"/>
      <c r="M2243" s="126"/>
      <c r="O2243" s="137"/>
      <c r="P2243" s="137"/>
      <c r="Q2243" s="126"/>
    </row>
    <row r="2244" spans="3:17" x14ac:dyDescent="0.3">
      <c r="C2244" s="126"/>
      <c r="F2244" s="137"/>
      <c r="G2244" s="138"/>
      <c r="H2244" s="138"/>
      <c r="I2244" s="139"/>
      <c r="J2244" s="137"/>
      <c r="K2244" s="137"/>
      <c r="M2244" s="126"/>
      <c r="O2244" s="137"/>
      <c r="P2244" s="137"/>
      <c r="Q2244" s="126"/>
    </row>
    <row r="2245" spans="3:17" x14ac:dyDescent="0.3">
      <c r="C2245" s="126"/>
      <c r="F2245" s="137"/>
      <c r="G2245" s="138"/>
      <c r="H2245" s="138"/>
      <c r="I2245" s="139"/>
      <c r="J2245" s="137"/>
      <c r="K2245" s="137"/>
      <c r="M2245" s="126"/>
      <c r="O2245" s="137"/>
      <c r="P2245" s="137"/>
      <c r="Q2245" s="126"/>
    </row>
    <row r="2246" spans="3:17" x14ac:dyDescent="0.3">
      <c r="C2246" s="126"/>
      <c r="F2246" s="137"/>
      <c r="G2246" s="138"/>
      <c r="H2246" s="138"/>
      <c r="I2246" s="139"/>
      <c r="J2246" s="137"/>
      <c r="K2246" s="137"/>
      <c r="M2246" s="126"/>
      <c r="O2246" s="137"/>
      <c r="P2246" s="137"/>
      <c r="Q2246" s="126"/>
    </row>
    <row r="2247" spans="3:17" x14ac:dyDescent="0.3">
      <c r="C2247" s="126"/>
      <c r="F2247" s="137"/>
      <c r="G2247" s="138"/>
      <c r="H2247" s="138"/>
      <c r="I2247" s="139"/>
      <c r="J2247" s="137"/>
      <c r="K2247" s="137"/>
      <c r="M2247" s="126"/>
      <c r="O2247" s="137"/>
      <c r="P2247" s="137"/>
      <c r="Q2247" s="126"/>
    </row>
    <row r="2248" spans="3:17" x14ac:dyDescent="0.3">
      <c r="C2248" s="126"/>
      <c r="F2248" s="137"/>
      <c r="G2248" s="138"/>
      <c r="H2248" s="138"/>
      <c r="I2248" s="139"/>
      <c r="J2248" s="137"/>
      <c r="K2248" s="137"/>
      <c r="M2248" s="126"/>
      <c r="O2248" s="137"/>
      <c r="P2248" s="137"/>
      <c r="Q2248" s="126"/>
    </row>
    <row r="2249" spans="3:17" x14ac:dyDescent="0.3">
      <c r="C2249" s="126"/>
      <c r="F2249" s="137"/>
      <c r="G2249" s="138"/>
      <c r="H2249" s="138"/>
      <c r="I2249" s="139"/>
      <c r="J2249" s="137"/>
      <c r="K2249" s="137"/>
      <c r="M2249" s="126"/>
      <c r="O2249" s="137"/>
      <c r="P2249" s="137"/>
      <c r="Q2249" s="126"/>
    </row>
    <row r="2250" spans="3:17" x14ac:dyDescent="0.3">
      <c r="C2250" s="126"/>
      <c r="F2250" s="137"/>
      <c r="G2250" s="138"/>
      <c r="H2250" s="138"/>
      <c r="I2250" s="139"/>
      <c r="J2250" s="137"/>
      <c r="K2250" s="137"/>
      <c r="M2250" s="126"/>
      <c r="O2250" s="137"/>
      <c r="P2250" s="137"/>
      <c r="Q2250" s="126"/>
    </row>
    <row r="2251" spans="3:17" x14ac:dyDescent="0.3">
      <c r="C2251" s="126"/>
      <c r="F2251" s="137"/>
      <c r="G2251" s="138"/>
      <c r="H2251" s="138"/>
      <c r="I2251" s="139"/>
      <c r="J2251" s="137"/>
      <c r="K2251" s="137"/>
      <c r="M2251" s="126"/>
      <c r="O2251" s="137"/>
      <c r="P2251" s="137"/>
      <c r="Q2251" s="126"/>
    </row>
    <row r="2252" spans="3:17" x14ac:dyDescent="0.3">
      <c r="C2252" s="126"/>
      <c r="F2252" s="137"/>
      <c r="G2252" s="138"/>
      <c r="H2252" s="138"/>
      <c r="I2252" s="139"/>
      <c r="J2252" s="137"/>
      <c r="K2252" s="137"/>
      <c r="M2252" s="126"/>
      <c r="O2252" s="137"/>
      <c r="P2252" s="137"/>
      <c r="Q2252" s="126"/>
    </row>
    <row r="2253" spans="3:17" x14ac:dyDescent="0.3">
      <c r="C2253" s="126"/>
      <c r="F2253" s="137"/>
      <c r="G2253" s="138"/>
      <c r="H2253" s="138"/>
      <c r="I2253" s="139"/>
      <c r="J2253" s="137"/>
      <c r="K2253" s="137"/>
      <c r="M2253" s="126"/>
      <c r="O2253" s="137"/>
      <c r="P2253" s="137"/>
      <c r="Q2253" s="126"/>
    </row>
    <row r="2254" spans="3:17" x14ac:dyDescent="0.3">
      <c r="C2254" s="126"/>
      <c r="F2254" s="137"/>
      <c r="G2254" s="138"/>
      <c r="H2254" s="138"/>
      <c r="I2254" s="139"/>
      <c r="J2254" s="137"/>
      <c r="K2254" s="137"/>
      <c r="M2254" s="126"/>
      <c r="O2254" s="137"/>
      <c r="P2254" s="137"/>
      <c r="Q2254" s="126"/>
    </row>
    <row r="2255" spans="3:17" x14ac:dyDescent="0.3">
      <c r="C2255" s="126"/>
      <c r="F2255" s="137"/>
      <c r="G2255" s="138"/>
      <c r="H2255" s="138"/>
      <c r="I2255" s="139"/>
      <c r="J2255" s="137"/>
      <c r="K2255" s="137"/>
      <c r="M2255" s="126"/>
      <c r="O2255" s="137"/>
      <c r="P2255" s="137"/>
      <c r="Q2255" s="126"/>
    </row>
    <row r="2256" spans="3:17" x14ac:dyDescent="0.3">
      <c r="C2256" s="126"/>
      <c r="F2256" s="137"/>
      <c r="G2256" s="138"/>
      <c r="H2256" s="138"/>
      <c r="I2256" s="139"/>
      <c r="J2256" s="137"/>
      <c r="K2256" s="137"/>
      <c r="M2256" s="126"/>
      <c r="O2256" s="137"/>
      <c r="P2256" s="137"/>
      <c r="Q2256" s="126"/>
    </row>
    <row r="2257" spans="3:17" x14ac:dyDescent="0.3">
      <c r="C2257" s="126"/>
      <c r="F2257" s="137"/>
      <c r="G2257" s="138"/>
      <c r="H2257" s="138"/>
      <c r="I2257" s="139"/>
      <c r="J2257" s="137"/>
      <c r="K2257" s="137"/>
      <c r="M2257" s="126"/>
      <c r="O2257" s="137"/>
      <c r="P2257" s="137"/>
      <c r="Q2257" s="126"/>
    </row>
    <row r="2258" spans="3:17" x14ac:dyDescent="0.3">
      <c r="C2258" s="126"/>
      <c r="F2258" s="137"/>
      <c r="G2258" s="138"/>
      <c r="H2258" s="138"/>
      <c r="I2258" s="139"/>
      <c r="J2258" s="137"/>
      <c r="K2258" s="137"/>
      <c r="M2258" s="126"/>
      <c r="O2258" s="137"/>
      <c r="P2258" s="137"/>
      <c r="Q2258" s="126"/>
    </row>
    <row r="2259" spans="3:17" x14ac:dyDescent="0.3">
      <c r="C2259" s="126"/>
      <c r="F2259" s="137"/>
      <c r="G2259" s="138"/>
      <c r="H2259" s="138"/>
      <c r="I2259" s="139"/>
      <c r="J2259" s="137"/>
      <c r="K2259" s="137"/>
      <c r="M2259" s="126"/>
      <c r="O2259" s="137"/>
      <c r="P2259" s="137"/>
      <c r="Q2259" s="126"/>
    </row>
    <row r="2260" spans="3:17" x14ac:dyDescent="0.3">
      <c r="C2260" s="126"/>
      <c r="F2260" s="137"/>
      <c r="G2260" s="138"/>
      <c r="H2260" s="138"/>
      <c r="I2260" s="139"/>
      <c r="J2260" s="137"/>
      <c r="K2260" s="137"/>
      <c r="M2260" s="126"/>
      <c r="O2260" s="137"/>
      <c r="P2260" s="137"/>
      <c r="Q2260" s="126"/>
    </row>
    <row r="2261" spans="3:17" x14ac:dyDescent="0.3">
      <c r="C2261" s="126"/>
      <c r="F2261" s="137"/>
      <c r="G2261" s="138"/>
      <c r="H2261" s="138"/>
      <c r="I2261" s="139"/>
      <c r="J2261" s="137"/>
      <c r="K2261" s="137"/>
      <c r="M2261" s="126"/>
      <c r="O2261" s="137"/>
      <c r="P2261" s="137"/>
      <c r="Q2261" s="126"/>
    </row>
    <row r="2262" spans="3:17" x14ac:dyDescent="0.3">
      <c r="C2262" s="126"/>
      <c r="F2262" s="137"/>
      <c r="G2262" s="138"/>
      <c r="H2262" s="138"/>
      <c r="I2262" s="139"/>
      <c r="J2262" s="137"/>
      <c r="K2262" s="137"/>
      <c r="M2262" s="126"/>
      <c r="O2262" s="137"/>
      <c r="P2262" s="137"/>
      <c r="Q2262" s="126"/>
    </row>
    <row r="2263" spans="3:17" x14ac:dyDescent="0.3">
      <c r="C2263" s="126"/>
      <c r="F2263" s="137"/>
      <c r="G2263" s="138"/>
      <c r="H2263" s="138"/>
      <c r="I2263" s="139"/>
      <c r="J2263" s="137"/>
      <c r="K2263" s="137"/>
      <c r="M2263" s="126"/>
      <c r="O2263" s="137"/>
      <c r="P2263" s="137"/>
      <c r="Q2263" s="126"/>
    </row>
    <row r="2264" spans="3:17" x14ac:dyDescent="0.3">
      <c r="C2264" s="126"/>
      <c r="F2264" s="137"/>
      <c r="G2264" s="138"/>
      <c r="H2264" s="138"/>
      <c r="I2264" s="139"/>
      <c r="J2264" s="137"/>
      <c r="K2264" s="137"/>
      <c r="M2264" s="126"/>
      <c r="O2264" s="137"/>
      <c r="P2264" s="137"/>
      <c r="Q2264" s="126"/>
    </row>
    <row r="2265" spans="3:17" x14ac:dyDescent="0.3">
      <c r="C2265" s="126"/>
      <c r="F2265" s="137"/>
      <c r="G2265" s="138"/>
      <c r="H2265" s="138"/>
      <c r="I2265" s="139"/>
      <c r="J2265" s="137"/>
      <c r="K2265" s="137"/>
      <c r="M2265" s="126"/>
      <c r="O2265" s="137"/>
      <c r="P2265" s="137"/>
      <c r="Q2265" s="126"/>
    </row>
    <row r="2266" spans="3:17" x14ac:dyDescent="0.3">
      <c r="C2266" s="126"/>
      <c r="F2266" s="137"/>
      <c r="G2266" s="138"/>
      <c r="H2266" s="138"/>
      <c r="I2266" s="139"/>
      <c r="J2266" s="137"/>
      <c r="K2266" s="137"/>
      <c r="M2266" s="126"/>
      <c r="O2266" s="137"/>
      <c r="P2266" s="137"/>
      <c r="Q2266" s="126"/>
    </row>
    <row r="2267" spans="3:17" x14ac:dyDescent="0.3">
      <c r="C2267" s="126"/>
      <c r="F2267" s="137"/>
      <c r="G2267" s="138"/>
      <c r="H2267" s="138"/>
      <c r="I2267" s="139"/>
      <c r="J2267" s="137"/>
      <c r="K2267" s="137"/>
      <c r="M2267" s="126"/>
      <c r="O2267" s="137"/>
      <c r="P2267" s="137"/>
      <c r="Q2267" s="126"/>
    </row>
    <row r="2268" spans="3:17" x14ac:dyDescent="0.3">
      <c r="C2268" s="126"/>
      <c r="F2268" s="137"/>
      <c r="G2268" s="138"/>
      <c r="H2268" s="138"/>
      <c r="I2268" s="139"/>
      <c r="J2268" s="137"/>
      <c r="K2268" s="137"/>
      <c r="M2268" s="126"/>
      <c r="O2268" s="137"/>
      <c r="P2268" s="137"/>
      <c r="Q2268" s="126"/>
    </row>
    <row r="2269" spans="3:17" x14ac:dyDescent="0.3">
      <c r="C2269" s="126"/>
      <c r="F2269" s="137"/>
      <c r="G2269" s="138"/>
      <c r="H2269" s="138"/>
      <c r="I2269" s="139"/>
      <c r="J2269" s="137"/>
      <c r="K2269" s="137"/>
      <c r="M2269" s="126"/>
      <c r="O2269" s="137"/>
      <c r="P2269" s="137"/>
      <c r="Q2269" s="126"/>
    </row>
    <row r="2270" spans="3:17" x14ac:dyDescent="0.3">
      <c r="C2270" s="126"/>
      <c r="F2270" s="137"/>
      <c r="G2270" s="138"/>
      <c r="H2270" s="138"/>
      <c r="I2270" s="139"/>
      <c r="J2270" s="137"/>
      <c r="K2270" s="137"/>
      <c r="M2270" s="126"/>
      <c r="O2270" s="137"/>
      <c r="P2270" s="137"/>
      <c r="Q2270" s="126"/>
    </row>
    <row r="2271" spans="3:17" x14ac:dyDescent="0.3">
      <c r="C2271" s="126"/>
      <c r="F2271" s="137"/>
      <c r="G2271" s="138"/>
      <c r="H2271" s="138"/>
      <c r="I2271" s="139"/>
      <c r="J2271" s="137"/>
      <c r="K2271" s="137"/>
      <c r="M2271" s="126"/>
      <c r="O2271" s="137"/>
      <c r="P2271" s="137"/>
      <c r="Q2271" s="126"/>
    </row>
    <row r="2272" spans="3:17" x14ac:dyDescent="0.3">
      <c r="C2272" s="126"/>
      <c r="F2272" s="137"/>
      <c r="G2272" s="138"/>
      <c r="H2272" s="138"/>
      <c r="I2272" s="139"/>
      <c r="J2272" s="137"/>
      <c r="K2272" s="137"/>
      <c r="M2272" s="126"/>
      <c r="O2272" s="137"/>
      <c r="P2272" s="137"/>
      <c r="Q2272" s="126"/>
    </row>
    <row r="2273" spans="3:17" x14ac:dyDescent="0.3">
      <c r="C2273" s="126"/>
      <c r="F2273" s="137"/>
      <c r="G2273" s="138"/>
      <c r="H2273" s="138"/>
      <c r="I2273" s="139"/>
      <c r="J2273" s="137"/>
      <c r="K2273" s="137"/>
      <c r="M2273" s="126"/>
      <c r="O2273" s="137"/>
      <c r="P2273" s="137"/>
      <c r="Q2273" s="126"/>
    </row>
    <row r="2274" spans="3:17" x14ac:dyDescent="0.3">
      <c r="C2274" s="126"/>
      <c r="F2274" s="137"/>
      <c r="G2274" s="138"/>
      <c r="H2274" s="138"/>
      <c r="I2274" s="139"/>
      <c r="J2274" s="137"/>
      <c r="K2274" s="137"/>
      <c r="M2274" s="126"/>
      <c r="O2274" s="137"/>
      <c r="P2274" s="137"/>
      <c r="Q2274" s="126"/>
    </row>
    <row r="2275" spans="3:17" x14ac:dyDescent="0.3">
      <c r="C2275" s="126"/>
      <c r="F2275" s="137"/>
      <c r="G2275" s="138"/>
      <c r="H2275" s="138"/>
      <c r="I2275" s="139"/>
      <c r="J2275" s="137"/>
      <c r="K2275" s="137"/>
      <c r="M2275" s="126"/>
      <c r="O2275" s="137"/>
      <c r="P2275" s="137"/>
      <c r="Q2275" s="126"/>
    </row>
    <row r="2276" spans="3:17" x14ac:dyDescent="0.3">
      <c r="C2276" s="126"/>
      <c r="F2276" s="137"/>
      <c r="G2276" s="138"/>
      <c r="H2276" s="138"/>
      <c r="I2276" s="139"/>
      <c r="J2276" s="137"/>
      <c r="K2276" s="137"/>
      <c r="M2276" s="126"/>
      <c r="O2276" s="137"/>
      <c r="P2276" s="137"/>
      <c r="Q2276" s="126"/>
    </row>
    <row r="2277" spans="3:17" x14ac:dyDescent="0.3">
      <c r="C2277" s="126"/>
      <c r="F2277" s="137"/>
      <c r="G2277" s="138"/>
      <c r="H2277" s="138"/>
      <c r="I2277" s="139"/>
      <c r="J2277" s="137"/>
      <c r="K2277" s="137"/>
      <c r="M2277" s="126"/>
      <c r="O2277" s="137"/>
      <c r="P2277" s="137"/>
      <c r="Q2277" s="126"/>
    </row>
    <row r="2278" spans="3:17" x14ac:dyDescent="0.3">
      <c r="C2278" s="126"/>
      <c r="F2278" s="137"/>
      <c r="G2278" s="138"/>
      <c r="H2278" s="138"/>
      <c r="I2278" s="139"/>
      <c r="J2278" s="137"/>
      <c r="K2278" s="137"/>
      <c r="M2278" s="126"/>
      <c r="O2278" s="137"/>
      <c r="P2278" s="137"/>
      <c r="Q2278" s="126"/>
    </row>
    <row r="2279" spans="3:17" x14ac:dyDescent="0.3">
      <c r="C2279" s="126"/>
      <c r="F2279" s="137"/>
      <c r="G2279" s="138"/>
      <c r="H2279" s="138"/>
      <c r="I2279" s="139"/>
      <c r="J2279" s="137"/>
      <c r="K2279" s="137"/>
      <c r="M2279" s="126"/>
      <c r="O2279" s="137"/>
      <c r="P2279" s="137"/>
      <c r="Q2279" s="126"/>
    </row>
    <row r="2280" spans="3:17" x14ac:dyDescent="0.3">
      <c r="C2280" s="126"/>
      <c r="F2280" s="137"/>
      <c r="G2280" s="138"/>
      <c r="H2280" s="138"/>
      <c r="I2280" s="139"/>
      <c r="J2280" s="137"/>
      <c r="K2280" s="137"/>
      <c r="M2280" s="126"/>
      <c r="O2280" s="137"/>
      <c r="P2280" s="137"/>
      <c r="Q2280" s="126"/>
    </row>
    <row r="2281" spans="3:17" x14ac:dyDescent="0.3">
      <c r="C2281" s="126"/>
      <c r="F2281" s="137"/>
      <c r="G2281" s="138"/>
      <c r="H2281" s="138"/>
      <c r="I2281" s="139"/>
      <c r="J2281" s="137"/>
      <c r="K2281" s="137"/>
      <c r="M2281" s="126"/>
      <c r="O2281" s="137"/>
      <c r="P2281" s="137"/>
      <c r="Q2281" s="126"/>
    </row>
    <row r="2282" spans="3:17" x14ac:dyDescent="0.3">
      <c r="C2282" s="126"/>
      <c r="F2282" s="137"/>
      <c r="G2282" s="138"/>
      <c r="H2282" s="138"/>
      <c r="I2282" s="139"/>
      <c r="J2282" s="137"/>
      <c r="K2282" s="137"/>
      <c r="M2282" s="126"/>
      <c r="O2282" s="137"/>
      <c r="P2282" s="137"/>
      <c r="Q2282" s="126"/>
    </row>
    <row r="2283" spans="3:17" x14ac:dyDescent="0.3">
      <c r="C2283" s="126"/>
      <c r="F2283" s="137"/>
      <c r="G2283" s="138"/>
      <c r="H2283" s="138"/>
      <c r="I2283" s="139"/>
      <c r="J2283" s="137"/>
      <c r="K2283" s="137"/>
      <c r="M2283" s="126"/>
      <c r="O2283" s="137"/>
      <c r="P2283" s="137"/>
      <c r="Q2283" s="126"/>
    </row>
    <row r="2284" spans="3:17" x14ac:dyDescent="0.3">
      <c r="C2284" s="126"/>
      <c r="F2284" s="137"/>
      <c r="G2284" s="138"/>
      <c r="H2284" s="138"/>
      <c r="I2284" s="139"/>
      <c r="J2284" s="137"/>
      <c r="K2284" s="137"/>
      <c r="M2284" s="126"/>
      <c r="O2284" s="137"/>
      <c r="P2284" s="137"/>
      <c r="Q2284" s="126"/>
    </row>
    <row r="2285" spans="3:17" x14ac:dyDescent="0.3">
      <c r="C2285" s="126"/>
      <c r="F2285" s="137"/>
      <c r="G2285" s="138"/>
      <c r="H2285" s="138"/>
      <c r="I2285" s="139"/>
      <c r="J2285" s="137"/>
      <c r="K2285" s="137"/>
      <c r="M2285" s="126"/>
      <c r="O2285" s="137"/>
      <c r="P2285" s="137"/>
      <c r="Q2285" s="126"/>
    </row>
    <row r="2286" spans="3:17" x14ac:dyDescent="0.3">
      <c r="C2286" s="126"/>
      <c r="F2286" s="137"/>
      <c r="G2286" s="138"/>
      <c r="H2286" s="138"/>
      <c r="I2286" s="139"/>
      <c r="J2286" s="137"/>
      <c r="K2286" s="137"/>
      <c r="M2286" s="126"/>
      <c r="O2286" s="137"/>
      <c r="P2286" s="137"/>
      <c r="Q2286" s="126"/>
    </row>
    <row r="2287" spans="3:17" x14ac:dyDescent="0.3">
      <c r="C2287" s="126"/>
      <c r="F2287" s="137"/>
      <c r="G2287" s="138"/>
      <c r="H2287" s="138"/>
      <c r="I2287" s="139"/>
      <c r="J2287" s="137"/>
      <c r="K2287" s="137"/>
      <c r="M2287" s="126"/>
      <c r="O2287" s="137"/>
      <c r="P2287" s="137"/>
      <c r="Q2287" s="126"/>
    </row>
    <row r="2288" spans="3:17" x14ac:dyDescent="0.3">
      <c r="C2288" s="126"/>
      <c r="F2288" s="137"/>
      <c r="G2288" s="138"/>
      <c r="H2288" s="138"/>
      <c r="I2288" s="139"/>
      <c r="J2288" s="137"/>
      <c r="K2288" s="137"/>
      <c r="M2288" s="126"/>
      <c r="O2288" s="137"/>
      <c r="P2288" s="137"/>
      <c r="Q2288" s="126"/>
    </row>
    <row r="2289" spans="3:17" x14ac:dyDescent="0.3">
      <c r="C2289" s="126"/>
      <c r="F2289" s="137"/>
      <c r="G2289" s="138"/>
      <c r="H2289" s="138"/>
      <c r="I2289" s="139"/>
      <c r="J2289" s="137"/>
      <c r="K2289" s="137"/>
      <c r="M2289" s="126"/>
      <c r="O2289" s="137"/>
      <c r="P2289" s="137"/>
      <c r="Q2289" s="126"/>
    </row>
    <row r="2290" spans="3:17" x14ac:dyDescent="0.3">
      <c r="C2290" s="126"/>
      <c r="F2290" s="137"/>
      <c r="G2290" s="138"/>
      <c r="H2290" s="138"/>
      <c r="I2290" s="139"/>
      <c r="J2290" s="137"/>
      <c r="K2290" s="137"/>
      <c r="M2290" s="126"/>
      <c r="O2290" s="137"/>
      <c r="P2290" s="137"/>
      <c r="Q2290" s="126"/>
    </row>
    <row r="2291" spans="3:17" x14ac:dyDescent="0.3">
      <c r="C2291" s="126"/>
      <c r="F2291" s="137"/>
      <c r="G2291" s="138"/>
      <c r="H2291" s="138"/>
      <c r="I2291" s="139"/>
      <c r="J2291" s="137"/>
      <c r="K2291" s="137"/>
      <c r="M2291" s="126"/>
      <c r="O2291" s="137"/>
      <c r="P2291" s="137"/>
      <c r="Q2291" s="126"/>
    </row>
    <row r="2292" spans="3:17" x14ac:dyDescent="0.3">
      <c r="C2292" s="126"/>
      <c r="F2292" s="137"/>
      <c r="G2292" s="138"/>
      <c r="H2292" s="138"/>
      <c r="I2292" s="139"/>
      <c r="J2292" s="137"/>
      <c r="K2292" s="137"/>
      <c r="M2292" s="126"/>
      <c r="O2292" s="137"/>
      <c r="P2292" s="137"/>
      <c r="Q2292" s="126"/>
    </row>
    <row r="2293" spans="3:17" x14ac:dyDescent="0.3">
      <c r="C2293" s="126"/>
      <c r="F2293" s="137"/>
      <c r="G2293" s="138"/>
      <c r="H2293" s="138"/>
      <c r="I2293" s="139"/>
      <c r="J2293" s="137"/>
      <c r="K2293" s="137"/>
      <c r="M2293" s="126"/>
      <c r="O2293" s="137"/>
      <c r="P2293" s="137"/>
      <c r="Q2293" s="126"/>
    </row>
    <row r="2294" spans="3:17" x14ac:dyDescent="0.3">
      <c r="C2294" s="126"/>
      <c r="F2294" s="137"/>
      <c r="G2294" s="138"/>
      <c r="H2294" s="138"/>
      <c r="I2294" s="139"/>
      <c r="J2294" s="137"/>
      <c r="K2294" s="137"/>
      <c r="M2294" s="126"/>
      <c r="O2294" s="137"/>
      <c r="P2294" s="137"/>
      <c r="Q2294" s="126"/>
    </row>
    <row r="2295" spans="3:17" x14ac:dyDescent="0.3">
      <c r="C2295" s="126"/>
      <c r="F2295" s="137"/>
      <c r="G2295" s="138"/>
      <c r="H2295" s="138"/>
      <c r="I2295" s="139"/>
      <c r="J2295" s="137"/>
      <c r="K2295" s="137"/>
      <c r="M2295" s="126"/>
      <c r="O2295" s="137"/>
      <c r="P2295" s="137"/>
      <c r="Q2295" s="126"/>
    </row>
    <row r="2296" spans="3:17" x14ac:dyDescent="0.3">
      <c r="C2296" s="126"/>
      <c r="F2296" s="137"/>
      <c r="G2296" s="138"/>
      <c r="H2296" s="138"/>
      <c r="I2296" s="139"/>
      <c r="J2296" s="137"/>
      <c r="K2296" s="137"/>
      <c r="M2296" s="126"/>
      <c r="O2296" s="137"/>
      <c r="P2296" s="137"/>
      <c r="Q2296" s="126"/>
    </row>
    <row r="2297" spans="3:17" x14ac:dyDescent="0.3">
      <c r="C2297" s="126"/>
      <c r="F2297" s="137"/>
      <c r="G2297" s="138"/>
      <c r="H2297" s="138"/>
      <c r="I2297" s="139"/>
      <c r="J2297" s="137"/>
      <c r="K2297" s="137"/>
      <c r="M2297" s="126"/>
      <c r="O2297" s="137"/>
      <c r="P2297" s="137"/>
      <c r="Q2297" s="126"/>
    </row>
    <row r="2298" spans="3:17" x14ac:dyDescent="0.3">
      <c r="C2298" s="126"/>
      <c r="F2298" s="137"/>
      <c r="G2298" s="138"/>
      <c r="H2298" s="138"/>
      <c r="I2298" s="139"/>
      <c r="J2298" s="137"/>
      <c r="K2298" s="137"/>
      <c r="M2298" s="126"/>
      <c r="O2298" s="137"/>
      <c r="P2298" s="137"/>
      <c r="Q2298" s="126"/>
    </row>
    <row r="2299" spans="3:17" x14ac:dyDescent="0.3">
      <c r="C2299" s="126"/>
      <c r="F2299" s="137"/>
      <c r="G2299" s="138"/>
      <c r="H2299" s="138"/>
      <c r="I2299" s="139"/>
      <c r="J2299" s="137"/>
      <c r="K2299" s="137"/>
      <c r="M2299" s="126"/>
      <c r="O2299" s="137"/>
      <c r="P2299" s="137"/>
      <c r="Q2299" s="126"/>
    </row>
    <row r="2300" spans="3:17" x14ac:dyDescent="0.3">
      <c r="C2300" s="126"/>
      <c r="F2300" s="137"/>
      <c r="G2300" s="138"/>
      <c r="H2300" s="138"/>
      <c r="I2300" s="139"/>
      <c r="J2300" s="137"/>
      <c r="K2300" s="137"/>
      <c r="M2300" s="126"/>
      <c r="O2300" s="137"/>
      <c r="P2300" s="137"/>
      <c r="Q2300" s="126"/>
    </row>
    <row r="2301" spans="3:17" x14ac:dyDescent="0.3">
      <c r="C2301" s="126"/>
      <c r="F2301" s="137"/>
      <c r="G2301" s="138"/>
      <c r="H2301" s="138"/>
      <c r="I2301" s="139"/>
      <c r="J2301" s="137"/>
      <c r="K2301" s="137"/>
      <c r="M2301" s="126"/>
      <c r="O2301" s="137"/>
      <c r="P2301" s="137"/>
      <c r="Q2301" s="126"/>
    </row>
    <row r="2302" spans="3:17" x14ac:dyDescent="0.3">
      <c r="C2302" s="126"/>
      <c r="F2302" s="137"/>
      <c r="G2302" s="138"/>
      <c r="H2302" s="138"/>
      <c r="I2302" s="139"/>
      <c r="J2302" s="137"/>
      <c r="K2302" s="137"/>
      <c r="M2302" s="126"/>
      <c r="O2302" s="137"/>
      <c r="P2302" s="137"/>
      <c r="Q2302" s="126"/>
    </row>
    <row r="2303" spans="3:17" x14ac:dyDescent="0.3">
      <c r="C2303" s="126"/>
      <c r="F2303" s="137"/>
      <c r="G2303" s="138"/>
      <c r="H2303" s="138"/>
      <c r="I2303" s="139"/>
      <c r="J2303" s="137"/>
      <c r="K2303" s="137"/>
      <c r="M2303" s="126"/>
      <c r="O2303" s="137"/>
      <c r="P2303" s="137"/>
      <c r="Q2303" s="126"/>
    </row>
    <row r="2304" spans="3:17" x14ac:dyDescent="0.3">
      <c r="C2304" s="126"/>
      <c r="F2304" s="137"/>
      <c r="G2304" s="138"/>
      <c r="H2304" s="138"/>
      <c r="I2304" s="139"/>
      <c r="J2304" s="137"/>
      <c r="K2304" s="137"/>
      <c r="M2304" s="126"/>
      <c r="O2304" s="137"/>
      <c r="P2304" s="137"/>
      <c r="Q2304" s="126"/>
    </row>
    <row r="2305" spans="3:17" x14ac:dyDescent="0.3">
      <c r="C2305" s="126"/>
      <c r="F2305" s="137"/>
      <c r="G2305" s="138"/>
      <c r="H2305" s="138"/>
      <c r="I2305" s="139"/>
      <c r="J2305" s="137"/>
      <c r="K2305" s="137"/>
      <c r="M2305" s="126"/>
      <c r="O2305" s="137"/>
      <c r="P2305" s="137"/>
      <c r="Q2305" s="126"/>
    </row>
    <row r="2306" spans="3:17" x14ac:dyDescent="0.3">
      <c r="C2306" s="126"/>
      <c r="F2306" s="137"/>
      <c r="G2306" s="138"/>
      <c r="H2306" s="138"/>
      <c r="I2306" s="139"/>
      <c r="J2306" s="137"/>
      <c r="K2306" s="137"/>
      <c r="M2306" s="126"/>
      <c r="O2306" s="137"/>
      <c r="P2306" s="137"/>
      <c r="Q2306" s="126"/>
    </row>
    <row r="2307" spans="3:17" x14ac:dyDescent="0.3">
      <c r="C2307" s="126"/>
      <c r="F2307" s="137"/>
      <c r="G2307" s="138"/>
      <c r="H2307" s="138"/>
      <c r="I2307" s="139"/>
      <c r="J2307" s="137"/>
      <c r="K2307" s="137"/>
      <c r="M2307" s="126"/>
      <c r="O2307" s="137"/>
      <c r="P2307" s="137"/>
      <c r="Q2307" s="126"/>
    </row>
    <row r="2308" spans="3:17" x14ac:dyDescent="0.3">
      <c r="C2308" s="126"/>
      <c r="F2308" s="137"/>
      <c r="G2308" s="138"/>
      <c r="H2308" s="138"/>
      <c r="I2308" s="139"/>
      <c r="J2308" s="137"/>
      <c r="K2308" s="137"/>
      <c r="M2308" s="126"/>
      <c r="O2308" s="137"/>
      <c r="P2308" s="137"/>
      <c r="Q2308" s="126"/>
    </row>
    <row r="2309" spans="3:17" x14ac:dyDescent="0.3">
      <c r="C2309" s="126"/>
      <c r="F2309" s="137"/>
      <c r="G2309" s="138"/>
      <c r="H2309" s="138"/>
      <c r="I2309" s="139"/>
      <c r="J2309" s="137"/>
      <c r="K2309" s="137"/>
      <c r="M2309" s="126"/>
      <c r="O2309" s="137"/>
      <c r="P2309" s="137"/>
      <c r="Q2309" s="126"/>
    </row>
    <row r="2310" spans="3:17" x14ac:dyDescent="0.3">
      <c r="C2310" s="126"/>
      <c r="F2310" s="137"/>
      <c r="G2310" s="138"/>
      <c r="H2310" s="138"/>
      <c r="I2310" s="139"/>
      <c r="J2310" s="137"/>
      <c r="K2310" s="137"/>
      <c r="M2310" s="126"/>
      <c r="O2310" s="137"/>
      <c r="P2310" s="137"/>
      <c r="Q2310" s="126"/>
    </row>
    <row r="2311" spans="3:17" x14ac:dyDescent="0.3">
      <c r="C2311" s="126"/>
      <c r="F2311" s="137"/>
      <c r="G2311" s="138"/>
      <c r="H2311" s="138"/>
      <c r="I2311" s="139"/>
      <c r="J2311" s="137"/>
      <c r="K2311" s="137"/>
      <c r="M2311" s="126"/>
      <c r="O2311" s="137"/>
      <c r="P2311" s="137"/>
      <c r="Q2311" s="126"/>
    </row>
    <row r="2312" spans="3:17" x14ac:dyDescent="0.3">
      <c r="C2312" s="126"/>
      <c r="F2312" s="137"/>
      <c r="G2312" s="138"/>
      <c r="H2312" s="138"/>
      <c r="I2312" s="139"/>
      <c r="J2312" s="137"/>
      <c r="K2312" s="137"/>
      <c r="M2312" s="126"/>
      <c r="O2312" s="137"/>
      <c r="P2312" s="137"/>
      <c r="Q2312" s="126"/>
    </row>
    <row r="2313" spans="3:17" x14ac:dyDescent="0.3">
      <c r="C2313" s="126"/>
      <c r="F2313" s="137"/>
      <c r="G2313" s="138"/>
      <c r="H2313" s="138"/>
      <c r="I2313" s="139"/>
      <c r="J2313" s="137"/>
      <c r="K2313" s="137"/>
      <c r="M2313" s="126"/>
      <c r="O2313" s="137"/>
      <c r="P2313" s="137"/>
      <c r="Q2313" s="126"/>
    </row>
    <row r="2314" spans="3:17" x14ac:dyDescent="0.3">
      <c r="C2314" s="126"/>
      <c r="F2314" s="137"/>
      <c r="G2314" s="138"/>
      <c r="H2314" s="138"/>
      <c r="I2314" s="139"/>
      <c r="J2314" s="137"/>
      <c r="K2314" s="137"/>
      <c r="M2314" s="126"/>
      <c r="O2314" s="137"/>
      <c r="P2314" s="137"/>
      <c r="Q2314" s="126"/>
    </row>
    <row r="2315" spans="3:17" x14ac:dyDescent="0.3">
      <c r="C2315" s="126"/>
      <c r="F2315" s="137"/>
      <c r="G2315" s="138"/>
      <c r="H2315" s="138"/>
      <c r="I2315" s="139"/>
      <c r="J2315" s="137"/>
      <c r="K2315" s="137"/>
      <c r="M2315" s="126"/>
      <c r="O2315" s="137"/>
      <c r="P2315" s="137"/>
      <c r="Q2315" s="126"/>
    </row>
    <row r="2316" spans="3:17" x14ac:dyDescent="0.3">
      <c r="C2316" s="126"/>
      <c r="F2316" s="137"/>
      <c r="G2316" s="138"/>
      <c r="H2316" s="138"/>
      <c r="I2316" s="139"/>
      <c r="J2316" s="137"/>
      <c r="K2316" s="137"/>
      <c r="M2316" s="126"/>
      <c r="O2316" s="137"/>
      <c r="P2316" s="137"/>
      <c r="Q2316" s="126"/>
    </row>
    <row r="2317" spans="3:17" x14ac:dyDescent="0.3">
      <c r="C2317" s="126"/>
      <c r="F2317" s="137"/>
      <c r="G2317" s="138"/>
      <c r="H2317" s="138"/>
      <c r="I2317" s="139"/>
      <c r="J2317" s="137"/>
      <c r="K2317" s="137"/>
      <c r="M2317" s="126"/>
      <c r="O2317" s="137"/>
      <c r="P2317" s="137"/>
      <c r="Q2317" s="126"/>
    </row>
    <row r="2318" spans="3:17" x14ac:dyDescent="0.3">
      <c r="C2318" s="126"/>
      <c r="F2318" s="137"/>
      <c r="G2318" s="138"/>
      <c r="H2318" s="138"/>
      <c r="I2318" s="139"/>
      <c r="J2318" s="137"/>
      <c r="K2318" s="137"/>
      <c r="M2318" s="126"/>
      <c r="O2318" s="137"/>
      <c r="P2318" s="137"/>
      <c r="Q2318" s="126"/>
    </row>
    <row r="2319" spans="3:17" x14ac:dyDescent="0.3">
      <c r="C2319" s="126"/>
      <c r="F2319" s="137"/>
      <c r="G2319" s="138"/>
      <c r="H2319" s="138"/>
      <c r="I2319" s="139"/>
      <c r="J2319" s="137"/>
      <c r="K2319" s="137"/>
      <c r="M2319" s="126"/>
      <c r="O2319" s="137"/>
      <c r="P2319" s="137"/>
      <c r="Q2319" s="126"/>
    </row>
    <row r="2320" spans="3:17" x14ac:dyDescent="0.3">
      <c r="C2320" s="126"/>
      <c r="F2320" s="137"/>
      <c r="G2320" s="138"/>
      <c r="H2320" s="138"/>
      <c r="I2320" s="139"/>
      <c r="J2320" s="137"/>
      <c r="K2320" s="137"/>
      <c r="M2320" s="126"/>
      <c r="O2320" s="137"/>
      <c r="P2320" s="137"/>
      <c r="Q2320" s="126"/>
    </row>
    <row r="2321" spans="3:17" x14ac:dyDescent="0.3">
      <c r="C2321" s="126"/>
      <c r="F2321" s="137"/>
      <c r="G2321" s="138"/>
      <c r="H2321" s="138"/>
      <c r="I2321" s="139"/>
      <c r="J2321" s="137"/>
      <c r="K2321" s="137"/>
      <c r="M2321" s="126"/>
      <c r="O2321" s="137"/>
      <c r="P2321" s="137"/>
      <c r="Q2321" s="126"/>
    </row>
    <row r="2322" spans="3:17" x14ac:dyDescent="0.3">
      <c r="C2322" s="126"/>
      <c r="F2322" s="137"/>
      <c r="G2322" s="138"/>
      <c r="H2322" s="138"/>
      <c r="I2322" s="139"/>
      <c r="J2322" s="137"/>
      <c r="K2322" s="137"/>
      <c r="M2322" s="126"/>
      <c r="O2322" s="137"/>
      <c r="P2322" s="137"/>
      <c r="Q2322" s="126"/>
    </row>
    <row r="2323" spans="3:17" x14ac:dyDescent="0.3">
      <c r="C2323" s="126"/>
      <c r="F2323" s="137"/>
      <c r="G2323" s="138"/>
      <c r="H2323" s="138"/>
      <c r="I2323" s="139"/>
      <c r="J2323" s="137"/>
      <c r="K2323" s="137"/>
      <c r="M2323" s="126"/>
      <c r="O2323" s="137"/>
      <c r="P2323" s="137"/>
      <c r="Q2323" s="126"/>
    </row>
    <row r="2324" spans="3:17" x14ac:dyDescent="0.3">
      <c r="C2324" s="126"/>
      <c r="F2324" s="137"/>
      <c r="G2324" s="138"/>
      <c r="H2324" s="138"/>
      <c r="I2324" s="139"/>
      <c r="J2324" s="137"/>
      <c r="K2324" s="137"/>
      <c r="M2324" s="126"/>
      <c r="O2324" s="137"/>
      <c r="P2324" s="137"/>
      <c r="Q2324" s="126"/>
    </row>
    <row r="2325" spans="3:17" x14ac:dyDescent="0.3">
      <c r="C2325" s="126"/>
      <c r="F2325" s="137"/>
      <c r="G2325" s="138"/>
      <c r="H2325" s="138"/>
      <c r="I2325" s="139"/>
      <c r="J2325" s="137"/>
      <c r="K2325" s="137"/>
      <c r="M2325" s="126"/>
      <c r="O2325" s="137"/>
      <c r="P2325" s="137"/>
      <c r="Q2325" s="126"/>
    </row>
    <row r="2326" spans="3:17" x14ac:dyDescent="0.3">
      <c r="C2326" s="126"/>
      <c r="F2326" s="137"/>
      <c r="G2326" s="138"/>
      <c r="H2326" s="138"/>
      <c r="I2326" s="139"/>
      <c r="J2326" s="137"/>
      <c r="K2326" s="137"/>
      <c r="M2326" s="126"/>
      <c r="O2326" s="137"/>
      <c r="P2326" s="137"/>
      <c r="Q2326" s="126"/>
    </row>
    <row r="2327" spans="3:17" x14ac:dyDescent="0.3">
      <c r="C2327" s="126"/>
      <c r="F2327" s="137"/>
      <c r="G2327" s="138"/>
      <c r="H2327" s="138"/>
      <c r="I2327" s="139"/>
      <c r="J2327" s="137"/>
      <c r="K2327" s="137"/>
      <c r="M2327" s="126"/>
      <c r="O2327" s="137"/>
      <c r="P2327" s="137"/>
      <c r="Q2327" s="126"/>
    </row>
    <row r="2328" spans="3:17" x14ac:dyDescent="0.3">
      <c r="C2328" s="126"/>
      <c r="F2328" s="137"/>
      <c r="G2328" s="138"/>
      <c r="H2328" s="138"/>
      <c r="I2328" s="139"/>
      <c r="J2328" s="137"/>
      <c r="K2328" s="137"/>
      <c r="M2328" s="126"/>
      <c r="O2328" s="137"/>
      <c r="P2328" s="137"/>
      <c r="Q2328" s="126"/>
    </row>
    <row r="2329" spans="3:17" x14ac:dyDescent="0.3">
      <c r="C2329" s="126"/>
      <c r="F2329" s="137"/>
      <c r="G2329" s="138"/>
      <c r="H2329" s="138"/>
      <c r="I2329" s="139"/>
      <c r="J2329" s="137"/>
      <c r="K2329" s="137"/>
      <c r="M2329" s="126"/>
      <c r="O2329" s="137"/>
      <c r="P2329" s="137"/>
      <c r="Q2329" s="126"/>
    </row>
    <row r="2330" spans="3:17" x14ac:dyDescent="0.3">
      <c r="C2330" s="126"/>
      <c r="F2330" s="137"/>
      <c r="G2330" s="138"/>
      <c r="H2330" s="138"/>
      <c r="I2330" s="139"/>
      <c r="J2330" s="137"/>
      <c r="K2330" s="137"/>
      <c r="M2330" s="126"/>
      <c r="O2330" s="137"/>
      <c r="P2330" s="137"/>
      <c r="Q2330" s="126"/>
    </row>
    <row r="2331" spans="3:17" x14ac:dyDescent="0.3">
      <c r="C2331" s="126"/>
      <c r="F2331" s="137"/>
      <c r="G2331" s="138"/>
      <c r="H2331" s="138"/>
      <c r="I2331" s="139"/>
      <c r="J2331" s="137"/>
      <c r="K2331" s="137"/>
      <c r="M2331" s="126"/>
      <c r="O2331" s="137"/>
      <c r="P2331" s="137"/>
      <c r="Q2331" s="126"/>
    </row>
    <row r="2332" spans="3:17" x14ac:dyDescent="0.3">
      <c r="C2332" s="126"/>
      <c r="F2332" s="137"/>
      <c r="G2332" s="138"/>
      <c r="H2332" s="138"/>
      <c r="I2332" s="139"/>
      <c r="J2332" s="137"/>
      <c r="K2332" s="137"/>
      <c r="M2332" s="126"/>
      <c r="O2332" s="137"/>
      <c r="P2332" s="137"/>
      <c r="Q2332" s="126"/>
    </row>
    <row r="2333" spans="3:17" x14ac:dyDescent="0.3">
      <c r="C2333" s="126"/>
      <c r="F2333" s="137"/>
      <c r="G2333" s="138"/>
      <c r="H2333" s="138"/>
      <c r="I2333" s="139"/>
      <c r="J2333" s="137"/>
      <c r="K2333" s="137"/>
      <c r="M2333" s="126"/>
      <c r="O2333" s="137"/>
      <c r="P2333" s="137"/>
      <c r="Q2333" s="126"/>
    </row>
    <row r="2334" spans="3:17" x14ac:dyDescent="0.3">
      <c r="C2334" s="126"/>
      <c r="F2334" s="137"/>
      <c r="G2334" s="138"/>
      <c r="H2334" s="138"/>
      <c r="I2334" s="139"/>
      <c r="J2334" s="137"/>
      <c r="K2334" s="137"/>
      <c r="M2334" s="126"/>
      <c r="O2334" s="137"/>
      <c r="P2334" s="137"/>
      <c r="Q2334" s="126"/>
    </row>
    <row r="2335" spans="3:17" x14ac:dyDescent="0.3">
      <c r="C2335" s="126"/>
      <c r="F2335" s="137"/>
      <c r="G2335" s="138"/>
      <c r="H2335" s="138"/>
      <c r="I2335" s="139"/>
      <c r="J2335" s="137"/>
      <c r="K2335" s="137"/>
      <c r="M2335" s="126"/>
      <c r="O2335" s="137"/>
      <c r="P2335" s="137"/>
      <c r="Q2335" s="126"/>
    </row>
    <row r="2336" spans="3:17" x14ac:dyDescent="0.3">
      <c r="C2336" s="126"/>
      <c r="F2336" s="137"/>
      <c r="G2336" s="138"/>
      <c r="H2336" s="138"/>
      <c r="I2336" s="139"/>
      <c r="J2336" s="137"/>
      <c r="K2336" s="137"/>
      <c r="M2336" s="126"/>
      <c r="O2336" s="137"/>
      <c r="P2336" s="137"/>
      <c r="Q2336" s="126"/>
    </row>
    <row r="2337" spans="3:17" x14ac:dyDescent="0.3">
      <c r="C2337" s="126"/>
      <c r="F2337" s="137"/>
      <c r="G2337" s="138"/>
      <c r="H2337" s="138"/>
      <c r="I2337" s="139"/>
      <c r="J2337" s="137"/>
      <c r="K2337" s="137"/>
      <c r="M2337" s="126"/>
      <c r="O2337" s="137"/>
      <c r="P2337" s="137"/>
      <c r="Q2337" s="126"/>
    </row>
    <row r="2338" spans="3:17" x14ac:dyDescent="0.3">
      <c r="C2338" s="126"/>
      <c r="F2338" s="137"/>
      <c r="G2338" s="138"/>
      <c r="H2338" s="138"/>
      <c r="I2338" s="139"/>
      <c r="J2338" s="137"/>
      <c r="K2338" s="137"/>
      <c r="M2338" s="126"/>
      <c r="O2338" s="137"/>
      <c r="P2338" s="137"/>
      <c r="Q2338" s="126"/>
    </row>
    <row r="2339" spans="3:17" x14ac:dyDescent="0.3">
      <c r="C2339" s="126"/>
      <c r="F2339" s="137"/>
      <c r="G2339" s="138"/>
      <c r="H2339" s="138"/>
      <c r="I2339" s="139"/>
      <c r="J2339" s="137"/>
      <c r="K2339" s="137"/>
      <c r="M2339" s="126"/>
      <c r="O2339" s="137"/>
      <c r="P2339" s="137"/>
      <c r="Q2339" s="126"/>
    </row>
    <row r="2340" spans="3:17" x14ac:dyDescent="0.3">
      <c r="C2340" s="126"/>
      <c r="F2340" s="137"/>
      <c r="G2340" s="138"/>
      <c r="H2340" s="138"/>
      <c r="I2340" s="139"/>
      <c r="J2340" s="137"/>
      <c r="K2340" s="137"/>
      <c r="M2340" s="126"/>
      <c r="O2340" s="137"/>
      <c r="P2340" s="137"/>
      <c r="Q2340" s="126"/>
    </row>
    <row r="2341" spans="3:17" x14ac:dyDescent="0.3">
      <c r="C2341" s="126"/>
      <c r="F2341" s="137"/>
      <c r="G2341" s="138"/>
      <c r="H2341" s="138"/>
      <c r="I2341" s="139"/>
      <c r="J2341" s="137"/>
      <c r="K2341" s="137"/>
      <c r="M2341" s="126"/>
      <c r="O2341" s="137"/>
      <c r="P2341" s="137"/>
      <c r="Q2341" s="126"/>
    </row>
    <row r="2342" spans="3:17" x14ac:dyDescent="0.3">
      <c r="C2342" s="126"/>
      <c r="F2342" s="137"/>
      <c r="G2342" s="138"/>
      <c r="H2342" s="138"/>
      <c r="I2342" s="139"/>
      <c r="J2342" s="137"/>
      <c r="K2342" s="137"/>
      <c r="M2342" s="126"/>
      <c r="O2342" s="137"/>
      <c r="P2342" s="137"/>
      <c r="Q2342" s="126"/>
    </row>
    <row r="2343" spans="3:17" x14ac:dyDescent="0.3">
      <c r="C2343" s="126"/>
      <c r="F2343" s="137"/>
      <c r="G2343" s="138"/>
      <c r="H2343" s="138"/>
      <c r="I2343" s="139"/>
      <c r="J2343" s="137"/>
      <c r="K2343" s="137"/>
      <c r="M2343" s="126"/>
      <c r="O2343" s="137"/>
      <c r="P2343" s="137"/>
      <c r="Q2343" s="126"/>
    </row>
    <row r="2344" spans="3:17" x14ac:dyDescent="0.3">
      <c r="C2344" s="126"/>
      <c r="F2344" s="137"/>
      <c r="G2344" s="138"/>
      <c r="H2344" s="138"/>
      <c r="I2344" s="139"/>
      <c r="J2344" s="137"/>
      <c r="K2344" s="137"/>
      <c r="M2344" s="126"/>
      <c r="O2344" s="137"/>
      <c r="P2344" s="137"/>
      <c r="Q2344" s="126"/>
    </row>
    <row r="2345" spans="3:17" x14ac:dyDescent="0.3">
      <c r="C2345" s="126"/>
      <c r="F2345" s="137"/>
      <c r="G2345" s="138"/>
      <c r="H2345" s="138"/>
      <c r="I2345" s="139"/>
      <c r="J2345" s="137"/>
      <c r="K2345" s="137"/>
      <c r="M2345" s="126"/>
      <c r="O2345" s="137"/>
      <c r="P2345" s="137"/>
      <c r="Q2345" s="126"/>
    </row>
    <row r="2346" spans="3:17" x14ac:dyDescent="0.3">
      <c r="C2346" s="126"/>
      <c r="F2346" s="137"/>
      <c r="G2346" s="138"/>
      <c r="H2346" s="138"/>
      <c r="I2346" s="139"/>
      <c r="J2346" s="137"/>
      <c r="K2346" s="137"/>
      <c r="M2346" s="126"/>
      <c r="O2346" s="137"/>
      <c r="P2346" s="137"/>
      <c r="Q2346" s="126"/>
    </row>
    <row r="2347" spans="3:17" x14ac:dyDescent="0.3">
      <c r="C2347" s="126"/>
      <c r="F2347" s="137"/>
      <c r="G2347" s="138"/>
      <c r="H2347" s="138"/>
      <c r="I2347" s="139"/>
      <c r="J2347" s="137"/>
      <c r="K2347" s="137"/>
      <c r="M2347" s="126"/>
      <c r="O2347" s="137"/>
      <c r="P2347" s="137"/>
      <c r="Q2347" s="126"/>
    </row>
    <row r="2348" spans="3:17" x14ac:dyDescent="0.3">
      <c r="C2348" s="126"/>
      <c r="F2348" s="137"/>
      <c r="G2348" s="138"/>
      <c r="H2348" s="138"/>
      <c r="I2348" s="139"/>
      <c r="J2348" s="137"/>
      <c r="K2348" s="137"/>
      <c r="M2348" s="126"/>
      <c r="O2348" s="137"/>
      <c r="P2348" s="137"/>
      <c r="Q2348" s="126"/>
    </row>
    <row r="2349" spans="3:17" x14ac:dyDescent="0.3">
      <c r="C2349" s="126"/>
      <c r="F2349" s="137"/>
      <c r="G2349" s="138"/>
      <c r="H2349" s="138"/>
      <c r="I2349" s="139"/>
      <c r="J2349" s="137"/>
      <c r="K2349" s="137"/>
      <c r="M2349" s="126"/>
      <c r="O2349" s="137"/>
      <c r="P2349" s="137"/>
      <c r="Q2349" s="126"/>
    </row>
    <row r="2350" spans="3:17" x14ac:dyDescent="0.3">
      <c r="C2350" s="126"/>
      <c r="F2350" s="137"/>
      <c r="G2350" s="138"/>
      <c r="H2350" s="138"/>
      <c r="I2350" s="139"/>
      <c r="J2350" s="137"/>
      <c r="K2350" s="137"/>
      <c r="M2350" s="126"/>
      <c r="O2350" s="137"/>
      <c r="P2350" s="137"/>
      <c r="Q2350" s="126"/>
    </row>
    <row r="2351" spans="3:17" x14ac:dyDescent="0.3">
      <c r="C2351" s="126"/>
      <c r="F2351" s="137"/>
      <c r="G2351" s="138"/>
      <c r="H2351" s="138"/>
      <c r="I2351" s="139"/>
      <c r="J2351" s="137"/>
      <c r="K2351" s="137"/>
      <c r="M2351" s="126"/>
      <c r="O2351" s="137"/>
      <c r="P2351" s="137"/>
      <c r="Q2351" s="126"/>
    </row>
    <row r="2352" spans="3:17" x14ac:dyDescent="0.3">
      <c r="C2352" s="126"/>
      <c r="F2352" s="137"/>
      <c r="G2352" s="138"/>
      <c r="H2352" s="138"/>
      <c r="I2352" s="139"/>
      <c r="J2352" s="137"/>
      <c r="K2352" s="137"/>
      <c r="M2352" s="126"/>
      <c r="O2352" s="137"/>
      <c r="P2352" s="137"/>
      <c r="Q2352" s="126"/>
    </row>
    <row r="2353" spans="3:17" x14ac:dyDescent="0.3">
      <c r="C2353" s="126"/>
      <c r="F2353" s="137"/>
      <c r="G2353" s="138"/>
      <c r="H2353" s="138"/>
      <c r="I2353" s="139"/>
      <c r="J2353" s="137"/>
      <c r="K2353" s="137"/>
      <c r="M2353" s="126"/>
      <c r="O2353" s="137"/>
      <c r="P2353" s="137"/>
      <c r="Q2353" s="126"/>
    </row>
    <row r="2354" spans="3:17" x14ac:dyDescent="0.3">
      <c r="C2354" s="126"/>
      <c r="F2354" s="137"/>
      <c r="G2354" s="138"/>
      <c r="H2354" s="138"/>
      <c r="I2354" s="139"/>
      <c r="J2354" s="137"/>
      <c r="K2354" s="137"/>
      <c r="M2354" s="126"/>
      <c r="O2354" s="137"/>
      <c r="P2354" s="137"/>
      <c r="Q2354" s="126"/>
    </row>
    <row r="2355" spans="3:17" x14ac:dyDescent="0.3">
      <c r="C2355" s="126"/>
      <c r="F2355" s="137"/>
      <c r="G2355" s="138"/>
      <c r="H2355" s="138"/>
      <c r="I2355" s="139"/>
      <c r="J2355" s="137"/>
      <c r="K2355" s="137"/>
      <c r="M2355" s="126"/>
      <c r="O2355" s="137"/>
      <c r="P2355" s="137"/>
      <c r="Q2355" s="126"/>
    </row>
    <row r="2356" spans="3:17" x14ac:dyDescent="0.3">
      <c r="C2356" s="126"/>
      <c r="F2356" s="137"/>
      <c r="G2356" s="138"/>
      <c r="H2356" s="138"/>
      <c r="I2356" s="139"/>
      <c r="J2356" s="137"/>
      <c r="K2356" s="137"/>
      <c r="M2356" s="126"/>
      <c r="O2356" s="137"/>
      <c r="P2356" s="137"/>
      <c r="Q2356" s="126"/>
    </row>
    <row r="2357" spans="3:17" x14ac:dyDescent="0.3">
      <c r="C2357" s="126"/>
      <c r="F2357" s="137"/>
      <c r="G2357" s="138"/>
      <c r="H2357" s="138"/>
      <c r="I2357" s="139"/>
      <c r="J2357" s="137"/>
      <c r="K2357" s="137"/>
      <c r="M2357" s="126"/>
      <c r="O2357" s="137"/>
      <c r="P2357" s="137"/>
      <c r="Q2357" s="126"/>
    </row>
    <row r="2358" spans="3:17" x14ac:dyDescent="0.3">
      <c r="C2358" s="126"/>
      <c r="F2358" s="137"/>
      <c r="G2358" s="138"/>
      <c r="H2358" s="138"/>
      <c r="I2358" s="139"/>
      <c r="J2358" s="137"/>
      <c r="K2358" s="137"/>
      <c r="M2358" s="126"/>
      <c r="O2358" s="137"/>
      <c r="P2358" s="137"/>
      <c r="Q2358" s="126"/>
    </row>
    <row r="2359" spans="3:17" x14ac:dyDescent="0.3">
      <c r="C2359" s="126"/>
      <c r="F2359" s="137"/>
      <c r="G2359" s="138"/>
      <c r="H2359" s="138"/>
      <c r="I2359" s="139"/>
      <c r="J2359" s="137"/>
      <c r="K2359" s="137"/>
      <c r="M2359" s="126"/>
      <c r="O2359" s="137"/>
      <c r="P2359" s="137"/>
      <c r="Q2359" s="126"/>
    </row>
    <row r="2360" spans="3:17" x14ac:dyDescent="0.3">
      <c r="C2360" s="126"/>
      <c r="F2360" s="137"/>
      <c r="G2360" s="138"/>
      <c r="H2360" s="138"/>
      <c r="I2360" s="139"/>
      <c r="J2360" s="137"/>
      <c r="K2360" s="137"/>
      <c r="M2360" s="126"/>
      <c r="O2360" s="137"/>
      <c r="P2360" s="137"/>
      <c r="Q2360" s="126"/>
    </row>
    <row r="2361" spans="3:17" x14ac:dyDescent="0.3">
      <c r="C2361" s="126"/>
      <c r="F2361" s="137"/>
      <c r="G2361" s="138"/>
      <c r="H2361" s="138"/>
      <c r="I2361" s="139"/>
      <c r="J2361" s="137"/>
      <c r="K2361" s="137"/>
      <c r="M2361" s="126"/>
      <c r="O2361" s="137"/>
      <c r="P2361" s="137"/>
      <c r="Q2361" s="126"/>
    </row>
    <row r="2362" spans="3:17" x14ac:dyDescent="0.3">
      <c r="C2362" s="126"/>
      <c r="F2362" s="137"/>
      <c r="G2362" s="138"/>
      <c r="H2362" s="138"/>
      <c r="I2362" s="139"/>
      <c r="J2362" s="137"/>
      <c r="K2362" s="137"/>
      <c r="M2362" s="126"/>
      <c r="O2362" s="137"/>
      <c r="P2362" s="137"/>
      <c r="Q2362" s="126"/>
    </row>
    <row r="2363" spans="3:17" x14ac:dyDescent="0.3">
      <c r="C2363" s="126"/>
      <c r="F2363" s="137"/>
      <c r="G2363" s="138"/>
      <c r="H2363" s="138"/>
      <c r="I2363" s="139"/>
      <c r="J2363" s="137"/>
      <c r="K2363" s="137"/>
      <c r="M2363" s="126"/>
      <c r="O2363" s="137"/>
      <c r="P2363" s="137"/>
      <c r="Q2363" s="126"/>
    </row>
    <row r="2364" spans="3:17" x14ac:dyDescent="0.3">
      <c r="C2364" s="126"/>
      <c r="F2364" s="137"/>
      <c r="G2364" s="138"/>
      <c r="H2364" s="138"/>
      <c r="I2364" s="139"/>
      <c r="J2364" s="137"/>
      <c r="K2364" s="137"/>
      <c r="M2364" s="126"/>
      <c r="O2364" s="137"/>
      <c r="P2364" s="137"/>
      <c r="Q2364" s="126"/>
    </row>
    <row r="2365" spans="3:17" x14ac:dyDescent="0.3">
      <c r="C2365" s="126"/>
      <c r="F2365" s="137"/>
      <c r="G2365" s="138"/>
      <c r="H2365" s="138"/>
      <c r="I2365" s="139"/>
      <c r="J2365" s="137"/>
      <c r="K2365" s="137"/>
      <c r="M2365" s="126"/>
      <c r="O2365" s="137"/>
      <c r="P2365" s="137"/>
      <c r="Q2365" s="126"/>
    </row>
    <row r="2366" spans="3:17" x14ac:dyDescent="0.3">
      <c r="C2366" s="126"/>
      <c r="F2366" s="137"/>
      <c r="G2366" s="138"/>
      <c r="H2366" s="138"/>
      <c r="I2366" s="139"/>
      <c r="J2366" s="137"/>
      <c r="K2366" s="137"/>
      <c r="M2366" s="126"/>
      <c r="O2366" s="137"/>
      <c r="P2366" s="137"/>
      <c r="Q2366" s="126"/>
    </row>
    <row r="2367" spans="3:17" x14ac:dyDescent="0.3">
      <c r="C2367" s="126"/>
      <c r="F2367" s="137"/>
      <c r="G2367" s="138"/>
      <c r="H2367" s="138"/>
      <c r="I2367" s="139"/>
      <c r="J2367" s="137"/>
      <c r="K2367" s="137"/>
      <c r="M2367" s="126"/>
      <c r="O2367" s="137"/>
      <c r="P2367" s="137"/>
      <c r="Q2367" s="126"/>
    </row>
    <row r="2368" spans="3:17" x14ac:dyDescent="0.3">
      <c r="C2368" s="126"/>
      <c r="F2368" s="137"/>
      <c r="G2368" s="138"/>
      <c r="H2368" s="138"/>
      <c r="I2368" s="139"/>
      <c r="J2368" s="137"/>
      <c r="K2368" s="137"/>
      <c r="M2368" s="126"/>
      <c r="O2368" s="137"/>
      <c r="P2368" s="137"/>
      <c r="Q2368" s="126"/>
    </row>
    <row r="2369" spans="3:17" x14ac:dyDescent="0.3">
      <c r="C2369" s="126"/>
      <c r="F2369" s="137"/>
      <c r="G2369" s="138"/>
      <c r="H2369" s="138"/>
      <c r="I2369" s="139"/>
      <c r="J2369" s="137"/>
      <c r="K2369" s="137"/>
      <c r="M2369" s="126"/>
      <c r="O2369" s="137"/>
      <c r="P2369" s="137"/>
      <c r="Q2369" s="126"/>
    </row>
    <row r="2370" spans="3:17" x14ac:dyDescent="0.3">
      <c r="C2370" s="126"/>
      <c r="F2370" s="137"/>
      <c r="G2370" s="138"/>
      <c r="H2370" s="138"/>
      <c r="I2370" s="139"/>
      <c r="J2370" s="137"/>
      <c r="K2370" s="137"/>
      <c r="M2370" s="126"/>
      <c r="O2370" s="137"/>
      <c r="P2370" s="137"/>
      <c r="Q2370" s="126"/>
    </row>
    <row r="2371" spans="3:17" x14ac:dyDescent="0.3">
      <c r="C2371" s="126"/>
      <c r="F2371" s="137"/>
      <c r="G2371" s="138"/>
      <c r="H2371" s="138"/>
      <c r="I2371" s="139"/>
      <c r="J2371" s="137"/>
      <c r="K2371" s="137"/>
      <c r="M2371" s="126"/>
      <c r="O2371" s="137"/>
      <c r="P2371" s="137"/>
      <c r="Q2371" s="126"/>
    </row>
    <row r="2372" spans="3:17" x14ac:dyDescent="0.3">
      <c r="C2372" s="126"/>
      <c r="F2372" s="137"/>
      <c r="G2372" s="138"/>
      <c r="H2372" s="138"/>
      <c r="I2372" s="139"/>
      <c r="J2372" s="137"/>
      <c r="K2372" s="137"/>
      <c r="M2372" s="126"/>
      <c r="O2372" s="137"/>
      <c r="P2372" s="137"/>
      <c r="Q2372" s="126"/>
    </row>
    <row r="2373" spans="3:17" x14ac:dyDescent="0.3">
      <c r="C2373" s="126"/>
      <c r="F2373" s="137"/>
      <c r="G2373" s="138"/>
      <c r="H2373" s="138"/>
      <c r="I2373" s="139"/>
      <c r="J2373" s="137"/>
      <c r="K2373" s="137"/>
      <c r="M2373" s="126"/>
      <c r="O2373" s="137"/>
      <c r="P2373" s="137"/>
      <c r="Q2373" s="126"/>
    </row>
    <row r="2374" spans="3:17" x14ac:dyDescent="0.3">
      <c r="C2374" s="126"/>
      <c r="F2374" s="137"/>
      <c r="G2374" s="138"/>
      <c r="H2374" s="138"/>
      <c r="I2374" s="139"/>
      <c r="J2374" s="137"/>
      <c r="K2374" s="137"/>
      <c r="M2374" s="126"/>
      <c r="O2374" s="137"/>
      <c r="P2374" s="137"/>
      <c r="Q2374" s="126"/>
    </row>
    <row r="2375" spans="3:17" x14ac:dyDescent="0.3">
      <c r="C2375" s="126"/>
      <c r="F2375" s="137"/>
      <c r="G2375" s="138"/>
      <c r="H2375" s="138"/>
      <c r="I2375" s="139"/>
      <c r="J2375" s="137"/>
      <c r="K2375" s="137"/>
      <c r="M2375" s="126"/>
      <c r="O2375" s="137"/>
      <c r="P2375" s="137"/>
      <c r="Q2375" s="126"/>
    </row>
    <row r="2376" spans="3:17" x14ac:dyDescent="0.3">
      <c r="C2376" s="126"/>
      <c r="F2376" s="137"/>
      <c r="G2376" s="138"/>
      <c r="H2376" s="138"/>
      <c r="I2376" s="139"/>
      <c r="J2376" s="137"/>
      <c r="K2376" s="137"/>
      <c r="M2376" s="126"/>
      <c r="O2376" s="137"/>
      <c r="P2376" s="137"/>
      <c r="Q2376" s="126"/>
    </row>
    <row r="2377" spans="3:17" x14ac:dyDescent="0.3">
      <c r="C2377" s="126"/>
      <c r="F2377" s="137"/>
      <c r="G2377" s="138"/>
      <c r="H2377" s="138"/>
      <c r="I2377" s="139"/>
      <c r="J2377" s="137"/>
      <c r="K2377" s="137"/>
      <c r="M2377" s="126"/>
      <c r="O2377" s="137"/>
      <c r="P2377" s="137"/>
      <c r="Q2377" s="126"/>
    </row>
    <row r="2378" spans="3:17" x14ac:dyDescent="0.3">
      <c r="C2378" s="126"/>
      <c r="F2378" s="137"/>
      <c r="G2378" s="138"/>
      <c r="H2378" s="138"/>
      <c r="I2378" s="139"/>
      <c r="J2378" s="137"/>
      <c r="K2378" s="137"/>
      <c r="M2378" s="126"/>
      <c r="O2378" s="137"/>
      <c r="P2378" s="137"/>
      <c r="Q2378" s="126"/>
    </row>
    <row r="2379" spans="3:17" x14ac:dyDescent="0.3">
      <c r="C2379" s="126"/>
      <c r="F2379" s="137"/>
      <c r="G2379" s="138"/>
      <c r="H2379" s="138"/>
      <c r="I2379" s="139"/>
      <c r="J2379" s="137"/>
      <c r="K2379" s="137"/>
      <c r="M2379" s="126"/>
      <c r="O2379" s="137"/>
      <c r="P2379" s="137"/>
      <c r="Q2379" s="126"/>
    </row>
    <row r="2380" spans="3:17" x14ac:dyDescent="0.3">
      <c r="C2380" s="126"/>
      <c r="F2380" s="137"/>
      <c r="G2380" s="138"/>
      <c r="H2380" s="138"/>
      <c r="I2380" s="139"/>
      <c r="J2380" s="137"/>
      <c r="K2380" s="137"/>
      <c r="M2380" s="126"/>
      <c r="O2380" s="137"/>
      <c r="P2380" s="137"/>
      <c r="Q2380" s="126"/>
    </row>
    <row r="2381" spans="3:17" x14ac:dyDescent="0.3">
      <c r="C2381" s="126"/>
      <c r="F2381" s="137"/>
      <c r="G2381" s="138"/>
      <c r="H2381" s="138"/>
      <c r="I2381" s="139"/>
      <c r="J2381" s="137"/>
      <c r="K2381" s="137"/>
      <c r="M2381" s="126"/>
      <c r="O2381" s="137"/>
      <c r="P2381" s="137"/>
      <c r="Q2381" s="126"/>
    </row>
    <row r="2382" spans="3:17" x14ac:dyDescent="0.3">
      <c r="C2382" s="126"/>
      <c r="F2382" s="137"/>
      <c r="G2382" s="138"/>
      <c r="H2382" s="138"/>
      <c r="I2382" s="139"/>
      <c r="J2382" s="137"/>
      <c r="K2382" s="137"/>
      <c r="M2382" s="126"/>
      <c r="O2382" s="137"/>
      <c r="P2382" s="137"/>
      <c r="Q2382" s="126"/>
    </row>
    <row r="2383" spans="3:17" x14ac:dyDescent="0.3">
      <c r="C2383" s="126"/>
      <c r="F2383" s="137"/>
      <c r="G2383" s="138"/>
      <c r="H2383" s="138"/>
      <c r="I2383" s="139"/>
      <c r="J2383" s="137"/>
      <c r="K2383" s="137"/>
      <c r="M2383" s="126"/>
      <c r="O2383" s="137"/>
      <c r="P2383" s="137"/>
      <c r="Q2383" s="126"/>
    </row>
    <row r="2384" spans="3:17" x14ac:dyDescent="0.3">
      <c r="C2384" s="126"/>
      <c r="F2384" s="137"/>
      <c r="G2384" s="138"/>
      <c r="H2384" s="138"/>
      <c r="I2384" s="139"/>
      <c r="J2384" s="137"/>
      <c r="K2384" s="137"/>
      <c r="M2384" s="126"/>
      <c r="O2384" s="137"/>
      <c r="P2384" s="137"/>
      <c r="Q2384" s="126"/>
    </row>
    <row r="2385" spans="3:17" x14ac:dyDescent="0.3">
      <c r="C2385" s="126"/>
      <c r="F2385" s="137"/>
      <c r="G2385" s="138"/>
      <c r="H2385" s="138"/>
      <c r="I2385" s="139"/>
      <c r="J2385" s="137"/>
      <c r="K2385" s="137"/>
      <c r="M2385" s="126"/>
      <c r="O2385" s="137"/>
      <c r="P2385" s="137"/>
      <c r="Q2385" s="126"/>
    </row>
    <row r="2386" spans="3:17" x14ac:dyDescent="0.3">
      <c r="C2386" s="126"/>
      <c r="F2386" s="137"/>
      <c r="G2386" s="138"/>
      <c r="H2386" s="138"/>
      <c r="I2386" s="139"/>
      <c r="J2386" s="137"/>
      <c r="K2386" s="137"/>
      <c r="M2386" s="126"/>
      <c r="O2386" s="137"/>
      <c r="P2386" s="137"/>
      <c r="Q2386" s="126"/>
    </row>
    <row r="2387" spans="3:17" x14ac:dyDescent="0.3">
      <c r="C2387" s="126"/>
      <c r="F2387" s="137"/>
      <c r="G2387" s="138"/>
      <c r="H2387" s="138"/>
      <c r="I2387" s="139"/>
      <c r="J2387" s="137"/>
      <c r="K2387" s="137"/>
      <c r="M2387" s="126"/>
      <c r="O2387" s="137"/>
      <c r="P2387" s="137"/>
      <c r="Q2387" s="126"/>
    </row>
    <row r="2388" spans="3:17" x14ac:dyDescent="0.3">
      <c r="C2388" s="126"/>
      <c r="F2388" s="137"/>
      <c r="G2388" s="138"/>
      <c r="H2388" s="138"/>
      <c r="I2388" s="139"/>
      <c r="J2388" s="137"/>
      <c r="K2388" s="137"/>
      <c r="M2388" s="126"/>
      <c r="O2388" s="137"/>
      <c r="P2388" s="137"/>
      <c r="Q2388" s="126"/>
    </row>
    <row r="2389" spans="3:17" x14ac:dyDescent="0.3">
      <c r="C2389" s="126"/>
      <c r="F2389" s="137"/>
      <c r="G2389" s="138"/>
      <c r="H2389" s="138"/>
      <c r="I2389" s="139"/>
      <c r="J2389" s="137"/>
      <c r="K2389" s="137"/>
      <c r="M2389" s="126"/>
      <c r="O2389" s="137"/>
      <c r="P2389" s="137"/>
      <c r="Q2389" s="126"/>
    </row>
    <row r="2390" spans="3:17" x14ac:dyDescent="0.3">
      <c r="C2390" s="126"/>
      <c r="F2390" s="137"/>
      <c r="G2390" s="138"/>
      <c r="H2390" s="138"/>
      <c r="I2390" s="139"/>
      <c r="J2390" s="137"/>
      <c r="K2390" s="137"/>
      <c r="M2390" s="126"/>
      <c r="O2390" s="137"/>
      <c r="P2390" s="137"/>
      <c r="Q2390" s="126"/>
    </row>
    <row r="2391" spans="3:17" x14ac:dyDescent="0.3">
      <c r="C2391" s="126"/>
      <c r="F2391" s="137"/>
      <c r="G2391" s="138"/>
      <c r="H2391" s="138"/>
      <c r="I2391" s="139"/>
      <c r="J2391" s="137"/>
      <c r="K2391" s="137"/>
      <c r="M2391" s="126"/>
      <c r="O2391" s="137"/>
      <c r="P2391" s="137"/>
      <c r="Q2391" s="126"/>
    </row>
    <row r="2392" spans="3:17" x14ac:dyDescent="0.3">
      <c r="C2392" s="126"/>
      <c r="F2392" s="137"/>
      <c r="G2392" s="138"/>
      <c r="H2392" s="138"/>
      <c r="I2392" s="139"/>
      <c r="J2392" s="137"/>
      <c r="K2392" s="137"/>
      <c r="M2392" s="126"/>
      <c r="O2392" s="137"/>
      <c r="P2392" s="137"/>
      <c r="Q2392" s="126"/>
    </row>
    <row r="2393" spans="3:17" x14ac:dyDescent="0.3">
      <c r="C2393" s="126"/>
      <c r="F2393" s="137"/>
      <c r="G2393" s="138"/>
      <c r="H2393" s="138"/>
      <c r="I2393" s="139"/>
      <c r="J2393" s="137"/>
      <c r="K2393" s="137"/>
      <c r="M2393" s="126"/>
      <c r="O2393" s="137"/>
      <c r="P2393" s="137"/>
      <c r="Q2393" s="126"/>
    </row>
    <row r="2394" spans="3:17" x14ac:dyDescent="0.3">
      <c r="C2394" s="126"/>
      <c r="F2394" s="137"/>
      <c r="G2394" s="138"/>
      <c r="H2394" s="138"/>
      <c r="I2394" s="139"/>
      <c r="J2394" s="137"/>
      <c r="K2394" s="137"/>
      <c r="M2394" s="126"/>
      <c r="O2394" s="137"/>
      <c r="P2394" s="137"/>
      <c r="Q2394" s="126"/>
    </row>
    <row r="2395" spans="3:17" x14ac:dyDescent="0.3">
      <c r="C2395" s="126"/>
      <c r="F2395" s="137"/>
      <c r="G2395" s="138"/>
      <c r="H2395" s="138"/>
      <c r="I2395" s="139"/>
      <c r="J2395" s="137"/>
      <c r="K2395" s="137"/>
      <c r="M2395" s="126"/>
      <c r="O2395" s="137"/>
      <c r="P2395" s="137"/>
      <c r="Q2395" s="126"/>
    </row>
    <row r="2396" spans="3:17" x14ac:dyDescent="0.3">
      <c r="C2396" s="126"/>
      <c r="F2396" s="137"/>
      <c r="G2396" s="138"/>
      <c r="H2396" s="138"/>
      <c r="I2396" s="139"/>
      <c r="J2396" s="137"/>
      <c r="K2396" s="137"/>
      <c r="M2396" s="126"/>
      <c r="O2396" s="137"/>
      <c r="P2396" s="137"/>
      <c r="Q2396" s="126"/>
    </row>
    <row r="2397" spans="3:17" x14ac:dyDescent="0.3">
      <c r="C2397" s="126"/>
      <c r="F2397" s="137"/>
      <c r="G2397" s="138"/>
      <c r="H2397" s="138"/>
      <c r="I2397" s="139"/>
      <c r="J2397" s="137"/>
      <c r="K2397" s="137"/>
      <c r="M2397" s="126"/>
      <c r="O2397" s="137"/>
      <c r="P2397" s="137"/>
      <c r="Q2397" s="126"/>
    </row>
    <row r="2398" spans="3:17" x14ac:dyDescent="0.3">
      <c r="C2398" s="126"/>
      <c r="F2398" s="137"/>
      <c r="G2398" s="138"/>
      <c r="H2398" s="138"/>
      <c r="I2398" s="139"/>
      <c r="J2398" s="137"/>
      <c r="K2398" s="137"/>
      <c r="M2398" s="126"/>
      <c r="O2398" s="137"/>
      <c r="P2398" s="137"/>
      <c r="Q2398" s="126"/>
    </row>
    <row r="2399" spans="3:17" x14ac:dyDescent="0.3">
      <c r="C2399" s="126"/>
      <c r="F2399" s="137"/>
      <c r="G2399" s="138"/>
      <c r="H2399" s="138"/>
      <c r="I2399" s="139"/>
      <c r="J2399" s="137"/>
      <c r="K2399" s="137"/>
      <c r="M2399" s="126"/>
      <c r="O2399" s="137"/>
      <c r="P2399" s="137"/>
      <c r="Q2399" s="126"/>
    </row>
    <row r="2400" spans="3:17" x14ac:dyDescent="0.3">
      <c r="C2400" s="126"/>
      <c r="F2400" s="137"/>
      <c r="G2400" s="138"/>
      <c r="H2400" s="138"/>
      <c r="I2400" s="139"/>
      <c r="J2400" s="137"/>
      <c r="K2400" s="137"/>
      <c r="M2400" s="126"/>
      <c r="O2400" s="137"/>
      <c r="P2400" s="137"/>
      <c r="Q2400" s="126"/>
    </row>
    <row r="2401" spans="3:17" x14ac:dyDescent="0.3">
      <c r="C2401" s="126"/>
      <c r="F2401" s="137"/>
      <c r="G2401" s="138"/>
      <c r="H2401" s="138"/>
      <c r="I2401" s="139"/>
      <c r="J2401" s="137"/>
      <c r="K2401" s="137"/>
      <c r="M2401" s="126"/>
      <c r="O2401" s="137"/>
      <c r="P2401" s="137"/>
      <c r="Q2401" s="126"/>
    </row>
    <row r="2402" spans="3:17" x14ac:dyDescent="0.3">
      <c r="C2402" s="126"/>
      <c r="F2402" s="137"/>
      <c r="G2402" s="138"/>
      <c r="H2402" s="138"/>
      <c r="I2402" s="139"/>
      <c r="J2402" s="137"/>
      <c r="K2402" s="137"/>
      <c r="M2402" s="126"/>
      <c r="O2402" s="137"/>
      <c r="P2402" s="137"/>
      <c r="Q2402" s="126"/>
    </row>
    <row r="2403" spans="3:17" x14ac:dyDescent="0.3">
      <c r="C2403" s="126"/>
      <c r="F2403" s="137"/>
      <c r="G2403" s="138"/>
      <c r="H2403" s="138"/>
      <c r="I2403" s="139"/>
      <c r="J2403" s="137"/>
      <c r="K2403" s="137"/>
      <c r="M2403" s="126"/>
      <c r="O2403" s="137"/>
      <c r="P2403" s="137"/>
      <c r="Q2403" s="126"/>
    </row>
    <row r="2404" spans="3:17" x14ac:dyDescent="0.3">
      <c r="C2404" s="126"/>
      <c r="F2404" s="137"/>
      <c r="G2404" s="138"/>
      <c r="H2404" s="138"/>
      <c r="I2404" s="139"/>
      <c r="J2404" s="137"/>
      <c r="K2404" s="137"/>
      <c r="M2404" s="126"/>
      <c r="O2404" s="137"/>
      <c r="P2404" s="137"/>
      <c r="Q2404" s="126"/>
    </row>
    <row r="2405" spans="3:17" x14ac:dyDescent="0.3">
      <c r="C2405" s="126"/>
      <c r="F2405" s="137"/>
      <c r="G2405" s="138"/>
      <c r="H2405" s="138"/>
      <c r="I2405" s="139"/>
      <c r="J2405" s="137"/>
      <c r="K2405" s="137"/>
      <c r="M2405" s="126"/>
      <c r="O2405" s="137"/>
      <c r="P2405" s="137"/>
      <c r="Q2405" s="126"/>
    </row>
    <row r="2406" spans="3:17" x14ac:dyDescent="0.3">
      <c r="C2406" s="126"/>
      <c r="F2406" s="137"/>
      <c r="G2406" s="138"/>
      <c r="H2406" s="138"/>
      <c r="I2406" s="139"/>
      <c r="J2406" s="137"/>
      <c r="K2406" s="137"/>
      <c r="M2406" s="126"/>
      <c r="O2406" s="137"/>
      <c r="P2406" s="137"/>
      <c r="Q2406" s="126"/>
    </row>
    <row r="2407" spans="3:17" x14ac:dyDescent="0.3">
      <c r="C2407" s="126"/>
      <c r="F2407" s="137"/>
      <c r="G2407" s="138"/>
      <c r="H2407" s="138"/>
      <c r="I2407" s="139"/>
      <c r="J2407" s="137"/>
      <c r="K2407" s="137"/>
      <c r="M2407" s="126"/>
      <c r="O2407" s="137"/>
      <c r="P2407" s="137"/>
      <c r="Q2407" s="126"/>
    </row>
    <row r="2408" spans="3:17" x14ac:dyDescent="0.3">
      <c r="C2408" s="126"/>
      <c r="F2408" s="137"/>
      <c r="G2408" s="138"/>
      <c r="H2408" s="138"/>
      <c r="I2408" s="139"/>
      <c r="J2408" s="137"/>
      <c r="K2408" s="137"/>
      <c r="M2408" s="126"/>
      <c r="O2408" s="137"/>
      <c r="P2408" s="137"/>
      <c r="Q2408" s="126"/>
    </row>
    <row r="2409" spans="3:17" x14ac:dyDescent="0.3">
      <c r="C2409" s="126"/>
      <c r="F2409" s="137"/>
      <c r="G2409" s="138"/>
      <c r="H2409" s="138"/>
      <c r="I2409" s="139"/>
      <c r="J2409" s="137"/>
      <c r="K2409" s="137"/>
      <c r="M2409" s="126"/>
      <c r="O2409" s="137"/>
      <c r="P2409" s="137"/>
      <c r="Q2409" s="126"/>
    </row>
    <row r="2410" spans="3:17" x14ac:dyDescent="0.3">
      <c r="C2410" s="126"/>
      <c r="F2410" s="137"/>
      <c r="G2410" s="138"/>
      <c r="H2410" s="138"/>
      <c r="I2410" s="139"/>
      <c r="J2410" s="137"/>
      <c r="K2410" s="137"/>
      <c r="M2410" s="126"/>
      <c r="O2410" s="137"/>
      <c r="P2410" s="137"/>
      <c r="Q2410" s="126"/>
    </row>
    <row r="2411" spans="3:17" x14ac:dyDescent="0.3">
      <c r="C2411" s="126"/>
      <c r="F2411" s="137"/>
      <c r="G2411" s="138"/>
      <c r="H2411" s="138"/>
      <c r="I2411" s="139"/>
      <c r="J2411" s="137"/>
      <c r="K2411" s="137"/>
      <c r="M2411" s="126"/>
      <c r="O2411" s="137"/>
      <c r="P2411" s="137"/>
      <c r="Q2411" s="126"/>
    </row>
    <row r="2412" spans="3:17" x14ac:dyDescent="0.3">
      <c r="C2412" s="126"/>
      <c r="F2412" s="137"/>
      <c r="G2412" s="138"/>
      <c r="H2412" s="138"/>
      <c r="I2412" s="139"/>
      <c r="J2412" s="137"/>
      <c r="K2412" s="137"/>
      <c r="M2412" s="126"/>
      <c r="O2412" s="137"/>
      <c r="P2412" s="137"/>
      <c r="Q2412" s="126"/>
    </row>
    <row r="2413" spans="3:17" x14ac:dyDescent="0.3">
      <c r="C2413" s="126"/>
      <c r="F2413" s="137"/>
      <c r="G2413" s="138"/>
      <c r="H2413" s="138"/>
      <c r="I2413" s="139"/>
      <c r="J2413" s="137"/>
      <c r="K2413" s="137"/>
      <c r="M2413" s="126"/>
      <c r="O2413" s="137"/>
      <c r="P2413" s="137"/>
      <c r="Q2413" s="126"/>
    </row>
    <row r="2414" spans="3:17" x14ac:dyDescent="0.3">
      <c r="C2414" s="126"/>
      <c r="F2414" s="137"/>
      <c r="G2414" s="138"/>
      <c r="H2414" s="138"/>
      <c r="I2414" s="139"/>
      <c r="J2414" s="137"/>
      <c r="K2414" s="137"/>
      <c r="M2414" s="126"/>
      <c r="O2414" s="137"/>
      <c r="P2414" s="137"/>
      <c r="Q2414" s="126"/>
    </row>
    <row r="2415" spans="3:17" x14ac:dyDescent="0.3">
      <c r="C2415" s="126"/>
      <c r="F2415" s="137"/>
      <c r="G2415" s="138"/>
      <c r="H2415" s="138"/>
      <c r="I2415" s="139"/>
      <c r="J2415" s="137"/>
      <c r="K2415" s="137"/>
      <c r="M2415" s="126"/>
      <c r="O2415" s="137"/>
      <c r="P2415" s="137"/>
      <c r="Q2415" s="126"/>
    </row>
    <row r="2416" spans="3:17" x14ac:dyDescent="0.3">
      <c r="C2416" s="126"/>
      <c r="F2416" s="137"/>
      <c r="G2416" s="138"/>
      <c r="H2416" s="138"/>
      <c r="I2416" s="139"/>
      <c r="J2416" s="137"/>
      <c r="K2416" s="137"/>
      <c r="M2416" s="126"/>
      <c r="O2416" s="137"/>
      <c r="P2416" s="137"/>
      <c r="Q2416" s="126"/>
    </row>
    <row r="2417" spans="3:17" x14ac:dyDescent="0.3">
      <c r="C2417" s="126"/>
      <c r="F2417" s="137"/>
      <c r="G2417" s="138"/>
      <c r="H2417" s="138"/>
      <c r="I2417" s="139"/>
      <c r="J2417" s="137"/>
      <c r="K2417" s="137"/>
      <c r="M2417" s="126"/>
      <c r="O2417" s="137"/>
      <c r="P2417" s="137"/>
      <c r="Q2417" s="126"/>
    </row>
    <row r="2418" spans="3:17" x14ac:dyDescent="0.3">
      <c r="C2418" s="126"/>
      <c r="F2418" s="137"/>
      <c r="G2418" s="138"/>
      <c r="H2418" s="138"/>
      <c r="I2418" s="139"/>
      <c r="J2418" s="137"/>
      <c r="K2418" s="137"/>
      <c r="M2418" s="126"/>
      <c r="O2418" s="137"/>
      <c r="P2418" s="137"/>
      <c r="Q2418" s="126"/>
    </row>
    <row r="2419" spans="3:17" x14ac:dyDescent="0.3">
      <c r="C2419" s="126"/>
      <c r="F2419" s="137"/>
      <c r="G2419" s="138"/>
      <c r="H2419" s="138"/>
      <c r="I2419" s="139"/>
      <c r="J2419" s="137"/>
      <c r="K2419" s="137"/>
      <c r="M2419" s="126"/>
      <c r="O2419" s="137"/>
      <c r="P2419" s="137"/>
      <c r="Q2419" s="126"/>
    </row>
    <row r="2420" spans="3:17" x14ac:dyDescent="0.3">
      <c r="C2420" s="126"/>
      <c r="F2420" s="137"/>
      <c r="G2420" s="138"/>
      <c r="H2420" s="138"/>
      <c r="I2420" s="139"/>
      <c r="J2420" s="137"/>
      <c r="K2420" s="137"/>
      <c r="M2420" s="126"/>
      <c r="O2420" s="137"/>
      <c r="P2420" s="137"/>
      <c r="Q2420" s="126"/>
    </row>
    <row r="2421" spans="3:17" x14ac:dyDescent="0.3">
      <c r="C2421" s="126"/>
      <c r="F2421" s="137"/>
      <c r="G2421" s="138"/>
      <c r="H2421" s="138"/>
      <c r="I2421" s="139"/>
      <c r="J2421" s="137"/>
      <c r="K2421" s="137"/>
      <c r="M2421" s="126"/>
      <c r="O2421" s="137"/>
      <c r="P2421" s="137"/>
      <c r="Q2421" s="126"/>
    </row>
    <row r="2422" spans="3:17" x14ac:dyDescent="0.3">
      <c r="C2422" s="126"/>
      <c r="F2422" s="137"/>
      <c r="G2422" s="138"/>
      <c r="H2422" s="138"/>
      <c r="I2422" s="139"/>
      <c r="J2422" s="137"/>
      <c r="K2422" s="137"/>
      <c r="M2422" s="126"/>
      <c r="O2422" s="137"/>
      <c r="P2422" s="137"/>
      <c r="Q2422" s="126"/>
    </row>
    <row r="2423" spans="3:17" x14ac:dyDescent="0.3">
      <c r="C2423" s="126"/>
      <c r="F2423" s="137"/>
      <c r="G2423" s="138"/>
      <c r="H2423" s="138"/>
      <c r="I2423" s="139"/>
      <c r="J2423" s="137"/>
      <c r="K2423" s="137"/>
      <c r="M2423" s="126"/>
      <c r="O2423" s="137"/>
      <c r="P2423" s="137"/>
      <c r="Q2423" s="126"/>
    </row>
    <row r="2424" spans="3:17" x14ac:dyDescent="0.3">
      <c r="C2424" s="126"/>
      <c r="F2424" s="137"/>
      <c r="G2424" s="138"/>
      <c r="H2424" s="138"/>
      <c r="I2424" s="139"/>
      <c r="J2424" s="137"/>
      <c r="K2424" s="137"/>
      <c r="M2424" s="126"/>
      <c r="O2424" s="137"/>
      <c r="P2424" s="137"/>
      <c r="Q2424" s="126"/>
    </row>
    <row r="2425" spans="3:17" x14ac:dyDescent="0.3">
      <c r="C2425" s="126"/>
      <c r="F2425" s="137"/>
      <c r="G2425" s="138"/>
      <c r="H2425" s="138"/>
      <c r="I2425" s="139"/>
      <c r="J2425" s="137"/>
      <c r="K2425" s="137"/>
      <c r="M2425" s="126"/>
      <c r="O2425" s="137"/>
      <c r="P2425" s="137"/>
      <c r="Q2425" s="126"/>
    </row>
    <row r="2426" spans="3:17" x14ac:dyDescent="0.3">
      <c r="C2426" s="126"/>
      <c r="F2426" s="137"/>
      <c r="G2426" s="138"/>
      <c r="H2426" s="138"/>
      <c r="I2426" s="139"/>
      <c r="J2426" s="137"/>
      <c r="K2426" s="137"/>
      <c r="M2426" s="126"/>
      <c r="O2426" s="137"/>
      <c r="P2426" s="137"/>
      <c r="Q2426" s="126"/>
    </row>
    <row r="2427" spans="3:17" x14ac:dyDescent="0.3">
      <c r="C2427" s="126"/>
      <c r="F2427" s="137"/>
      <c r="G2427" s="138"/>
      <c r="H2427" s="138"/>
      <c r="I2427" s="139"/>
      <c r="J2427" s="137"/>
      <c r="K2427" s="137"/>
      <c r="M2427" s="126"/>
      <c r="O2427" s="137"/>
      <c r="P2427" s="137"/>
      <c r="Q2427" s="126"/>
    </row>
    <row r="2428" spans="3:17" x14ac:dyDescent="0.3">
      <c r="C2428" s="126"/>
      <c r="F2428" s="137"/>
      <c r="G2428" s="138"/>
      <c r="H2428" s="138"/>
      <c r="I2428" s="139"/>
      <c r="J2428" s="137"/>
      <c r="K2428" s="137"/>
      <c r="M2428" s="126"/>
      <c r="O2428" s="137"/>
      <c r="P2428" s="137"/>
      <c r="Q2428" s="126"/>
    </row>
    <row r="2429" spans="3:17" x14ac:dyDescent="0.3">
      <c r="C2429" s="126"/>
      <c r="F2429" s="137"/>
      <c r="G2429" s="138"/>
      <c r="H2429" s="138"/>
      <c r="I2429" s="139"/>
      <c r="J2429" s="137"/>
      <c r="K2429" s="137"/>
      <c r="M2429" s="126"/>
      <c r="O2429" s="137"/>
      <c r="P2429" s="137"/>
      <c r="Q2429" s="126"/>
    </row>
    <row r="2430" spans="3:17" x14ac:dyDescent="0.3">
      <c r="C2430" s="126"/>
      <c r="F2430" s="137"/>
      <c r="G2430" s="138"/>
      <c r="H2430" s="138"/>
      <c r="I2430" s="139"/>
      <c r="J2430" s="137"/>
      <c r="K2430" s="137"/>
      <c r="M2430" s="126"/>
      <c r="O2430" s="137"/>
      <c r="P2430" s="137"/>
      <c r="Q2430" s="126"/>
    </row>
    <row r="2431" spans="3:17" x14ac:dyDescent="0.3">
      <c r="C2431" s="126"/>
      <c r="F2431" s="137"/>
      <c r="G2431" s="138"/>
      <c r="H2431" s="138"/>
      <c r="I2431" s="139"/>
      <c r="J2431" s="137"/>
      <c r="K2431" s="137"/>
      <c r="M2431" s="126"/>
      <c r="O2431" s="137"/>
      <c r="P2431" s="137"/>
      <c r="Q2431" s="126"/>
    </row>
    <row r="2432" spans="3:17" x14ac:dyDescent="0.3">
      <c r="C2432" s="126"/>
      <c r="F2432" s="137"/>
      <c r="G2432" s="138"/>
      <c r="H2432" s="138"/>
      <c r="I2432" s="139"/>
      <c r="J2432" s="137"/>
      <c r="K2432" s="137"/>
      <c r="M2432" s="126"/>
      <c r="O2432" s="137"/>
      <c r="P2432" s="137"/>
      <c r="Q2432" s="126"/>
    </row>
    <row r="2433" spans="3:17" x14ac:dyDescent="0.3">
      <c r="C2433" s="126"/>
      <c r="F2433" s="137"/>
      <c r="G2433" s="138"/>
      <c r="H2433" s="138"/>
      <c r="I2433" s="139"/>
      <c r="J2433" s="137"/>
      <c r="K2433" s="137"/>
      <c r="M2433" s="126"/>
      <c r="O2433" s="137"/>
      <c r="P2433" s="137"/>
      <c r="Q2433" s="126"/>
    </row>
    <row r="2434" spans="3:17" x14ac:dyDescent="0.3">
      <c r="C2434" s="126"/>
      <c r="F2434" s="137"/>
      <c r="G2434" s="138"/>
      <c r="H2434" s="138"/>
      <c r="I2434" s="139"/>
      <c r="J2434" s="137"/>
      <c r="K2434" s="137"/>
      <c r="M2434" s="126"/>
      <c r="O2434" s="137"/>
      <c r="P2434" s="137"/>
      <c r="Q2434" s="126"/>
    </row>
    <row r="2435" spans="3:17" x14ac:dyDescent="0.3">
      <c r="C2435" s="126"/>
      <c r="F2435" s="137"/>
      <c r="G2435" s="138"/>
      <c r="H2435" s="138"/>
      <c r="I2435" s="139"/>
      <c r="J2435" s="137"/>
      <c r="K2435" s="137"/>
      <c r="M2435" s="126"/>
      <c r="O2435" s="137"/>
      <c r="P2435" s="137"/>
      <c r="Q2435" s="126"/>
    </row>
    <row r="2436" spans="3:17" x14ac:dyDescent="0.3">
      <c r="C2436" s="126"/>
      <c r="F2436" s="137"/>
      <c r="G2436" s="138"/>
      <c r="H2436" s="138"/>
      <c r="I2436" s="139"/>
      <c r="J2436" s="137"/>
      <c r="K2436" s="137"/>
      <c r="M2436" s="126"/>
      <c r="O2436" s="137"/>
      <c r="P2436" s="137"/>
      <c r="Q2436" s="126"/>
    </row>
    <row r="2437" spans="3:17" x14ac:dyDescent="0.3">
      <c r="C2437" s="126"/>
      <c r="F2437" s="137"/>
      <c r="G2437" s="138"/>
      <c r="H2437" s="138"/>
      <c r="I2437" s="139"/>
      <c r="J2437" s="137"/>
      <c r="K2437" s="137"/>
      <c r="M2437" s="126"/>
      <c r="O2437" s="137"/>
      <c r="P2437" s="137"/>
      <c r="Q2437" s="126"/>
    </row>
    <row r="2438" spans="3:17" x14ac:dyDescent="0.3">
      <c r="C2438" s="126"/>
      <c r="F2438" s="137"/>
      <c r="G2438" s="138"/>
      <c r="H2438" s="138"/>
      <c r="I2438" s="139"/>
      <c r="J2438" s="137"/>
      <c r="K2438" s="137"/>
      <c r="M2438" s="126"/>
      <c r="O2438" s="137"/>
      <c r="P2438" s="137"/>
      <c r="Q2438" s="126"/>
    </row>
    <row r="2439" spans="3:17" x14ac:dyDescent="0.3">
      <c r="C2439" s="126"/>
      <c r="F2439" s="137"/>
      <c r="G2439" s="138"/>
      <c r="H2439" s="138"/>
      <c r="I2439" s="139"/>
      <c r="J2439" s="137"/>
      <c r="K2439" s="137"/>
      <c r="M2439" s="126"/>
      <c r="O2439" s="137"/>
      <c r="P2439" s="137"/>
      <c r="Q2439" s="126"/>
    </row>
    <row r="2440" spans="3:17" x14ac:dyDescent="0.3">
      <c r="C2440" s="126"/>
      <c r="F2440" s="137"/>
      <c r="G2440" s="138"/>
      <c r="H2440" s="138"/>
      <c r="I2440" s="139"/>
      <c r="J2440" s="137"/>
      <c r="K2440" s="137"/>
      <c r="M2440" s="126"/>
      <c r="O2440" s="137"/>
      <c r="P2440" s="137"/>
      <c r="Q2440" s="126"/>
    </row>
    <row r="2441" spans="3:17" x14ac:dyDescent="0.3">
      <c r="C2441" s="126"/>
      <c r="F2441" s="137"/>
      <c r="G2441" s="138"/>
      <c r="H2441" s="138"/>
      <c r="I2441" s="139"/>
      <c r="J2441" s="137"/>
      <c r="K2441" s="137"/>
      <c r="M2441" s="126"/>
      <c r="O2441" s="137"/>
      <c r="P2441" s="137"/>
      <c r="Q2441" s="126"/>
    </row>
    <row r="2442" spans="3:17" x14ac:dyDescent="0.3">
      <c r="C2442" s="126"/>
      <c r="F2442" s="137"/>
      <c r="G2442" s="138"/>
      <c r="H2442" s="138"/>
      <c r="I2442" s="139"/>
      <c r="J2442" s="137"/>
      <c r="K2442" s="137"/>
      <c r="M2442" s="126"/>
      <c r="O2442" s="137"/>
      <c r="P2442" s="137"/>
      <c r="Q2442" s="126"/>
    </row>
    <row r="2443" spans="3:17" x14ac:dyDescent="0.3">
      <c r="C2443" s="126"/>
      <c r="F2443" s="137"/>
      <c r="G2443" s="138"/>
      <c r="H2443" s="138"/>
      <c r="I2443" s="139"/>
      <c r="J2443" s="137"/>
      <c r="K2443" s="137"/>
      <c r="M2443" s="126"/>
      <c r="O2443" s="137"/>
      <c r="P2443" s="137"/>
      <c r="Q2443" s="126"/>
    </row>
    <row r="2444" spans="3:17" x14ac:dyDescent="0.3">
      <c r="C2444" s="126"/>
      <c r="F2444" s="137"/>
      <c r="G2444" s="138"/>
      <c r="H2444" s="138"/>
      <c r="I2444" s="139"/>
      <c r="J2444" s="137"/>
      <c r="K2444" s="137"/>
      <c r="M2444" s="126"/>
      <c r="O2444" s="137"/>
      <c r="P2444" s="137"/>
      <c r="Q2444" s="126"/>
    </row>
    <row r="2445" spans="3:17" x14ac:dyDescent="0.3">
      <c r="C2445" s="126"/>
      <c r="F2445" s="137"/>
      <c r="G2445" s="138"/>
      <c r="H2445" s="138"/>
      <c r="I2445" s="139"/>
      <c r="J2445" s="137"/>
      <c r="K2445" s="137"/>
      <c r="M2445" s="126"/>
      <c r="O2445" s="137"/>
      <c r="P2445" s="137"/>
      <c r="Q2445" s="126"/>
    </row>
    <row r="2446" spans="3:17" x14ac:dyDescent="0.3">
      <c r="C2446" s="126"/>
      <c r="F2446" s="137"/>
      <c r="G2446" s="138"/>
      <c r="H2446" s="138"/>
      <c r="I2446" s="139"/>
      <c r="J2446" s="137"/>
      <c r="K2446" s="137"/>
      <c r="M2446" s="126"/>
      <c r="O2446" s="137"/>
      <c r="P2446" s="137"/>
      <c r="Q2446" s="126"/>
    </row>
    <row r="2447" spans="3:17" x14ac:dyDescent="0.3">
      <c r="C2447" s="126"/>
      <c r="F2447" s="137"/>
      <c r="G2447" s="138"/>
      <c r="H2447" s="138"/>
      <c r="I2447" s="139"/>
      <c r="J2447" s="137"/>
      <c r="K2447" s="137"/>
      <c r="M2447" s="126"/>
      <c r="O2447" s="137"/>
      <c r="P2447" s="137"/>
      <c r="Q2447" s="126"/>
    </row>
    <row r="2448" spans="3:17" x14ac:dyDescent="0.3">
      <c r="C2448" s="126"/>
      <c r="F2448" s="137"/>
      <c r="G2448" s="138"/>
      <c r="H2448" s="138"/>
      <c r="I2448" s="139"/>
      <c r="J2448" s="137"/>
      <c r="K2448" s="137"/>
      <c r="M2448" s="126"/>
      <c r="O2448" s="137"/>
      <c r="P2448" s="137"/>
      <c r="Q2448" s="126"/>
    </row>
    <row r="2449" spans="3:17" x14ac:dyDescent="0.3">
      <c r="C2449" s="126"/>
      <c r="F2449" s="137"/>
      <c r="G2449" s="138"/>
      <c r="H2449" s="138"/>
      <c r="I2449" s="139"/>
      <c r="J2449" s="137"/>
      <c r="K2449" s="137"/>
      <c r="M2449" s="126"/>
      <c r="O2449" s="137"/>
      <c r="P2449" s="137"/>
      <c r="Q2449" s="126"/>
    </row>
    <row r="2450" spans="3:17" x14ac:dyDescent="0.3">
      <c r="C2450" s="126"/>
      <c r="F2450" s="137"/>
      <c r="G2450" s="138"/>
      <c r="H2450" s="138"/>
      <c r="I2450" s="139"/>
      <c r="J2450" s="137"/>
      <c r="K2450" s="137"/>
      <c r="M2450" s="126"/>
      <c r="O2450" s="137"/>
      <c r="P2450" s="137"/>
      <c r="Q2450" s="126"/>
    </row>
    <row r="2451" spans="3:17" x14ac:dyDescent="0.3">
      <c r="C2451" s="126"/>
      <c r="F2451" s="137"/>
      <c r="G2451" s="138"/>
      <c r="H2451" s="138"/>
      <c r="I2451" s="139"/>
      <c r="J2451" s="137"/>
      <c r="K2451" s="137"/>
      <c r="M2451" s="126"/>
      <c r="O2451" s="137"/>
      <c r="P2451" s="137"/>
      <c r="Q2451" s="126"/>
    </row>
    <row r="2452" spans="3:17" x14ac:dyDescent="0.3">
      <c r="C2452" s="126"/>
      <c r="F2452" s="137"/>
      <c r="G2452" s="138"/>
      <c r="H2452" s="138"/>
      <c r="I2452" s="139"/>
      <c r="J2452" s="137"/>
      <c r="K2452" s="137"/>
      <c r="M2452" s="126"/>
      <c r="O2452" s="137"/>
      <c r="P2452" s="137"/>
      <c r="Q2452" s="126"/>
    </row>
    <row r="2453" spans="3:17" x14ac:dyDescent="0.3">
      <c r="C2453" s="126"/>
      <c r="F2453" s="137"/>
      <c r="G2453" s="138"/>
      <c r="H2453" s="138"/>
      <c r="I2453" s="139"/>
      <c r="J2453" s="137"/>
      <c r="K2453" s="137"/>
      <c r="M2453" s="126"/>
      <c r="O2453" s="137"/>
      <c r="P2453" s="137"/>
      <c r="Q2453" s="126"/>
    </row>
    <row r="2454" spans="3:17" x14ac:dyDescent="0.3">
      <c r="C2454" s="126"/>
      <c r="F2454" s="137"/>
      <c r="G2454" s="138"/>
      <c r="H2454" s="138"/>
      <c r="I2454" s="139"/>
      <c r="J2454" s="137"/>
      <c r="K2454" s="137"/>
      <c r="M2454" s="126"/>
      <c r="O2454" s="137"/>
      <c r="P2454" s="137"/>
      <c r="Q2454" s="126"/>
    </row>
    <row r="2455" spans="3:17" x14ac:dyDescent="0.3">
      <c r="C2455" s="126"/>
      <c r="F2455" s="137"/>
      <c r="G2455" s="138"/>
      <c r="H2455" s="138"/>
      <c r="I2455" s="139"/>
      <c r="J2455" s="137"/>
      <c r="K2455" s="137"/>
      <c r="M2455" s="126"/>
      <c r="O2455" s="137"/>
      <c r="P2455" s="137"/>
      <c r="Q2455" s="126"/>
    </row>
    <row r="2456" spans="3:17" x14ac:dyDescent="0.3">
      <c r="C2456" s="126"/>
      <c r="F2456" s="137"/>
      <c r="G2456" s="138"/>
      <c r="H2456" s="138"/>
      <c r="I2456" s="139"/>
      <c r="J2456" s="137"/>
      <c r="K2456" s="137"/>
      <c r="M2456" s="126"/>
      <c r="O2456" s="137"/>
      <c r="P2456" s="137"/>
      <c r="Q2456" s="126"/>
    </row>
    <row r="2457" spans="3:17" x14ac:dyDescent="0.3">
      <c r="C2457" s="126"/>
      <c r="F2457" s="137"/>
      <c r="G2457" s="138"/>
      <c r="H2457" s="138"/>
      <c r="I2457" s="139"/>
      <c r="J2457" s="137"/>
      <c r="K2457" s="137"/>
      <c r="M2457" s="126"/>
      <c r="O2457" s="137"/>
      <c r="P2457" s="137"/>
      <c r="Q2457" s="126"/>
    </row>
    <row r="2458" spans="3:17" x14ac:dyDescent="0.3">
      <c r="C2458" s="126"/>
      <c r="F2458" s="137"/>
      <c r="G2458" s="138"/>
      <c r="H2458" s="138"/>
      <c r="I2458" s="139"/>
      <c r="J2458" s="137"/>
      <c r="K2458" s="137"/>
      <c r="M2458" s="126"/>
      <c r="O2458" s="137"/>
      <c r="P2458" s="137"/>
      <c r="Q2458" s="126"/>
    </row>
    <row r="2459" spans="3:17" x14ac:dyDescent="0.3">
      <c r="C2459" s="126"/>
      <c r="F2459" s="137"/>
      <c r="G2459" s="138"/>
      <c r="H2459" s="138"/>
      <c r="I2459" s="139"/>
      <c r="J2459" s="137"/>
      <c r="K2459" s="137"/>
      <c r="M2459" s="126"/>
      <c r="O2459" s="137"/>
      <c r="P2459" s="137"/>
      <c r="Q2459" s="126"/>
    </row>
    <row r="2460" spans="3:17" x14ac:dyDescent="0.3">
      <c r="C2460" s="126"/>
      <c r="F2460" s="137"/>
      <c r="G2460" s="138"/>
      <c r="H2460" s="138"/>
      <c r="I2460" s="139"/>
      <c r="J2460" s="137"/>
      <c r="K2460" s="137"/>
      <c r="M2460" s="126"/>
      <c r="O2460" s="137"/>
      <c r="P2460" s="137"/>
      <c r="Q2460" s="126"/>
    </row>
    <row r="2461" spans="3:17" x14ac:dyDescent="0.3">
      <c r="C2461" s="126"/>
      <c r="F2461" s="137"/>
      <c r="G2461" s="138"/>
      <c r="H2461" s="138"/>
      <c r="I2461" s="139"/>
      <c r="J2461" s="137"/>
      <c r="K2461" s="137"/>
      <c r="M2461" s="126"/>
      <c r="O2461" s="137"/>
      <c r="P2461" s="137"/>
      <c r="Q2461" s="126"/>
    </row>
    <row r="2462" spans="3:17" x14ac:dyDescent="0.3">
      <c r="C2462" s="126"/>
      <c r="F2462" s="137"/>
      <c r="G2462" s="138"/>
      <c r="H2462" s="138"/>
      <c r="I2462" s="139"/>
      <c r="J2462" s="137"/>
      <c r="K2462" s="137"/>
      <c r="M2462" s="126"/>
      <c r="O2462" s="137"/>
      <c r="P2462" s="137"/>
      <c r="Q2462" s="126"/>
    </row>
    <row r="2463" spans="3:17" x14ac:dyDescent="0.3">
      <c r="C2463" s="126"/>
      <c r="F2463" s="137"/>
      <c r="G2463" s="138"/>
      <c r="H2463" s="138"/>
      <c r="I2463" s="139"/>
      <c r="J2463" s="137"/>
      <c r="K2463" s="137"/>
      <c r="M2463" s="126"/>
      <c r="O2463" s="137"/>
      <c r="P2463" s="137"/>
      <c r="Q2463" s="126"/>
    </row>
    <row r="2464" spans="3:17" x14ac:dyDescent="0.3">
      <c r="C2464" s="126"/>
      <c r="F2464" s="137"/>
      <c r="G2464" s="138"/>
      <c r="H2464" s="138"/>
      <c r="I2464" s="139"/>
      <c r="J2464" s="137"/>
      <c r="K2464" s="137"/>
      <c r="M2464" s="126"/>
      <c r="O2464" s="137"/>
      <c r="P2464" s="137"/>
      <c r="Q2464" s="126"/>
    </row>
    <row r="2465" spans="3:17" x14ac:dyDescent="0.3">
      <c r="C2465" s="126"/>
      <c r="F2465" s="137"/>
      <c r="G2465" s="138"/>
      <c r="H2465" s="138"/>
      <c r="I2465" s="139"/>
      <c r="J2465" s="137"/>
      <c r="K2465" s="137"/>
      <c r="M2465" s="126"/>
      <c r="O2465" s="137"/>
      <c r="P2465" s="137"/>
      <c r="Q2465" s="126"/>
    </row>
    <row r="2466" spans="3:17" x14ac:dyDescent="0.3">
      <c r="C2466" s="126"/>
      <c r="F2466" s="137"/>
      <c r="G2466" s="138"/>
      <c r="H2466" s="138"/>
      <c r="I2466" s="139"/>
      <c r="J2466" s="137"/>
      <c r="K2466" s="137"/>
      <c r="M2466" s="126"/>
      <c r="O2466" s="137"/>
      <c r="P2466" s="137"/>
      <c r="Q2466" s="126"/>
    </row>
    <row r="2467" spans="3:17" x14ac:dyDescent="0.3">
      <c r="C2467" s="126"/>
      <c r="F2467" s="137"/>
      <c r="G2467" s="138"/>
      <c r="H2467" s="138"/>
      <c r="I2467" s="139"/>
      <c r="J2467" s="137"/>
      <c r="K2467" s="137"/>
      <c r="M2467" s="126"/>
      <c r="O2467" s="137"/>
      <c r="P2467" s="137"/>
      <c r="Q2467" s="126"/>
    </row>
    <row r="2468" spans="3:17" x14ac:dyDescent="0.3">
      <c r="C2468" s="126"/>
      <c r="F2468" s="137"/>
      <c r="G2468" s="138"/>
      <c r="H2468" s="138"/>
      <c r="I2468" s="139"/>
      <c r="J2468" s="137"/>
      <c r="K2468" s="137"/>
      <c r="M2468" s="126"/>
      <c r="O2468" s="137"/>
      <c r="P2468" s="137"/>
      <c r="Q2468" s="126"/>
    </row>
    <row r="2469" spans="3:17" x14ac:dyDescent="0.3">
      <c r="C2469" s="126"/>
      <c r="F2469" s="137"/>
      <c r="G2469" s="138"/>
      <c r="H2469" s="138"/>
      <c r="I2469" s="139"/>
      <c r="J2469" s="137"/>
      <c r="K2469" s="137"/>
      <c r="M2469" s="126"/>
      <c r="O2469" s="137"/>
      <c r="P2469" s="137"/>
      <c r="Q2469" s="126"/>
    </row>
    <row r="2470" spans="3:17" x14ac:dyDescent="0.3">
      <c r="C2470" s="126"/>
      <c r="F2470" s="137"/>
      <c r="G2470" s="138"/>
      <c r="H2470" s="138"/>
      <c r="I2470" s="139"/>
      <c r="J2470" s="137"/>
      <c r="K2470" s="137"/>
      <c r="M2470" s="126"/>
      <c r="O2470" s="137"/>
      <c r="P2470" s="137"/>
      <c r="Q2470" s="126"/>
    </row>
    <row r="2471" spans="3:17" x14ac:dyDescent="0.3">
      <c r="C2471" s="126"/>
      <c r="F2471" s="137"/>
      <c r="G2471" s="138"/>
      <c r="H2471" s="138"/>
      <c r="I2471" s="139"/>
      <c r="J2471" s="137"/>
      <c r="K2471" s="137"/>
      <c r="M2471" s="126"/>
      <c r="O2471" s="137"/>
      <c r="P2471" s="137"/>
      <c r="Q2471" s="126"/>
    </row>
    <row r="2472" spans="3:17" x14ac:dyDescent="0.3">
      <c r="C2472" s="126"/>
      <c r="F2472" s="137"/>
      <c r="G2472" s="138"/>
      <c r="H2472" s="138"/>
      <c r="I2472" s="139"/>
      <c r="J2472" s="137"/>
      <c r="K2472" s="137"/>
      <c r="M2472" s="126"/>
      <c r="O2472" s="137"/>
      <c r="P2472" s="137"/>
      <c r="Q2472" s="126"/>
    </row>
    <row r="2473" spans="3:17" x14ac:dyDescent="0.3">
      <c r="C2473" s="126"/>
      <c r="F2473" s="137"/>
      <c r="G2473" s="138"/>
      <c r="H2473" s="138"/>
      <c r="I2473" s="139"/>
      <c r="J2473" s="137"/>
      <c r="K2473" s="137"/>
      <c r="M2473" s="126"/>
      <c r="O2473" s="137"/>
      <c r="P2473" s="137"/>
      <c r="Q2473" s="126"/>
    </row>
    <row r="2474" spans="3:17" x14ac:dyDescent="0.3">
      <c r="C2474" s="126"/>
      <c r="F2474" s="137"/>
      <c r="G2474" s="138"/>
      <c r="H2474" s="138"/>
      <c r="I2474" s="139"/>
      <c r="J2474" s="137"/>
      <c r="K2474" s="137"/>
      <c r="M2474" s="126"/>
      <c r="O2474" s="137"/>
      <c r="P2474" s="137"/>
      <c r="Q2474" s="126"/>
    </row>
    <row r="2475" spans="3:17" x14ac:dyDescent="0.3">
      <c r="C2475" s="126"/>
      <c r="F2475" s="137"/>
      <c r="G2475" s="138"/>
      <c r="H2475" s="138"/>
      <c r="I2475" s="139"/>
      <c r="J2475" s="137"/>
      <c r="K2475" s="137"/>
      <c r="M2475" s="126"/>
      <c r="O2475" s="137"/>
      <c r="P2475" s="137"/>
      <c r="Q2475" s="126"/>
    </row>
    <row r="2476" spans="3:17" x14ac:dyDescent="0.3">
      <c r="C2476" s="126"/>
      <c r="F2476" s="137"/>
      <c r="G2476" s="138"/>
      <c r="H2476" s="138"/>
      <c r="I2476" s="139"/>
      <c r="J2476" s="137"/>
      <c r="K2476" s="137"/>
      <c r="M2476" s="126"/>
      <c r="O2476" s="137"/>
      <c r="P2476" s="137"/>
      <c r="Q2476" s="126"/>
    </row>
    <row r="2477" spans="3:17" x14ac:dyDescent="0.3">
      <c r="C2477" s="126"/>
      <c r="F2477" s="137"/>
      <c r="G2477" s="138"/>
      <c r="H2477" s="138"/>
      <c r="I2477" s="139"/>
      <c r="J2477" s="137"/>
      <c r="K2477" s="137"/>
      <c r="M2477" s="126"/>
      <c r="O2477" s="137"/>
      <c r="P2477" s="137"/>
      <c r="Q2477" s="126"/>
    </row>
    <row r="2478" spans="3:17" x14ac:dyDescent="0.3">
      <c r="C2478" s="126"/>
      <c r="F2478" s="137"/>
      <c r="G2478" s="138"/>
      <c r="H2478" s="138"/>
      <c r="I2478" s="139"/>
      <c r="J2478" s="137"/>
      <c r="K2478" s="137"/>
      <c r="M2478" s="126"/>
      <c r="O2478" s="137"/>
      <c r="P2478" s="137"/>
      <c r="Q2478" s="126"/>
    </row>
    <row r="2479" spans="3:17" x14ac:dyDescent="0.3">
      <c r="C2479" s="126"/>
      <c r="F2479" s="137"/>
      <c r="G2479" s="138"/>
      <c r="H2479" s="138"/>
      <c r="I2479" s="139"/>
      <c r="J2479" s="137"/>
      <c r="K2479" s="137"/>
      <c r="M2479" s="126"/>
      <c r="O2479" s="137"/>
      <c r="P2479" s="137"/>
      <c r="Q2479" s="126"/>
    </row>
    <row r="2480" spans="3:17" x14ac:dyDescent="0.3">
      <c r="C2480" s="126"/>
      <c r="F2480" s="137"/>
      <c r="G2480" s="138"/>
      <c r="H2480" s="138"/>
      <c r="I2480" s="139"/>
      <c r="J2480" s="137"/>
      <c r="K2480" s="137"/>
      <c r="M2480" s="126"/>
      <c r="O2480" s="137"/>
      <c r="P2480" s="137"/>
      <c r="Q2480" s="126"/>
    </row>
    <row r="2481" spans="3:17" x14ac:dyDescent="0.3">
      <c r="C2481" s="126"/>
      <c r="F2481" s="137"/>
      <c r="G2481" s="138"/>
      <c r="H2481" s="138"/>
      <c r="I2481" s="139"/>
      <c r="J2481" s="137"/>
      <c r="K2481" s="137"/>
      <c r="M2481" s="126"/>
      <c r="O2481" s="137"/>
      <c r="P2481" s="137"/>
      <c r="Q2481" s="126"/>
    </row>
    <row r="2482" spans="3:17" x14ac:dyDescent="0.3">
      <c r="C2482" s="126"/>
      <c r="F2482" s="137"/>
      <c r="G2482" s="138"/>
      <c r="H2482" s="138"/>
      <c r="I2482" s="139"/>
      <c r="J2482" s="137"/>
      <c r="K2482" s="137"/>
      <c r="M2482" s="126"/>
      <c r="O2482" s="137"/>
      <c r="P2482" s="137"/>
      <c r="Q2482" s="126"/>
    </row>
    <row r="2483" spans="3:17" x14ac:dyDescent="0.3">
      <c r="C2483" s="126"/>
      <c r="F2483" s="137"/>
      <c r="G2483" s="138"/>
      <c r="H2483" s="138"/>
      <c r="I2483" s="139"/>
      <c r="J2483" s="137"/>
      <c r="K2483" s="137"/>
      <c r="M2483" s="126"/>
      <c r="O2483" s="137"/>
      <c r="P2483" s="137"/>
      <c r="Q2483" s="126"/>
    </row>
    <row r="2484" spans="3:17" x14ac:dyDescent="0.3">
      <c r="C2484" s="126"/>
      <c r="F2484" s="137"/>
      <c r="G2484" s="138"/>
      <c r="H2484" s="138"/>
      <c r="I2484" s="139"/>
      <c r="J2484" s="137"/>
      <c r="K2484" s="137"/>
      <c r="M2484" s="126"/>
      <c r="O2484" s="137"/>
      <c r="P2484" s="137"/>
      <c r="Q2484" s="126"/>
    </row>
    <row r="2485" spans="3:17" x14ac:dyDescent="0.3">
      <c r="C2485" s="126"/>
      <c r="F2485" s="137"/>
      <c r="G2485" s="138"/>
      <c r="H2485" s="138"/>
      <c r="I2485" s="139"/>
      <c r="J2485" s="137"/>
      <c r="K2485" s="137"/>
      <c r="M2485" s="126"/>
      <c r="O2485" s="137"/>
      <c r="P2485" s="137"/>
      <c r="Q2485" s="126"/>
    </row>
    <row r="2486" spans="3:17" x14ac:dyDescent="0.3">
      <c r="C2486" s="126"/>
      <c r="F2486" s="137"/>
      <c r="G2486" s="138"/>
      <c r="H2486" s="138"/>
      <c r="I2486" s="139"/>
      <c r="J2486" s="137"/>
      <c r="K2486" s="137"/>
      <c r="M2486" s="126"/>
      <c r="O2486" s="137"/>
      <c r="P2486" s="137"/>
      <c r="Q2486" s="126"/>
    </row>
    <row r="2487" spans="3:17" x14ac:dyDescent="0.3">
      <c r="C2487" s="126"/>
      <c r="F2487" s="137"/>
      <c r="G2487" s="138"/>
      <c r="H2487" s="138"/>
      <c r="I2487" s="139"/>
      <c r="J2487" s="137"/>
      <c r="K2487" s="137"/>
      <c r="M2487" s="126"/>
      <c r="O2487" s="137"/>
      <c r="P2487" s="137"/>
      <c r="Q2487" s="126"/>
    </row>
    <row r="2488" spans="3:17" x14ac:dyDescent="0.3">
      <c r="C2488" s="126"/>
      <c r="F2488" s="137"/>
      <c r="G2488" s="138"/>
      <c r="H2488" s="138"/>
      <c r="I2488" s="139"/>
      <c r="J2488" s="137"/>
      <c r="K2488" s="137"/>
      <c r="M2488" s="126"/>
      <c r="O2488" s="137"/>
      <c r="P2488" s="137"/>
      <c r="Q2488" s="126"/>
    </row>
    <row r="2489" spans="3:17" x14ac:dyDescent="0.3">
      <c r="C2489" s="126"/>
      <c r="F2489" s="137"/>
      <c r="G2489" s="138"/>
      <c r="H2489" s="138"/>
      <c r="I2489" s="139"/>
      <c r="J2489" s="137"/>
      <c r="K2489" s="137"/>
      <c r="M2489" s="126"/>
      <c r="O2489" s="137"/>
      <c r="P2489" s="137"/>
      <c r="Q2489" s="126"/>
    </row>
    <row r="2490" spans="3:17" x14ac:dyDescent="0.3">
      <c r="C2490" s="126"/>
      <c r="F2490" s="137"/>
      <c r="G2490" s="138"/>
      <c r="H2490" s="138"/>
      <c r="I2490" s="139"/>
      <c r="J2490" s="137"/>
      <c r="K2490" s="137"/>
      <c r="M2490" s="126"/>
      <c r="O2490" s="137"/>
      <c r="P2490" s="137"/>
      <c r="Q2490" s="126"/>
    </row>
    <row r="2491" spans="3:17" x14ac:dyDescent="0.3">
      <c r="C2491" s="126"/>
      <c r="F2491" s="137"/>
      <c r="G2491" s="138"/>
      <c r="H2491" s="138"/>
      <c r="I2491" s="139"/>
      <c r="J2491" s="137"/>
      <c r="K2491" s="137"/>
      <c r="M2491" s="126"/>
      <c r="O2491" s="137"/>
      <c r="P2491" s="137"/>
      <c r="Q2491" s="126"/>
    </row>
    <row r="2492" spans="3:17" x14ac:dyDescent="0.3">
      <c r="C2492" s="126"/>
      <c r="F2492" s="137"/>
      <c r="G2492" s="138"/>
      <c r="H2492" s="138"/>
      <c r="I2492" s="139"/>
      <c r="J2492" s="137"/>
      <c r="K2492" s="137"/>
      <c r="M2492" s="126"/>
      <c r="O2492" s="137"/>
      <c r="P2492" s="137"/>
      <c r="Q2492" s="126"/>
    </row>
    <row r="2493" spans="3:17" x14ac:dyDescent="0.3">
      <c r="C2493" s="126"/>
      <c r="F2493" s="137"/>
      <c r="G2493" s="138"/>
      <c r="H2493" s="138"/>
      <c r="I2493" s="139"/>
      <c r="J2493" s="137"/>
      <c r="K2493" s="137"/>
      <c r="M2493" s="126"/>
      <c r="O2493" s="137"/>
      <c r="P2493" s="137"/>
      <c r="Q2493" s="126"/>
    </row>
    <row r="2494" spans="3:17" x14ac:dyDescent="0.3">
      <c r="C2494" s="126"/>
      <c r="F2494" s="137"/>
      <c r="G2494" s="138"/>
      <c r="H2494" s="138"/>
      <c r="I2494" s="139"/>
      <c r="J2494" s="137"/>
      <c r="K2494" s="137"/>
      <c r="M2494" s="126"/>
      <c r="O2494" s="137"/>
      <c r="P2494" s="137"/>
      <c r="Q2494" s="126"/>
    </row>
    <row r="2495" spans="3:17" x14ac:dyDescent="0.3">
      <c r="C2495" s="126"/>
      <c r="F2495" s="137"/>
      <c r="G2495" s="138"/>
      <c r="H2495" s="138"/>
      <c r="I2495" s="139"/>
      <c r="J2495" s="137"/>
      <c r="K2495" s="137"/>
      <c r="M2495" s="126"/>
      <c r="O2495" s="137"/>
      <c r="P2495" s="137"/>
      <c r="Q2495" s="126"/>
    </row>
    <row r="2496" spans="3:17" x14ac:dyDescent="0.3">
      <c r="C2496" s="126"/>
      <c r="F2496" s="137"/>
      <c r="G2496" s="138"/>
      <c r="H2496" s="138"/>
      <c r="I2496" s="139"/>
      <c r="J2496" s="137"/>
      <c r="K2496" s="137"/>
      <c r="M2496" s="126"/>
      <c r="O2496" s="137"/>
      <c r="P2496" s="137"/>
      <c r="Q2496" s="126"/>
    </row>
    <row r="2497" spans="3:17" x14ac:dyDescent="0.3">
      <c r="C2497" s="126"/>
      <c r="F2497" s="137"/>
      <c r="G2497" s="138"/>
      <c r="H2497" s="138"/>
      <c r="I2497" s="139"/>
      <c r="J2497" s="137"/>
      <c r="K2497" s="137"/>
      <c r="M2497" s="126"/>
      <c r="O2497" s="137"/>
      <c r="P2497" s="137"/>
      <c r="Q2497" s="126"/>
    </row>
    <row r="2498" spans="3:17" x14ac:dyDescent="0.3">
      <c r="C2498" s="126"/>
      <c r="F2498" s="137"/>
      <c r="G2498" s="138"/>
      <c r="H2498" s="138"/>
      <c r="I2498" s="139"/>
      <c r="J2498" s="137"/>
      <c r="K2498" s="137"/>
      <c r="M2498" s="126"/>
      <c r="O2498" s="137"/>
      <c r="P2498" s="137"/>
      <c r="Q2498" s="126"/>
    </row>
    <row r="2499" spans="3:17" x14ac:dyDescent="0.3">
      <c r="C2499" s="126"/>
      <c r="F2499" s="137"/>
      <c r="G2499" s="138"/>
      <c r="H2499" s="138"/>
      <c r="I2499" s="139"/>
      <c r="J2499" s="137"/>
      <c r="K2499" s="137"/>
      <c r="M2499" s="126"/>
      <c r="O2499" s="137"/>
      <c r="P2499" s="137"/>
      <c r="Q2499" s="126"/>
    </row>
    <row r="2500" spans="3:17" x14ac:dyDescent="0.3">
      <c r="C2500" s="126"/>
      <c r="F2500" s="137"/>
      <c r="G2500" s="138"/>
      <c r="H2500" s="138"/>
      <c r="I2500" s="139"/>
      <c r="J2500" s="137"/>
      <c r="K2500" s="137"/>
      <c r="M2500" s="126"/>
      <c r="O2500" s="137"/>
      <c r="P2500" s="137"/>
      <c r="Q2500" s="126"/>
    </row>
    <row r="2501" spans="3:17" x14ac:dyDescent="0.3">
      <c r="C2501" s="126"/>
      <c r="F2501" s="137"/>
      <c r="G2501" s="138"/>
      <c r="H2501" s="138"/>
      <c r="I2501" s="139"/>
      <c r="J2501" s="137"/>
      <c r="K2501" s="137"/>
      <c r="M2501" s="126"/>
      <c r="O2501" s="137"/>
      <c r="P2501" s="137"/>
      <c r="Q2501" s="126"/>
    </row>
    <row r="2502" spans="3:17" x14ac:dyDescent="0.3">
      <c r="C2502" s="126"/>
      <c r="F2502" s="137"/>
      <c r="G2502" s="138"/>
      <c r="H2502" s="138"/>
      <c r="I2502" s="139"/>
      <c r="J2502" s="137"/>
      <c r="K2502" s="137"/>
      <c r="M2502" s="126"/>
      <c r="O2502" s="137"/>
      <c r="P2502" s="137"/>
      <c r="Q2502" s="126"/>
    </row>
    <row r="2503" spans="3:17" x14ac:dyDescent="0.3">
      <c r="C2503" s="126"/>
      <c r="F2503" s="137"/>
      <c r="G2503" s="138"/>
      <c r="H2503" s="138"/>
      <c r="I2503" s="139"/>
      <c r="J2503" s="137"/>
      <c r="K2503" s="137"/>
      <c r="M2503" s="126"/>
      <c r="O2503" s="137"/>
      <c r="P2503" s="137"/>
      <c r="Q2503" s="126"/>
    </row>
    <row r="2504" spans="3:17" x14ac:dyDescent="0.3">
      <c r="C2504" s="126"/>
      <c r="F2504" s="137"/>
      <c r="G2504" s="138"/>
      <c r="H2504" s="138"/>
      <c r="I2504" s="139"/>
      <c r="J2504" s="137"/>
      <c r="K2504" s="137"/>
      <c r="M2504" s="126"/>
      <c r="O2504" s="137"/>
      <c r="P2504" s="137"/>
      <c r="Q2504" s="126"/>
    </row>
    <row r="2505" spans="3:17" x14ac:dyDescent="0.3">
      <c r="C2505" s="126"/>
      <c r="F2505" s="137"/>
      <c r="G2505" s="138"/>
      <c r="H2505" s="138"/>
      <c r="I2505" s="139"/>
      <c r="J2505" s="137"/>
      <c r="K2505" s="137"/>
      <c r="M2505" s="126"/>
      <c r="O2505" s="137"/>
      <c r="P2505" s="137"/>
      <c r="Q2505" s="126"/>
    </row>
    <row r="2506" spans="3:17" x14ac:dyDescent="0.3">
      <c r="C2506" s="126"/>
      <c r="F2506" s="137"/>
      <c r="G2506" s="138"/>
      <c r="H2506" s="138"/>
      <c r="I2506" s="139"/>
      <c r="J2506" s="137"/>
      <c r="K2506" s="137"/>
      <c r="M2506" s="126"/>
      <c r="O2506" s="137"/>
      <c r="P2506" s="137"/>
      <c r="Q2506" s="126"/>
    </row>
    <row r="2507" spans="3:17" x14ac:dyDescent="0.3">
      <c r="C2507" s="126"/>
      <c r="F2507" s="137"/>
      <c r="G2507" s="138"/>
      <c r="H2507" s="138"/>
      <c r="I2507" s="139"/>
      <c r="J2507" s="137"/>
      <c r="K2507" s="137"/>
      <c r="M2507" s="126"/>
      <c r="O2507" s="137"/>
      <c r="P2507" s="137"/>
      <c r="Q2507" s="126"/>
    </row>
    <row r="2508" spans="3:17" x14ac:dyDescent="0.3">
      <c r="C2508" s="126"/>
      <c r="F2508" s="137"/>
      <c r="G2508" s="138"/>
      <c r="H2508" s="138"/>
      <c r="I2508" s="139"/>
      <c r="J2508" s="137"/>
      <c r="K2508" s="137"/>
      <c r="M2508" s="126"/>
      <c r="O2508" s="137"/>
      <c r="P2508" s="137"/>
      <c r="Q2508" s="126"/>
    </row>
    <row r="2509" spans="3:17" x14ac:dyDescent="0.3">
      <c r="C2509" s="126"/>
      <c r="F2509" s="137"/>
      <c r="G2509" s="138"/>
      <c r="H2509" s="138"/>
      <c r="I2509" s="139"/>
      <c r="J2509" s="137"/>
      <c r="K2509" s="137"/>
      <c r="M2509" s="126"/>
      <c r="O2509" s="137"/>
      <c r="P2509" s="137"/>
      <c r="Q2509" s="126"/>
    </row>
    <row r="2510" spans="3:17" x14ac:dyDescent="0.3">
      <c r="C2510" s="126"/>
      <c r="F2510" s="137"/>
      <c r="G2510" s="138"/>
      <c r="H2510" s="138"/>
      <c r="I2510" s="139"/>
      <c r="J2510" s="137"/>
      <c r="K2510" s="137"/>
      <c r="M2510" s="126"/>
      <c r="O2510" s="137"/>
      <c r="P2510" s="137"/>
      <c r="Q2510" s="126"/>
    </row>
    <row r="2511" spans="3:17" x14ac:dyDescent="0.3">
      <c r="C2511" s="126"/>
      <c r="F2511" s="137"/>
      <c r="G2511" s="138"/>
      <c r="H2511" s="138"/>
      <c r="I2511" s="139"/>
      <c r="J2511" s="137"/>
      <c r="K2511" s="137"/>
      <c r="M2511" s="126"/>
      <c r="O2511" s="137"/>
      <c r="P2511" s="137"/>
      <c r="Q2511" s="126"/>
    </row>
    <row r="2512" spans="3:17" x14ac:dyDescent="0.3">
      <c r="C2512" s="126"/>
      <c r="F2512" s="137"/>
      <c r="G2512" s="138"/>
      <c r="H2512" s="138"/>
      <c r="I2512" s="139"/>
      <c r="J2512" s="137"/>
      <c r="K2512" s="137"/>
      <c r="M2512" s="126"/>
      <c r="O2512" s="137"/>
      <c r="P2512" s="137"/>
      <c r="Q2512" s="126"/>
    </row>
    <row r="2513" spans="3:17" x14ac:dyDescent="0.3">
      <c r="C2513" s="126"/>
      <c r="F2513" s="137"/>
      <c r="G2513" s="138"/>
      <c r="H2513" s="138"/>
      <c r="I2513" s="139"/>
      <c r="J2513" s="137"/>
      <c r="K2513" s="137"/>
      <c r="M2513" s="126"/>
      <c r="O2513" s="137"/>
      <c r="P2513" s="137"/>
      <c r="Q2513" s="126"/>
    </row>
    <row r="2514" spans="3:17" x14ac:dyDescent="0.3">
      <c r="C2514" s="126"/>
      <c r="F2514" s="137"/>
      <c r="G2514" s="138"/>
      <c r="H2514" s="138"/>
      <c r="I2514" s="139"/>
      <c r="J2514" s="137"/>
      <c r="K2514" s="137"/>
      <c r="M2514" s="126"/>
      <c r="O2514" s="137"/>
      <c r="P2514" s="137"/>
      <c r="Q2514" s="126"/>
    </row>
    <row r="2515" spans="3:17" x14ac:dyDescent="0.3">
      <c r="C2515" s="126"/>
      <c r="F2515" s="137"/>
      <c r="G2515" s="138"/>
      <c r="H2515" s="138"/>
      <c r="I2515" s="139"/>
      <c r="J2515" s="137"/>
      <c r="K2515" s="137"/>
      <c r="M2515" s="126"/>
      <c r="O2515" s="137"/>
      <c r="P2515" s="137"/>
      <c r="Q2515" s="126"/>
    </row>
    <row r="2516" spans="3:17" x14ac:dyDescent="0.3">
      <c r="C2516" s="126"/>
      <c r="F2516" s="137"/>
      <c r="G2516" s="138"/>
      <c r="H2516" s="138"/>
      <c r="I2516" s="139"/>
      <c r="J2516" s="137"/>
      <c r="K2516" s="137"/>
      <c r="M2516" s="126"/>
      <c r="O2516" s="137"/>
      <c r="P2516" s="137"/>
      <c r="Q2516" s="126"/>
    </row>
    <row r="2517" spans="3:17" x14ac:dyDescent="0.3">
      <c r="C2517" s="126"/>
      <c r="F2517" s="137"/>
      <c r="G2517" s="138"/>
      <c r="H2517" s="138"/>
      <c r="I2517" s="139"/>
      <c r="J2517" s="137"/>
      <c r="K2517" s="137"/>
      <c r="M2517" s="126"/>
      <c r="O2517" s="137"/>
      <c r="P2517" s="137"/>
      <c r="Q2517" s="126"/>
    </row>
    <row r="2518" spans="3:17" x14ac:dyDescent="0.3">
      <c r="C2518" s="126"/>
      <c r="F2518" s="137"/>
      <c r="G2518" s="138"/>
      <c r="H2518" s="138"/>
      <c r="I2518" s="139"/>
      <c r="J2518" s="137"/>
      <c r="K2518" s="137"/>
      <c r="M2518" s="126"/>
      <c r="O2518" s="137"/>
      <c r="P2518" s="137"/>
      <c r="Q2518" s="126"/>
    </row>
    <row r="2519" spans="3:17" x14ac:dyDescent="0.3">
      <c r="C2519" s="126"/>
      <c r="F2519" s="137"/>
      <c r="G2519" s="138"/>
      <c r="H2519" s="138"/>
      <c r="I2519" s="139"/>
      <c r="J2519" s="137"/>
      <c r="K2519" s="137"/>
      <c r="M2519" s="126"/>
      <c r="O2519" s="137"/>
      <c r="P2519" s="137"/>
      <c r="Q2519" s="126"/>
    </row>
    <row r="2520" spans="3:17" x14ac:dyDescent="0.3">
      <c r="C2520" s="126"/>
      <c r="F2520" s="137"/>
      <c r="G2520" s="138"/>
      <c r="H2520" s="138"/>
      <c r="I2520" s="139"/>
      <c r="J2520" s="137"/>
      <c r="K2520" s="137"/>
      <c r="M2520" s="126"/>
      <c r="O2520" s="137"/>
      <c r="P2520" s="137"/>
      <c r="Q2520" s="126"/>
    </row>
    <row r="2521" spans="3:17" x14ac:dyDescent="0.3">
      <c r="C2521" s="126"/>
      <c r="F2521" s="137"/>
      <c r="G2521" s="138"/>
      <c r="H2521" s="138"/>
      <c r="I2521" s="139"/>
      <c r="J2521" s="137"/>
      <c r="K2521" s="137"/>
      <c r="M2521" s="126"/>
      <c r="O2521" s="137"/>
      <c r="P2521" s="137"/>
      <c r="Q2521" s="126"/>
    </row>
    <row r="2522" spans="3:17" x14ac:dyDescent="0.3">
      <c r="C2522" s="126"/>
      <c r="F2522" s="137"/>
      <c r="G2522" s="138"/>
      <c r="H2522" s="138"/>
      <c r="I2522" s="139"/>
      <c r="J2522" s="137"/>
      <c r="K2522" s="137"/>
      <c r="M2522" s="126"/>
      <c r="O2522" s="137"/>
      <c r="P2522" s="137"/>
      <c r="Q2522" s="126"/>
    </row>
    <row r="2523" spans="3:17" x14ac:dyDescent="0.3">
      <c r="C2523" s="126"/>
      <c r="F2523" s="137"/>
      <c r="G2523" s="138"/>
      <c r="H2523" s="138"/>
      <c r="I2523" s="139"/>
      <c r="J2523" s="137"/>
      <c r="K2523" s="137"/>
      <c r="M2523" s="126"/>
      <c r="O2523" s="137"/>
      <c r="P2523" s="137"/>
      <c r="Q2523" s="126"/>
    </row>
    <row r="2524" spans="3:17" x14ac:dyDescent="0.3">
      <c r="C2524" s="126"/>
      <c r="F2524" s="137"/>
      <c r="G2524" s="138"/>
      <c r="H2524" s="138"/>
      <c r="I2524" s="139"/>
      <c r="J2524" s="137"/>
      <c r="K2524" s="137"/>
      <c r="M2524" s="126"/>
      <c r="O2524" s="137"/>
      <c r="P2524" s="137"/>
      <c r="Q2524" s="126"/>
    </row>
    <row r="2525" spans="3:17" x14ac:dyDescent="0.3">
      <c r="C2525" s="126"/>
      <c r="F2525" s="137"/>
      <c r="G2525" s="138"/>
      <c r="H2525" s="138"/>
      <c r="I2525" s="139"/>
      <c r="J2525" s="137"/>
      <c r="K2525" s="137"/>
      <c r="M2525" s="126"/>
      <c r="O2525" s="137"/>
      <c r="P2525" s="137"/>
      <c r="Q2525" s="126"/>
    </row>
    <row r="2526" spans="3:17" x14ac:dyDescent="0.3">
      <c r="C2526" s="126"/>
      <c r="F2526" s="137"/>
      <c r="G2526" s="138"/>
      <c r="H2526" s="138"/>
      <c r="I2526" s="139"/>
      <c r="J2526" s="137"/>
      <c r="K2526" s="137"/>
      <c r="M2526" s="126"/>
      <c r="O2526" s="137"/>
      <c r="P2526" s="137"/>
      <c r="Q2526" s="126"/>
    </row>
    <row r="2527" spans="3:17" x14ac:dyDescent="0.3">
      <c r="C2527" s="126"/>
      <c r="F2527" s="137"/>
      <c r="G2527" s="138"/>
      <c r="H2527" s="138"/>
      <c r="I2527" s="139"/>
      <c r="J2527" s="137"/>
      <c r="K2527" s="137"/>
      <c r="M2527" s="126"/>
      <c r="O2527" s="137"/>
      <c r="P2527" s="137"/>
      <c r="Q2527" s="126"/>
    </row>
    <row r="2528" spans="3:17" x14ac:dyDescent="0.3">
      <c r="C2528" s="126"/>
      <c r="F2528" s="137"/>
      <c r="G2528" s="138"/>
      <c r="H2528" s="138"/>
      <c r="I2528" s="139"/>
      <c r="J2528" s="137"/>
      <c r="K2528" s="137"/>
      <c r="M2528" s="126"/>
      <c r="O2528" s="137"/>
      <c r="P2528" s="137"/>
      <c r="Q2528" s="126"/>
    </row>
    <row r="2529" spans="3:17" x14ac:dyDescent="0.3">
      <c r="C2529" s="126"/>
      <c r="F2529" s="137"/>
      <c r="G2529" s="138"/>
      <c r="H2529" s="138"/>
      <c r="I2529" s="139"/>
      <c r="J2529" s="137"/>
      <c r="K2529" s="137"/>
      <c r="M2529" s="126"/>
      <c r="O2529" s="137"/>
      <c r="P2529" s="137"/>
      <c r="Q2529" s="126"/>
    </row>
    <row r="2530" spans="3:17" x14ac:dyDescent="0.3">
      <c r="C2530" s="126"/>
      <c r="F2530" s="137"/>
      <c r="G2530" s="138"/>
      <c r="H2530" s="138"/>
      <c r="I2530" s="139"/>
      <c r="J2530" s="137"/>
      <c r="K2530" s="137"/>
      <c r="M2530" s="126"/>
      <c r="O2530" s="137"/>
      <c r="P2530" s="137"/>
      <c r="Q2530" s="126"/>
    </row>
    <row r="2531" spans="3:17" x14ac:dyDescent="0.3">
      <c r="C2531" s="126"/>
      <c r="F2531" s="137"/>
      <c r="G2531" s="138"/>
      <c r="H2531" s="138"/>
      <c r="I2531" s="139"/>
      <c r="J2531" s="137"/>
      <c r="K2531" s="137"/>
      <c r="M2531" s="126"/>
      <c r="O2531" s="137"/>
      <c r="P2531" s="137"/>
      <c r="Q2531" s="126"/>
    </row>
    <row r="2532" spans="3:17" x14ac:dyDescent="0.3">
      <c r="C2532" s="126"/>
      <c r="F2532" s="137"/>
      <c r="G2532" s="138"/>
      <c r="H2532" s="138"/>
      <c r="I2532" s="139"/>
      <c r="J2532" s="137"/>
      <c r="K2532" s="137"/>
      <c r="M2532" s="126"/>
      <c r="O2532" s="137"/>
      <c r="P2532" s="137"/>
      <c r="Q2532" s="126"/>
    </row>
    <row r="2533" spans="3:17" x14ac:dyDescent="0.3">
      <c r="C2533" s="126"/>
      <c r="F2533" s="137"/>
      <c r="G2533" s="138"/>
      <c r="H2533" s="138"/>
      <c r="I2533" s="139"/>
      <c r="J2533" s="137"/>
      <c r="K2533" s="137"/>
      <c r="M2533" s="126"/>
      <c r="O2533" s="137"/>
      <c r="P2533" s="137"/>
      <c r="Q2533" s="126"/>
    </row>
    <row r="2534" spans="3:17" x14ac:dyDescent="0.3">
      <c r="C2534" s="126"/>
      <c r="F2534" s="137"/>
      <c r="G2534" s="138"/>
      <c r="H2534" s="138"/>
      <c r="I2534" s="139"/>
      <c r="J2534" s="137"/>
      <c r="K2534" s="137"/>
      <c r="M2534" s="126"/>
      <c r="O2534" s="137"/>
      <c r="P2534" s="137"/>
      <c r="Q2534" s="126"/>
    </row>
    <row r="2535" spans="3:17" x14ac:dyDescent="0.3">
      <c r="C2535" s="126"/>
      <c r="F2535" s="137"/>
      <c r="G2535" s="138"/>
      <c r="H2535" s="138"/>
      <c r="I2535" s="139"/>
      <c r="J2535" s="137"/>
      <c r="K2535" s="137"/>
      <c r="M2535" s="126"/>
      <c r="O2535" s="137"/>
      <c r="P2535" s="137"/>
      <c r="Q2535" s="126"/>
    </row>
    <row r="2536" spans="3:17" x14ac:dyDescent="0.3">
      <c r="C2536" s="126"/>
      <c r="F2536" s="137"/>
      <c r="G2536" s="138"/>
      <c r="H2536" s="138"/>
      <c r="I2536" s="139"/>
      <c r="J2536" s="137"/>
      <c r="K2536" s="137"/>
      <c r="M2536" s="126"/>
      <c r="O2536" s="137"/>
      <c r="P2536" s="137"/>
      <c r="Q2536" s="126"/>
    </row>
    <row r="2537" spans="3:17" x14ac:dyDescent="0.3">
      <c r="C2537" s="126"/>
      <c r="F2537" s="137"/>
      <c r="G2537" s="138"/>
      <c r="H2537" s="138"/>
      <c r="I2537" s="139"/>
      <c r="J2537" s="137"/>
      <c r="K2537" s="137"/>
      <c r="M2537" s="126"/>
      <c r="O2537" s="137"/>
      <c r="P2537" s="137"/>
      <c r="Q2537" s="126"/>
    </row>
    <row r="2538" spans="3:17" x14ac:dyDescent="0.3">
      <c r="C2538" s="126"/>
      <c r="F2538" s="137"/>
      <c r="G2538" s="138"/>
      <c r="H2538" s="138"/>
      <c r="I2538" s="139"/>
      <c r="J2538" s="137"/>
      <c r="K2538" s="137"/>
      <c r="M2538" s="126"/>
      <c r="O2538" s="137"/>
      <c r="P2538" s="137"/>
      <c r="Q2538" s="126"/>
    </row>
    <row r="2539" spans="3:17" x14ac:dyDescent="0.3">
      <c r="C2539" s="126"/>
      <c r="F2539" s="137"/>
      <c r="G2539" s="138"/>
      <c r="H2539" s="138"/>
      <c r="I2539" s="139"/>
      <c r="J2539" s="137"/>
      <c r="K2539" s="137"/>
      <c r="M2539" s="126"/>
      <c r="O2539" s="137"/>
      <c r="P2539" s="137"/>
      <c r="Q2539" s="126"/>
    </row>
    <row r="2540" spans="3:17" x14ac:dyDescent="0.3">
      <c r="C2540" s="126"/>
      <c r="F2540" s="137"/>
      <c r="G2540" s="138"/>
      <c r="H2540" s="138"/>
      <c r="I2540" s="139"/>
      <c r="J2540" s="137"/>
      <c r="K2540" s="137"/>
      <c r="M2540" s="126"/>
      <c r="O2540" s="137"/>
      <c r="P2540" s="137"/>
      <c r="Q2540" s="126"/>
    </row>
    <row r="2541" spans="3:17" x14ac:dyDescent="0.3">
      <c r="C2541" s="126"/>
      <c r="F2541" s="137"/>
      <c r="G2541" s="138"/>
      <c r="H2541" s="138"/>
      <c r="I2541" s="139"/>
      <c r="J2541" s="137"/>
      <c r="K2541" s="137"/>
      <c r="M2541" s="126"/>
      <c r="O2541" s="137"/>
      <c r="P2541" s="137"/>
      <c r="Q2541" s="126"/>
    </row>
    <row r="2542" spans="3:17" x14ac:dyDescent="0.3">
      <c r="C2542" s="126"/>
      <c r="F2542" s="137"/>
      <c r="G2542" s="138"/>
      <c r="H2542" s="138"/>
      <c r="I2542" s="139"/>
      <c r="J2542" s="137"/>
      <c r="K2542" s="137"/>
      <c r="M2542" s="126"/>
      <c r="O2542" s="137"/>
      <c r="P2542" s="137"/>
      <c r="Q2542" s="126"/>
    </row>
    <row r="2543" spans="3:17" x14ac:dyDescent="0.3">
      <c r="C2543" s="126"/>
      <c r="F2543" s="137"/>
      <c r="G2543" s="138"/>
      <c r="H2543" s="138"/>
      <c r="I2543" s="139"/>
      <c r="J2543" s="137"/>
      <c r="K2543" s="137"/>
      <c r="M2543" s="126"/>
      <c r="O2543" s="137"/>
      <c r="P2543" s="137"/>
      <c r="Q2543" s="126"/>
    </row>
    <row r="2544" spans="3:17" x14ac:dyDescent="0.3">
      <c r="C2544" s="126"/>
      <c r="F2544" s="137"/>
      <c r="G2544" s="138"/>
      <c r="H2544" s="138"/>
      <c r="I2544" s="139"/>
      <c r="J2544" s="137"/>
      <c r="K2544" s="137"/>
      <c r="M2544" s="126"/>
      <c r="O2544" s="137"/>
      <c r="P2544" s="137"/>
      <c r="Q2544" s="126"/>
    </row>
    <row r="2545" spans="3:17" x14ac:dyDescent="0.3">
      <c r="C2545" s="126"/>
      <c r="F2545" s="137"/>
      <c r="G2545" s="138"/>
      <c r="H2545" s="138"/>
      <c r="I2545" s="139"/>
      <c r="J2545" s="137"/>
      <c r="K2545" s="137"/>
      <c r="M2545" s="126"/>
      <c r="O2545" s="137"/>
      <c r="P2545" s="137"/>
      <c r="Q2545" s="126"/>
    </row>
    <row r="2546" spans="3:17" x14ac:dyDescent="0.3">
      <c r="C2546" s="126"/>
      <c r="F2546" s="137"/>
      <c r="G2546" s="138"/>
      <c r="H2546" s="138"/>
      <c r="I2546" s="139"/>
      <c r="J2546" s="137"/>
      <c r="K2546" s="137"/>
      <c r="M2546" s="126"/>
      <c r="O2546" s="137"/>
      <c r="P2546" s="137"/>
      <c r="Q2546" s="126"/>
    </row>
    <row r="2547" spans="3:17" x14ac:dyDescent="0.3">
      <c r="C2547" s="126"/>
      <c r="F2547" s="137"/>
      <c r="G2547" s="138"/>
      <c r="H2547" s="138"/>
      <c r="I2547" s="139"/>
      <c r="J2547" s="137"/>
      <c r="K2547" s="137"/>
      <c r="M2547" s="126"/>
      <c r="O2547" s="137"/>
      <c r="P2547" s="137"/>
      <c r="Q2547" s="126"/>
    </row>
    <row r="2548" spans="3:17" x14ac:dyDescent="0.3">
      <c r="C2548" s="126"/>
      <c r="F2548" s="137"/>
      <c r="G2548" s="138"/>
      <c r="H2548" s="138"/>
      <c r="I2548" s="139"/>
      <c r="J2548" s="137"/>
      <c r="K2548" s="137"/>
      <c r="M2548" s="126"/>
      <c r="O2548" s="137"/>
      <c r="P2548" s="137"/>
      <c r="Q2548" s="126"/>
    </row>
    <row r="2549" spans="3:17" x14ac:dyDescent="0.3">
      <c r="C2549" s="126"/>
      <c r="F2549" s="137"/>
      <c r="G2549" s="138"/>
      <c r="H2549" s="138"/>
      <c r="I2549" s="139"/>
      <c r="J2549" s="137"/>
      <c r="K2549" s="137"/>
      <c r="M2549" s="126"/>
      <c r="O2549" s="137"/>
      <c r="P2549" s="137"/>
      <c r="Q2549" s="126"/>
    </row>
    <row r="2550" spans="3:17" x14ac:dyDescent="0.3">
      <c r="C2550" s="126"/>
      <c r="F2550" s="137"/>
      <c r="G2550" s="138"/>
      <c r="H2550" s="138"/>
      <c r="I2550" s="139"/>
      <c r="J2550" s="137"/>
      <c r="K2550" s="137"/>
      <c r="M2550" s="126"/>
      <c r="O2550" s="137"/>
      <c r="P2550" s="137"/>
      <c r="Q2550" s="126"/>
    </row>
    <row r="2551" spans="3:17" x14ac:dyDescent="0.3">
      <c r="C2551" s="126"/>
      <c r="F2551" s="137"/>
      <c r="G2551" s="138"/>
      <c r="H2551" s="138"/>
      <c r="I2551" s="139"/>
      <c r="J2551" s="137"/>
      <c r="K2551" s="137"/>
      <c r="M2551" s="126"/>
      <c r="O2551" s="137"/>
      <c r="P2551" s="137"/>
      <c r="Q2551" s="126"/>
    </row>
    <row r="2552" spans="3:17" x14ac:dyDescent="0.3">
      <c r="C2552" s="126"/>
      <c r="F2552" s="137"/>
      <c r="G2552" s="138"/>
      <c r="H2552" s="138"/>
      <c r="I2552" s="139"/>
      <c r="J2552" s="137"/>
      <c r="K2552" s="137"/>
      <c r="M2552" s="126"/>
      <c r="O2552" s="137"/>
      <c r="P2552" s="137"/>
      <c r="Q2552" s="126"/>
    </row>
    <row r="2553" spans="3:17" x14ac:dyDescent="0.3">
      <c r="C2553" s="126"/>
      <c r="F2553" s="137"/>
      <c r="G2553" s="138"/>
      <c r="H2553" s="138"/>
      <c r="I2553" s="139"/>
      <c r="J2553" s="137"/>
      <c r="K2553" s="137"/>
      <c r="M2553" s="126"/>
      <c r="O2553" s="137"/>
      <c r="P2553" s="137"/>
      <c r="Q2553" s="126"/>
    </row>
    <row r="2554" spans="3:17" x14ac:dyDescent="0.3">
      <c r="C2554" s="126"/>
      <c r="F2554" s="137"/>
      <c r="G2554" s="138"/>
      <c r="H2554" s="138"/>
      <c r="I2554" s="139"/>
      <c r="J2554" s="137"/>
      <c r="K2554" s="137"/>
      <c r="M2554" s="126"/>
      <c r="O2554" s="137"/>
      <c r="P2554" s="137"/>
      <c r="Q2554" s="126"/>
    </row>
    <row r="2555" spans="3:17" x14ac:dyDescent="0.3">
      <c r="C2555" s="126"/>
      <c r="F2555" s="137"/>
      <c r="G2555" s="138"/>
      <c r="H2555" s="138"/>
      <c r="I2555" s="139"/>
      <c r="J2555" s="137"/>
      <c r="K2555" s="137"/>
      <c r="M2555" s="126"/>
      <c r="O2555" s="137"/>
      <c r="P2555" s="137"/>
      <c r="Q2555" s="126"/>
    </row>
    <row r="2556" spans="3:17" x14ac:dyDescent="0.3">
      <c r="C2556" s="126"/>
      <c r="F2556" s="137"/>
      <c r="G2556" s="138"/>
      <c r="H2556" s="138"/>
      <c r="I2556" s="139"/>
      <c r="J2556" s="137"/>
      <c r="K2556" s="137"/>
      <c r="M2556" s="126"/>
      <c r="O2556" s="137"/>
      <c r="P2556" s="137"/>
      <c r="Q2556" s="126"/>
    </row>
    <row r="2557" spans="3:17" x14ac:dyDescent="0.3">
      <c r="C2557" s="126"/>
      <c r="F2557" s="137"/>
      <c r="G2557" s="138"/>
      <c r="H2557" s="138"/>
      <c r="I2557" s="139"/>
      <c r="J2557" s="137"/>
      <c r="K2557" s="137"/>
      <c r="M2557" s="126"/>
      <c r="O2557" s="137"/>
      <c r="P2557" s="137"/>
      <c r="Q2557" s="126"/>
    </row>
    <row r="2558" spans="3:17" x14ac:dyDescent="0.3">
      <c r="C2558" s="126"/>
      <c r="F2558" s="137"/>
      <c r="G2558" s="138"/>
      <c r="H2558" s="138"/>
      <c r="I2558" s="139"/>
      <c r="J2558" s="137"/>
      <c r="K2558" s="137"/>
      <c r="M2558" s="126"/>
      <c r="O2558" s="137"/>
      <c r="P2558" s="137"/>
      <c r="Q2558" s="126"/>
    </row>
    <row r="2559" spans="3:17" x14ac:dyDescent="0.3">
      <c r="C2559" s="126"/>
      <c r="F2559" s="137"/>
      <c r="G2559" s="138"/>
      <c r="H2559" s="138"/>
      <c r="I2559" s="139"/>
      <c r="J2559" s="137"/>
      <c r="K2559" s="137"/>
      <c r="M2559" s="126"/>
      <c r="O2559" s="137"/>
      <c r="P2559" s="137"/>
      <c r="Q2559" s="126"/>
    </row>
    <row r="2560" spans="3:17" x14ac:dyDescent="0.3">
      <c r="C2560" s="126"/>
      <c r="F2560" s="137"/>
      <c r="G2560" s="138"/>
      <c r="H2560" s="138"/>
      <c r="I2560" s="139"/>
      <c r="J2560" s="137"/>
      <c r="K2560" s="137"/>
      <c r="M2560" s="126"/>
      <c r="O2560" s="137"/>
      <c r="P2560" s="137"/>
      <c r="Q2560" s="126"/>
    </row>
    <row r="2561" spans="3:17" x14ac:dyDescent="0.3">
      <c r="C2561" s="126"/>
      <c r="F2561" s="137"/>
      <c r="G2561" s="138"/>
      <c r="H2561" s="138"/>
      <c r="I2561" s="139"/>
      <c r="J2561" s="137"/>
      <c r="K2561" s="137"/>
      <c r="M2561" s="126"/>
      <c r="O2561" s="137"/>
      <c r="P2561" s="137"/>
      <c r="Q2561" s="126"/>
    </row>
    <row r="2562" spans="3:17" x14ac:dyDescent="0.3">
      <c r="C2562" s="126"/>
      <c r="F2562" s="137"/>
      <c r="G2562" s="138"/>
      <c r="H2562" s="138"/>
      <c r="I2562" s="139"/>
      <c r="J2562" s="137"/>
      <c r="K2562" s="137"/>
      <c r="M2562" s="126"/>
      <c r="O2562" s="137"/>
      <c r="P2562" s="137"/>
      <c r="Q2562" s="126"/>
    </row>
    <row r="2563" spans="3:17" x14ac:dyDescent="0.3">
      <c r="C2563" s="126"/>
      <c r="F2563" s="137"/>
      <c r="G2563" s="138"/>
      <c r="H2563" s="138"/>
      <c r="I2563" s="139"/>
      <c r="J2563" s="137"/>
      <c r="K2563" s="137"/>
      <c r="M2563" s="126"/>
      <c r="O2563" s="137"/>
      <c r="P2563" s="137"/>
      <c r="Q2563" s="126"/>
    </row>
    <row r="2564" spans="3:17" x14ac:dyDescent="0.3">
      <c r="C2564" s="126"/>
      <c r="F2564" s="137"/>
      <c r="G2564" s="138"/>
      <c r="H2564" s="138"/>
      <c r="I2564" s="139"/>
      <c r="J2564" s="137"/>
      <c r="K2564" s="137"/>
      <c r="M2564" s="126"/>
      <c r="O2564" s="137"/>
      <c r="P2564" s="137"/>
      <c r="Q2564" s="126"/>
    </row>
    <row r="2565" spans="3:17" x14ac:dyDescent="0.3">
      <c r="C2565" s="126"/>
      <c r="F2565" s="137"/>
      <c r="G2565" s="138"/>
      <c r="H2565" s="138"/>
      <c r="I2565" s="139"/>
      <c r="J2565" s="137"/>
      <c r="K2565" s="137"/>
      <c r="M2565" s="126"/>
      <c r="O2565" s="137"/>
      <c r="P2565" s="137"/>
      <c r="Q2565" s="126"/>
    </row>
    <row r="2566" spans="3:17" x14ac:dyDescent="0.3">
      <c r="C2566" s="126"/>
      <c r="F2566" s="137"/>
      <c r="G2566" s="138"/>
      <c r="H2566" s="138"/>
      <c r="I2566" s="139"/>
      <c r="J2566" s="137"/>
      <c r="K2566" s="137"/>
      <c r="M2566" s="126"/>
      <c r="O2566" s="137"/>
      <c r="P2566" s="137"/>
      <c r="Q2566" s="126"/>
    </row>
    <row r="2567" spans="3:17" x14ac:dyDescent="0.3">
      <c r="C2567" s="126"/>
      <c r="F2567" s="137"/>
      <c r="G2567" s="138"/>
      <c r="H2567" s="138"/>
      <c r="I2567" s="139"/>
      <c r="J2567" s="137"/>
      <c r="K2567" s="137"/>
      <c r="M2567" s="126"/>
      <c r="O2567" s="137"/>
      <c r="P2567" s="137"/>
      <c r="Q2567" s="126"/>
    </row>
    <row r="2568" spans="3:17" x14ac:dyDescent="0.3">
      <c r="C2568" s="126"/>
      <c r="F2568" s="137"/>
      <c r="G2568" s="138"/>
      <c r="H2568" s="138"/>
      <c r="I2568" s="139"/>
      <c r="J2568" s="137"/>
      <c r="K2568" s="137"/>
      <c r="M2568" s="126"/>
      <c r="O2568" s="137"/>
      <c r="P2568" s="137"/>
      <c r="Q2568" s="126"/>
    </row>
    <row r="2569" spans="3:17" x14ac:dyDescent="0.3">
      <c r="C2569" s="126"/>
      <c r="F2569" s="137"/>
      <c r="G2569" s="138"/>
      <c r="H2569" s="138"/>
      <c r="I2569" s="139"/>
      <c r="J2569" s="137"/>
      <c r="K2569" s="137"/>
      <c r="M2569" s="126"/>
      <c r="O2569" s="137"/>
      <c r="P2569" s="137"/>
      <c r="Q2569" s="126"/>
    </row>
    <row r="2570" spans="3:17" x14ac:dyDescent="0.3">
      <c r="C2570" s="126"/>
      <c r="F2570" s="137"/>
      <c r="G2570" s="138"/>
      <c r="H2570" s="138"/>
      <c r="I2570" s="139"/>
      <c r="J2570" s="137"/>
      <c r="K2570" s="137"/>
      <c r="M2570" s="126"/>
      <c r="O2570" s="137"/>
      <c r="P2570" s="137"/>
      <c r="Q2570" s="126"/>
    </row>
    <row r="2571" spans="3:17" x14ac:dyDescent="0.3">
      <c r="C2571" s="126"/>
      <c r="F2571" s="137"/>
      <c r="G2571" s="138"/>
      <c r="H2571" s="138"/>
      <c r="I2571" s="139"/>
      <c r="J2571" s="137"/>
      <c r="K2571" s="137"/>
      <c r="M2571" s="126"/>
      <c r="O2571" s="137"/>
      <c r="P2571" s="137"/>
      <c r="Q2571" s="126"/>
    </row>
    <row r="2572" spans="3:17" x14ac:dyDescent="0.3">
      <c r="C2572" s="126"/>
      <c r="F2572" s="137"/>
      <c r="G2572" s="138"/>
      <c r="H2572" s="138"/>
      <c r="I2572" s="139"/>
      <c r="J2572" s="137"/>
      <c r="K2572" s="137"/>
      <c r="M2572" s="126"/>
      <c r="O2572" s="137"/>
      <c r="P2572" s="137"/>
      <c r="Q2572" s="126"/>
    </row>
    <row r="2573" spans="3:17" x14ac:dyDescent="0.3">
      <c r="C2573" s="126"/>
      <c r="F2573" s="137"/>
      <c r="G2573" s="138"/>
      <c r="H2573" s="138"/>
      <c r="I2573" s="139"/>
      <c r="J2573" s="137"/>
      <c r="K2573" s="137"/>
      <c r="M2573" s="126"/>
      <c r="O2573" s="137"/>
      <c r="P2573" s="137"/>
      <c r="Q2573" s="126"/>
    </row>
    <row r="2574" spans="3:17" x14ac:dyDescent="0.3">
      <c r="C2574" s="126"/>
      <c r="F2574" s="137"/>
      <c r="G2574" s="138"/>
      <c r="H2574" s="138"/>
      <c r="I2574" s="139"/>
      <c r="J2574" s="137"/>
      <c r="K2574" s="137"/>
      <c r="M2574" s="126"/>
      <c r="O2574" s="137"/>
      <c r="P2574" s="137"/>
      <c r="Q2574" s="126"/>
    </row>
    <row r="2575" spans="3:17" x14ac:dyDescent="0.3">
      <c r="C2575" s="126"/>
      <c r="F2575" s="137"/>
      <c r="G2575" s="138"/>
      <c r="H2575" s="138"/>
      <c r="I2575" s="139"/>
      <c r="J2575" s="137"/>
      <c r="K2575" s="137"/>
      <c r="M2575" s="126"/>
      <c r="O2575" s="137"/>
      <c r="P2575" s="137"/>
      <c r="Q2575" s="126"/>
    </row>
    <row r="2576" spans="3:17" x14ac:dyDescent="0.3">
      <c r="C2576" s="126"/>
      <c r="F2576" s="137"/>
      <c r="G2576" s="138"/>
      <c r="H2576" s="138"/>
      <c r="I2576" s="139"/>
      <c r="J2576" s="137"/>
      <c r="K2576" s="137"/>
      <c r="M2576" s="126"/>
      <c r="O2576" s="137"/>
      <c r="P2576" s="137"/>
      <c r="Q2576" s="126"/>
    </row>
    <row r="2577" spans="3:17" x14ac:dyDescent="0.3">
      <c r="C2577" s="126"/>
      <c r="F2577" s="137"/>
      <c r="G2577" s="138"/>
      <c r="H2577" s="138"/>
      <c r="I2577" s="139"/>
      <c r="J2577" s="137"/>
      <c r="K2577" s="137"/>
      <c r="M2577" s="126"/>
      <c r="O2577" s="137"/>
      <c r="P2577" s="137"/>
      <c r="Q2577" s="126"/>
    </row>
    <row r="2578" spans="3:17" x14ac:dyDescent="0.3">
      <c r="C2578" s="126"/>
      <c r="F2578" s="137"/>
      <c r="G2578" s="138"/>
      <c r="H2578" s="138"/>
      <c r="I2578" s="139"/>
      <c r="J2578" s="137"/>
      <c r="K2578" s="137"/>
      <c r="M2578" s="126"/>
      <c r="O2578" s="137"/>
      <c r="P2578" s="137"/>
      <c r="Q2578" s="126"/>
    </row>
    <row r="2579" spans="3:17" x14ac:dyDescent="0.3">
      <c r="C2579" s="126"/>
      <c r="F2579" s="137"/>
      <c r="G2579" s="138"/>
      <c r="H2579" s="138"/>
      <c r="I2579" s="139"/>
      <c r="J2579" s="137"/>
      <c r="K2579" s="137"/>
      <c r="M2579" s="126"/>
      <c r="O2579" s="137"/>
      <c r="P2579" s="137"/>
      <c r="Q2579" s="126"/>
    </row>
    <row r="2580" spans="3:17" x14ac:dyDescent="0.3">
      <c r="C2580" s="126"/>
      <c r="F2580" s="137"/>
      <c r="G2580" s="138"/>
      <c r="H2580" s="138"/>
      <c r="I2580" s="139"/>
      <c r="J2580" s="137"/>
      <c r="K2580" s="137"/>
      <c r="M2580" s="126"/>
      <c r="O2580" s="137"/>
      <c r="P2580" s="137"/>
      <c r="Q2580" s="126"/>
    </row>
    <row r="2581" spans="3:17" x14ac:dyDescent="0.3">
      <c r="C2581" s="126"/>
      <c r="F2581" s="137"/>
      <c r="G2581" s="138"/>
      <c r="H2581" s="138"/>
      <c r="I2581" s="139"/>
      <c r="J2581" s="137"/>
      <c r="K2581" s="137"/>
      <c r="M2581" s="126"/>
      <c r="O2581" s="137"/>
      <c r="P2581" s="137"/>
      <c r="Q2581" s="126"/>
    </row>
    <row r="2582" spans="3:17" x14ac:dyDescent="0.3">
      <c r="C2582" s="126"/>
      <c r="F2582" s="137"/>
      <c r="G2582" s="138"/>
      <c r="H2582" s="138"/>
      <c r="I2582" s="139"/>
      <c r="J2582" s="137"/>
      <c r="K2582" s="137"/>
      <c r="M2582" s="126"/>
      <c r="O2582" s="137"/>
      <c r="P2582" s="137"/>
      <c r="Q2582" s="126"/>
    </row>
    <row r="2583" spans="3:17" x14ac:dyDescent="0.3">
      <c r="C2583" s="126"/>
      <c r="F2583" s="137"/>
      <c r="G2583" s="138"/>
      <c r="H2583" s="138"/>
      <c r="I2583" s="139"/>
      <c r="J2583" s="137"/>
      <c r="K2583" s="137"/>
      <c r="M2583" s="126"/>
      <c r="O2583" s="137"/>
      <c r="P2583" s="137"/>
      <c r="Q2583" s="126"/>
    </row>
    <row r="2584" spans="3:17" x14ac:dyDescent="0.3">
      <c r="C2584" s="126"/>
      <c r="F2584" s="137"/>
      <c r="G2584" s="138"/>
      <c r="H2584" s="138"/>
      <c r="I2584" s="139"/>
      <c r="J2584" s="137"/>
      <c r="K2584" s="137"/>
      <c r="M2584" s="126"/>
      <c r="O2584" s="137"/>
      <c r="P2584" s="137"/>
      <c r="Q2584" s="126"/>
    </row>
    <row r="2585" spans="3:17" x14ac:dyDescent="0.3">
      <c r="C2585" s="126"/>
      <c r="F2585" s="137"/>
      <c r="G2585" s="138"/>
      <c r="H2585" s="138"/>
      <c r="I2585" s="139"/>
      <c r="J2585" s="137"/>
      <c r="K2585" s="137"/>
      <c r="M2585" s="126"/>
      <c r="O2585" s="137"/>
      <c r="P2585" s="137"/>
      <c r="Q2585" s="126"/>
    </row>
    <row r="2586" spans="3:17" x14ac:dyDescent="0.3">
      <c r="C2586" s="126"/>
      <c r="F2586" s="137"/>
      <c r="G2586" s="138"/>
      <c r="H2586" s="138"/>
      <c r="I2586" s="139"/>
      <c r="J2586" s="137"/>
      <c r="K2586" s="137"/>
      <c r="M2586" s="126"/>
      <c r="O2586" s="137"/>
      <c r="P2586" s="137"/>
      <c r="Q2586" s="126"/>
    </row>
    <row r="2587" spans="3:17" x14ac:dyDescent="0.3">
      <c r="C2587" s="126"/>
      <c r="F2587" s="137"/>
      <c r="G2587" s="138"/>
      <c r="H2587" s="138"/>
      <c r="I2587" s="139"/>
      <c r="J2587" s="137"/>
      <c r="K2587" s="137"/>
      <c r="M2587" s="126"/>
      <c r="O2587" s="137"/>
      <c r="P2587" s="137"/>
      <c r="Q2587" s="126"/>
    </row>
    <row r="2588" spans="3:17" x14ac:dyDescent="0.3">
      <c r="C2588" s="126"/>
      <c r="F2588" s="137"/>
      <c r="G2588" s="138"/>
      <c r="H2588" s="138"/>
      <c r="I2588" s="139"/>
      <c r="J2588" s="137"/>
      <c r="K2588" s="137"/>
      <c r="M2588" s="126"/>
      <c r="O2588" s="137"/>
      <c r="P2588" s="137"/>
      <c r="Q2588" s="126"/>
    </row>
    <row r="2589" spans="3:17" x14ac:dyDescent="0.3">
      <c r="C2589" s="126"/>
      <c r="F2589" s="137"/>
      <c r="G2589" s="138"/>
      <c r="H2589" s="138"/>
      <c r="I2589" s="139"/>
      <c r="J2589" s="137"/>
      <c r="K2589" s="137"/>
      <c r="M2589" s="126"/>
      <c r="O2589" s="137"/>
      <c r="P2589" s="137"/>
      <c r="Q2589" s="126"/>
    </row>
    <row r="2590" spans="3:17" x14ac:dyDescent="0.3">
      <c r="C2590" s="126"/>
      <c r="F2590" s="137"/>
      <c r="G2590" s="138"/>
      <c r="H2590" s="138"/>
      <c r="I2590" s="139"/>
      <c r="J2590" s="137"/>
      <c r="K2590" s="137"/>
      <c r="M2590" s="126"/>
      <c r="O2590" s="137"/>
      <c r="P2590" s="137"/>
      <c r="Q2590" s="126"/>
    </row>
    <row r="2591" spans="3:17" x14ac:dyDescent="0.3">
      <c r="C2591" s="126"/>
      <c r="F2591" s="137"/>
      <c r="G2591" s="138"/>
      <c r="H2591" s="138"/>
      <c r="I2591" s="139"/>
      <c r="J2591" s="137"/>
      <c r="K2591" s="137"/>
      <c r="M2591" s="126"/>
      <c r="O2591" s="137"/>
      <c r="P2591" s="137"/>
      <c r="Q2591" s="126"/>
    </row>
    <row r="2592" spans="3:17" x14ac:dyDescent="0.3">
      <c r="C2592" s="126"/>
      <c r="F2592" s="137"/>
      <c r="G2592" s="138"/>
      <c r="H2592" s="138"/>
      <c r="I2592" s="139"/>
      <c r="J2592" s="137"/>
      <c r="K2592" s="137"/>
      <c r="M2592" s="126"/>
      <c r="O2592" s="137"/>
      <c r="P2592" s="137"/>
      <c r="Q2592" s="126"/>
    </row>
    <row r="2593" spans="3:17" x14ac:dyDescent="0.3">
      <c r="C2593" s="126"/>
      <c r="F2593" s="137"/>
      <c r="G2593" s="138"/>
      <c r="H2593" s="138"/>
      <c r="I2593" s="139"/>
      <c r="J2593" s="137"/>
      <c r="K2593" s="137"/>
      <c r="M2593" s="126"/>
      <c r="O2593" s="137"/>
      <c r="P2593" s="137"/>
      <c r="Q2593" s="126"/>
    </row>
    <row r="2594" spans="3:17" x14ac:dyDescent="0.3">
      <c r="C2594" s="126"/>
      <c r="F2594" s="137"/>
      <c r="G2594" s="138"/>
      <c r="H2594" s="138"/>
      <c r="I2594" s="139"/>
      <c r="J2594" s="137"/>
      <c r="K2594" s="137"/>
      <c r="M2594" s="126"/>
      <c r="O2594" s="137"/>
      <c r="P2594" s="137"/>
      <c r="Q2594" s="126"/>
    </row>
    <row r="2595" spans="3:17" x14ac:dyDescent="0.3">
      <c r="C2595" s="126"/>
      <c r="F2595" s="137"/>
      <c r="G2595" s="138"/>
      <c r="H2595" s="138"/>
      <c r="I2595" s="139"/>
      <c r="J2595" s="137"/>
      <c r="K2595" s="137"/>
      <c r="M2595" s="126"/>
      <c r="O2595" s="137"/>
      <c r="P2595" s="137"/>
      <c r="Q2595" s="126"/>
    </row>
    <row r="2596" spans="3:17" x14ac:dyDescent="0.3">
      <c r="C2596" s="126"/>
      <c r="F2596" s="137"/>
      <c r="G2596" s="138"/>
      <c r="H2596" s="138"/>
      <c r="I2596" s="139"/>
      <c r="J2596" s="137"/>
      <c r="K2596" s="137"/>
      <c r="M2596" s="126"/>
      <c r="O2596" s="137"/>
      <c r="P2596" s="137"/>
      <c r="Q2596" s="126"/>
    </row>
    <row r="2597" spans="3:17" x14ac:dyDescent="0.3">
      <c r="C2597" s="126"/>
      <c r="F2597" s="137"/>
      <c r="G2597" s="138"/>
      <c r="H2597" s="138"/>
      <c r="I2597" s="139"/>
      <c r="J2597" s="137"/>
      <c r="K2597" s="137"/>
      <c r="M2597" s="126"/>
      <c r="O2597" s="137"/>
      <c r="P2597" s="137"/>
      <c r="Q2597" s="126"/>
    </row>
    <row r="2598" spans="3:17" x14ac:dyDescent="0.3">
      <c r="C2598" s="126"/>
      <c r="F2598" s="137"/>
      <c r="G2598" s="138"/>
      <c r="H2598" s="138"/>
      <c r="I2598" s="139"/>
      <c r="J2598" s="137"/>
      <c r="K2598" s="137"/>
      <c r="M2598" s="126"/>
      <c r="O2598" s="137"/>
      <c r="P2598" s="137"/>
      <c r="Q2598" s="126"/>
    </row>
    <row r="2599" spans="3:17" x14ac:dyDescent="0.3">
      <c r="C2599" s="126"/>
      <c r="F2599" s="137"/>
      <c r="G2599" s="138"/>
      <c r="H2599" s="138"/>
      <c r="I2599" s="139"/>
      <c r="J2599" s="137"/>
      <c r="K2599" s="137"/>
      <c r="M2599" s="126"/>
      <c r="O2599" s="137"/>
      <c r="P2599" s="137"/>
      <c r="Q2599" s="126"/>
    </row>
    <row r="2600" spans="3:17" x14ac:dyDescent="0.3">
      <c r="C2600" s="126"/>
      <c r="F2600" s="137"/>
      <c r="G2600" s="138"/>
      <c r="H2600" s="138"/>
      <c r="I2600" s="139"/>
      <c r="J2600" s="137"/>
      <c r="K2600" s="137"/>
      <c r="M2600" s="126"/>
      <c r="O2600" s="137"/>
      <c r="P2600" s="137"/>
      <c r="Q2600" s="126"/>
    </row>
    <row r="2601" spans="3:17" x14ac:dyDescent="0.3">
      <c r="C2601" s="126"/>
      <c r="F2601" s="137"/>
      <c r="G2601" s="138"/>
      <c r="H2601" s="138"/>
      <c r="I2601" s="139"/>
      <c r="J2601" s="137"/>
      <c r="K2601" s="137"/>
      <c r="M2601" s="126"/>
      <c r="O2601" s="137"/>
      <c r="P2601" s="137"/>
      <c r="Q2601" s="126"/>
    </row>
    <row r="2602" spans="3:17" x14ac:dyDescent="0.3">
      <c r="C2602" s="126"/>
      <c r="F2602" s="137"/>
      <c r="G2602" s="138"/>
      <c r="H2602" s="138"/>
      <c r="I2602" s="139"/>
      <c r="J2602" s="137"/>
      <c r="K2602" s="137"/>
      <c r="M2602" s="126"/>
      <c r="O2602" s="137"/>
      <c r="P2602" s="137"/>
      <c r="Q2602" s="126"/>
    </row>
    <row r="2603" spans="3:17" x14ac:dyDescent="0.3">
      <c r="C2603" s="126"/>
      <c r="F2603" s="137"/>
      <c r="G2603" s="138"/>
      <c r="H2603" s="138"/>
      <c r="I2603" s="139"/>
      <c r="J2603" s="137"/>
      <c r="K2603" s="137"/>
      <c r="M2603" s="126"/>
      <c r="O2603" s="137"/>
      <c r="P2603" s="137"/>
      <c r="Q2603" s="126"/>
    </row>
    <row r="2604" spans="3:17" x14ac:dyDescent="0.3">
      <c r="C2604" s="126"/>
      <c r="F2604" s="137"/>
      <c r="G2604" s="138"/>
      <c r="H2604" s="138"/>
      <c r="I2604" s="139"/>
      <c r="J2604" s="137"/>
      <c r="K2604" s="137"/>
      <c r="M2604" s="126"/>
      <c r="O2604" s="137"/>
      <c r="P2604" s="137"/>
      <c r="Q2604" s="126"/>
    </row>
    <row r="2605" spans="3:17" x14ac:dyDescent="0.3">
      <c r="C2605" s="126"/>
      <c r="F2605" s="137"/>
      <c r="G2605" s="138"/>
      <c r="H2605" s="138"/>
      <c r="I2605" s="139"/>
      <c r="J2605" s="137"/>
      <c r="K2605" s="137"/>
      <c r="M2605" s="126"/>
      <c r="O2605" s="137"/>
      <c r="P2605" s="137"/>
      <c r="Q2605" s="126"/>
    </row>
    <row r="2606" spans="3:17" x14ac:dyDescent="0.3">
      <c r="C2606" s="126"/>
      <c r="F2606" s="137"/>
      <c r="G2606" s="138"/>
      <c r="H2606" s="138"/>
      <c r="I2606" s="139"/>
      <c r="J2606" s="137"/>
      <c r="K2606" s="137"/>
      <c r="M2606" s="126"/>
      <c r="O2606" s="137"/>
      <c r="P2606" s="137"/>
      <c r="Q2606" s="126"/>
    </row>
    <row r="2607" spans="3:17" x14ac:dyDescent="0.3">
      <c r="C2607" s="126"/>
      <c r="F2607" s="137"/>
      <c r="G2607" s="138"/>
      <c r="H2607" s="138"/>
      <c r="I2607" s="139"/>
      <c r="J2607" s="137"/>
      <c r="K2607" s="137"/>
      <c r="M2607" s="126"/>
      <c r="O2607" s="137"/>
      <c r="P2607" s="137"/>
      <c r="Q2607" s="126"/>
    </row>
    <row r="2608" spans="3:17" x14ac:dyDescent="0.3">
      <c r="C2608" s="126"/>
      <c r="F2608" s="137"/>
      <c r="G2608" s="138"/>
      <c r="H2608" s="138"/>
      <c r="I2608" s="139"/>
      <c r="J2608" s="137"/>
      <c r="K2608" s="137"/>
      <c r="M2608" s="126"/>
      <c r="O2608" s="137"/>
      <c r="P2608" s="137"/>
      <c r="Q2608" s="126"/>
    </row>
    <row r="2609" spans="3:17" x14ac:dyDescent="0.3">
      <c r="C2609" s="126"/>
      <c r="F2609" s="137"/>
      <c r="G2609" s="138"/>
      <c r="H2609" s="138"/>
      <c r="I2609" s="139"/>
      <c r="J2609" s="137"/>
      <c r="K2609" s="137"/>
      <c r="M2609" s="126"/>
      <c r="O2609" s="137"/>
      <c r="P2609" s="137"/>
      <c r="Q2609" s="126"/>
    </row>
    <row r="2610" spans="3:17" x14ac:dyDescent="0.3">
      <c r="C2610" s="126"/>
      <c r="F2610" s="137"/>
      <c r="G2610" s="138"/>
      <c r="H2610" s="138"/>
      <c r="I2610" s="139"/>
      <c r="J2610" s="137"/>
      <c r="K2610" s="137"/>
      <c r="M2610" s="126"/>
      <c r="O2610" s="137"/>
      <c r="P2610" s="137"/>
      <c r="Q2610" s="126"/>
    </row>
    <row r="2611" spans="3:17" x14ac:dyDescent="0.3">
      <c r="C2611" s="126"/>
      <c r="F2611" s="137"/>
      <c r="G2611" s="138"/>
      <c r="H2611" s="138"/>
      <c r="I2611" s="139"/>
      <c r="J2611" s="137"/>
      <c r="K2611" s="137"/>
      <c r="M2611" s="126"/>
      <c r="O2611" s="137"/>
      <c r="P2611" s="137"/>
      <c r="Q2611" s="126"/>
    </row>
    <row r="2612" spans="3:17" x14ac:dyDescent="0.3">
      <c r="C2612" s="126"/>
      <c r="F2612" s="137"/>
      <c r="G2612" s="138"/>
      <c r="H2612" s="138"/>
      <c r="I2612" s="139"/>
      <c r="J2612" s="137"/>
      <c r="K2612" s="137"/>
      <c r="M2612" s="126"/>
      <c r="O2612" s="137"/>
      <c r="P2612" s="137"/>
      <c r="Q2612" s="126"/>
    </row>
    <row r="2613" spans="3:17" x14ac:dyDescent="0.3">
      <c r="C2613" s="126"/>
      <c r="F2613" s="137"/>
      <c r="G2613" s="138"/>
      <c r="H2613" s="138"/>
      <c r="I2613" s="139"/>
      <c r="J2613" s="137"/>
      <c r="K2613" s="137"/>
      <c r="M2613" s="126"/>
      <c r="O2613" s="137"/>
      <c r="P2613" s="137"/>
      <c r="Q2613" s="126"/>
    </row>
    <row r="2614" spans="3:17" x14ac:dyDescent="0.3">
      <c r="C2614" s="126"/>
      <c r="F2614" s="137"/>
      <c r="G2614" s="138"/>
      <c r="H2614" s="138"/>
      <c r="I2614" s="139"/>
      <c r="J2614" s="137"/>
      <c r="K2614" s="137"/>
      <c r="M2614" s="126"/>
      <c r="O2614" s="137"/>
      <c r="P2614" s="137"/>
      <c r="Q2614" s="126"/>
    </row>
    <row r="2615" spans="3:17" x14ac:dyDescent="0.3">
      <c r="C2615" s="126"/>
      <c r="F2615" s="137"/>
      <c r="G2615" s="138"/>
      <c r="H2615" s="138"/>
      <c r="I2615" s="139"/>
      <c r="J2615" s="137"/>
      <c r="K2615" s="137"/>
      <c r="M2615" s="126"/>
      <c r="O2615" s="137"/>
      <c r="P2615" s="137"/>
      <c r="Q2615" s="126"/>
    </row>
    <row r="2616" spans="3:17" x14ac:dyDescent="0.3">
      <c r="C2616" s="126"/>
      <c r="F2616" s="137"/>
      <c r="G2616" s="138"/>
      <c r="H2616" s="138"/>
      <c r="I2616" s="139"/>
      <c r="J2616" s="137"/>
      <c r="K2616" s="137"/>
      <c r="M2616" s="126"/>
      <c r="O2616" s="137"/>
      <c r="P2616" s="137"/>
      <c r="Q2616" s="126"/>
    </row>
    <row r="2617" spans="3:17" x14ac:dyDescent="0.3">
      <c r="C2617" s="126"/>
      <c r="F2617" s="137"/>
      <c r="G2617" s="138"/>
      <c r="H2617" s="138"/>
      <c r="I2617" s="139"/>
      <c r="J2617" s="137"/>
      <c r="K2617" s="137"/>
      <c r="M2617" s="126"/>
      <c r="O2617" s="137"/>
      <c r="P2617" s="137"/>
      <c r="Q2617" s="126"/>
    </row>
    <row r="2618" spans="3:17" x14ac:dyDescent="0.3">
      <c r="C2618" s="126"/>
      <c r="F2618" s="137"/>
      <c r="G2618" s="138"/>
      <c r="H2618" s="138"/>
      <c r="I2618" s="139"/>
      <c r="J2618" s="137"/>
      <c r="K2618" s="137"/>
      <c r="M2618" s="126"/>
      <c r="O2618" s="137"/>
      <c r="P2618" s="137"/>
      <c r="Q2618" s="126"/>
    </row>
    <row r="2619" spans="3:17" x14ac:dyDescent="0.3">
      <c r="C2619" s="126"/>
      <c r="F2619" s="137"/>
      <c r="G2619" s="138"/>
      <c r="H2619" s="138"/>
      <c r="I2619" s="139"/>
      <c r="J2619" s="137"/>
      <c r="K2619" s="137"/>
      <c r="M2619" s="126"/>
      <c r="O2619" s="137"/>
      <c r="P2619" s="137"/>
      <c r="Q2619" s="126"/>
    </row>
    <row r="2620" spans="3:17" x14ac:dyDescent="0.3">
      <c r="C2620" s="126"/>
      <c r="F2620" s="137"/>
      <c r="G2620" s="138"/>
      <c r="H2620" s="138"/>
      <c r="I2620" s="139"/>
      <c r="J2620" s="137"/>
      <c r="K2620" s="137"/>
      <c r="M2620" s="126"/>
      <c r="O2620" s="137"/>
      <c r="P2620" s="137"/>
      <c r="Q2620" s="126"/>
    </row>
    <row r="2621" spans="3:17" x14ac:dyDescent="0.3">
      <c r="C2621" s="126"/>
      <c r="F2621" s="137"/>
      <c r="G2621" s="138"/>
      <c r="H2621" s="138"/>
      <c r="I2621" s="139"/>
      <c r="J2621" s="137"/>
      <c r="K2621" s="137"/>
      <c r="M2621" s="126"/>
      <c r="O2621" s="137"/>
      <c r="P2621" s="137"/>
      <c r="Q2621" s="126"/>
    </row>
    <row r="2622" spans="3:17" x14ac:dyDescent="0.3">
      <c r="C2622" s="126"/>
      <c r="F2622" s="137"/>
      <c r="G2622" s="138"/>
      <c r="H2622" s="138"/>
      <c r="I2622" s="139"/>
      <c r="J2622" s="137"/>
      <c r="K2622" s="137"/>
      <c r="M2622" s="126"/>
      <c r="O2622" s="137"/>
      <c r="P2622" s="137"/>
      <c r="Q2622" s="126"/>
    </row>
    <row r="2623" spans="3:17" x14ac:dyDescent="0.3">
      <c r="C2623" s="126"/>
      <c r="F2623" s="137"/>
      <c r="G2623" s="138"/>
      <c r="H2623" s="138"/>
      <c r="I2623" s="139"/>
      <c r="J2623" s="137"/>
      <c r="K2623" s="137"/>
      <c r="M2623" s="126"/>
      <c r="O2623" s="137"/>
      <c r="P2623" s="137"/>
      <c r="Q2623" s="126"/>
    </row>
    <row r="2624" spans="3:17" x14ac:dyDescent="0.3">
      <c r="C2624" s="126"/>
      <c r="F2624" s="137"/>
      <c r="G2624" s="138"/>
      <c r="H2624" s="138"/>
      <c r="I2624" s="139"/>
      <c r="J2624" s="137"/>
      <c r="K2624" s="137"/>
      <c r="M2624" s="126"/>
      <c r="O2624" s="137"/>
      <c r="P2624" s="137"/>
      <c r="Q2624" s="126"/>
    </row>
    <row r="2625" spans="3:17" x14ac:dyDescent="0.3">
      <c r="C2625" s="126"/>
      <c r="F2625" s="137"/>
      <c r="G2625" s="138"/>
      <c r="H2625" s="138"/>
      <c r="I2625" s="139"/>
      <c r="J2625" s="137"/>
      <c r="K2625" s="137"/>
      <c r="M2625" s="126"/>
      <c r="O2625" s="137"/>
      <c r="P2625" s="137"/>
      <c r="Q2625" s="126"/>
    </row>
    <row r="2626" spans="3:17" x14ac:dyDescent="0.3">
      <c r="C2626" s="126"/>
      <c r="F2626" s="137"/>
      <c r="G2626" s="138"/>
      <c r="H2626" s="138"/>
      <c r="I2626" s="139"/>
      <c r="J2626" s="137"/>
      <c r="K2626" s="137"/>
      <c r="M2626" s="126"/>
      <c r="O2626" s="137"/>
      <c r="P2626" s="137"/>
      <c r="Q2626" s="126"/>
    </row>
    <row r="2627" spans="3:17" x14ac:dyDescent="0.3">
      <c r="C2627" s="126"/>
      <c r="F2627" s="137"/>
      <c r="G2627" s="138"/>
      <c r="H2627" s="138"/>
      <c r="I2627" s="139"/>
      <c r="J2627" s="137"/>
      <c r="K2627" s="137"/>
      <c r="M2627" s="126"/>
      <c r="O2627" s="137"/>
      <c r="P2627" s="137"/>
      <c r="Q2627" s="126"/>
    </row>
    <row r="2628" spans="3:17" x14ac:dyDescent="0.3">
      <c r="C2628" s="126"/>
      <c r="F2628" s="137"/>
      <c r="G2628" s="138"/>
      <c r="H2628" s="138"/>
      <c r="I2628" s="139"/>
      <c r="J2628" s="137"/>
      <c r="K2628" s="137"/>
      <c r="M2628" s="126"/>
      <c r="O2628" s="137"/>
      <c r="P2628" s="137"/>
      <c r="Q2628" s="126"/>
    </row>
    <row r="2629" spans="3:17" x14ac:dyDescent="0.3">
      <c r="C2629" s="126"/>
      <c r="F2629" s="137"/>
      <c r="G2629" s="138"/>
      <c r="H2629" s="138"/>
      <c r="I2629" s="139"/>
      <c r="J2629" s="137"/>
      <c r="K2629" s="137"/>
      <c r="M2629" s="126"/>
      <c r="O2629" s="137"/>
      <c r="P2629" s="137"/>
      <c r="Q2629" s="126"/>
    </row>
    <row r="2630" spans="3:17" x14ac:dyDescent="0.3">
      <c r="C2630" s="126"/>
      <c r="F2630" s="137"/>
      <c r="G2630" s="138"/>
      <c r="H2630" s="138"/>
      <c r="I2630" s="139"/>
      <c r="J2630" s="137"/>
      <c r="K2630" s="137"/>
      <c r="M2630" s="126"/>
      <c r="O2630" s="137"/>
      <c r="P2630" s="137"/>
      <c r="Q2630" s="126"/>
    </row>
    <row r="2631" spans="3:17" x14ac:dyDescent="0.3">
      <c r="C2631" s="126"/>
      <c r="F2631" s="137"/>
      <c r="G2631" s="138"/>
      <c r="H2631" s="138"/>
      <c r="I2631" s="139"/>
      <c r="J2631" s="137"/>
      <c r="K2631" s="137"/>
      <c r="M2631" s="126"/>
      <c r="O2631" s="137"/>
      <c r="P2631" s="137"/>
      <c r="Q2631" s="126"/>
    </row>
    <row r="2632" spans="3:17" x14ac:dyDescent="0.3">
      <c r="C2632" s="126"/>
      <c r="F2632" s="137"/>
      <c r="G2632" s="138"/>
      <c r="H2632" s="138"/>
      <c r="I2632" s="139"/>
      <c r="J2632" s="137"/>
      <c r="K2632" s="137"/>
      <c r="M2632" s="126"/>
      <c r="O2632" s="137"/>
      <c r="P2632" s="137"/>
      <c r="Q2632" s="126"/>
    </row>
    <row r="2633" spans="3:17" x14ac:dyDescent="0.3">
      <c r="C2633" s="126"/>
      <c r="F2633" s="137"/>
      <c r="G2633" s="138"/>
      <c r="H2633" s="138"/>
      <c r="I2633" s="139"/>
      <c r="J2633" s="137"/>
      <c r="K2633" s="137"/>
      <c r="M2633" s="126"/>
      <c r="O2633" s="137"/>
      <c r="P2633" s="137"/>
      <c r="Q2633" s="126"/>
    </row>
    <row r="2634" spans="3:17" x14ac:dyDescent="0.3">
      <c r="C2634" s="126"/>
      <c r="F2634" s="137"/>
      <c r="G2634" s="138"/>
      <c r="H2634" s="138"/>
      <c r="I2634" s="139"/>
      <c r="J2634" s="137"/>
      <c r="K2634" s="137"/>
      <c r="M2634" s="126"/>
      <c r="O2634" s="137"/>
      <c r="P2634" s="137"/>
      <c r="Q2634" s="126"/>
    </row>
    <row r="2635" spans="3:17" x14ac:dyDescent="0.3">
      <c r="C2635" s="126"/>
      <c r="F2635" s="137"/>
      <c r="G2635" s="138"/>
      <c r="H2635" s="138"/>
      <c r="I2635" s="139"/>
      <c r="J2635" s="137"/>
      <c r="K2635" s="137"/>
      <c r="M2635" s="126"/>
      <c r="O2635" s="137"/>
      <c r="P2635" s="137"/>
      <c r="Q2635" s="126"/>
    </row>
    <row r="2636" spans="3:17" x14ac:dyDescent="0.3">
      <c r="C2636" s="126"/>
      <c r="F2636" s="137"/>
      <c r="G2636" s="138"/>
      <c r="H2636" s="138"/>
      <c r="I2636" s="139"/>
      <c r="J2636" s="137"/>
      <c r="K2636" s="137"/>
      <c r="M2636" s="126"/>
      <c r="O2636" s="137"/>
      <c r="P2636" s="137"/>
      <c r="Q2636" s="126"/>
    </row>
    <row r="2637" spans="3:17" x14ac:dyDescent="0.3">
      <c r="C2637" s="126"/>
      <c r="F2637" s="137"/>
      <c r="G2637" s="138"/>
      <c r="H2637" s="138"/>
      <c r="I2637" s="139"/>
      <c r="J2637" s="137"/>
      <c r="K2637" s="137"/>
      <c r="M2637" s="126"/>
      <c r="O2637" s="137"/>
      <c r="P2637" s="137"/>
      <c r="Q2637" s="126"/>
    </row>
    <row r="2638" spans="3:17" x14ac:dyDescent="0.3">
      <c r="C2638" s="126"/>
      <c r="F2638" s="137"/>
      <c r="G2638" s="138"/>
      <c r="H2638" s="138"/>
      <c r="I2638" s="139"/>
      <c r="J2638" s="137"/>
      <c r="K2638" s="137"/>
      <c r="M2638" s="126"/>
      <c r="O2638" s="137"/>
      <c r="P2638" s="137"/>
      <c r="Q2638" s="126"/>
    </row>
    <row r="2639" spans="3:17" x14ac:dyDescent="0.3">
      <c r="C2639" s="126"/>
      <c r="F2639" s="137"/>
      <c r="G2639" s="138"/>
      <c r="H2639" s="138"/>
      <c r="I2639" s="139"/>
      <c r="J2639" s="137"/>
      <c r="K2639" s="137"/>
      <c r="M2639" s="126"/>
      <c r="O2639" s="137"/>
      <c r="P2639" s="137"/>
      <c r="Q2639" s="126"/>
    </row>
    <row r="2640" spans="3:17" x14ac:dyDescent="0.3">
      <c r="C2640" s="126"/>
      <c r="F2640" s="137"/>
      <c r="G2640" s="138"/>
      <c r="H2640" s="138"/>
      <c r="I2640" s="139"/>
      <c r="J2640" s="137"/>
      <c r="K2640" s="137"/>
      <c r="M2640" s="126"/>
      <c r="O2640" s="137"/>
      <c r="P2640" s="137"/>
      <c r="Q2640" s="126"/>
    </row>
    <row r="2641" spans="3:17" x14ac:dyDescent="0.3">
      <c r="C2641" s="126"/>
      <c r="F2641" s="137"/>
      <c r="G2641" s="138"/>
      <c r="H2641" s="138"/>
      <c r="I2641" s="139"/>
      <c r="J2641" s="137"/>
      <c r="K2641" s="137"/>
      <c r="M2641" s="126"/>
      <c r="O2641" s="137"/>
      <c r="P2641" s="137"/>
      <c r="Q2641" s="126"/>
    </row>
    <row r="2642" spans="3:17" x14ac:dyDescent="0.3">
      <c r="C2642" s="126"/>
      <c r="F2642" s="137"/>
      <c r="G2642" s="138"/>
      <c r="H2642" s="138"/>
      <c r="I2642" s="139"/>
      <c r="J2642" s="137"/>
      <c r="K2642" s="137"/>
      <c r="M2642" s="126"/>
      <c r="O2642" s="137"/>
      <c r="P2642" s="137"/>
      <c r="Q2642" s="126"/>
    </row>
    <row r="2643" spans="3:17" x14ac:dyDescent="0.3">
      <c r="C2643" s="126"/>
      <c r="F2643" s="137"/>
      <c r="G2643" s="138"/>
      <c r="H2643" s="138"/>
      <c r="I2643" s="139"/>
      <c r="J2643" s="137"/>
      <c r="K2643" s="137"/>
      <c r="M2643" s="126"/>
      <c r="O2643" s="137"/>
      <c r="P2643" s="137"/>
      <c r="Q2643" s="126"/>
    </row>
    <row r="2644" spans="3:17" x14ac:dyDescent="0.3">
      <c r="C2644" s="126"/>
      <c r="F2644" s="137"/>
      <c r="G2644" s="138"/>
      <c r="H2644" s="138"/>
      <c r="I2644" s="139"/>
      <c r="J2644" s="137"/>
      <c r="K2644" s="137"/>
      <c r="M2644" s="126"/>
      <c r="O2644" s="137"/>
      <c r="P2644" s="137"/>
      <c r="Q2644" s="126"/>
    </row>
    <row r="2645" spans="3:17" x14ac:dyDescent="0.3">
      <c r="C2645" s="126"/>
      <c r="F2645" s="137"/>
      <c r="G2645" s="138"/>
      <c r="H2645" s="138"/>
      <c r="I2645" s="139"/>
      <c r="J2645" s="137"/>
      <c r="K2645" s="137"/>
      <c r="M2645" s="126"/>
      <c r="O2645" s="137"/>
      <c r="P2645" s="137"/>
      <c r="Q2645" s="126"/>
    </row>
    <row r="2646" spans="3:17" x14ac:dyDescent="0.3">
      <c r="C2646" s="126"/>
      <c r="F2646" s="137"/>
      <c r="G2646" s="138"/>
      <c r="H2646" s="138"/>
      <c r="I2646" s="139"/>
      <c r="J2646" s="137"/>
      <c r="K2646" s="137"/>
      <c r="M2646" s="126"/>
      <c r="O2646" s="137"/>
      <c r="P2646" s="137"/>
      <c r="Q2646" s="126"/>
    </row>
    <row r="2647" spans="3:17" x14ac:dyDescent="0.3">
      <c r="C2647" s="126"/>
      <c r="F2647" s="137"/>
      <c r="G2647" s="138"/>
      <c r="H2647" s="138"/>
      <c r="I2647" s="139"/>
      <c r="J2647" s="137"/>
      <c r="K2647" s="137"/>
      <c r="M2647" s="126"/>
      <c r="O2647" s="137"/>
      <c r="P2647" s="137"/>
      <c r="Q2647" s="126"/>
    </row>
    <row r="2648" spans="3:17" x14ac:dyDescent="0.3">
      <c r="C2648" s="126"/>
      <c r="F2648" s="137"/>
      <c r="G2648" s="138"/>
      <c r="H2648" s="138"/>
      <c r="I2648" s="139"/>
      <c r="J2648" s="137"/>
      <c r="K2648" s="137"/>
      <c r="M2648" s="126"/>
      <c r="O2648" s="137"/>
      <c r="P2648" s="137"/>
      <c r="Q2648" s="126"/>
    </row>
    <row r="2649" spans="3:17" x14ac:dyDescent="0.3">
      <c r="C2649" s="126"/>
      <c r="F2649" s="137"/>
      <c r="G2649" s="138"/>
      <c r="H2649" s="138"/>
      <c r="I2649" s="139"/>
      <c r="J2649" s="137"/>
      <c r="K2649" s="137"/>
      <c r="M2649" s="126"/>
      <c r="O2649" s="137"/>
      <c r="P2649" s="137"/>
      <c r="Q2649" s="126"/>
    </row>
    <row r="2650" spans="3:17" x14ac:dyDescent="0.3">
      <c r="C2650" s="126"/>
      <c r="F2650" s="137"/>
      <c r="G2650" s="138"/>
      <c r="H2650" s="138"/>
      <c r="I2650" s="139"/>
      <c r="J2650" s="137"/>
      <c r="K2650" s="137"/>
      <c r="M2650" s="126"/>
      <c r="O2650" s="137"/>
      <c r="P2650" s="137"/>
      <c r="Q2650" s="126"/>
    </row>
    <row r="2651" spans="3:17" x14ac:dyDescent="0.3">
      <c r="C2651" s="126"/>
      <c r="F2651" s="137"/>
      <c r="G2651" s="138"/>
      <c r="H2651" s="138"/>
      <c r="I2651" s="139"/>
      <c r="J2651" s="137"/>
      <c r="K2651" s="137"/>
      <c r="M2651" s="126"/>
      <c r="O2651" s="137"/>
      <c r="P2651" s="137"/>
      <c r="Q2651" s="126"/>
    </row>
    <row r="2652" spans="3:17" x14ac:dyDescent="0.3">
      <c r="C2652" s="126"/>
      <c r="F2652" s="137"/>
      <c r="G2652" s="138"/>
      <c r="H2652" s="138"/>
      <c r="I2652" s="139"/>
      <c r="J2652" s="137"/>
      <c r="K2652" s="137"/>
      <c r="M2652" s="126"/>
      <c r="O2652" s="137"/>
      <c r="P2652" s="137"/>
      <c r="Q2652" s="126"/>
    </row>
    <row r="2653" spans="3:17" x14ac:dyDescent="0.3">
      <c r="C2653" s="126"/>
      <c r="F2653" s="137"/>
      <c r="G2653" s="138"/>
      <c r="H2653" s="138"/>
      <c r="I2653" s="139"/>
      <c r="J2653" s="137"/>
      <c r="K2653" s="137"/>
      <c r="M2653" s="126"/>
      <c r="O2653" s="137"/>
      <c r="P2653" s="137"/>
      <c r="Q2653" s="126"/>
    </row>
    <row r="2654" spans="3:17" x14ac:dyDescent="0.3">
      <c r="C2654" s="126"/>
      <c r="F2654" s="137"/>
      <c r="G2654" s="138"/>
      <c r="H2654" s="138"/>
      <c r="I2654" s="139"/>
      <c r="J2654" s="137"/>
      <c r="K2654" s="137"/>
      <c r="M2654" s="126"/>
      <c r="O2654" s="137"/>
      <c r="P2654" s="137"/>
      <c r="Q2654" s="126"/>
    </row>
    <row r="2655" spans="3:17" x14ac:dyDescent="0.3">
      <c r="C2655" s="126"/>
      <c r="F2655" s="137"/>
      <c r="G2655" s="138"/>
      <c r="H2655" s="138"/>
      <c r="I2655" s="139"/>
      <c r="J2655" s="137"/>
      <c r="K2655" s="137"/>
      <c r="M2655" s="126"/>
      <c r="O2655" s="137"/>
      <c r="P2655" s="137"/>
      <c r="Q2655" s="126"/>
    </row>
    <row r="2656" spans="3:17" x14ac:dyDescent="0.3">
      <c r="C2656" s="126"/>
      <c r="F2656" s="137"/>
      <c r="G2656" s="138"/>
      <c r="H2656" s="138"/>
      <c r="I2656" s="139"/>
      <c r="J2656" s="137"/>
      <c r="K2656" s="137"/>
      <c r="M2656" s="126"/>
      <c r="O2656" s="137"/>
      <c r="P2656" s="137"/>
      <c r="Q2656" s="126"/>
    </row>
    <row r="2657" spans="3:17" x14ac:dyDescent="0.3">
      <c r="C2657" s="126"/>
      <c r="F2657" s="137"/>
      <c r="G2657" s="138"/>
      <c r="H2657" s="138"/>
      <c r="I2657" s="139"/>
      <c r="J2657" s="137"/>
      <c r="K2657" s="137"/>
      <c r="M2657" s="126"/>
      <c r="O2657" s="137"/>
      <c r="P2657" s="137"/>
      <c r="Q2657" s="126"/>
    </row>
    <row r="2658" spans="3:17" x14ac:dyDescent="0.3">
      <c r="C2658" s="126"/>
      <c r="F2658" s="137"/>
      <c r="G2658" s="138"/>
      <c r="H2658" s="138"/>
      <c r="I2658" s="139"/>
      <c r="J2658" s="137"/>
      <c r="K2658" s="137"/>
      <c r="M2658" s="126"/>
      <c r="O2658" s="137"/>
      <c r="P2658" s="137"/>
      <c r="Q2658" s="126"/>
    </row>
    <row r="2659" spans="3:17" x14ac:dyDescent="0.3">
      <c r="C2659" s="126"/>
      <c r="F2659" s="137"/>
      <c r="G2659" s="138"/>
      <c r="H2659" s="138"/>
      <c r="I2659" s="139"/>
      <c r="J2659" s="137"/>
      <c r="K2659" s="137"/>
      <c r="M2659" s="126"/>
      <c r="O2659" s="137"/>
      <c r="P2659" s="137"/>
      <c r="Q2659" s="126"/>
    </row>
    <row r="2660" spans="3:17" x14ac:dyDescent="0.3">
      <c r="C2660" s="126"/>
      <c r="F2660" s="137"/>
      <c r="G2660" s="138"/>
      <c r="H2660" s="138"/>
      <c r="I2660" s="139"/>
      <c r="J2660" s="137"/>
      <c r="K2660" s="137"/>
      <c r="M2660" s="126"/>
      <c r="O2660" s="137"/>
      <c r="P2660" s="137"/>
      <c r="Q2660" s="126"/>
    </row>
    <row r="2661" spans="3:17" x14ac:dyDescent="0.3">
      <c r="C2661" s="126"/>
      <c r="F2661" s="137"/>
      <c r="G2661" s="138"/>
      <c r="H2661" s="138"/>
      <c r="I2661" s="139"/>
      <c r="J2661" s="137"/>
      <c r="K2661" s="137"/>
      <c r="M2661" s="126"/>
      <c r="O2661" s="137"/>
      <c r="P2661" s="137"/>
      <c r="Q2661" s="126"/>
    </row>
    <row r="2662" spans="3:17" x14ac:dyDescent="0.3">
      <c r="C2662" s="126"/>
      <c r="F2662" s="137"/>
      <c r="G2662" s="138"/>
      <c r="H2662" s="138"/>
      <c r="I2662" s="139"/>
      <c r="J2662" s="137"/>
      <c r="K2662" s="137"/>
      <c r="M2662" s="126"/>
      <c r="O2662" s="137"/>
      <c r="P2662" s="137"/>
      <c r="Q2662" s="126"/>
    </row>
    <row r="2663" spans="3:17" x14ac:dyDescent="0.3">
      <c r="C2663" s="126"/>
      <c r="F2663" s="137"/>
      <c r="G2663" s="138"/>
      <c r="H2663" s="138"/>
      <c r="I2663" s="139"/>
      <c r="J2663" s="137"/>
      <c r="K2663" s="137"/>
      <c r="M2663" s="126"/>
      <c r="O2663" s="137"/>
      <c r="P2663" s="137"/>
      <c r="Q2663" s="126"/>
    </row>
    <row r="2664" spans="3:17" x14ac:dyDescent="0.3">
      <c r="C2664" s="126"/>
      <c r="F2664" s="137"/>
      <c r="G2664" s="138"/>
      <c r="H2664" s="138"/>
      <c r="I2664" s="139"/>
      <c r="J2664" s="137"/>
      <c r="K2664" s="137"/>
      <c r="M2664" s="126"/>
      <c r="O2664" s="137"/>
      <c r="P2664" s="137"/>
      <c r="Q2664" s="126"/>
    </row>
    <row r="2665" spans="3:17" x14ac:dyDescent="0.3">
      <c r="C2665" s="126"/>
      <c r="F2665" s="137"/>
      <c r="G2665" s="138"/>
      <c r="H2665" s="138"/>
      <c r="I2665" s="139"/>
      <c r="J2665" s="137"/>
      <c r="K2665" s="137"/>
      <c r="M2665" s="126"/>
      <c r="O2665" s="137"/>
      <c r="P2665" s="137"/>
      <c r="Q2665" s="126"/>
    </row>
    <row r="2666" spans="3:17" x14ac:dyDescent="0.3">
      <c r="C2666" s="126"/>
      <c r="F2666" s="137"/>
      <c r="G2666" s="138"/>
      <c r="H2666" s="138"/>
      <c r="I2666" s="139"/>
      <c r="J2666" s="137"/>
      <c r="K2666" s="137"/>
      <c r="M2666" s="126"/>
      <c r="O2666" s="137"/>
      <c r="P2666" s="137"/>
      <c r="Q2666" s="126"/>
    </row>
    <row r="2667" spans="3:17" x14ac:dyDescent="0.3">
      <c r="C2667" s="126"/>
      <c r="F2667" s="137"/>
      <c r="G2667" s="138"/>
      <c r="H2667" s="138"/>
      <c r="I2667" s="139"/>
      <c r="J2667" s="137"/>
      <c r="K2667" s="137"/>
      <c r="M2667" s="126"/>
      <c r="O2667" s="137"/>
      <c r="P2667" s="137"/>
      <c r="Q2667" s="126"/>
    </row>
    <row r="2668" spans="3:17" x14ac:dyDescent="0.3">
      <c r="C2668" s="126"/>
      <c r="F2668" s="137"/>
      <c r="G2668" s="138"/>
      <c r="H2668" s="138"/>
      <c r="I2668" s="139"/>
      <c r="J2668" s="137"/>
      <c r="K2668" s="137"/>
      <c r="M2668" s="126"/>
      <c r="O2668" s="137"/>
      <c r="P2668" s="137"/>
      <c r="Q2668" s="126"/>
    </row>
    <row r="2669" spans="3:17" x14ac:dyDescent="0.3">
      <c r="C2669" s="126"/>
      <c r="F2669" s="137"/>
      <c r="G2669" s="138"/>
      <c r="H2669" s="138"/>
      <c r="I2669" s="139"/>
      <c r="J2669" s="137"/>
      <c r="K2669" s="137"/>
      <c r="M2669" s="126"/>
      <c r="O2669" s="137"/>
      <c r="P2669" s="137"/>
      <c r="Q2669" s="126"/>
    </row>
    <row r="2670" spans="3:17" x14ac:dyDescent="0.3">
      <c r="C2670" s="126"/>
      <c r="F2670" s="137"/>
      <c r="G2670" s="138"/>
      <c r="H2670" s="138"/>
      <c r="I2670" s="139"/>
      <c r="J2670" s="137"/>
      <c r="K2670" s="137"/>
      <c r="M2670" s="126"/>
      <c r="O2670" s="137"/>
      <c r="P2670" s="137"/>
      <c r="Q2670" s="126"/>
    </row>
    <row r="2671" spans="3:17" x14ac:dyDescent="0.3">
      <c r="C2671" s="126"/>
      <c r="F2671" s="137"/>
      <c r="G2671" s="138"/>
      <c r="H2671" s="138"/>
      <c r="I2671" s="139"/>
      <c r="J2671" s="137"/>
      <c r="K2671" s="137"/>
      <c r="M2671" s="126"/>
      <c r="O2671" s="137"/>
      <c r="P2671" s="137"/>
      <c r="Q2671" s="126"/>
    </row>
    <row r="2672" spans="3:17" x14ac:dyDescent="0.3">
      <c r="C2672" s="126"/>
      <c r="F2672" s="137"/>
      <c r="G2672" s="138"/>
      <c r="H2672" s="138"/>
      <c r="I2672" s="139"/>
      <c r="J2672" s="137"/>
      <c r="K2672" s="137"/>
      <c r="M2672" s="126"/>
      <c r="O2672" s="137"/>
      <c r="P2672" s="137"/>
      <c r="Q2672" s="126"/>
    </row>
    <row r="2673" spans="3:17" x14ac:dyDescent="0.3">
      <c r="C2673" s="126"/>
      <c r="F2673" s="137"/>
      <c r="G2673" s="138"/>
      <c r="H2673" s="138"/>
      <c r="I2673" s="139"/>
      <c r="J2673" s="137"/>
      <c r="K2673" s="137"/>
      <c r="M2673" s="126"/>
      <c r="O2673" s="137"/>
      <c r="P2673" s="137"/>
      <c r="Q2673" s="126"/>
    </row>
    <row r="2674" spans="3:17" x14ac:dyDescent="0.3">
      <c r="C2674" s="126"/>
      <c r="F2674" s="137"/>
      <c r="G2674" s="138"/>
      <c r="H2674" s="138"/>
      <c r="I2674" s="139"/>
      <c r="J2674" s="137"/>
      <c r="K2674" s="137"/>
      <c r="M2674" s="126"/>
      <c r="O2674" s="137"/>
      <c r="P2674" s="137"/>
      <c r="Q2674" s="126"/>
    </row>
    <row r="2675" spans="3:17" x14ac:dyDescent="0.3">
      <c r="C2675" s="126"/>
      <c r="F2675" s="137"/>
      <c r="G2675" s="138"/>
      <c r="H2675" s="138"/>
      <c r="I2675" s="139"/>
      <c r="J2675" s="137"/>
      <c r="K2675" s="137"/>
      <c r="M2675" s="126"/>
      <c r="O2675" s="137"/>
      <c r="P2675" s="137"/>
      <c r="Q2675" s="126"/>
    </row>
    <row r="2676" spans="3:17" x14ac:dyDescent="0.3">
      <c r="C2676" s="126"/>
      <c r="F2676" s="137"/>
      <c r="G2676" s="138"/>
      <c r="H2676" s="138"/>
      <c r="I2676" s="139"/>
      <c r="J2676" s="137"/>
      <c r="K2676" s="137"/>
      <c r="M2676" s="126"/>
      <c r="O2676" s="137"/>
      <c r="P2676" s="137"/>
      <c r="Q2676" s="126"/>
    </row>
    <row r="2677" spans="3:17" x14ac:dyDescent="0.3">
      <c r="C2677" s="126"/>
      <c r="F2677" s="137"/>
      <c r="G2677" s="138"/>
      <c r="H2677" s="138"/>
      <c r="I2677" s="139"/>
      <c r="J2677" s="137"/>
      <c r="K2677" s="137"/>
      <c r="M2677" s="126"/>
      <c r="O2677" s="137"/>
      <c r="P2677" s="137"/>
      <c r="Q2677" s="126"/>
    </row>
    <row r="2678" spans="3:17" x14ac:dyDescent="0.3">
      <c r="C2678" s="126"/>
      <c r="F2678" s="137"/>
      <c r="G2678" s="138"/>
      <c r="H2678" s="138"/>
      <c r="I2678" s="139"/>
      <c r="J2678" s="137"/>
      <c r="K2678" s="137"/>
      <c r="M2678" s="126"/>
      <c r="O2678" s="137"/>
      <c r="P2678" s="137"/>
      <c r="Q2678" s="126"/>
    </row>
    <row r="2679" spans="3:17" x14ac:dyDescent="0.3">
      <c r="C2679" s="126"/>
      <c r="F2679" s="137"/>
      <c r="G2679" s="138"/>
      <c r="H2679" s="138"/>
      <c r="I2679" s="139"/>
      <c r="J2679" s="137"/>
      <c r="K2679" s="137"/>
      <c r="M2679" s="126"/>
      <c r="O2679" s="137"/>
      <c r="P2679" s="137"/>
      <c r="Q2679" s="126"/>
    </row>
    <row r="2680" spans="3:17" x14ac:dyDescent="0.3">
      <c r="C2680" s="126"/>
      <c r="F2680" s="137"/>
      <c r="G2680" s="138"/>
      <c r="H2680" s="138"/>
      <c r="I2680" s="139"/>
      <c r="J2680" s="137"/>
      <c r="K2680" s="137"/>
      <c r="M2680" s="126"/>
      <c r="O2680" s="137"/>
      <c r="P2680" s="137"/>
      <c r="Q2680" s="126"/>
    </row>
    <row r="2681" spans="3:17" x14ac:dyDescent="0.3">
      <c r="C2681" s="126"/>
      <c r="F2681" s="137"/>
      <c r="G2681" s="138"/>
      <c r="H2681" s="138"/>
      <c r="I2681" s="139"/>
      <c r="J2681" s="137"/>
      <c r="K2681" s="137"/>
      <c r="M2681" s="126"/>
      <c r="O2681" s="137"/>
      <c r="P2681" s="137"/>
      <c r="Q2681" s="126"/>
    </row>
    <row r="2682" spans="3:17" x14ac:dyDescent="0.3">
      <c r="C2682" s="126"/>
      <c r="F2682" s="137"/>
      <c r="G2682" s="138"/>
      <c r="H2682" s="138"/>
      <c r="I2682" s="139"/>
      <c r="J2682" s="137"/>
      <c r="K2682" s="137"/>
      <c r="M2682" s="126"/>
      <c r="O2682" s="137"/>
      <c r="P2682" s="137"/>
      <c r="Q2682" s="126"/>
    </row>
    <row r="2683" spans="3:17" x14ac:dyDescent="0.3">
      <c r="C2683" s="126"/>
      <c r="F2683" s="137"/>
      <c r="G2683" s="138"/>
      <c r="H2683" s="138"/>
      <c r="I2683" s="139"/>
      <c r="J2683" s="137"/>
      <c r="K2683" s="137"/>
      <c r="M2683" s="126"/>
      <c r="O2683" s="137"/>
      <c r="P2683" s="137"/>
      <c r="Q2683" s="126"/>
    </row>
    <row r="2684" spans="3:17" x14ac:dyDescent="0.3">
      <c r="C2684" s="126"/>
      <c r="F2684" s="137"/>
      <c r="G2684" s="138"/>
      <c r="H2684" s="138"/>
      <c r="I2684" s="139"/>
      <c r="J2684" s="137"/>
      <c r="K2684" s="137"/>
      <c r="M2684" s="126"/>
      <c r="O2684" s="137"/>
      <c r="P2684" s="137"/>
      <c r="Q2684" s="126"/>
    </row>
    <row r="2685" spans="3:17" x14ac:dyDescent="0.3">
      <c r="C2685" s="126"/>
      <c r="F2685" s="137"/>
      <c r="G2685" s="138"/>
      <c r="H2685" s="138"/>
      <c r="I2685" s="139"/>
      <c r="J2685" s="137"/>
      <c r="K2685" s="137"/>
      <c r="M2685" s="126"/>
      <c r="O2685" s="137"/>
      <c r="P2685" s="137"/>
      <c r="Q2685" s="126"/>
    </row>
    <row r="2686" spans="3:17" x14ac:dyDescent="0.3">
      <c r="C2686" s="126"/>
      <c r="F2686" s="137"/>
      <c r="G2686" s="138"/>
      <c r="H2686" s="138"/>
      <c r="I2686" s="139"/>
      <c r="J2686" s="137"/>
      <c r="K2686" s="137"/>
      <c r="M2686" s="126"/>
      <c r="O2686" s="137"/>
      <c r="P2686" s="137"/>
      <c r="Q2686" s="126"/>
    </row>
    <row r="2687" spans="3:17" x14ac:dyDescent="0.3">
      <c r="C2687" s="126"/>
      <c r="F2687" s="137"/>
      <c r="G2687" s="138"/>
      <c r="H2687" s="138"/>
      <c r="I2687" s="139"/>
      <c r="J2687" s="137"/>
      <c r="K2687" s="137"/>
      <c r="M2687" s="126"/>
      <c r="O2687" s="137"/>
      <c r="P2687" s="137"/>
      <c r="Q2687" s="126"/>
    </row>
    <row r="2688" spans="3:17" x14ac:dyDescent="0.3">
      <c r="C2688" s="126"/>
      <c r="F2688" s="137"/>
      <c r="G2688" s="138"/>
      <c r="H2688" s="138"/>
      <c r="I2688" s="139"/>
      <c r="J2688" s="137"/>
      <c r="K2688" s="137"/>
      <c r="M2688" s="126"/>
      <c r="O2688" s="137"/>
      <c r="P2688" s="137"/>
      <c r="Q2688" s="126"/>
    </row>
    <row r="2689" spans="3:17" x14ac:dyDescent="0.3">
      <c r="C2689" s="126"/>
      <c r="F2689" s="137"/>
      <c r="G2689" s="138"/>
      <c r="H2689" s="138"/>
      <c r="I2689" s="139"/>
      <c r="J2689" s="137"/>
      <c r="K2689" s="137"/>
      <c r="M2689" s="126"/>
      <c r="O2689" s="137"/>
      <c r="P2689" s="137"/>
      <c r="Q2689" s="126"/>
    </row>
    <row r="2690" spans="3:17" x14ac:dyDescent="0.3">
      <c r="C2690" s="126"/>
      <c r="F2690" s="137"/>
      <c r="G2690" s="138"/>
      <c r="H2690" s="138"/>
      <c r="I2690" s="139"/>
      <c r="J2690" s="137"/>
      <c r="K2690" s="137"/>
      <c r="M2690" s="126"/>
      <c r="O2690" s="137"/>
      <c r="P2690" s="137"/>
      <c r="Q2690" s="126"/>
    </row>
    <row r="2691" spans="3:17" x14ac:dyDescent="0.3">
      <c r="C2691" s="126"/>
      <c r="F2691" s="137"/>
      <c r="G2691" s="138"/>
      <c r="H2691" s="138"/>
      <c r="I2691" s="139"/>
      <c r="J2691" s="137"/>
      <c r="K2691" s="137"/>
      <c r="M2691" s="126"/>
      <c r="O2691" s="137"/>
      <c r="P2691" s="137"/>
      <c r="Q2691" s="126"/>
    </row>
    <row r="2692" spans="3:17" x14ac:dyDescent="0.3">
      <c r="C2692" s="126"/>
      <c r="F2692" s="137"/>
      <c r="G2692" s="138"/>
      <c r="H2692" s="138"/>
      <c r="I2692" s="139"/>
      <c r="J2692" s="137"/>
      <c r="K2692" s="137"/>
      <c r="M2692" s="126"/>
      <c r="O2692" s="137"/>
      <c r="P2692" s="137"/>
      <c r="Q2692" s="126"/>
    </row>
    <row r="2693" spans="3:17" x14ac:dyDescent="0.3">
      <c r="C2693" s="126"/>
      <c r="F2693" s="137"/>
      <c r="G2693" s="138"/>
      <c r="H2693" s="138"/>
      <c r="I2693" s="139"/>
      <c r="J2693" s="137"/>
      <c r="K2693" s="137"/>
      <c r="M2693" s="126"/>
      <c r="O2693" s="137"/>
      <c r="P2693" s="137"/>
      <c r="Q2693" s="126"/>
    </row>
    <row r="2694" spans="3:17" x14ac:dyDescent="0.3">
      <c r="C2694" s="126"/>
      <c r="F2694" s="137"/>
      <c r="G2694" s="138"/>
      <c r="H2694" s="138"/>
      <c r="I2694" s="139"/>
      <c r="J2694" s="137"/>
      <c r="K2694" s="137"/>
      <c r="M2694" s="126"/>
      <c r="O2694" s="137"/>
      <c r="P2694" s="137"/>
      <c r="Q2694" s="126"/>
    </row>
    <row r="2695" spans="3:17" x14ac:dyDescent="0.3">
      <c r="C2695" s="126"/>
      <c r="F2695" s="137"/>
      <c r="G2695" s="138"/>
      <c r="H2695" s="138"/>
      <c r="I2695" s="139"/>
      <c r="J2695" s="137"/>
      <c r="K2695" s="137"/>
      <c r="M2695" s="126"/>
      <c r="O2695" s="137"/>
      <c r="P2695" s="137"/>
      <c r="Q2695" s="126"/>
    </row>
    <row r="2696" spans="3:17" x14ac:dyDescent="0.3">
      <c r="C2696" s="126"/>
      <c r="F2696" s="137"/>
      <c r="G2696" s="138"/>
      <c r="H2696" s="138"/>
      <c r="I2696" s="139"/>
      <c r="J2696" s="137"/>
      <c r="K2696" s="137"/>
      <c r="M2696" s="126"/>
      <c r="O2696" s="137"/>
      <c r="P2696" s="137"/>
      <c r="Q2696" s="126"/>
    </row>
    <row r="2697" spans="3:17" x14ac:dyDescent="0.3">
      <c r="C2697" s="126"/>
      <c r="F2697" s="137"/>
      <c r="G2697" s="138"/>
      <c r="H2697" s="138"/>
      <c r="I2697" s="139"/>
      <c r="J2697" s="137"/>
      <c r="K2697" s="137"/>
      <c r="M2697" s="126"/>
      <c r="O2697" s="137"/>
      <c r="P2697" s="137"/>
      <c r="Q2697" s="126"/>
    </row>
    <row r="2698" spans="3:17" x14ac:dyDescent="0.3">
      <c r="C2698" s="126"/>
      <c r="F2698" s="137"/>
      <c r="G2698" s="138"/>
      <c r="H2698" s="138"/>
      <c r="I2698" s="139"/>
      <c r="J2698" s="137"/>
      <c r="K2698" s="137"/>
      <c r="M2698" s="126"/>
      <c r="O2698" s="137"/>
      <c r="P2698" s="137"/>
      <c r="Q2698" s="126"/>
    </row>
    <row r="2699" spans="3:17" x14ac:dyDescent="0.3">
      <c r="C2699" s="126"/>
      <c r="F2699" s="137"/>
      <c r="G2699" s="138"/>
      <c r="H2699" s="138"/>
      <c r="I2699" s="139"/>
      <c r="J2699" s="137"/>
      <c r="K2699" s="137"/>
      <c r="M2699" s="126"/>
      <c r="O2699" s="137"/>
      <c r="P2699" s="137"/>
      <c r="Q2699" s="126"/>
    </row>
    <row r="2700" spans="3:17" x14ac:dyDescent="0.3">
      <c r="C2700" s="126"/>
      <c r="F2700" s="137"/>
      <c r="G2700" s="138"/>
      <c r="H2700" s="138"/>
      <c r="I2700" s="139"/>
      <c r="J2700" s="137"/>
      <c r="K2700" s="137"/>
      <c r="M2700" s="126"/>
      <c r="O2700" s="137"/>
      <c r="P2700" s="137"/>
      <c r="Q2700" s="126"/>
    </row>
    <row r="2701" spans="3:17" x14ac:dyDescent="0.3">
      <c r="C2701" s="126"/>
      <c r="F2701" s="137"/>
      <c r="G2701" s="138"/>
      <c r="H2701" s="138"/>
      <c r="I2701" s="139"/>
      <c r="J2701" s="137"/>
      <c r="K2701" s="137"/>
      <c r="M2701" s="126"/>
      <c r="O2701" s="137"/>
      <c r="P2701" s="137"/>
      <c r="Q2701" s="126"/>
    </row>
    <row r="2702" spans="3:17" x14ac:dyDescent="0.3">
      <c r="C2702" s="126"/>
      <c r="F2702" s="137"/>
      <c r="G2702" s="138"/>
      <c r="H2702" s="138"/>
      <c r="I2702" s="139"/>
      <c r="J2702" s="137"/>
      <c r="K2702" s="137"/>
      <c r="M2702" s="126"/>
      <c r="O2702" s="137"/>
      <c r="P2702" s="137"/>
      <c r="Q2702" s="126"/>
    </row>
    <row r="2703" spans="3:17" x14ac:dyDescent="0.3">
      <c r="C2703" s="126"/>
      <c r="F2703" s="137"/>
      <c r="G2703" s="138"/>
      <c r="H2703" s="138"/>
      <c r="I2703" s="139"/>
      <c r="J2703" s="137"/>
      <c r="K2703" s="137"/>
      <c r="M2703" s="126"/>
      <c r="O2703" s="137"/>
      <c r="P2703" s="137"/>
      <c r="Q2703" s="126"/>
    </row>
    <row r="2704" spans="3:17" x14ac:dyDescent="0.3">
      <c r="C2704" s="126"/>
      <c r="F2704" s="137"/>
      <c r="G2704" s="138"/>
      <c r="H2704" s="138"/>
      <c r="I2704" s="139"/>
      <c r="J2704" s="137"/>
      <c r="K2704" s="137"/>
      <c r="M2704" s="126"/>
      <c r="O2704" s="137"/>
      <c r="P2704" s="137"/>
      <c r="Q2704" s="126"/>
    </row>
    <row r="2705" spans="3:17" x14ac:dyDescent="0.3">
      <c r="C2705" s="126"/>
      <c r="F2705" s="137"/>
      <c r="G2705" s="138"/>
      <c r="H2705" s="138"/>
      <c r="I2705" s="139"/>
      <c r="J2705" s="137"/>
      <c r="K2705" s="137"/>
      <c r="M2705" s="126"/>
      <c r="O2705" s="137"/>
      <c r="P2705" s="137"/>
      <c r="Q2705" s="126"/>
    </row>
    <row r="2706" spans="3:17" x14ac:dyDescent="0.3">
      <c r="C2706" s="126"/>
      <c r="F2706" s="137"/>
      <c r="G2706" s="138"/>
      <c r="H2706" s="138"/>
      <c r="I2706" s="139"/>
      <c r="J2706" s="137"/>
      <c r="K2706" s="137"/>
      <c r="M2706" s="126"/>
      <c r="O2706" s="137"/>
      <c r="P2706" s="137"/>
      <c r="Q2706" s="126"/>
    </row>
    <row r="2707" spans="3:17" x14ac:dyDescent="0.3">
      <c r="C2707" s="126"/>
      <c r="F2707" s="137"/>
      <c r="G2707" s="138"/>
      <c r="H2707" s="138"/>
      <c r="I2707" s="139"/>
      <c r="J2707" s="137"/>
      <c r="K2707" s="137"/>
      <c r="M2707" s="126"/>
      <c r="O2707" s="137"/>
      <c r="P2707" s="137"/>
      <c r="Q2707" s="126"/>
    </row>
    <row r="2708" spans="3:17" x14ac:dyDescent="0.3">
      <c r="C2708" s="126"/>
      <c r="F2708" s="137"/>
      <c r="G2708" s="138"/>
      <c r="H2708" s="138"/>
      <c r="I2708" s="139"/>
      <c r="J2708" s="137"/>
      <c r="K2708" s="137"/>
      <c r="M2708" s="126"/>
      <c r="O2708" s="137"/>
      <c r="P2708" s="137"/>
      <c r="Q2708" s="126"/>
    </row>
    <row r="2709" spans="3:17" x14ac:dyDescent="0.3">
      <c r="C2709" s="126"/>
      <c r="F2709" s="137"/>
      <c r="G2709" s="138"/>
      <c r="H2709" s="138"/>
      <c r="I2709" s="139"/>
      <c r="J2709" s="137"/>
      <c r="K2709" s="137"/>
      <c r="M2709" s="126"/>
      <c r="O2709" s="137"/>
      <c r="P2709" s="137"/>
      <c r="Q2709" s="126"/>
    </row>
    <row r="2710" spans="3:17" x14ac:dyDescent="0.3">
      <c r="C2710" s="126"/>
      <c r="F2710" s="137"/>
      <c r="G2710" s="138"/>
      <c r="H2710" s="138"/>
      <c r="I2710" s="139"/>
      <c r="J2710" s="137"/>
      <c r="K2710" s="137"/>
      <c r="M2710" s="126"/>
      <c r="O2710" s="137"/>
      <c r="P2710" s="137"/>
      <c r="Q2710" s="126"/>
    </row>
    <row r="2711" spans="3:17" x14ac:dyDescent="0.3">
      <c r="C2711" s="126"/>
      <c r="F2711" s="137"/>
      <c r="G2711" s="138"/>
      <c r="H2711" s="138"/>
      <c r="I2711" s="139"/>
      <c r="J2711" s="137"/>
      <c r="K2711" s="137"/>
      <c r="M2711" s="126"/>
      <c r="O2711" s="137"/>
      <c r="P2711" s="137"/>
      <c r="Q2711" s="126"/>
    </row>
    <row r="2712" spans="3:17" x14ac:dyDescent="0.3">
      <c r="C2712" s="126"/>
      <c r="F2712" s="137"/>
      <c r="G2712" s="138"/>
      <c r="H2712" s="138"/>
      <c r="I2712" s="139"/>
      <c r="J2712" s="137"/>
      <c r="K2712" s="137"/>
      <c r="M2712" s="126"/>
      <c r="O2712" s="137"/>
      <c r="P2712" s="137"/>
      <c r="Q2712" s="126"/>
    </row>
    <row r="2713" spans="3:17" x14ac:dyDescent="0.3">
      <c r="C2713" s="126"/>
      <c r="F2713" s="137"/>
      <c r="G2713" s="138"/>
      <c r="H2713" s="138"/>
      <c r="I2713" s="139"/>
      <c r="J2713" s="137"/>
      <c r="K2713" s="137"/>
      <c r="M2713" s="126"/>
      <c r="O2713" s="137"/>
      <c r="P2713" s="137"/>
      <c r="Q2713" s="126"/>
    </row>
    <row r="2714" spans="3:17" x14ac:dyDescent="0.3">
      <c r="C2714" s="126"/>
      <c r="F2714" s="137"/>
      <c r="G2714" s="138"/>
      <c r="H2714" s="138"/>
      <c r="I2714" s="139"/>
      <c r="J2714" s="137"/>
      <c r="K2714" s="137"/>
      <c r="M2714" s="126"/>
      <c r="O2714" s="137"/>
      <c r="P2714" s="137"/>
      <c r="Q2714" s="126"/>
    </row>
    <row r="2715" spans="3:17" x14ac:dyDescent="0.3">
      <c r="C2715" s="126"/>
      <c r="F2715" s="137"/>
      <c r="G2715" s="138"/>
      <c r="H2715" s="138"/>
      <c r="I2715" s="139"/>
      <c r="J2715" s="137"/>
      <c r="K2715" s="137"/>
      <c r="M2715" s="126"/>
      <c r="O2715" s="137"/>
      <c r="P2715" s="137"/>
      <c r="Q2715" s="126"/>
    </row>
    <row r="2716" spans="3:17" x14ac:dyDescent="0.3">
      <c r="C2716" s="126"/>
      <c r="F2716" s="137"/>
      <c r="G2716" s="138"/>
      <c r="H2716" s="138"/>
      <c r="I2716" s="139"/>
      <c r="J2716" s="137"/>
      <c r="K2716" s="137"/>
      <c r="M2716" s="126"/>
      <c r="O2716" s="137"/>
      <c r="P2716" s="137"/>
      <c r="Q2716" s="126"/>
    </row>
    <row r="2717" spans="3:17" x14ac:dyDescent="0.3">
      <c r="C2717" s="126"/>
      <c r="F2717" s="137"/>
      <c r="G2717" s="138"/>
      <c r="H2717" s="138"/>
      <c r="I2717" s="139"/>
      <c r="J2717" s="137"/>
      <c r="K2717" s="137"/>
      <c r="M2717" s="126"/>
      <c r="O2717" s="137"/>
      <c r="P2717" s="137"/>
      <c r="Q2717" s="126"/>
    </row>
    <row r="2718" spans="3:17" x14ac:dyDescent="0.3">
      <c r="C2718" s="126"/>
      <c r="F2718" s="137"/>
      <c r="G2718" s="138"/>
      <c r="H2718" s="138"/>
      <c r="I2718" s="139"/>
      <c r="J2718" s="137"/>
      <c r="K2718" s="137"/>
      <c r="M2718" s="126"/>
      <c r="O2718" s="137"/>
      <c r="P2718" s="137"/>
      <c r="Q2718" s="126"/>
    </row>
    <row r="2719" spans="3:17" x14ac:dyDescent="0.3">
      <c r="C2719" s="126"/>
      <c r="F2719" s="137"/>
      <c r="G2719" s="138"/>
      <c r="H2719" s="138"/>
      <c r="I2719" s="139"/>
      <c r="J2719" s="137"/>
      <c r="K2719" s="137"/>
      <c r="M2719" s="126"/>
      <c r="O2719" s="137"/>
      <c r="P2719" s="137"/>
      <c r="Q2719" s="126"/>
    </row>
    <row r="2720" spans="3:17" x14ac:dyDescent="0.3">
      <c r="C2720" s="126"/>
      <c r="F2720" s="137"/>
      <c r="G2720" s="138"/>
      <c r="H2720" s="138"/>
      <c r="I2720" s="139"/>
      <c r="J2720" s="137"/>
      <c r="K2720" s="137"/>
      <c r="M2720" s="126"/>
      <c r="O2720" s="137"/>
      <c r="P2720" s="137"/>
      <c r="Q2720" s="126"/>
    </row>
    <row r="2721" spans="3:17" x14ac:dyDescent="0.3">
      <c r="C2721" s="126"/>
      <c r="F2721" s="137"/>
      <c r="G2721" s="138"/>
      <c r="H2721" s="138"/>
      <c r="I2721" s="139"/>
      <c r="J2721" s="137"/>
      <c r="K2721" s="137"/>
      <c r="M2721" s="126"/>
      <c r="O2721" s="137"/>
      <c r="P2721" s="137"/>
      <c r="Q2721" s="126"/>
    </row>
    <row r="2722" spans="3:17" x14ac:dyDescent="0.3">
      <c r="C2722" s="126"/>
      <c r="F2722" s="137"/>
      <c r="G2722" s="138"/>
      <c r="H2722" s="138"/>
      <c r="I2722" s="139"/>
      <c r="J2722" s="137"/>
      <c r="K2722" s="137"/>
      <c r="M2722" s="126"/>
      <c r="O2722" s="137"/>
      <c r="P2722" s="137"/>
      <c r="Q2722" s="126"/>
    </row>
    <row r="2723" spans="3:17" x14ac:dyDescent="0.3">
      <c r="C2723" s="126"/>
      <c r="F2723" s="137"/>
      <c r="G2723" s="138"/>
      <c r="H2723" s="138"/>
      <c r="I2723" s="139"/>
      <c r="J2723" s="137"/>
      <c r="K2723" s="137"/>
      <c r="M2723" s="126"/>
      <c r="O2723" s="137"/>
      <c r="P2723" s="137"/>
      <c r="Q2723" s="126"/>
    </row>
    <row r="2724" spans="3:17" x14ac:dyDescent="0.3">
      <c r="C2724" s="126"/>
      <c r="F2724" s="137"/>
      <c r="G2724" s="138"/>
      <c r="H2724" s="138"/>
      <c r="I2724" s="139"/>
      <c r="J2724" s="137"/>
      <c r="K2724" s="137"/>
      <c r="M2724" s="126"/>
      <c r="O2724" s="137"/>
      <c r="P2724" s="137"/>
      <c r="Q2724" s="126"/>
    </row>
    <row r="2725" spans="3:17" x14ac:dyDescent="0.3">
      <c r="C2725" s="126"/>
      <c r="F2725" s="137"/>
      <c r="G2725" s="138"/>
      <c r="H2725" s="138"/>
      <c r="I2725" s="139"/>
      <c r="J2725" s="137"/>
      <c r="K2725" s="137"/>
      <c r="M2725" s="126"/>
      <c r="O2725" s="137"/>
      <c r="P2725" s="137"/>
      <c r="Q2725" s="126"/>
    </row>
    <row r="2726" spans="3:17" x14ac:dyDescent="0.3">
      <c r="C2726" s="126"/>
      <c r="F2726" s="137"/>
      <c r="G2726" s="138"/>
      <c r="H2726" s="138"/>
      <c r="I2726" s="139"/>
      <c r="J2726" s="137"/>
      <c r="K2726" s="137"/>
      <c r="M2726" s="126"/>
      <c r="O2726" s="137"/>
      <c r="P2726" s="137"/>
      <c r="Q2726" s="126"/>
    </row>
    <row r="2727" spans="3:17" x14ac:dyDescent="0.3">
      <c r="C2727" s="126"/>
      <c r="F2727" s="137"/>
      <c r="G2727" s="138"/>
      <c r="H2727" s="138"/>
      <c r="I2727" s="139"/>
      <c r="J2727" s="137"/>
      <c r="K2727" s="137"/>
      <c r="M2727" s="126"/>
      <c r="O2727" s="137"/>
      <c r="P2727" s="137"/>
      <c r="Q2727" s="126"/>
    </row>
    <row r="2728" spans="3:17" x14ac:dyDescent="0.3">
      <c r="C2728" s="126"/>
      <c r="F2728" s="137"/>
      <c r="G2728" s="138"/>
      <c r="H2728" s="138"/>
      <c r="I2728" s="139"/>
      <c r="J2728" s="137"/>
      <c r="K2728" s="137"/>
      <c r="M2728" s="126"/>
      <c r="O2728" s="137"/>
      <c r="P2728" s="137"/>
      <c r="Q2728" s="126"/>
    </row>
    <row r="2729" spans="3:17" x14ac:dyDescent="0.3">
      <c r="C2729" s="126"/>
      <c r="F2729" s="137"/>
      <c r="G2729" s="138"/>
      <c r="H2729" s="138"/>
      <c r="I2729" s="139"/>
      <c r="J2729" s="137"/>
      <c r="K2729" s="137"/>
      <c r="M2729" s="126"/>
      <c r="O2729" s="137"/>
      <c r="P2729" s="137"/>
      <c r="Q2729" s="126"/>
    </row>
    <row r="2730" spans="3:17" x14ac:dyDescent="0.3">
      <c r="C2730" s="126"/>
      <c r="F2730" s="137"/>
      <c r="G2730" s="138"/>
      <c r="H2730" s="138"/>
      <c r="I2730" s="139"/>
      <c r="J2730" s="137"/>
      <c r="K2730" s="137"/>
      <c r="M2730" s="126"/>
      <c r="O2730" s="137"/>
      <c r="P2730" s="137"/>
      <c r="Q2730" s="126"/>
    </row>
    <row r="2731" spans="3:17" x14ac:dyDescent="0.3">
      <c r="C2731" s="126"/>
      <c r="F2731" s="137"/>
      <c r="G2731" s="138"/>
      <c r="H2731" s="138"/>
      <c r="I2731" s="139"/>
      <c r="J2731" s="137"/>
      <c r="K2731" s="137"/>
      <c r="M2731" s="126"/>
      <c r="O2731" s="137"/>
      <c r="P2731" s="137"/>
      <c r="Q2731" s="126"/>
    </row>
    <row r="2732" spans="3:17" x14ac:dyDescent="0.3">
      <c r="C2732" s="126"/>
      <c r="F2732" s="137"/>
      <c r="G2732" s="138"/>
      <c r="H2732" s="138"/>
      <c r="I2732" s="139"/>
      <c r="J2732" s="137"/>
      <c r="K2732" s="137"/>
      <c r="M2732" s="126"/>
      <c r="O2732" s="137"/>
      <c r="P2732" s="137"/>
      <c r="Q2732" s="126"/>
    </row>
    <row r="2733" spans="3:17" x14ac:dyDescent="0.3">
      <c r="C2733" s="126"/>
      <c r="F2733" s="137"/>
      <c r="G2733" s="138"/>
      <c r="H2733" s="138"/>
      <c r="I2733" s="139"/>
      <c r="J2733" s="137"/>
      <c r="K2733" s="137"/>
      <c r="M2733" s="126"/>
      <c r="O2733" s="137"/>
      <c r="P2733" s="137"/>
      <c r="Q2733" s="126"/>
    </row>
    <row r="2734" spans="3:17" x14ac:dyDescent="0.3">
      <c r="C2734" s="126"/>
      <c r="F2734" s="137"/>
      <c r="G2734" s="138"/>
      <c r="H2734" s="138"/>
      <c r="I2734" s="139"/>
      <c r="J2734" s="137"/>
      <c r="K2734" s="137"/>
      <c r="M2734" s="126"/>
      <c r="O2734" s="137"/>
      <c r="P2734" s="137"/>
      <c r="Q2734" s="126"/>
    </row>
    <row r="2735" spans="3:17" x14ac:dyDescent="0.3">
      <c r="C2735" s="126"/>
      <c r="F2735" s="137"/>
      <c r="G2735" s="138"/>
      <c r="H2735" s="138"/>
      <c r="I2735" s="139"/>
      <c r="J2735" s="137"/>
      <c r="K2735" s="137"/>
      <c r="M2735" s="126"/>
      <c r="O2735" s="137"/>
      <c r="P2735" s="137"/>
      <c r="Q2735" s="126"/>
    </row>
    <row r="2736" spans="3:17" x14ac:dyDescent="0.3">
      <c r="C2736" s="126"/>
      <c r="F2736" s="137"/>
      <c r="G2736" s="138"/>
      <c r="H2736" s="138"/>
      <c r="I2736" s="139"/>
      <c r="J2736" s="137"/>
      <c r="K2736" s="137"/>
      <c r="M2736" s="126"/>
      <c r="O2736" s="137"/>
      <c r="P2736" s="137"/>
      <c r="Q2736" s="126"/>
    </row>
    <row r="2737" spans="3:17" x14ac:dyDescent="0.3">
      <c r="C2737" s="126"/>
      <c r="F2737" s="137"/>
      <c r="G2737" s="138"/>
      <c r="H2737" s="138"/>
      <c r="I2737" s="139"/>
      <c r="J2737" s="137"/>
      <c r="K2737" s="137"/>
      <c r="M2737" s="126"/>
      <c r="O2737" s="137"/>
      <c r="P2737" s="137"/>
      <c r="Q2737" s="126"/>
    </row>
    <row r="2738" spans="3:17" x14ac:dyDescent="0.3">
      <c r="C2738" s="126"/>
      <c r="F2738" s="137"/>
      <c r="G2738" s="138"/>
      <c r="H2738" s="138"/>
      <c r="I2738" s="139"/>
      <c r="J2738" s="137"/>
      <c r="K2738" s="137"/>
      <c r="M2738" s="126"/>
      <c r="O2738" s="137"/>
      <c r="P2738" s="137"/>
      <c r="Q2738" s="126"/>
    </row>
    <row r="2739" spans="3:17" x14ac:dyDescent="0.3">
      <c r="C2739" s="126"/>
      <c r="F2739" s="137"/>
      <c r="G2739" s="138"/>
      <c r="H2739" s="138"/>
      <c r="I2739" s="139"/>
      <c r="J2739" s="137"/>
      <c r="K2739" s="137"/>
      <c r="M2739" s="126"/>
      <c r="O2739" s="137"/>
      <c r="P2739" s="137"/>
      <c r="Q2739" s="126"/>
    </row>
    <row r="2740" spans="3:17" x14ac:dyDescent="0.3">
      <c r="C2740" s="126"/>
      <c r="F2740" s="137"/>
      <c r="G2740" s="138"/>
      <c r="H2740" s="138"/>
      <c r="I2740" s="139"/>
      <c r="J2740" s="137"/>
      <c r="K2740" s="137"/>
      <c r="M2740" s="126"/>
      <c r="O2740" s="137"/>
      <c r="P2740" s="137"/>
      <c r="Q2740" s="126"/>
    </row>
    <row r="2741" spans="3:17" x14ac:dyDescent="0.3">
      <c r="C2741" s="126"/>
      <c r="F2741" s="137"/>
      <c r="G2741" s="138"/>
      <c r="H2741" s="138"/>
      <c r="I2741" s="139"/>
      <c r="J2741" s="137"/>
      <c r="K2741" s="137"/>
      <c r="M2741" s="126"/>
      <c r="O2741" s="137"/>
      <c r="P2741" s="137"/>
      <c r="Q2741" s="126"/>
    </row>
    <row r="2742" spans="3:17" x14ac:dyDescent="0.3">
      <c r="C2742" s="126"/>
      <c r="F2742" s="137"/>
      <c r="G2742" s="138"/>
      <c r="H2742" s="138"/>
      <c r="I2742" s="139"/>
      <c r="J2742" s="137"/>
      <c r="K2742" s="137"/>
      <c r="M2742" s="126"/>
      <c r="O2742" s="137"/>
      <c r="P2742" s="137"/>
      <c r="Q2742" s="126"/>
    </row>
    <row r="2743" spans="3:17" x14ac:dyDescent="0.3">
      <c r="C2743" s="126"/>
      <c r="F2743" s="137"/>
      <c r="G2743" s="138"/>
      <c r="H2743" s="138"/>
      <c r="I2743" s="139"/>
      <c r="J2743" s="137"/>
      <c r="K2743" s="137"/>
      <c r="M2743" s="126"/>
      <c r="O2743" s="137"/>
      <c r="P2743" s="137"/>
      <c r="Q2743" s="126"/>
    </row>
    <row r="2744" spans="3:17" x14ac:dyDescent="0.3">
      <c r="C2744" s="126"/>
      <c r="F2744" s="137"/>
      <c r="G2744" s="138"/>
      <c r="H2744" s="138"/>
      <c r="I2744" s="139"/>
      <c r="J2744" s="137"/>
      <c r="K2744" s="137"/>
      <c r="M2744" s="126"/>
      <c r="O2744" s="137"/>
      <c r="P2744" s="137"/>
      <c r="Q2744" s="126"/>
    </row>
    <row r="2745" spans="3:17" x14ac:dyDescent="0.3">
      <c r="C2745" s="126"/>
      <c r="F2745" s="137"/>
      <c r="G2745" s="138"/>
      <c r="H2745" s="138"/>
      <c r="I2745" s="139"/>
      <c r="J2745" s="137"/>
      <c r="K2745" s="137"/>
      <c r="M2745" s="126"/>
      <c r="O2745" s="137"/>
      <c r="P2745" s="137"/>
      <c r="Q2745" s="126"/>
    </row>
    <row r="2746" spans="3:17" x14ac:dyDescent="0.3">
      <c r="C2746" s="126"/>
      <c r="F2746" s="137"/>
      <c r="G2746" s="138"/>
      <c r="H2746" s="138"/>
      <c r="I2746" s="139"/>
      <c r="J2746" s="137"/>
      <c r="K2746" s="137"/>
      <c r="M2746" s="126"/>
      <c r="O2746" s="137"/>
      <c r="P2746" s="137"/>
      <c r="Q2746" s="126"/>
    </row>
    <row r="2747" spans="3:17" x14ac:dyDescent="0.3">
      <c r="C2747" s="126"/>
      <c r="F2747" s="137"/>
      <c r="G2747" s="138"/>
      <c r="H2747" s="138"/>
      <c r="I2747" s="139"/>
      <c r="J2747" s="137"/>
      <c r="K2747" s="137"/>
      <c r="M2747" s="126"/>
      <c r="O2747" s="137"/>
      <c r="P2747" s="137"/>
      <c r="Q2747" s="126"/>
    </row>
    <row r="2748" spans="3:17" x14ac:dyDescent="0.3">
      <c r="C2748" s="126"/>
      <c r="F2748" s="137"/>
      <c r="G2748" s="138"/>
      <c r="H2748" s="138"/>
      <c r="I2748" s="139"/>
      <c r="J2748" s="137"/>
      <c r="K2748" s="137"/>
      <c r="M2748" s="126"/>
      <c r="O2748" s="137"/>
      <c r="P2748" s="137"/>
      <c r="Q2748" s="126"/>
    </row>
    <row r="2749" spans="3:17" x14ac:dyDescent="0.3">
      <c r="C2749" s="126"/>
      <c r="F2749" s="137"/>
      <c r="G2749" s="138"/>
      <c r="H2749" s="138"/>
      <c r="I2749" s="139"/>
      <c r="J2749" s="137"/>
      <c r="K2749" s="137"/>
      <c r="M2749" s="126"/>
      <c r="O2749" s="137"/>
      <c r="P2749" s="137"/>
      <c r="Q2749" s="126"/>
    </row>
    <row r="2750" spans="3:17" x14ac:dyDescent="0.3">
      <c r="C2750" s="126"/>
      <c r="F2750" s="137"/>
      <c r="G2750" s="138"/>
      <c r="H2750" s="138"/>
      <c r="I2750" s="139"/>
      <c r="J2750" s="137"/>
      <c r="K2750" s="137"/>
      <c r="M2750" s="126"/>
      <c r="O2750" s="137"/>
      <c r="P2750" s="137"/>
      <c r="Q2750" s="126"/>
    </row>
    <row r="2751" spans="3:17" x14ac:dyDescent="0.3">
      <c r="C2751" s="126"/>
      <c r="F2751" s="137"/>
      <c r="G2751" s="138"/>
      <c r="H2751" s="138"/>
      <c r="I2751" s="139"/>
      <c r="J2751" s="137"/>
      <c r="K2751" s="137"/>
      <c r="M2751" s="126"/>
      <c r="O2751" s="137"/>
      <c r="P2751" s="137"/>
      <c r="Q2751" s="126"/>
    </row>
    <row r="2752" spans="3:17" x14ac:dyDescent="0.3">
      <c r="C2752" s="126"/>
      <c r="F2752" s="137"/>
      <c r="G2752" s="138"/>
      <c r="H2752" s="138"/>
      <c r="I2752" s="139"/>
      <c r="J2752" s="137"/>
      <c r="K2752" s="137"/>
      <c r="M2752" s="126"/>
      <c r="O2752" s="137"/>
      <c r="P2752" s="137"/>
      <c r="Q2752" s="126"/>
    </row>
    <row r="2753" spans="3:17" x14ac:dyDescent="0.3">
      <c r="C2753" s="126"/>
      <c r="F2753" s="137"/>
      <c r="G2753" s="138"/>
      <c r="H2753" s="138"/>
      <c r="I2753" s="139"/>
      <c r="J2753" s="137"/>
      <c r="K2753" s="137"/>
      <c r="M2753" s="126"/>
      <c r="O2753" s="137"/>
      <c r="P2753" s="137"/>
      <c r="Q2753" s="126"/>
    </row>
    <row r="2754" spans="3:17" x14ac:dyDescent="0.3">
      <c r="C2754" s="126"/>
      <c r="F2754" s="137"/>
      <c r="G2754" s="138"/>
      <c r="H2754" s="138"/>
      <c r="I2754" s="139"/>
      <c r="J2754" s="137"/>
      <c r="K2754" s="137"/>
      <c r="M2754" s="126"/>
      <c r="O2754" s="137"/>
      <c r="P2754" s="137"/>
      <c r="Q2754" s="126"/>
    </row>
    <row r="2755" spans="3:17" x14ac:dyDescent="0.3">
      <c r="C2755" s="126"/>
      <c r="F2755" s="137"/>
      <c r="G2755" s="138"/>
      <c r="H2755" s="138"/>
      <c r="I2755" s="139"/>
      <c r="J2755" s="137"/>
      <c r="K2755" s="137"/>
      <c r="M2755" s="126"/>
      <c r="O2755" s="137"/>
      <c r="P2755" s="137"/>
      <c r="Q2755" s="126"/>
    </row>
    <row r="2756" spans="3:17" x14ac:dyDescent="0.3">
      <c r="C2756" s="126"/>
      <c r="F2756" s="137"/>
      <c r="G2756" s="138"/>
      <c r="H2756" s="138"/>
      <c r="I2756" s="139"/>
      <c r="J2756" s="137"/>
      <c r="K2756" s="137"/>
      <c r="M2756" s="126"/>
      <c r="O2756" s="137"/>
      <c r="P2756" s="137"/>
      <c r="Q2756" s="126"/>
    </row>
    <row r="2757" spans="3:17" x14ac:dyDescent="0.3">
      <c r="C2757" s="126"/>
      <c r="F2757" s="137"/>
      <c r="G2757" s="138"/>
      <c r="H2757" s="138"/>
      <c r="I2757" s="139"/>
      <c r="J2757" s="137"/>
      <c r="K2757" s="137"/>
      <c r="M2757" s="126"/>
      <c r="O2757" s="137"/>
      <c r="P2757" s="137"/>
      <c r="Q2757" s="126"/>
    </row>
    <row r="2758" spans="3:17" x14ac:dyDescent="0.3">
      <c r="C2758" s="126"/>
      <c r="F2758" s="137"/>
      <c r="G2758" s="138"/>
      <c r="H2758" s="138"/>
      <c r="I2758" s="139"/>
      <c r="J2758" s="137"/>
      <c r="K2758" s="137"/>
      <c r="M2758" s="126"/>
      <c r="O2758" s="137"/>
      <c r="P2758" s="137"/>
      <c r="Q2758" s="126"/>
    </row>
    <row r="2759" spans="3:17" x14ac:dyDescent="0.3">
      <c r="C2759" s="126"/>
      <c r="F2759" s="137"/>
      <c r="G2759" s="138"/>
      <c r="H2759" s="138"/>
      <c r="I2759" s="139"/>
      <c r="J2759" s="137"/>
      <c r="K2759" s="137"/>
      <c r="M2759" s="126"/>
      <c r="O2759" s="137"/>
      <c r="P2759" s="137"/>
      <c r="Q2759" s="126"/>
    </row>
    <row r="2760" spans="3:17" x14ac:dyDescent="0.3">
      <c r="C2760" s="126"/>
      <c r="F2760" s="137"/>
      <c r="G2760" s="138"/>
      <c r="H2760" s="138"/>
      <c r="I2760" s="139"/>
      <c r="J2760" s="137"/>
      <c r="K2760" s="137"/>
      <c r="M2760" s="126"/>
      <c r="O2760" s="137"/>
      <c r="P2760" s="137"/>
      <c r="Q2760" s="126"/>
    </row>
    <row r="2761" spans="3:17" x14ac:dyDescent="0.3">
      <c r="C2761" s="126"/>
      <c r="F2761" s="137"/>
      <c r="G2761" s="138"/>
      <c r="H2761" s="138"/>
      <c r="I2761" s="139"/>
      <c r="J2761" s="137"/>
      <c r="K2761" s="137"/>
      <c r="M2761" s="126"/>
      <c r="O2761" s="137"/>
      <c r="P2761" s="137"/>
      <c r="Q2761" s="126"/>
    </row>
    <row r="2762" spans="3:17" x14ac:dyDescent="0.3">
      <c r="C2762" s="126"/>
      <c r="F2762" s="137"/>
      <c r="G2762" s="138"/>
      <c r="H2762" s="138"/>
      <c r="I2762" s="139"/>
      <c r="J2762" s="137"/>
      <c r="K2762" s="137"/>
      <c r="M2762" s="126"/>
      <c r="O2762" s="137"/>
      <c r="P2762" s="137"/>
      <c r="Q2762" s="126"/>
    </row>
    <row r="2763" spans="3:17" x14ac:dyDescent="0.3">
      <c r="C2763" s="126"/>
      <c r="F2763" s="137"/>
      <c r="G2763" s="138"/>
      <c r="H2763" s="138"/>
      <c r="I2763" s="139"/>
      <c r="J2763" s="137"/>
      <c r="K2763" s="137"/>
      <c r="M2763" s="126"/>
      <c r="O2763" s="137"/>
      <c r="P2763" s="137"/>
      <c r="Q2763" s="126"/>
    </row>
    <row r="2764" spans="3:17" x14ac:dyDescent="0.3">
      <c r="C2764" s="126"/>
      <c r="F2764" s="137"/>
      <c r="G2764" s="138"/>
      <c r="H2764" s="138"/>
      <c r="I2764" s="139"/>
      <c r="J2764" s="137"/>
      <c r="K2764" s="137"/>
      <c r="M2764" s="126"/>
      <c r="O2764" s="137"/>
      <c r="P2764" s="137"/>
      <c r="Q2764" s="126"/>
    </row>
    <row r="2765" spans="3:17" x14ac:dyDescent="0.3">
      <c r="C2765" s="126"/>
      <c r="F2765" s="137"/>
      <c r="G2765" s="138"/>
      <c r="H2765" s="138"/>
      <c r="I2765" s="139"/>
      <c r="J2765" s="137"/>
      <c r="K2765" s="137"/>
      <c r="M2765" s="126"/>
      <c r="O2765" s="137"/>
      <c r="P2765" s="137"/>
      <c r="Q2765" s="126"/>
    </row>
    <row r="2766" spans="3:17" x14ac:dyDescent="0.3">
      <c r="C2766" s="126"/>
      <c r="F2766" s="137"/>
      <c r="G2766" s="138"/>
      <c r="H2766" s="138"/>
      <c r="I2766" s="139"/>
      <c r="J2766" s="137"/>
      <c r="K2766" s="137"/>
      <c r="M2766" s="126"/>
      <c r="O2766" s="137"/>
      <c r="P2766" s="137"/>
      <c r="Q2766" s="126"/>
    </row>
    <row r="2767" spans="3:17" x14ac:dyDescent="0.3">
      <c r="C2767" s="126"/>
      <c r="F2767" s="137"/>
      <c r="G2767" s="138"/>
      <c r="H2767" s="138"/>
      <c r="I2767" s="139"/>
      <c r="J2767" s="137"/>
      <c r="K2767" s="137"/>
      <c r="M2767" s="126"/>
      <c r="O2767" s="137"/>
      <c r="P2767" s="137"/>
      <c r="Q2767" s="126"/>
    </row>
    <row r="2768" spans="3:17" x14ac:dyDescent="0.3">
      <c r="C2768" s="126"/>
      <c r="F2768" s="137"/>
      <c r="G2768" s="138"/>
      <c r="H2768" s="138"/>
      <c r="I2768" s="139"/>
      <c r="J2768" s="137"/>
      <c r="K2768" s="137"/>
      <c r="M2768" s="126"/>
      <c r="O2768" s="137"/>
      <c r="P2768" s="137"/>
      <c r="Q2768" s="126"/>
    </row>
    <row r="2769" spans="3:17" x14ac:dyDescent="0.3">
      <c r="C2769" s="126"/>
      <c r="F2769" s="137"/>
      <c r="G2769" s="138"/>
      <c r="H2769" s="138"/>
      <c r="I2769" s="139"/>
      <c r="J2769" s="137"/>
      <c r="K2769" s="137"/>
      <c r="M2769" s="126"/>
      <c r="O2769" s="137"/>
      <c r="P2769" s="137"/>
      <c r="Q2769" s="126"/>
    </row>
    <row r="2770" spans="3:17" x14ac:dyDescent="0.3">
      <c r="C2770" s="126"/>
      <c r="F2770" s="137"/>
      <c r="G2770" s="138"/>
      <c r="H2770" s="138"/>
      <c r="I2770" s="139"/>
      <c r="J2770" s="137"/>
      <c r="K2770" s="137"/>
      <c r="M2770" s="126"/>
      <c r="O2770" s="137"/>
      <c r="P2770" s="137"/>
      <c r="Q2770" s="126"/>
    </row>
    <row r="2771" spans="3:17" x14ac:dyDescent="0.3">
      <c r="C2771" s="126"/>
      <c r="F2771" s="137"/>
      <c r="G2771" s="138"/>
      <c r="H2771" s="138"/>
      <c r="I2771" s="139"/>
      <c r="J2771" s="137"/>
      <c r="K2771" s="137"/>
      <c r="M2771" s="126"/>
      <c r="O2771" s="137"/>
      <c r="P2771" s="137"/>
      <c r="Q2771" s="126"/>
    </row>
    <row r="2772" spans="3:17" x14ac:dyDescent="0.3">
      <c r="C2772" s="126"/>
      <c r="F2772" s="137"/>
      <c r="G2772" s="138"/>
      <c r="H2772" s="138"/>
      <c r="I2772" s="139"/>
      <c r="J2772" s="137"/>
      <c r="K2772" s="137"/>
      <c r="M2772" s="126"/>
      <c r="O2772" s="137"/>
      <c r="P2772" s="137"/>
      <c r="Q2772" s="126"/>
    </row>
    <row r="2773" spans="3:17" x14ac:dyDescent="0.3">
      <c r="C2773" s="126"/>
      <c r="F2773" s="137"/>
      <c r="G2773" s="138"/>
      <c r="H2773" s="138"/>
      <c r="I2773" s="139"/>
      <c r="J2773" s="137"/>
      <c r="K2773" s="137"/>
      <c r="M2773" s="126"/>
      <c r="O2773" s="137"/>
      <c r="P2773" s="137"/>
      <c r="Q2773" s="126"/>
    </row>
    <row r="2774" spans="3:17" x14ac:dyDescent="0.3">
      <c r="C2774" s="126"/>
      <c r="F2774" s="137"/>
      <c r="G2774" s="138"/>
      <c r="H2774" s="138"/>
      <c r="I2774" s="139"/>
      <c r="J2774" s="137"/>
      <c r="K2774" s="137"/>
      <c r="M2774" s="126"/>
      <c r="O2774" s="137"/>
      <c r="P2774" s="137"/>
      <c r="Q2774" s="126"/>
    </row>
    <row r="2775" spans="3:17" x14ac:dyDescent="0.3">
      <c r="C2775" s="126"/>
      <c r="F2775" s="137"/>
      <c r="G2775" s="138"/>
      <c r="H2775" s="138"/>
      <c r="I2775" s="139"/>
      <c r="J2775" s="137"/>
      <c r="K2775" s="137"/>
      <c r="M2775" s="126"/>
      <c r="O2775" s="137"/>
      <c r="P2775" s="137"/>
      <c r="Q2775" s="126"/>
    </row>
    <row r="2776" spans="3:17" x14ac:dyDescent="0.3">
      <c r="C2776" s="126"/>
      <c r="F2776" s="137"/>
      <c r="G2776" s="138"/>
      <c r="H2776" s="138"/>
      <c r="I2776" s="139"/>
      <c r="J2776" s="137"/>
      <c r="K2776" s="137"/>
      <c r="M2776" s="126"/>
      <c r="O2776" s="137"/>
      <c r="P2776" s="137"/>
      <c r="Q2776" s="126"/>
    </row>
    <row r="2777" spans="3:17" x14ac:dyDescent="0.3">
      <c r="C2777" s="126"/>
      <c r="F2777" s="137"/>
      <c r="G2777" s="138"/>
      <c r="H2777" s="138"/>
      <c r="I2777" s="139"/>
      <c r="J2777" s="137"/>
      <c r="K2777" s="137"/>
      <c r="M2777" s="126"/>
      <c r="O2777" s="137"/>
      <c r="P2777" s="137"/>
      <c r="Q2777" s="126"/>
    </row>
    <row r="2778" spans="3:17" x14ac:dyDescent="0.3">
      <c r="C2778" s="126"/>
      <c r="F2778" s="137"/>
      <c r="G2778" s="138"/>
      <c r="H2778" s="138"/>
      <c r="I2778" s="139"/>
      <c r="J2778" s="137"/>
      <c r="K2778" s="137"/>
      <c r="M2778" s="126"/>
      <c r="O2778" s="137"/>
      <c r="P2778" s="137"/>
      <c r="Q2778" s="126"/>
    </row>
    <row r="2779" spans="3:17" x14ac:dyDescent="0.3">
      <c r="C2779" s="126"/>
      <c r="F2779" s="137"/>
      <c r="G2779" s="138"/>
      <c r="H2779" s="138"/>
      <c r="I2779" s="139"/>
      <c r="J2779" s="137"/>
      <c r="K2779" s="137"/>
      <c r="M2779" s="126"/>
      <c r="O2779" s="137"/>
      <c r="P2779" s="137"/>
      <c r="Q2779" s="126"/>
    </row>
    <row r="2780" spans="3:17" x14ac:dyDescent="0.3">
      <c r="C2780" s="126"/>
      <c r="F2780" s="137"/>
      <c r="G2780" s="138"/>
      <c r="H2780" s="138"/>
      <c r="I2780" s="139"/>
      <c r="J2780" s="137"/>
      <c r="K2780" s="137"/>
      <c r="M2780" s="126"/>
      <c r="O2780" s="137"/>
      <c r="P2780" s="137"/>
      <c r="Q2780" s="126"/>
    </row>
    <row r="2781" spans="3:17" x14ac:dyDescent="0.3">
      <c r="C2781" s="126"/>
      <c r="F2781" s="137"/>
      <c r="G2781" s="138"/>
      <c r="H2781" s="138"/>
      <c r="I2781" s="139"/>
      <c r="J2781" s="137"/>
      <c r="K2781" s="137"/>
      <c r="M2781" s="126"/>
      <c r="O2781" s="137"/>
      <c r="P2781" s="137"/>
      <c r="Q2781" s="126"/>
    </row>
    <row r="2782" spans="3:17" x14ac:dyDescent="0.3">
      <c r="C2782" s="126"/>
      <c r="F2782" s="137"/>
      <c r="G2782" s="138"/>
      <c r="H2782" s="138"/>
      <c r="I2782" s="139"/>
      <c r="J2782" s="137"/>
      <c r="K2782" s="137"/>
      <c r="M2782" s="126"/>
      <c r="O2782" s="137"/>
      <c r="P2782" s="137"/>
      <c r="Q2782" s="126"/>
    </row>
    <row r="2783" spans="3:17" x14ac:dyDescent="0.3">
      <c r="C2783" s="126"/>
      <c r="F2783" s="137"/>
      <c r="G2783" s="138"/>
      <c r="H2783" s="138"/>
      <c r="I2783" s="139"/>
      <c r="J2783" s="137"/>
      <c r="K2783" s="137"/>
      <c r="M2783" s="126"/>
      <c r="O2783" s="137"/>
      <c r="P2783" s="137"/>
      <c r="Q2783" s="126"/>
    </row>
    <row r="2784" spans="3:17" x14ac:dyDescent="0.3">
      <c r="C2784" s="126"/>
      <c r="F2784" s="137"/>
      <c r="G2784" s="138"/>
      <c r="H2784" s="138"/>
      <c r="I2784" s="139"/>
      <c r="J2784" s="137"/>
      <c r="K2784" s="137"/>
      <c r="M2784" s="126"/>
      <c r="O2784" s="137"/>
      <c r="P2784" s="137"/>
      <c r="Q2784" s="126"/>
    </row>
    <row r="2785" spans="3:17" x14ac:dyDescent="0.3">
      <c r="C2785" s="126"/>
      <c r="F2785" s="137"/>
      <c r="G2785" s="138"/>
      <c r="H2785" s="138"/>
      <c r="I2785" s="139"/>
      <c r="J2785" s="137"/>
      <c r="K2785" s="137"/>
      <c r="M2785" s="126"/>
      <c r="O2785" s="137"/>
      <c r="P2785" s="137"/>
      <c r="Q2785" s="126"/>
    </row>
    <row r="2786" spans="3:17" x14ac:dyDescent="0.3">
      <c r="C2786" s="126"/>
      <c r="F2786" s="137"/>
      <c r="G2786" s="138"/>
      <c r="H2786" s="138"/>
      <c r="I2786" s="139"/>
      <c r="J2786" s="137"/>
      <c r="K2786" s="137"/>
      <c r="M2786" s="126"/>
      <c r="O2786" s="137"/>
      <c r="P2786" s="137"/>
      <c r="Q2786" s="126"/>
    </row>
    <row r="2787" spans="3:17" x14ac:dyDescent="0.3">
      <c r="C2787" s="126"/>
      <c r="F2787" s="137"/>
      <c r="G2787" s="138"/>
      <c r="H2787" s="138"/>
      <c r="I2787" s="139"/>
      <c r="J2787" s="137"/>
      <c r="K2787" s="137"/>
      <c r="M2787" s="126"/>
      <c r="O2787" s="137"/>
      <c r="P2787" s="137"/>
      <c r="Q2787" s="126"/>
    </row>
    <row r="2788" spans="3:17" x14ac:dyDescent="0.3">
      <c r="C2788" s="126"/>
      <c r="F2788" s="137"/>
      <c r="G2788" s="138"/>
      <c r="H2788" s="138"/>
      <c r="I2788" s="139"/>
      <c r="J2788" s="137"/>
      <c r="K2788" s="137"/>
      <c r="M2788" s="126"/>
      <c r="O2788" s="137"/>
      <c r="P2788" s="137"/>
      <c r="Q2788" s="126"/>
    </row>
    <row r="2789" spans="3:17" x14ac:dyDescent="0.3">
      <c r="C2789" s="126"/>
      <c r="F2789" s="137"/>
      <c r="G2789" s="138"/>
      <c r="H2789" s="138"/>
      <c r="I2789" s="139"/>
      <c r="J2789" s="137"/>
      <c r="K2789" s="137"/>
      <c r="M2789" s="126"/>
      <c r="O2789" s="137"/>
      <c r="P2789" s="137"/>
      <c r="Q2789" s="126"/>
    </row>
    <row r="2790" spans="3:17" x14ac:dyDescent="0.3">
      <c r="C2790" s="126"/>
      <c r="F2790" s="137"/>
      <c r="G2790" s="138"/>
      <c r="H2790" s="138"/>
      <c r="I2790" s="139"/>
      <c r="J2790" s="137"/>
      <c r="K2790" s="137"/>
      <c r="M2790" s="126"/>
      <c r="O2790" s="137"/>
      <c r="P2790" s="137"/>
      <c r="Q2790" s="126"/>
    </row>
    <row r="2791" spans="3:17" x14ac:dyDescent="0.3">
      <c r="C2791" s="126"/>
      <c r="F2791" s="137"/>
      <c r="G2791" s="138"/>
      <c r="H2791" s="138"/>
      <c r="I2791" s="139"/>
      <c r="J2791" s="137"/>
      <c r="K2791" s="137"/>
      <c r="M2791" s="126"/>
      <c r="O2791" s="137"/>
      <c r="P2791" s="137"/>
      <c r="Q2791" s="126"/>
    </row>
    <row r="2792" spans="3:17" x14ac:dyDescent="0.3">
      <c r="C2792" s="126"/>
      <c r="F2792" s="137"/>
      <c r="G2792" s="138"/>
      <c r="H2792" s="138"/>
      <c r="I2792" s="139"/>
      <c r="J2792" s="137"/>
      <c r="K2792" s="137"/>
      <c r="M2792" s="126"/>
      <c r="O2792" s="137"/>
      <c r="P2792" s="137"/>
      <c r="Q2792" s="126"/>
    </row>
    <row r="2793" spans="3:17" x14ac:dyDescent="0.3">
      <c r="C2793" s="126"/>
      <c r="F2793" s="137"/>
      <c r="G2793" s="138"/>
      <c r="H2793" s="138"/>
      <c r="I2793" s="139"/>
      <c r="J2793" s="137"/>
      <c r="K2793" s="137"/>
      <c r="M2793" s="126"/>
      <c r="O2793" s="137"/>
      <c r="P2793" s="137"/>
      <c r="Q2793" s="126"/>
    </row>
    <row r="2794" spans="3:17" x14ac:dyDescent="0.3">
      <c r="C2794" s="126"/>
      <c r="F2794" s="137"/>
      <c r="G2794" s="138"/>
      <c r="H2794" s="138"/>
      <c r="I2794" s="139"/>
      <c r="J2794" s="137"/>
      <c r="K2794" s="137"/>
      <c r="M2794" s="126"/>
      <c r="O2794" s="137"/>
      <c r="P2794" s="137"/>
      <c r="Q2794" s="126"/>
    </row>
    <row r="2795" spans="3:17" x14ac:dyDescent="0.3">
      <c r="C2795" s="126"/>
      <c r="F2795" s="137"/>
      <c r="G2795" s="138"/>
      <c r="H2795" s="138"/>
      <c r="I2795" s="139"/>
      <c r="J2795" s="137"/>
      <c r="K2795" s="137"/>
      <c r="M2795" s="126"/>
      <c r="O2795" s="137"/>
      <c r="P2795" s="137"/>
      <c r="Q2795" s="126"/>
    </row>
    <row r="2796" spans="3:17" x14ac:dyDescent="0.3">
      <c r="C2796" s="126"/>
      <c r="F2796" s="137"/>
      <c r="G2796" s="138"/>
      <c r="H2796" s="138"/>
      <c r="I2796" s="139"/>
      <c r="J2796" s="137"/>
      <c r="K2796" s="137"/>
      <c r="M2796" s="126"/>
      <c r="O2796" s="137"/>
      <c r="P2796" s="137"/>
      <c r="Q2796" s="126"/>
    </row>
    <row r="2797" spans="3:17" x14ac:dyDescent="0.3">
      <c r="C2797" s="126"/>
      <c r="F2797" s="137"/>
      <c r="G2797" s="138"/>
      <c r="H2797" s="138"/>
      <c r="I2797" s="139"/>
      <c r="J2797" s="137"/>
      <c r="K2797" s="137"/>
      <c r="M2797" s="126"/>
      <c r="O2797" s="137"/>
      <c r="P2797" s="137"/>
      <c r="Q2797" s="126"/>
    </row>
    <row r="2798" spans="3:17" x14ac:dyDescent="0.3">
      <c r="C2798" s="126"/>
      <c r="F2798" s="137"/>
      <c r="G2798" s="138"/>
      <c r="H2798" s="138"/>
      <c r="I2798" s="139"/>
      <c r="J2798" s="137"/>
      <c r="K2798" s="137"/>
      <c r="M2798" s="126"/>
      <c r="O2798" s="137"/>
      <c r="P2798" s="137"/>
      <c r="Q2798" s="126"/>
    </row>
    <row r="2799" spans="3:17" x14ac:dyDescent="0.3">
      <c r="C2799" s="126"/>
      <c r="F2799" s="137"/>
      <c r="G2799" s="138"/>
      <c r="H2799" s="138"/>
      <c r="I2799" s="139"/>
      <c r="J2799" s="137"/>
      <c r="K2799" s="137"/>
      <c r="M2799" s="126"/>
      <c r="O2799" s="137"/>
      <c r="P2799" s="137"/>
      <c r="Q2799" s="126"/>
    </row>
    <row r="2800" spans="3:17" x14ac:dyDescent="0.3">
      <c r="C2800" s="126"/>
      <c r="F2800" s="137"/>
      <c r="G2800" s="138"/>
      <c r="H2800" s="138"/>
      <c r="I2800" s="139"/>
      <c r="J2800" s="137"/>
      <c r="K2800" s="137"/>
      <c r="M2800" s="126"/>
      <c r="O2800" s="137"/>
      <c r="P2800" s="137"/>
      <c r="Q2800" s="126"/>
    </row>
    <row r="2801" spans="3:17" x14ac:dyDescent="0.3">
      <c r="C2801" s="126"/>
      <c r="F2801" s="137"/>
      <c r="G2801" s="138"/>
      <c r="H2801" s="138"/>
      <c r="I2801" s="139"/>
      <c r="J2801" s="137"/>
      <c r="K2801" s="137"/>
      <c r="M2801" s="126"/>
      <c r="O2801" s="137"/>
      <c r="P2801" s="137"/>
      <c r="Q2801" s="126"/>
    </row>
    <row r="2802" spans="3:17" x14ac:dyDescent="0.3">
      <c r="C2802" s="126"/>
      <c r="F2802" s="137"/>
      <c r="G2802" s="138"/>
      <c r="H2802" s="138"/>
      <c r="I2802" s="139"/>
      <c r="J2802" s="137"/>
      <c r="K2802" s="137"/>
      <c r="M2802" s="126"/>
      <c r="O2802" s="137"/>
      <c r="P2802" s="137"/>
      <c r="Q2802" s="126"/>
    </row>
    <row r="2803" spans="3:17" x14ac:dyDescent="0.3">
      <c r="C2803" s="126"/>
      <c r="F2803" s="137"/>
      <c r="G2803" s="138"/>
      <c r="H2803" s="138"/>
      <c r="I2803" s="139"/>
      <c r="J2803" s="137"/>
      <c r="K2803" s="137"/>
      <c r="M2803" s="126"/>
      <c r="O2803" s="137"/>
      <c r="P2803" s="137"/>
      <c r="Q2803" s="126"/>
    </row>
    <row r="2804" spans="3:17" x14ac:dyDescent="0.3">
      <c r="C2804" s="126"/>
      <c r="F2804" s="137"/>
      <c r="G2804" s="138"/>
      <c r="H2804" s="138"/>
      <c r="I2804" s="139"/>
      <c r="J2804" s="137"/>
      <c r="K2804" s="137"/>
      <c r="M2804" s="126"/>
      <c r="O2804" s="137"/>
      <c r="P2804" s="137"/>
      <c r="Q2804" s="126"/>
    </row>
    <row r="2805" spans="3:17" x14ac:dyDescent="0.3">
      <c r="C2805" s="126"/>
      <c r="F2805" s="137"/>
      <c r="G2805" s="138"/>
      <c r="H2805" s="138"/>
      <c r="I2805" s="139"/>
      <c r="J2805" s="137"/>
      <c r="K2805" s="137"/>
      <c r="M2805" s="126"/>
      <c r="O2805" s="137"/>
      <c r="P2805" s="137"/>
      <c r="Q2805" s="126"/>
    </row>
    <row r="2806" spans="3:17" x14ac:dyDescent="0.3">
      <c r="C2806" s="126"/>
      <c r="F2806" s="137"/>
      <c r="G2806" s="138"/>
      <c r="H2806" s="138"/>
      <c r="I2806" s="139"/>
      <c r="J2806" s="137"/>
      <c r="K2806" s="137"/>
      <c r="M2806" s="126"/>
      <c r="O2806" s="137"/>
      <c r="P2806" s="137"/>
      <c r="Q2806" s="126"/>
    </row>
    <row r="2807" spans="3:17" x14ac:dyDescent="0.3">
      <c r="C2807" s="126"/>
      <c r="F2807" s="137"/>
      <c r="G2807" s="138"/>
      <c r="H2807" s="138"/>
      <c r="I2807" s="139"/>
      <c r="J2807" s="137"/>
      <c r="K2807" s="137"/>
      <c r="M2807" s="126"/>
      <c r="O2807" s="137"/>
      <c r="P2807" s="137"/>
      <c r="Q2807" s="126"/>
    </row>
    <row r="2808" spans="3:17" x14ac:dyDescent="0.3">
      <c r="C2808" s="126"/>
      <c r="F2808" s="137"/>
      <c r="G2808" s="138"/>
      <c r="H2808" s="138"/>
      <c r="I2808" s="139"/>
      <c r="J2808" s="137"/>
      <c r="K2808" s="137"/>
      <c r="M2808" s="126"/>
      <c r="O2808" s="137"/>
      <c r="P2808" s="137"/>
      <c r="Q2808" s="126"/>
    </row>
    <row r="2809" spans="3:17" x14ac:dyDescent="0.3">
      <c r="C2809" s="126"/>
      <c r="F2809" s="137"/>
      <c r="G2809" s="138"/>
      <c r="H2809" s="138"/>
      <c r="I2809" s="139"/>
      <c r="J2809" s="137"/>
      <c r="K2809" s="137"/>
      <c r="M2809" s="126"/>
      <c r="O2809" s="137"/>
      <c r="P2809" s="137"/>
      <c r="Q2809" s="126"/>
    </row>
    <row r="2810" spans="3:17" x14ac:dyDescent="0.3">
      <c r="C2810" s="126"/>
      <c r="F2810" s="137"/>
      <c r="G2810" s="138"/>
      <c r="H2810" s="138"/>
      <c r="I2810" s="139"/>
      <c r="J2810" s="137"/>
      <c r="K2810" s="137"/>
      <c r="M2810" s="126"/>
      <c r="O2810" s="137"/>
      <c r="P2810" s="137"/>
      <c r="Q2810" s="126"/>
    </row>
    <row r="2811" spans="3:17" x14ac:dyDescent="0.3">
      <c r="C2811" s="126"/>
      <c r="F2811" s="137"/>
      <c r="G2811" s="138"/>
      <c r="H2811" s="138"/>
      <c r="I2811" s="139"/>
      <c r="J2811" s="137"/>
      <c r="K2811" s="137"/>
      <c r="M2811" s="126"/>
      <c r="O2811" s="137"/>
      <c r="P2811" s="137"/>
      <c r="Q2811" s="126"/>
    </row>
    <row r="2812" spans="3:17" x14ac:dyDescent="0.3">
      <c r="C2812" s="126"/>
      <c r="F2812" s="137"/>
      <c r="G2812" s="138"/>
      <c r="H2812" s="138"/>
      <c r="I2812" s="139"/>
      <c r="J2812" s="137"/>
      <c r="K2812" s="137"/>
      <c r="M2812" s="126"/>
      <c r="O2812" s="137"/>
      <c r="P2812" s="137"/>
      <c r="Q2812" s="126"/>
    </row>
    <row r="2813" spans="3:17" x14ac:dyDescent="0.3">
      <c r="C2813" s="126"/>
      <c r="F2813" s="137"/>
      <c r="G2813" s="138"/>
      <c r="H2813" s="138"/>
      <c r="I2813" s="139"/>
      <c r="J2813" s="137"/>
      <c r="K2813" s="137"/>
      <c r="M2813" s="126"/>
      <c r="O2813" s="137"/>
      <c r="P2813" s="137"/>
      <c r="Q2813" s="126"/>
    </row>
    <row r="2814" spans="3:17" x14ac:dyDescent="0.3">
      <c r="C2814" s="126"/>
      <c r="F2814" s="137"/>
      <c r="G2814" s="138"/>
      <c r="H2814" s="138"/>
      <c r="I2814" s="139"/>
      <c r="J2814" s="137"/>
      <c r="K2814" s="137"/>
      <c r="M2814" s="126"/>
      <c r="O2814" s="137"/>
      <c r="P2814" s="137"/>
      <c r="Q2814" s="126"/>
    </row>
    <row r="2815" spans="3:17" x14ac:dyDescent="0.3">
      <c r="C2815" s="126"/>
      <c r="F2815" s="137"/>
      <c r="G2815" s="138"/>
      <c r="H2815" s="138"/>
      <c r="I2815" s="139"/>
      <c r="J2815" s="137"/>
      <c r="K2815" s="137"/>
      <c r="M2815" s="126"/>
      <c r="O2815" s="137"/>
      <c r="P2815" s="137"/>
      <c r="Q2815" s="126"/>
    </row>
    <row r="2816" spans="3:17" x14ac:dyDescent="0.3">
      <c r="C2816" s="126"/>
      <c r="F2816" s="137"/>
      <c r="G2816" s="138"/>
      <c r="H2816" s="138"/>
      <c r="I2816" s="139"/>
      <c r="J2816" s="137"/>
      <c r="K2816" s="137"/>
      <c r="M2816" s="126"/>
      <c r="O2816" s="137"/>
      <c r="P2816" s="137"/>
      <c r="Q2816" s="126"/>
    </row>
    <row r="2817" spans="3:17" x14ac:dyDescent="0.3">
      <c r="C2817" s="126"/>
      <c r="F2817" s="137"/>
      <c r="G2817" s="138"/>
      <c r="H2817" s="138"/>
      <c r="I2817" s="139"/>
      <c r="J2817" s="137"/>
      <c r="K2817" s="137"/>
      <c r="M2817" s="126"/>
      <c r="O2817" s="137"/>
      <c r="P2817" s="137"/>
      <c r="Q2817" s="126"/>
    </row>
    <row r="2818" spans="3:17" x14ac:dyDescent="0.3">
      <c r="C2818" s="126"/>
      <c r="F2818" s="137"/>
      <c r="G2818" s="138"/>
      <c r="H2818" s="138"/>
      <c r="I2818" s="139"/>
      <c r="J2818" s="137"/>
      <c r="K2818" s="137"/>
      <c r="M2818" s="126"/>
      <c r="O2818" s="137"/>
      <c r="P2818" s="137"/>
      <c r="Q2818" s="126"/>
    </row>
    <row r="2819" spans="3:17" x14ac:dyDescent="0.3">
      <c r="C2819" s="126"/>
      <c r="F2819" s="137"/>
      <c r="G2819" s="138"/>
      <c r="H2819" s="138"/>
      <c r="I2819" s="139"/>
      <c r="J2819" s="137"/>
      <c r="K2819" s="137"/>
      <c r="M2819" s="126"/>
      <c r="O2819" s="137"/>
      <c r="P2819" s="137"/>
      <c r="Q2819" s="126"/>
    </row>
    <row r="2820" spans="3:17" x14ac:dyDescent="0.3">
      <c r="C2820" s="126"/>
      <c r="F2820" s="137"/>
      <c r="G2820" s="138"/>
      <c r="H2820" s="138"/>
      <c r="I2820" s="139"/>
      <c r="J2820" s="137"/>
      <c r="K2820" s="137"/>
      <c r="M2820" s="126"/>
      <c r="O2820" s="137"/>
      <c r="P2820" s="137"/>
      <c r="Q2820" s="126"/>
    </row>
    <row r="2821" spans="3:17" x14ac:dyDescent="0.3">
      <c r="C2821" s="126"/>
      <c r="F2821" s="137"/>
      <c r="G2821" s="138"/>
      <c r="H2821" s="138"/>
      <c r="I2821" s="139"/>
      <c r="J2821" s="137"/>
      <c r="K2821" s="137"/>
      <c r="M2821" s="126"/>
      <c r="O2821" s="137"/>
      <c r="P2821" s="137"/>
      <c r="Q2821" s="126"/>
    </row>
    <row r="2822" spans="3:17" x14ac:dyDescent="0.3">
      <c r="C2822" s="126"/>
      <c r="F2822" s="137"/>
      <c r="G2822" s="138"/>
      <c r="H2822" s="138"/>
      <c r="I2822" s="139"/>
      <c r="J2822" s="137"/>
      <c r="K2822" s="137"/>
      <c r="M2822" s="126"/>
      <c r="O2822" s="137"/>
      <c r="P2822" s="137"/>
      <c r="Q2822" s="126"/>
    </row>
    <row r="2823" spans="3:17" x14ac:dyDescent="0.3">
      <c r="C2823" s="126"/>
      <c r="F2823" s="137"/>
      <c r="G2823" s="138"/>
      <c r="H2823" s="138"/>
      <c r="I2823" s="139"/>
      <c r="J2823" s="137"/>
      <c r="K2823" s="137"/>
      <c r="M2823" s="126"/>
      <c r="O2823" s="137"/>
      <c r="P2823" s="137"/>
      <c r="Q2823" s="126"/>
    </row>
    <row r="2824" spans="3:17" x14ac:dyDescent="0.3">
      <c r="C2824" s="126"/>
      <c r="F2824" s="137"/>
      <c r="G2824" s="138"/>
      <c r="H2824" s="138"/>
      <c r="I2824" s="139"/>
      <c r="J2824" s="137"/>
      <c r="K2824" s="137"/>
      <c r="M2824" s="126"/>
      <c r="O2824" s="137"/>
      <c r="P2824" s="137"/>
      <c r="Q2824" s="126"/>
    </row>
    <row r="2825" spans="3:17" x14ac:dyDescent="0.3">
      <c r="C2825" s="126"/>
      <c r="F2825" s="137"/>
      <c r="G2825" s="138"/>
      <c r="H2825" s="138"/>
      <c r="I2825" s="139"/>
      <c r="J2825" s="137"/>
      <c r="K2825" s="137"/>
      <c r="M2825" s="126"/>
      <c r="O2825" s="137"/>
      <c r="P2825" s="137"/>
      <c r="Q2825" s="126"/>
    </row>
    <row r="2826" spans="3:17" x14ac:dyDescent="0.3">
      <c r="C2826" s="126"/>
      <c r="F2826" s="137"/>
      <c r="G2826" s="138"/>
      <c r="H2826" s="138"/>
      <c r="I2826" s="139"/>
      <c r="J2826" s="137"/>
      <c r="K2826" s="137"/>
      <c r="M2826" s="126"/>
      <c r="O2826" s="137"/>
      <c r="P2826" s="137"/>
      <c r="Q2826" s="126"/>
    </row>
    <row r="2827" spans="3:17" x14ac:dyDescent="0.3">
      <c r="C2827" s="126"/>
      <c r="F2827" s="137"/>
      <c r="G2827" s="138"/>
      <c r="H2827" s="138"/>
      <c r="I2827" s="139"/>
      <c r="J2827" s="137"/>
      <c r="K2827" s="137"/>
      <c r="M2827" s="126"/>
      <c r="O2827" s="137"/>
      <c r="P2827" s="137"/>
      <c r="Q2827" s="126"/>
    </row>
    <row r="2828" spans="3:17" x14ac:dyDescent="0.3">
      <c r="C2828" s="126"/>
      <c r="F2828" s="137"/>
      <c r="G2828" s="138"/>
      <c r="H2828" s="138"/>
      <c r="I2828" s="139"/>
      <c r="J2828" s="137"/>
      <c r="K2828" s="137"/>
      <c r="M2828" s="126"/>
      <c r="O2828" s="137"/>
      <c r="P2828" s="137"/>
      <c r="Q2828" s="126"/>
    </row>
    <row r="2829" spans="3:17" x14ac:dyDescent="0.3">
      <c r="C2829" s="126"/>
      <c r="F2829" s="137"/>
      <c r="G2829" s="138"/>
      <c r="H2829" s="138"/>
      <c r="I2829" s="139"/>
      <c r="J2829" s="137"/>
      <c r="K2829" s="137"/>
      <c r="M2829" s="126"/>
      <c r="O2829" s="137"/>
      <c r="P2829" s="137"/>
      <c r="Q2829" s="126"/>
    </row>
    <row r="2830" spans="3:17" x14ac:dyDescent="0.3">
      <c r="C2830" s="126"/>
      <c r="F2830" s="137"/>
      <c r="G2830" s="138"/>
      <c r="H2830" s="138"/>
      <c r="I2830" s="139"/>
      <c r="J2830" s="137"/>
      <c r="K2830" s="137"/>
      <c r="M2830" s="126"/>
      <c r="O2830" s="137"/>
      <c r="P2830" s="137"/>
      <c r="Q2830" s="126"/>
    </row>
    <row r="2831" spans="3:17" x14ac:dyDescent="0.3">
      <c r="C2831" s="126"/>
      <c r="F2831" s="137"/>
      <c r="G2831" s="138"/>
      <c r="H2831" s="138"/>
      <c r="I2831" s="139"/>
      <c r="J2831" s="137"/>
      <c r="K2831" s="137"/>
      <c r="M2831" s="126"/>
      <c r="O2831" s="137"/>
      <c r="P2831" s="137"/>
      <c r="Q2831" s="126"/>
    </row>
    <row r="2832" spans="3:17" x14ac:dyDescent="0.3">
      <c r="C2832" s="126"/>
      <c r="F2832" s="137"/>
      <c r="G2832" s="138"/>
      <c r="H2832" s="138"/>
      <c r="I2832" s="139"/>
      <c r="J2832" s="137"/>
      <c r="K2832" s="137"/>
      <c r="M2832" s="126"/>
      <c r="O2832" s="137"/>
      <c r="P2832" s="137"/>
      <c r="Q2832" s="126"/>
    </row>
    <row r="2833" spans="3:17" x14ac:dyDescent="0.3">
      <c r="C2833" s="126"/>
      <c r="F2833" s="137"/>
      <c r="G2833" s="138"/>
      <c r="H2833" s="138"/>
      <c r="I2833" s="139"/>
      <c r="J2833" s="137"/>
      <c r="K2833" s="137"/>
      <c r="M2833" s="126"/>
      <c r="O2833" s="137"/>
      <c r="P2833" s="137"/>
      <c r="Q2833" s="126"/>
    </row>
    <row r="2834" spans="3:17" x14ac:dyDescent="0.3">
      <c r="C2834" s="126"/>
      <c r="F2834" s="137"/>
      <c r="G2834" s="138"/>
      <c r="H2834" s="138"/>
      <c r="I2834" s="139"/>
      <c r="J2834" s="137"/>
      <c r="K2834" s="137"/>
      <c r="M2834" s="126"/>
      <c r="O2834" s="137"/>
      <c r="P2834" s="137"/>
      <c r="Q2834" s="126"/>
    </row>
    <row r="2835" spans="3:17" x14ac:dyDescent="0.3">
      <c r="C2835" s="126"/>
      <c r="F2835" s="137"/>
      <c r="G2835" s="138"/>
      <c r="H2835" s="138"/>
      <c r="I2835" s="139"/>
      <c r="J2835" s="137"/>
      <c r="K2835" s="137"/>
      <c r="M2835" s="126"/>
      <c r="O2835" s="137"/>
      <c r="P2835" s="137"/>
      <c r="Q2835" s="126"/>
    </row>
    <row r="2836" spans="3:17" x14ac:dyDescent="0.3">
      <c r="C2836" s="126"/>
      <c r="F2836" s="137"/>
      <c r="G2836" s="138"/>
      <c r="H2836" s="138"/>
      <c r="I2836" s="139"/>
      <c r="J2836" s="137"/>
      <c r="K2836" s="137"/>
      <c r="M2836" s="126"/>
      <c r="O2836" s="137"/>
      <c r="P2836" s="137"/>
      <c r="Q2836" s="126"/>
    </row>
    <row r="2837" spans="3:17" x14ac:dyDescent="0.3">
      <c r="C2837" s="126"/>
      <c r="F2837" s="137"/>
      <c r="G2837" s="138"/>
      <c r="H2837" s="138"/>
      <c r="I2837" s="139"/>
      <c r="J2837" s="137"/>
      <c r="K2837" s="137"/>
      <c r="M2837" s="126"/>
      <c r="O2837" s="137"/>
      <c r="P2837" s="137"/>
      <c r="Q2837" s="126"/>
    </row>
    <row r="2838" spans="3:17" x14ac:dyDescent="0.3">
      <c r="C2838" s="126"/>
      <c r="F2838" s="137"/>
      <c r="G2838" s="138"/>
      <c r="H2838" s="138"/>
      <c r="I2838" s="139"/>
      <c r="J2838" s="137"/>
      <c r="K2838" s="137"/>
      <c r="M2838" s="126"/>
      <c r="O2838" s="137"/>
      <c r="P2838" s="137"/>
      <c r="Q2838" s="126"/>
    </row>
    <row r="2839" spans="3:17" x14ac:dyDescent="0.3">
      <c r="C2839" s="126"/>
      <c r="F2839" s="137"/>
      <c r="G2839" s="138"/>
      <c r="H2839" s="138"/>
      <c r="I2839" s="139"/>
      <c r="J2839" s="137"/>
      <c r="K2839" s="137"/>
      <c r="M2839" s="126"/>
      <c r="O2839" s="137"/>
      <c r="P2839" s="137"/>
      <c r="Q2839" s="126"/>
    </row>
    <row r="2840" spans="3:17" x14ac:dyDescent="0.3">
      <c r="C2840" s="126"/>
      <c r="F2840" s="137"/>
      <c r="G2840" s="138"/>
      <c r="H2840" s="138"/>
      <c r="I2840" s="139"/>
      <c r="J2840" s="137"/>
      <c r="K2840" s="137"/>
      <c r="M2840" s="126"/>
      <c r="O2840" s="137"/>
      <c r="P2840" s="137"/>
      <c r="Q2840" s="126"/>
    </row>
    <row r="2841" spans="3:17" x14ac:dyDescent="0.3">
      <c r="C2841" s="126"/>
      <c r="F2841" s="137"/>
      <c r="G2841" s="138"/>
      <c r="H2841" s="138"/>
      <c r="I2841" s="139"/>
      <c r="J2841" s="137"/>
      <c r="K2841" s="137"/>
      <c r="M2841" s="126"/>
      <c r="O2841" s="137"/>
      <c r="P2841" s="137"/>
      <c r="Q2841" s="126"/>
    </row>
    <row r="2842" spans="3:17" x14ac:dyDescent="0.3">
      <c r="C2842" s="126"/>
      <c r="F2842" s="137"/>
      <c r="G2842" s="138"/>
      <c r="H2842" s="138"/>
      <c r="I2842" s="139"/>
      <c r="J2842" s="137"/>
      <c r="K2842" s="137"/>
      <c r="M2842" s="126"/>
      <c r="O2842" s="137"/>
      <c r="P2842" s="137"/>
      <c r="Q2842" s="126"/>
    </row>
    <row r="2843" spans="3:17" x14ac:dyDescent="0.3">
      <c r="C2843" s="126"/>
      <c r="F2843" s="137"/>
      <c r="G2843" s="138"/>
      <c r="H2843" s="138"/>
      <c r="I2843" s="139"/>
      <c r="J2843" s="137"/>
      <c r="K2843" s="137"/>
      <c r="M2843" s="126"/>
      <c r="O2843" s="137"/>
      <c r="P2843" s="137"/>
      <c r="Q2843" s="126"/>
    </row>
    <row r="2844" spans="3:17" x14ac:dyDescent="0.3">
      <c r="C2844" s="126"/>
      <c r="F2844" s="137"/>
      <c r="G2844" s="138"/>
      <c r="H2844" s="138"/>
      <c r="I2844" s="139"/>
      <c r="J2844" s="137"/>
      <c r="K2844" s="137"/>
      <c r="M2844" s="126"/>
      <c r="O2844" s="137"/>
      <c r="P2844" s="137"/>
      <c r="Q2844" s="126"/>
    </row>
    <row r="2845" spans="3:17" x14ac:dyDescent="0.3">
      <c r="C2845" s="126"/>
      <c r="F2845" s="137"/>
      <c r="G2845" s="138"/>
      <c r="H2845" s="138"/>
      <c r="I2845" s="139"/>
      <c r="J2845" s="137"/>
      <c r="K2845" s="137"/>
      <c r="M2845" s="126"/>
      <c r="O2845" s="137"/>
      <c r="P2845" s="137"/>
      <c r="Q2845" s="126"/>
    </row>
    <row r="2846" spans="3:17" x14ac:dyDescent="0.3">
      <c r="C2846" s="126"/>
      <c r="F2846" s="137"/>
      <c r="G2846" s="138"/>
      <c r="H2846" s="138"/>
      <c r="I2846" s="139"/>
      <c r="J2846" s="137"/>
      <c r="K2846" s="137"/>
      <c r="M2846" s="126"/>
      <c r="O2846" s="137"/>
      <c r="P2846" s="137"/>
      <c r="Q2846" s="126"/>
    </row>
    <row r="2847" spans="3:17" x14ac:dyDescent="0.3">
      <c r="C2847" s="126"/>
      <c r="F2847" s="137"/>
      <c r="G2847" s="138"/>
      <c r="H2847" s="138"/>
      <c r="I2847" s="139"/>
      <c r="J2847" s="137"/>
      <c r="K2847" s="137"/>
      <c r="M2847" s="126"/>
      <c r="O2847" s="137"/>
      <c r="P2847" s="137"/>
      <c r="Q2847" s="126"/>
    </row>
    <row r="2848" spans="3:17" x14ac:dyDescent="0.3">
      <c r="C2848" s="126"/>
      <c r="F2848" s="137"/>
      <c r="G2848" s="138"/>
      <c r="H2848" s="138"/>
      <c r="I2848" s="139"/>
      <c r="J2848" s="137"/>
      <c r="K2848" s="137"/>
      <c r="M2848" s="126"/>
      <c r="O2848" s="137"/>
      <c r="P2848" s="137"/>
      <c r="Q2848" s="126"/>
    </row>
    <row r="2849" spans="3:17" x14ac:dyDescent="0.3">
      <c r="C2849" s="126"/>
      <c r="F2849" s="137"/>
      <c r="G2849" s="138"/>
      <c r="H2849" s="138"/>
      <c r="I2849" s="139"/>
      <c r="J2849" s="137"/>
      <c r="K2849" s="137"/>
      <c r="M2849" s="126"/>
      <c r="O2849" s="137"/>
      <c r="P2849" s="137"/>
      <c r="Q2849" s="126"/>
    </row>
    <row r="2850" spans="3:17" x14ac:dyDescent="0.3">
      <c r="C2850" s="126"/>
      <c r="F2850" s="137"/>
      <c r="G2850" s="138"/>
      <c r="H2850" s="138"/>
      <c r="I2850" s="139"/>
      <c r="J2850" s="137"/>
      <c r="K2850" s="137"/>
      <c r="M2850" s="126"/>
      <c r="O2850" s="137"/>
      <c r="P2850" s="137"/>
      <c r="Q2850" s="126"/>
    </row>
    <row r="2851" spans="3:17" x14ac:dyDescent="0.3">
      <c r="C2851" s="126"/>
      <c r="F2851" s="137"/>
      <c r="G2851" s="138"/>
      <c r="H2851" s="138"/>
      <c r="I2851" s="139"/>
      <c r="J2851" s="137"/>
      <c r="K2851" s="137"/>
      <c r="M2851" s="126"/>
      <c r="O2851" s="137"/>
      <c r="P2851" s="137"/>
      <c r="Q2851" s="126"/>
    </row>
    <row r="2852" spans="3:17" x14ac:dyDescent="0.3">
      <c r="C2852" s="126"/>
      <c r="F2852" s="137"/>
      <c r="G2852" s="138"/>
      <c r="H2852" s="138"/>
      <c r="I2852" s="139"/>
      <c r="J2852" s="137"/>
      <c r="K2852" s="137"/>
      <c r="M2852" s="126"/>
      <c r="O2852" s="137"/>
      <c r="P2852" s="137"/>
      <c r="Q2852" s="126"/>
    </row>
    <row r="2853" spans="3:17" x14ac:dyDescent="0.3">
      <c r="C2853" s="126"/>
      <c r="F2853" s="137"/>
      <c r="G2853" s="138"/>
      <c r="H2853" s="138"/>
      <c r="I2853" s="139"/>
      <c r="J2853" s="137"/>
      <c r="K2853" s="137"/>
      <c r="M2853" s="126"/>
      <c r="O2853" s="137"/>
      <c r="P2853" s="137"/>
      <c r="Q2853" s="126"/>
    </row>
    <row r="2854" spans="3:17" x14ac:dyDescent="0.3">
      <c r="C2854" s="126"/>
      <c r="F2854" s="137"/>
      <c r="G2854" s="138"/>
      <c r="H2854" s="138"/>
      <c r="I2854" s="139"/>
      <c r="J2854" s="137"/>
      <c r="K2854" s="137"/>
      <c r="M2854" s="126"/>
      <c r="O2854" s="137"/>
      <c r="P2854" s="137"/>
      <c r="Q2854" s="126"/>
    </row>
    <row r="2855" spans="3:17" x14ac:dyDescent="0.3">
      <c r="C2855" s="126"/>
      <c r="F2855" s="137"/>
      <c r="G2855" s="138"/>
      <c r="H2855" s="138"/>
      <c r="I2855" s="139"/>
      <c r="J2855" s="137"/>
      <c r="K2855" s="137"/>
      <c r="M2855" s="126"/>
      <c r="O2855" s="137"/>
      <c r="P2855" s="137"/>
      <c r="Q2855" s="126"/>
    </row>
    <row r="2856" spans="3:17" x14ac:dyDescent="0.3">
      <c r="C2856" s="126"/>
      <c r="F2856" s="137"/>
      <c r="G2856" s="138"/>
      <c r="H2856" s="138"/>
      <c r="I2856" s="139"/>
      <c r="J2856" s="137"/>
      <c r="K2856" s="137"/>
      <c r="M2856" s="126"/>
      <c r="O2856" s="137"/>
      <c r="P2856" s="137"/>
      <c r="Q2856" s="126"/>
    </row>
    <row r="2857" spans="3:17" x14ac:dyDescent="0.3">
      <c r="C2857" s="126"/>
      <c r="F2857" s="137"/>
      <c r="G2857" s="138"/>
      <c r="H2857" s="138"/>
      <c r="I2857" s="139"/>
      <c r="J2857" s="137"/>
      <c r="K2857" s="137"/>
      <c r="M2857" s="126"/>
      <c r="O2857" s="137"/>
      <c r="P2857" s="137"/>
      <c r="Q2857" s="126"/>
    </row>
    <row r="2858" spans="3:17" x14ac:dyDescent="0.3">
      <c r="C2858" s="126"/>
      <c r="F2858" s="137"/>
      <c r="G2858" s="138"/>
      <c r="H2858" s="138"/>
      <c r="I2858" s="139"/>
      <c r="J2858" s="137"/>
      <c r="K2858" s="137"/>
      <c r="M2858" s="126"/>
      <c r="O2858" s="137"/>
      <c r="P2858" s="137"/>
      <c r="Q2858" s="126"/>
    </row>
    <row r="2859" spans="3:17" x14ac:dyDescent="0.3">
      <c r="C2859" s="126"/>
      <c r="F2859" s="137"/>
      <c r="G2859" s="138"/>
      <c r="H2859" s="138"/>
      <c r="I2859" s="139"/>
      <c r="J2859" s="137"/>
      <c r="K2859" s="137"/>
      <c r="M2859" s="126"/>
      <c r="O2859" s="137"/>
      <c r="P2859" s="137"/>
      <c r="Q2859" s="126"/>
    </row>
    <row r="2860" spans="3:17" x14ac:dyDescent="0.3">
      <c r="C2860" s="126"/>
      <c r="F2860" s="137"/>
      <c r="G2860" s="138"/>
      <c r="H2860" s="138"/>
      <c r="I2860" s="139"/>
      <c r="J2860" s="137"/>
      <c r="K2860" s="137"/>
      <c r="M2860" s="126"/>
      <c r="O2860" s="137"/>
      <c r="P2860" s="137"/>
      <c r="Q2860" s="126"/>
    </row>
    <row r="2861" spans="3:17" x14ac:dyDescent="0.3">
      <c r="C2861" s="126"/>
      <c r="F2861" s="137"/>
      <c r="G2861" s="138"/>
      <c r="H2861" s="138"/>
      <c r="I2861" s="139"/>
      <c r="J2861" s="137"/>
      <c r="K2861" s="137"/>
      <c r="M2861" s="126"/>
      <c r="O2861" s="137"/>
      <c r="P2861" s="137"/>
      <c r="Q2861" s="126"/>
    </row>
    <row r="2862" spans="3:17" x14ac:dyDescent="0.3">
      <c r="C2862" s="126"/>
      <c r="F2862" s="137"/>
      <c r="G2862" s="138"/>
      <c r="H2862" s="138"/>
      <c r="I2862" s="139"/>
      <c r="J2862" s="137"/>
      <c r="K2862" s="137"/>
      <c r="M2862" s="126"/>
      <c r="O2862" s="137"/>
      <c r="P2862" s="137"/>
      <c r="Q2862" s="126"/>
    </row>
    <row r="2863" spans="3:17" x14ac:dyDescent="0.3">
      <c r="C2863" s="126"/>
      <c r="F2863" s="137"/>
      <c r="G2863" s="138"/>
      <c r="H2863" s="138"/>
      <c r="I2863" s="139"/>
      <c r="J2863" s="137"/>
      <c r="K2863" s="137"/>
      <c r="M2863" s="126"/>
      <c r="O2863" s="137"/>
      <c r="P2863" s="137"/>
      <c r="Q2863" s="126"/>
    </row>
    <row r="2864" spans="3:17" x14ac:dyDescent="0.3">
      <c r="C2864" s="126"/>
      <c r="F2864" s="137"/>
      <c r="G2864" s="138"/>
      <c r="H2864" s="138"/>
      <c r="I2864" s="139"/>
      <c r="J2864" s="137"/>
      <c r="K2864" s="137"/>
      <c r="M2864" s="126"/>
      <c r="O2864" s="137"/>
      <c r="P2864" s="137"/>
      <c r="Q2864" s="126"/>
    </row>
    <row r="2865" spans="3:17" x14ac:dyDescent="0.3">
      <c r="C2865" s="126"/>
      <c r="F2865" s="137"/>
      <c r="G2865" s="138"/>
      <c r="H2865" s="138"/>
      <c r="I2865" s="139"/>
      <c r="J2865" s="137"/>
      <c r="K2865" s="137"/>
      <c r="M2865" s="126"/>
      <c r="O2865" s="137"/>
      <c r="P2865" s="137"/>
      <c r="Q2865" s="126"/>
    </row>
    <row r="2866" spans="3:17" x14ac:dyDescent="0.3">
      <c r="C2866" s="126"/>
      <c r="F2866" s="137"/>
      <c r="G2866" s="138"/>
      <c r="H2866" s="138"/>
      <c r="I2866" s="139"/>
      <c r="J2866" s="137"/>
      <c r="K2866" s="137"/>
      <c r="M2866" s="126"/>
      <c r="O2866" s="137"/>
      <c r="P2866" s="137"/>
      <c r="Q2866" s="126"/>
    </row>
    <row r="2867" spans="3:17" x14ac:dyDescent="0.3">
      <c r="C2867" s="126"/>
      <c r="F2867" s="137"/>
      <c r="G2867" s="138"/>
      <c r="H2867" s="138"/>
      <c r="I2867" s="139"/>
      <c r="J2867" s="137"/>
      <c r="K2867" s="137"/>
      <c r="M2867" s="126"/>
      <c r="O2867" s="137"/>
      <c r="P2867" s="137"/>
      <c r="Q2867" s="126"/>
    </row>
    <row r="2868" spans="3:17" x14ac:dyDescent="0.3">
      <c r="C2868" s="126"/>
      <c r="F2868" s="137"/>
      <c r="G2868" s="138"/>
      <c r="H2868" s="138"/>
      <c r="I2868" s="139"/>
      <c r="J2868" s="137"/>
      <c r="K2868" s="137"/>
      <c r="M2868" s="126"/>
      <c r="O2868" s="137"/>
      <c r="P2868" s="137"/>
      <c r="Q2868" s="126"/>
    </row>
    <row r="2869" spans="3:17" x14ac:dyDescent="0.3">
      <c r="C2869" s="126"/>
      <c r="F2869" s="137"/>
      <c r="G2869" s="138"/>
      <c r="H2869" s="138"/>
      <c r="I2869" s="139"/>
      <c r="J2869" s="137"/>
      <c r="K2869" s="137"/>
      <c r="M2869" s="126"/>
      <c r="O2869" s="137"/>
      <c r="P2869" s="137"/>
      <c r="Q2869" s="126"/>
    </row>
    <row r="2870" spans="3:17" x14ac:dyDescent="0.3">
      <c r="C2870" s="126"/>
      <c r="F2870" s="137"/>
      <c r="G2870" s="138"/>
      <c r="H2870" s="138"/>
      <c r="I2870" s="139"/>
      <c r="J2870" s="137"/>
      <c r="K2870" s="137"/>
      <c r="M2870" s="126"/>
      <c r="O2870" s="137"/>
      <c r="P2870" s="137"/>
      <c r="Q2870" s="126"/>
    </row>
    <row r="2871" spans="3:17" x14ac:dyDescent="0.3">
      <c r="C2871" s="126"/>
      <c r="F2871" s="137"/>
      <c r="G2871" s="138"/>
      <c r="H2871" s="138"/>
      <c r="I2871" s="139"/>
      <c r="J2871" s="137"/>
      <c r="K2871" s="137"/>
      <c r="M2871" s="126"/>
      <c r="O2871" s="137"/>
      <c r="P2871" s="137"/>
      <c r="Q2871" s="126"/>
    </row>
    <row r="2872" spans="3:17" x14ac:dyDescent="0.3">
      <c r="C2872" s="126"/>
      <c r="F2872" s="137"/>
      <c r="G2872" s="138"/>
      <c r="H2872" s="138"/>
      <c r="I2872" s="139"/>
      <c r="J2872" s="137"/>
      <c r="K2872" s="137"/>
      <c r="M2872" s="126"/>
      <c r="O2872" s="137"/>
      <c r="P2872" s="137"/>
      <c r="Q2872" s="126"/>
    </row>
    <row r="2873" spans="3:17" x14ac:dyDescent="0.3">
      <c r="C2873" s="126"/>
      <c r="F2873" s="137"/>
      <c r="G2873" s="138"/>
      <c r="H2873" s="138"/>
      <c r="I2873" s="139"/>
      <c r="J2873" s="137"/>
      <c r="K2873" s="137"/>
      <c r="M2873" s="126"/>
      <c r="O2873" s="137"/>
      <c r="P2873" s="137"/>
      <c r="Q2873" s="126"/>
    </row>
    <row r="2874" spans="3:17" x14ac:dyDescent="0.3">
      <c r="C2874" s="126"/>
      <c r="F2874" s="137"/>
      <c r="G2874" s="138"/>
      <c r="H2874" s="138"/>
      <c r="I2874" s="139"/>
      <c r="J2874" s="137"/>
      <c r="K2874" s="137"/>
      <c r="M2874" s="126"/>
      <c r="O2874" s="137"/>
      <c r="P2874" s="137"/>
      <c r="Q2874" s="126"/>
    </row>
    <row r="2875" spans="3:17" x14ac:dyDescent="0.3">
      <c r="C2875" s="126"/>
      <c r="F2875" s="137"/>
      <c r="G2875" s="138"/>
      <c r="H2875" s="138"/>
      <c r="I2875" s="139"/>
      <c r="J2875" s="137"/>
      <c r="K2875" s="137"/>
      <c r="M2875" s="126"/>
      <c r="O2875" s="137"/>
      <c r="P2875" s="137"/>
      <c r="Q2875" s="126"/>
    </row>
    <row r="2876" spans="3:17" x14ac:dyDescent="0.3">
      <c r="C2876" s="126"/>
      <c r="F2876" s="137"/>
      <c r="G2876" s="138"/>
      <c r="H2876" s="138"/>
      <c r="I2876" s="139"/>
      <c r="J2876" s="137"/>
      <c r="K2876" s="137"/>
      <c r="M2876" s="126"/>
      <c r="O2876" s="137"/>
      <c r="P2876" s="137"/>
      <c r="Q2876" s="126"/>
    </row>
    <row r="2877" spans="3:17" x14ac:dyDescent="0.3">
      <c r="C2877" s="126"/>
      <c r="F2877" s="137"/>
      <c r="G2877" s="138"/>
      <c r="H2877" s="138"/>
      <c r="I2877" s="139"/>
      <c r="J2877" s="137"/>
      <c r="K2877" s="137"/>
      <c r="M2877" s="126"/>
      <c r="O2877" s="137"/>
      <c r="P2877" s="137"/>
      <c r="Q2877" s="126"/>
    </row>
    <row r="2878" spans="3:17" x14ac:dyDescent="0.3">
      <c r="C2878" s="126"/>
      <c r="F2878" s="137"/>
      <c r="G2878" s="138"/>
      <c r="H2878" s="138"/>
      <c r="I2878" s="139"/>
      <c r="J2878" s="137"/>
      <c r="K2878" s="137"/>
      <c r="M2878" s="126"/>
      <c r="O2878" s="137"/>
      <c r="P2878" s="137"/>
      <c r="Q2878" s="126"/>
    </row>
    <row r="2879" spans="3:17" x14ac:dyDescent="0.3">
      <c r="C2879" s="126"/>
      <c r="F2879" s="137"/>
      <c r="G2879" s="138"/>
      <c r="H2879" s="138"/>
      <c r="I2879" s="139"/>
      <c r="J2879" s="137"/>
      <c r="K2879" s="137"/>
      <c r="M2879" s="126"/>
      <c r="O2879" s="137"/>
      <c r="P2879" s="137"/>
      <c r="Q2879" s="126"/>
    </row>
    <row r="2880" spans="3:17" x14ac:dyDescent="0.3">
      <c r="C2880" s="126"/>
      <c r="F2880" s="137"/>
      <c r="G2880" s="138"/>
      <c r="H2880" s="138"/>
      <c r="I2880" s="139"/>
      <c r="J2880" s="137"/>
      <c r="K2880" s="137"/>
      <c r="M2880" s="126"/>
      <c r="O2880" s="137"/>
      <c r="P2880" s="137"/>
      <c r="Q2880" s="126"/>
    </row>
    <row r="2881" spans="3:17" x14ac:dyDescent="0.3">
      <c r="C2881" s="126"/>
      <c r="F2881" s="137"/>
      <c r="G2881" s="138"/>
      <c r="H2881" s="138"/>
      <c r="I2881" s="139"/>
      <c r="J2881" s="137"/>
      <c r="K2881" s="137"/>
      <c r="M2881" s="126"/>
      <c r="O2881" s="137"/>
      <c r="P2881" s="137"/>
      <c r="Q2881" s="126"/>
    </row>
    <row r="2882" spans="3:17" x14ac:dyDescent="0.3">
      <c r="C2882" s="126"/>
      <c r="F2882" s="137"/>
      <c r="G2882" s="138"/>
      <c r="H2882" s="138"/>
      <c r="I2882" s="139"/>
      <c r="J2882" s="137"/>
      <c r="K2882" s="137"/>
      <c r="M2882" s="126"/>
      <c r="O2882" s="137"/>
      <c r="P2882" s="137"/>
      <c r="Q2882" s="126"/>
    </row>
    <row r="2883" spans="3:17" x14ac:dyDescent="0.3">
      <c r="C2883" s="126"/>
      <c r="F2883" s="137"/>
      <c r="G2883" s="138"/>
      <c r="H2883" s="138"/>
      <c r="I2883" s="139"/>
      <c r="J2883" s="137"/>
      <c r="K2883" s="137"/>
      <c r="M2883" s="126"/>
      <c r="O2883" s="137"/>
      <c r="P2883" s="137"/>
      <c r="Q2883" s="126"/>
    </row>
    <row r="2884" spans="3:17" x14ac:dyDescent="0.3">
      <c r="C2884" s="126"/>
      <c r="F2884" s="137"/>
      <c r="G2884" s="138"/>
      <c r="H2884" s="138"/>
      <c r="I2884" s="139"/>
      <c r="J2884" s="137"/>
      <c r="K2884" s="137"/>
      <c r="M2884" s="126"/>
      <c r="O2884" s="137"/>
      <c r="P2884" s="137"/>
      <c r="Q2884" s="126"/>
    </row>
    <row r="2885" spans="3:17" x14ac:dyDescent="0.3">
      <c r="C2885" s="126"/>
      <c r="F2885" s="137"/>
      <c r="G2885" s="138"/>
      <c r="H2885" s="138"/>
      <c r="I2885" s="139"/>
      <c r="J2885" s="137"/>
      <c r="K2885" s="137"/>
      <c r="M2885" s="126"/>
      <c r="O2885" s="137"/>
      <c r="P2885" s="137"/>
      <c r="Q2885" s="126"/>
    </row>
    <row r="2886" spans="3:17" x14ac:dyDescent="0.3">
      <c r="C2886" s="126"/>
      <c r="F2886" s="137"/>
      <c r="G2886" s="138"/>
      <c r="H2886" s="138"/>
      <c r="I2886" s="139"/>
      <c r="J2886" s="137"/>
      <c r="K2886" s="137"/>
      <c r="M2886" s="126"/>
      <c r="O2886" s="137"/>
      <c r="P2886" s="137"/>
      <c r="Q2886" s="126"/>
    </row>
    <row r="2887" spans="3:17" x14ac:dyDescent="0.3">
      <c r="C2887" s="126"/>
      <c r="F2887" s="137"/>
      <c r="G2887" s="138"/>
      <c r="H2887" s="138"/>
      <c r="I2887" s="139"/>
      <c r="J2887" s="137"/>
      <c r="K2887" s="137"/>
      <c r="M2887" s="126"/>
      <c r="O2887" s="137"/>
      <c r="P2887" s="137"/>
      <c r="Q2887" s="126"/>
    </row>
    <row r="2888" spans="3:17" x14ac:dyDescent="0.3">
      <c r="C2888" s="126"/>
      <c r="F2888" s="137"/>
      <c r="G2888" s="138"/>
      <c r="H2888" s="138"/>
      <c r="I2888" s="139"/>
      <c r="J2888" s="137"/>
      <c r="K2888" s="137"/>
      <c r="M2888" s="126"/>
      <c r="O2888" s="137"/>
      <c r="P2888" s="137"/>
      <c r="Q2888" s="126"/>
    </row>
    <row r="2889" spans="3:17" x14ac:dyDescent="0.3">
      <c r="C2889" s="126"/>
      <c r="F2889" s="137"/>
      <c r="G2889" s="138"/>
      <c r="H2889" s="138"/>
      <c r="I2889" s="139"/>
      <c r="J2889" s="137"/>
      <c r="K2889" s="137"/>
      <c r="M2889" s="126"/>
      <c r="O2889" s="137"/>
      <c r="P2889" s="137"/>
      <c r="Q2889" s="126"/>
    </row>
    <row r="2890" spans="3:17" x14ac:dyDescent="0.3">
      <c r="C2890" s="126"/>
      <c r="F2890" s="137"/>
      <c r="G2890" s="138"/>
      <c r="H2890" s="138"/>
      <c r="I2890" s="139"/>
      <c r="J2890" s="137"/>
      <c r="K2890" s="137"/>
      <c r="M2890" s="126"/>
      <c r="O2890" s="137"/>
      <c r="P2890" s="137"/>
      <c r="Q2890" s="126"/>
    </row>
    <row r="2891" spans="3:17" x14ac:dyDescent="0.3">
      <c r="C2891" s="126"/>
      <c r="F2891" s="137"/>
      <c r="G2891" s="138"/>
      <c r="H2891" s="138"/>
      <c r="I2891" s="139"/>
      <c r="J2891" s="137"/>
      <c r="K2891" s="137"/>
      <c r="M2891" s="126"/>
      <c r="O2891" s="137"/>
      <c r="P2891" s="137"/>
      <c r="Q2891" s="126"/>
    </row>
    <row r="2892" spans="3:17" x14ac:dyDescent="0.3">
      <c r="C2892" s="126"/>
      <c r="F2892" s="137"/>
      <c r="G2892" s="138"/>
      <c r="H2892" s="138"/>
      <c r="I2892" s="139"/>
      <c r="J2892" s="137"/>
      <c r="K2892" s="137"/>
      <c r="M2892" s="126"/>
      <c r="O2892" s="137"/>
      <c r="P2892" s="137"/>
      <c r="Q2892" s="126"/>
    </row>
    <row r="2893" spans="3:17" x14ac:dyDescent="0.3">
      <c r="C2893" s="126"/>
      <c r="F2893" s="137"/>
      <c r="G2893" s="138"/>
      <c r="H2893" s="138"/>
      <c r="I2893" s="139"/>
      <c r="J2893" s="137"/>
      <c r="K2893" s="137"/>
      <c r="M2893" s="126"/>
      <c r="O2893" s="137"/>
      <c r="P2893" s="137"/>
      <c r="Q2893" s="126"/>
    </row>
    <row r="2894" spans="3:17" x14ac:dyDescent="0.3">
      <c r="C2894" s="126"/>
      <c r="F2894" s="137"/>
      <c r="G2894" s="138"/>
      <c r="H2894" s="138"/>
      <c r="I2894" s="139"/>
      <c r="J2894" s="137"/>
      <c r="K2894" s="137"/>
      <c r="M2894" s="126"/>
      <c r="O2894" s="137"/>
      <c r="P2894" s="137"/>
      <c r="Q2894" s="126"/>
    </row>
    <row r="2895" spans="3:17" x14ac:dyDescent="0.3">
      <c r="C2895" s="126"/>
      <c r="F2895" s="137"/>
      <c r="G2895" s="138"/>
      <c r="H2895" s="138"/>
      <c r="I2895" s="139"/>
      <c r="J2895" s="137"/>
      <c r="K2895" s="137"/>
      <c r="M2895" s="126"/>
      <c r="O2895" s="137"/>
      <c r="P2895" s="137"/>
      <c r="Q2895" s="126"/>
    </row>
    <row r="2896" spans="3:17" x14ac:dyDescent="0.3">
      <c r="C2896" s="126"/>
      <c r="F2896" s="137"/>
      <c r="G2896" s="138"/>
      <c r="H2896" s="138"/>
      <c r="I2896" s="139"/>
      <c r="J2896" s="137"/>
      <c r="K2896" s="137"/>
      <c r="M2896" s="126"/>
      <c r="O2896" s="137"/>
      <c r="P2896" s="137"/>
      <c r="Q2896" s="126"/>
    </row>
    <row r="2897" spans="3:17" x14ac:dyDescent="0.3">
      <c r="C2897" s="126"/>
      <c r="F2897" s="137"/>
      <c r="G2897" s="138"/>
      <c r="H2897" s="138"/>
      <c r="I2897" s="139"/>
      <c r="J2897" s="137"/>
      <c r="K2897" s="137"/>
      <c r="M2897" s="126"/>
      <c r="O2897" s="137"/>
      <c r="P2897" s="137"/>
      <c r="Q2897" s="126"/>
    </row>
    <row r="2898" spans="3:17" x14ac:dyDescent="0.3">
      <c r="C2898" s="126"/>
      <c r="F2898" s="137"/>
      <c r="G2898" s="138"/>
      <c r="H2898" s="138"/>
      <c r="I2898" s="139"/>
      <c r="J2898" s="137"/>
      <c r="K2898" s="137"/>
      <c r="M2898" s="126"/>
      <c r="O2898" s="137"/>
      <c r="P2898" s="137"/>
      <c r="Q2898" s="126"/>
    </row>
    <row r="2899" spans="3:17" x14ac:dyDescent="0.3">
      <c r="C2899" s="126"/>
      <c r="F2899" s="137"/>
      <c r="G2899" s="138"/>
      <c r="H2899" s="138"/>
      <c r="I2899" s="139"/>
      <c r="J2899" s="137"/>
      <c r="K2899" s="137"/>
      <c r="M2899" s="126"/>
      <c r="O2899" s="137"/>
      <c r="P2899" s="137"/>
      <c r="Q2899" s="126"/>
    </row>
    <row r="2900" spans="3:17" x14ac:dyDescent="0.3">
      <c r="C2900" s="126"/>
      <c r="F2900" s="137"/>
      <c r="G2900" s="138"/>
      <c r="H2900" s="138"/>
      <c r="I2900" s="139"/>
      <c r="J2900" s="137"/>
      <c r="K2900" s="137"/>
      <c r="M2900" s="126"/>
      <c r="O2900" s="137"/>
      <c r="P2900" s="137"/>
      <c r="Q2900" s="126"/>
    </row>
    <row r="2901" spans="3:17" x14ac:dyDescent="0.3">
      <c r="C2901" s="126"/>
      <c r="F2901" s="137"/>
      <c r="G2901" s="138"/>
      <c r="H2901" s="138"/>
      <c r="I2901" s="139"/>
      <c r="J2901" s="137"/>
      <c r="K2901" s="137"/>
      <c r="M2901" s="126"/>
      <c r="O2901" s="137"/>
      <c r="P2901" s="137"/>
      <c r="Q2901" s="126"/>
    </row>
    <row r="2902" spans="3:17" x14ac:dyDescent="0.3">
      <c r="C2902" s="126"/>
      <c r="F2902" s="137"/>
      <c r="G2902" s="138"/>
      <c r="H2902" s="138"/>
      <c r="I2902" s="139"/>
      <c r="J2902" s="137"/>
      <c r="K2902" s="137"/>
      <c r="M2902" s="126"/>
      <c r="O2902" s="137"/>
      <c r="P2902" s="137"/>
      <c r="Q2902" s="126"/>
    </row>
    <row r="2903" spans="3:17" x14ac:dyDescent="0.3">
      <c r="C2903" s="126"/>
      <c r="F2903" s="137"/>
      <c r="G2903" s="138"/>
      <c r="H2903" s="138"/>
      <c r="I2903" s="139"/>
      <c r="J2903" s="137"/>
      <c r="K2903" s="137"/>
      <c r="M2903" s="126"/>
      <c r="O2903" s="137"/>
      <c r="P2903" s="137"/>
      <c r="Q2903" s="126"/>
    </row>
    <row r="2904" spans="3:17" x14ac:dyDescent="0.3">
      <c r="C2904" s="126"/>
      <c r="F2904" s="137"/>
      <c r="G2904" s="138"/>
      <c r="H2904" s="138"/>
      <c r="I2904" s="139"/>
      <c r="J2904" s="137"/>
      <c r="K2904" s="137"/>
      <c r="M2904" s="126"/>
      <c r="O2904" s="137"/>
      <c r="P2904" s="137"/>
      <c r="Q2904" s="126"/>
    </row>
    <row r="2905" spans="3:17" x14ac:dyDescent="0.3">
      <c r="C2905" s="126"/>
      <c r="F2905" s="137"/>
      <c r="G2905" s="138"/>
      <c r="H2905" s="138"/>
      <c r="I2905" s="139"/>
      <c r="J2905" s="137"/>
      <c r="K2905" s="137"/>
      <c r="M2905" s="126"/>
      <c r="O2905" s="137"/>
      <c r="P2905" s="137"/>
      <c r="Q2905" s="126"/>
    </row>
    <row r="2906" spans="3:17" x14ac:dyDescent="0.3">
      <c r="C2906" s="126"/>
      <c r="F2906" s="137"/>
      <c r="G2906" s="138"/>
      <c r="H2906" s="138"/>
      <c r="I2906" s="139"/>
      <c r="J2906" s="137"/>
      <c r="K2906" s="137"/>
      <c r="M2906" s="126"/>
      <c r="O2906" s="137"/>
      <c r="P2906" s="137"/>
      <c r="Q2906" s="126"/>
    </row>
    <row r="2907" spans="3:17" x14ac:dyDescent="0.3">
      <c r="C2907" s="126"/>
      <c r="F2907" s="137"/>
      <c r="G2907" s="138"/>
      <c r="H2907" s="138"/>
      <c r="I2907" s="139"/>
      <c r="J2907" s="137"/>
      <c r="K2907" s="137"/>
      <c r="M2907" s="126"/>
      <c r="O2907" s="137"/>
      <c r="P2907" s="137"/>
      <c r="Q2907" s="126"/>
    </row>
    <row r="2908" spans="3:17" x14ac:dyDescent="0.3">
      <c r="C2908" s="126"/>
      <c r="F2908" s="137"/>
      <c r="G2908" s="138"/>
      <c r="H2908" s="138"/>
      <c r="I2908" s="139"/>
      <c r="J2908" s="137"/>
      <c r="K2908" s="137"/>
      <c r="M2908" s="126"/>
      <c r="O2908" s="137"/>
      <c r="P2908" s="137"/>
      <c r="Q2908" s="126"/>
    </row>
    <row r="2909" spans="3:17" x14ac:dyDescent="0.3">
      <c r="C2909" s="126"/>
      <c r="F2909" s="137"/>
      <c r="G2909" s="138"/>
      <c r="H2909" s="138"/>
      <c r="I2909" s="139"/>
      <c r="J2909" s="137"/>
      <c r="K2909" s="137"/>
      <c r="M2909" s="126"/>
      <c r="O2909" s="137"/>
      <c r="P2909" s="137"/>
      <c r="Q2909" s="126"/>
    </row>
    <row r="2910" spans="3:17" x14ac:dyDescent="0.3">
      <c r="C2910" s="126"/>
      <c r="F2910" s="137"/>
      <c r="G2910" s="138"/>
      <c r="H2910" s="138"/>
      <c r="I2910" s="139"/>
      <c r="J2910" s="137"/>
      <c r="K2910" s="137"/>
      <c r="M2910" s="126"/>
      <c r="O2910" s="137"/>
      <c r="P2910" s="137"/>
      <c r="Q2910" s="126"/>
    </row>
    <row r="2911" spans="3:17" x14ac:dyDescent="0.3">
      <c r="C2911" s="126"/>
      <c r="F2911" s="137"/>
      <c r="G2911" s="138"/>
      <c r="H2911" s="138"/>
      <c r="I2911" s="139"/>
      <c r="J2911" s="137"/>
      <c r="K2911" s="137"/>
      <c r="M2911" s="126"/>
      <c r="O2911" s="137"/>
      <c r="P2911" s="137"/>
      <c r="Q2911" s="126"/>
    </row>
    <row r="2912" spans="3:17" x14ac:dyDescent="0.3">
      <c r="C2912" s="126"/>
      <c r="F2912" s="137"/>
      <c r="G2912" s="138"/>
      <c r="H2912" s="138"/>
      <c r="I2912" s="139"/>
      <c r="J2912" s="137"/>
      <c r="K2912" s="137"/>
      <c r="M2912" s="126"/>
      <c r="O2912" s="137"/>
      <c r="P2912" s="137"/>
      <c r="Q2912" s="126"/>
    </row>
    <row r="2913" spans="3:17" x14ac:dyDescent="0.3">
      <c r="C2913" s="126"/>
      <c r="F2913" s="137"/>
      <c r="G2913" s="138"/>
      <c r="H2913" s="138"/>
      <c r="I2913" s="139"/>
      <c r="J2913" s="137"/>
      <c r="K2913" s="137"/>
      <c r="M2913" s="126"/>
      <c r="O2913" s="137"/>
      <c r="P2913" s="137"/>
      <c r="Q2913" s="126"/>
    </row>
    <row r="2914" spans="3:17" x14ac:dyDescent="0.3">
      <c r="C2914" s="126"/>
      <c r="F2914" s="137"/>
      <c r="G2914" s="138"/>
      <c r="H2914" s="138"/>
      <c r="I2914" s="139"/>
      <c r="J2914" s="137"/>
      <c r="K2914" s="137"/>
      <c r="M2914" s="126"/>
      <c r="O2914" s="137"/>
      <c r="P2914" s="137"/>
      <c r="Q2914" s="126"/>
    </row>
    <row r="2915" spans="3:17" x14ac:dyDescent="0.3">
      <c r="C2915" s="126"/>
      <c r="F2915" s="137"/>
      <c r="G2915" s="138"/>
      <c r="H2915" s="138"/>
      <c r="I2915" s="139"/>
      <c r="J2915" s="137"/>
      <c r="K2915" s="137"/>
      <c r="M2915" s="126"/>
      <c r="O2915" s="137"/>
      <c r="P2915" s="137"/>
      <c r="Q2915" s="126"/>
    </row>
    <row r="2916" spans="3:17" x14ac:dyDescent="0.3">
      <c r="C2916" s="126"/>
      <c r="F2916" s="137"/>
      <c r="G2916" s="138"/>
      <c r="H2916" s="138"/>
      <c r="I2916" s="139"/>
      <c r="J2916" s="137"/>
      <c r="K2916" s="137"/>
      <c r="M2916" s="126"/>
      <c r="O2916" s="137"/>
      <c r="P2916" s="137"/>
      <c r="Q2916" s="126"/>
    </row>
    <row r="2917" spans="3:17" x14ac:dyDescent="0.3">
      <c r="C2917" s="126"/>
      <c r="F2917" s="137"/>
      <c r="G2917" s="138"/>
      <c r="H2917" s="138"/>
      <c r="I2917" s="139"/>
      <c r="J2917" s="137"/>
      <c r="K2917" s="137"/>
      <c r="M2917" s="126"/>
      <c r="O2917" s="137"/>
      <c r="P2917" s="137"/>
      <c r="Q2917" s="126"/>
    </row>
    <row r="2918" spans="3:17" x14ac:dyDescent="0.3">
      <c r="C2918" s="126"/>
      <c r="F2918" s="137"/>
      <c r="G2918" s="138"/>
      <c r="H2918" s="138"/>
      <c r="I2918" s="139"/>
      <c r="J2918" s="137"/>
      <c r="K2918" s="137"/>
      <c r="M2918" s="126"/>
      <c r="O2918" s="137"/>
      <c r="P2918" s="137"/>
      <c r="Q2918" s="126"/>
    </row>
    <row r="2919" spans="3:17" x14ac:dyDescent="0.3">
      <c r="C2919" s="126"/>
      <c r="F2919" s="137"/>
      <c r="G2919" s="138"/>
      <c r="H2919" s="138"/>
      <c r="I2919" s="139"/>
      <c r="J2919" s="137"/>
      <c r="K2919" s="137"/>
      <c r="M2919" s="126"/>
      <c r="O2919" s="137"/>
      <c r="P2919" s="137"/>
      <c r="Q2919" s="126"/>
    </row>
    <row r="2920" spans="3:17" x14ac:dyDescent="0.3">
      <c r="C2920" s="126"/>
      <c r="F2920" s="137"/>
      <c r="G2920" s="138"/>
      <c r="H2920" s="138"/>
      <c r="I2920" s="139"/>
      <c r="J2920" s="137"/>
      <c r="K2920" s="137"/>
      <c r="M2920" s="126"/>
      <c r="O2920" s="137"/>
      <c r="P2920" s="137"/>
      <c r="Q2920" s="126"/>
    </row>
    <row r="2921" spans="3:17" x14ac:dyDescent="0.3">
      <c r="C2921" s="126"/>
      <c r="F2921" s="137"/>
      <c r="G2921" s="138"/>
      <c r="H2921" s="138"/>
      <c r="I2921" s="139"/>
      <c r="J2921" s="137"/>
      <c r="K2921" s="137"/>
      <c r="M2921" s="126"/>
      <c r="O2921" s="137"/>
      <c r="P2921" s="137"/>
      <c r="Q2921" s="126"/>
    </row>
    <row r="2922" spans="3:17" x14ac:dyDescent="0.3">
      <c r="C2922" s="126"/>
      <c r="F2922" s="137"/>
      <c r="G2922" s="138"/>
      <c r="H2922" s="138"/>
      <c r="I2922" s="139"/>
      <c r="J2922" s="137"/>
      <c r="K2922" s="137"/>
      <c r="M2922" s="126"/>
      <c r="O2922" s="137"/>
      <c r="P2922" s="137"/>
      <c r="Q2922" s="126"/>
    </row>
    <row r="2923" spans="3:17" x14ac:dyDescent="0.3">
      <c r="C2923" s="126"/>
      <c r="F2923" s="137"/>
      <c r="G2923" s="138"/>
      <c r="H2923" s="138"/>
      <c r="I2923" s="139"/>
      <c r="J2923" s="137"/>
      <c r="K2923" s="137"/>
      <c r="M2923" s="126"/>
      <c r="O2923" s="137"/>
      <c r="P2923" s="137"/>
      <c r="Q2923" s="126"/>
    </row>
    <row r="2924" spans="3:17" x14ac:dyDescent="0.3">
      <c r="C2924" s="126"/>
      <c r="F2924" s="137"/>
      <c r="G2924" s="138"/>
      <c r="H2924" s="138"/>
      <c r="I2924" s="139"/>
      <c r="J2924" s="137"/>
      <c r="K2924" s="137"/>
      <c r="M2924" s="126"/>
      <c r="O2924" s="137"/>
      <c r="P2924" s="137"/>
      <c r="Q2924" s="126"/>
    </row>
    <row r="2925" spans="3:17" x14ac:dyDescent="0.3">
      <c r="C2925" s="126"/>
      <c r="F2925" s="137"/>
      <c r="G2925" s="138"/>
      <c r="H2925" s="138"/>
      <c r="I2925" s="139"/>
      <c r="J2925" s="137"/>
      <c r="K2925" s="137"/>
      <c r="M2925" s="126"/>
      <c r="O2925" s="137"/>
      <c r="P2925" s="137"/>
      <c r="Q2925" s="126"/>
    </row>
    <row r="2926" spans="3:17" x14ac:dyDescent="0.3">
      <c r="C2926" s="126"/>
      <c r="F2926" s="137"/>
      <c r="G2926" s="138"/>
      <c r="H2926" s="138"/>
      <c r="I2926" s="139"/>
      <c r="J2926" s="137"/>
      <c r="K2926" s="137"/>
      <c r="M2926" s="126"/>
      <c r="O2926" s="137"/>
      <c r="P2926" s="137"/>
      <c r="Q2926" s="126"/>
    </row>
    <row r="2927" spans="3:17" x14ac:dyDescent="0.3">
      <c r="C2927" s="126"/>
      <c r="F2927" s="137"/>
      <c r="G2927" s="138"/>
      <c r="H2927" s="138"/>
      <c r="I2927" s="139"/>
      <c r="J2927" s="137"/>
      <c r="K2927" s="137"/>
      <c r="M2927" s="126"/>
      <c r="O2927" s="137"/>
      <c r="P2927" s="137"/>
      <c r="Q2927" s="126"/>
    </row>
    <row r="2928" spans="3:17" x14ac:dyDescent="0.3">
      <c r="C2928" s="126"/>
      <c r="F2928" s="137"/>
      <c r="G2928" s="138"/>
      <c r="H2928" s="138"/>
      <c r="I2928" s="139"/>
      <c r="J2928" s="137"/>
      <c r="K2928" s="137"/>
      <c r="M2928" s="126"/>
      <c r="O2928" s="137"/>
      <c r="P2928" s="137"/>
      <c r="Q2928" s="126"/>
    </row>
    <row r="2929" spans="3:17" x14ac:dyDescent="0.3">
      <c r="C2929" s="126"/>
      <c r="F2929" s="137"/>
      <c r="G2929" s="138"/>
      <c r="H2929" s="138"/>
      <c r="I2929" s="139"/>
      <c r="J2929" s="137"/>
      <c r="K2929" s="137"/>
      <c r="M2929" s="126"/>
      <c r="O2929" s="137"/>
      <c r="P2929" s="137"/>
      <c r="Q2929" s="126"/>
    </row>
    <row r="2930" spans="3:17" x14ac:dyDescent="0.3">
      <c r="C2930" s="126"/>
      <c r="F2930" s="137"/>
      <c r="G2930" s="138"/>
      <c r="H2930" s="138"/>
      <c r="I2930" s="139"/>
      <c r="J2930" s="137"/>
      <c r="K2930" s="137"/>
      <c r="M2930" s="126"/>
      <c r="O2930" s="137"/>
      <c r="P2930" s="137"/>
      <c r="Q2930" s="126"/>
    </row>
    <row r="2931" spans="3:17" x14ac:dyDescent="0.3">
      <c r="C2931" s="126"/>
      <c r="F2931" s="137"/>
      <c r="G2931" s="138"/>
      <c r="H2931" s="138"/>
      <c r="I2931" s="139"/>
      <c r="J2931" s="137"/>
      <c r="K2931" s="137"/>
      <c r="M2931" s="126"/>
      <c r="O2931" s="137"/>
      <c r="P2931" s="137"/>
      <c r="Q2931" s="126"/>
    </row>
    <row r="2932" spans="3:17" x14ac:dyDescent="0.3">
      <c r="C2932" s="126"/>
      <c r="F2932" s="137"/>
      <c r="G2932" s="138"/>
      <c r="H2932" s="138"/>
      <c r="I2932" s="139"/>
      <c r="J2932" s="137"/>
      <c r="K2932" s="137"/>
      <c r="M2932" s="126"/>
      <c r="O2932" s="137"/>
      <c r="P2932" s="137"/>
      <c r="Q2932" s="126"/>
    </row>
    <row r="2933" spans="3:17" x14ac:dyDescent="0.3">
      <c r="C2933" s="126"/>
      <c r="F2933" s="137"/>
      <c r="G2933" s="138"/>
      <c r="H2933" s="138"/>
      <c r="I2933" s="139"/>
      <c r="J2933" s="137"/>
      <c r="K2933" s="137"/>
      <c r="M2933" s="126"/>
      <c r="O2933" s="137"/>
      <c r="P2933" s="137"/>
      <c r="Q2933" s="126"/>
    </row>
    <row r="2934" spans="3:17" x14ac:dyDescent="0.3">
      <c r="C2934" s="126"/>
      <c r="F2934" s="137"/>
      <c r="G2934" s="138"/>
      <c r="H2934" s="138"/>
      <c r="I2934" s="139"/>
      <c r="J2934" s="137"/>
      <c r="K2934" s="137"/>
      <c r="M2934" s="126"/>
      <c r="O2934" s="137"/>
      <c r="P2934" s="137"/>
      <c r="Q2934" s="126"/>
    </row>
    <row r="2935" spans="3:17" x14ac:dyDescent="0.3">
      <c r="C2935" s="126"/>
      <c r="F2935" s="137"/>
      <c r="G2935" s="138"/>
      <c r="H2935" s="138"/>
      <c r="I2935" s="139"/>
      <c r="J2935" s="137"/>
      <c r="K2935" s="137"/>
      <c r="M2935" s="126"/>
      <c r="O2935" s="137"/>
      <c r="P2935" s="137"/>
      <c r="Q2935" s="126"/>
    </row>
    <row r="2936" spans="3:17" x14ac:dyDescent="0.3">
      <c r="C2936" s="126"/>
      <c r="F2936" s="137"/>
      <c r="G2936" s="138"/>
      <c r="H2936" s="138"/>
      <c r="I2936" s="139"/>
      <c r="J2936" s="137"/>
      <c r="K2936" s="137"/>
      <c r="M2936" s="126"/>
      <c r="O2936" s="137"/>
      <c r="P2936" s="137"/>
      <c r="Q2936" s="126"/>
    </row>
    <row r="2937" spans="3:17" x14ac:dyDescent="0.3">
      <c r="C2937" s="126"/>
      <c r="F2937" s="137"/>
      <c r="G2937" s="138"/>
      <c r="H2937" s="138"/>
      <c r="I2937" s="139"/>
      <c r="J2937" s="137"/>
      <c r="K2937" s="137"/>
      <c r="M2937" s="126"/>
      <c r="O2937" s="137"/>
      <c r="P2937" s="137"/>
      <c r="Q2937" s="126"/>
    </row>
    <row r="2938" spans="3:17" x14ac:dyDescent="0.3">
      <c r="C2938" s="126"/>
      <c r="F2938" s="137"/>
      <c r="G2938" s="138"/>
      <c r="H2938" s="138"/>
      <c r="I2938" s="139"/>
      <c r="J2938" s="137"/>
      <c r="K2938" s="137"/>
      <c r="M2938" s="126"/>
      <c r="O2938" s="137"/>
      <c r="P2938" s="137"/>
      <c r="Q2938" s="126"/>
    </row>
    <row r="2939" spans="3:17" x14ac:dyDescent="0.3">
      <c r="C2939" s="126"/>
      <c r="F2939" s="137"/>
      <c r="G2939" s="138"/>
      <c r="H2939" s="138"/>
      <c r="I2939" s="139"/>
      <c r="J2939" s="137"/>
      <c r="K2939" s="137"/>
      <c r="M2939" s="126"/>
      <c r="O2939" s="137"/>
      <c r="P2939" s="137"/>
      <c r="Q2939" s="126"/>
    </row>
    <row r="2940" spans="3:17" x14ac:dyDescent="0.3">
      <c r="C2940" s="126"/>
      <c r="F2940" s="137"/>
      <c r="G2940" s="138"/>
      <c r="H2940" s="138"/>
      <c r="I2940" s="139"/>
      <c r="J2940" s="137"/>
      <c r="K2940" s="137"/>
      <c r="M2940" s="126"/>
      <c r="O2940" s="137"/>
      <c r="P2940" s="137"/>
      <c r="Q2940" s="126"/>
    </row>
    <row r="2941" spans="3:17" x14ac:dyDescent="0.3">
      <c r="C2941" s="126"/>
      <c r="F2941" s="137"/>
      <c r="G2941" s="138"/>
      <c r="H2941" s="138"/>
      <c r="I2941" s="139"/>
      <c r="J2941" s="137"/>
      <c r="K2941" s="137"/>
      <c r="M2941" s="126"/>
      <c r="O2941" s="137"/>
      <c r="P2941" s="137"/>
      <c r="Q2941" s="126"/>
    </row>
    <row r="2942" spans="3:17" x14ac:dyDescent="0.3">
      <c r="C2942" s="126"/>
      <c r="F2942" s="137"/>
      <c r="G2942" s="138"/>
      <c r="H2942" s="138"/>
      <c r="I2942" s="139"/>
      <c r="J2942" s="137"/>
      <c r="K2942" s="137"/>
      <c r="M2942" s="126"/>
      <c r="O2942" s="137"/>
      <c r="P2942" s="137"/>
      <c r="Q2942" s="126"/>
    </row>
    <row r="2943" spans="3:17" x14ac:dyDescent="0.3">
      <c r="C2943" s="126"/>
      <c r="F2943" s="137"/>
      <c r="G2943" s="138"/>
      <c r="H2943" s="138"/>
      <c r="I2943" s="139"/>
      <c r="J2943" s="137"/>
      <c r="K2943" s="137"/>
      <c r="M2943" s="126"/>
      <c r="O2943" s="137"/>
      <c r="P2943" s="137"/>
      <c r="Q2943" s="126"/>
    </row>
    <row r="2944" spans="3:17" x14ac:dyDescent="0.3">
      <c r="C2944" s="126"/>
      <c r="F2944" s="137"/>
      <c r="G2944" s="138"/>
      <c r="H2944" s="138"/>
      <c r="I2944" s="139"/>
      <c r="J2944" s="137"/>
      <c r="K2944" s="137"/>
      <c r="M2944" s="126"/>
      <c r="O2944" s="137"/>
      <c r="P2944" s="137"/>
      <c r="Q2944" s="126"/>
    </row>
    <row r="2945" spans="3:17" x14ac:dyDescent="0.3">
      <c r="C2945" s="126"/>
      <c r="F2945" s="137"/>
      <c r="G2945" s="138"/>
      <c r="H2945" s="138"/>
      <c r="I2945" s="139"/>
      <c r="J2945" s="137"/>
      <c r="K2945" s="137"/>
      <c r="M2945" s="126"/>
      <c r="O2945" s="137"/>
      <c r="P2945" s="137"/>
      <c r="Q2945" s="126"/>
    </row>
    <row r="2946" spans="3:17" x14ac:dyDescent="0.3">
      <c r="C2946" s="126"/>
      <c r="F2946" s="137"/>
      <c r="G2946" s="138"/>
      <c r="H2946" s="138"/>
      <c r="I2946" s="139"/>
      <c r="J2946" s="137"/>
      <c r="K2946" s="137"/>
      <c r="M2946" s="126"/>
      <c r="O2946" s="137"/>
      <c r="P2946" s="137"/>
      <c r="Q2946" s="126"/>
    </row>
    <row r="2947" spans="3:17" x14ac:dyDescent="0.3">
      <c r="C2947" s="126"/>
      <c r="F2947" s="137"/>
      <c r="G2947" s="138"/>
      <c r="H2947" s="138"/>
      <c r="I2947" s="139"/>
      <c r="J2947" s="137"/>
      <c r="K2947" s="137"/>
      <c r="M2947" s="126"/>
      <c r="O2947" s="137"/>
      <c r="P2947" s="137"/>
      <c r="Q2947" s="126"/>
    </row>
    <row r="2948" spans="3:17" x14ac:dyDescent="0.3">
      <c r="C2948" s="126"/>
      <c r="F2948" s="137"/>
      <c r="G2948" s="138"/>
      <c r="H2948" s="138"/>
      <c r="I2948" s="139"/>
      <c r="J2948" s="137"/>
      <c r="K2948" s="137"/>
      <c r="M2948" s="126"/>
      <c r="O2948" s="137"/>
      <c r="P2948" s="137"/>
      <c r="Q2948" s="126"/>
    </row>
    <row r="2949" spans="3:17" x14ac:dyDescent="0.3">
      <c r="C2949" s="126"/>
      <c r="F2949" s="137"/>
      <c r="G2949" s="138"/>
      <c r="H2949" s="138"/>
      <c r="I2949" s="139"/>
      <c r="J2949" s="137"/>
      <c r="K2949" s="137"/>
      <c r="M2949" s="126"/>
      <c r="O2949" s="137"/>
      <c r="P2949" s="137"/>
      <c r="Q2949" s="126"/>
    </row>
    <row r="2950" spans="3:17" x14ac:dyDescent="0.3">
      <c r="C2950" s="126"/>
      <c r="F2950" s="137"/>
      <c r="G2950" s="138"/>
      <c r="H2950" s="138"/>
      <c r="I2950" s="139"/>
      <c r="J2950" s="137"/>
      <c r="K2950" s="137"/>
      <c r="M2950" s="126"/>
      <c r="O2950" s="137"/>
      <c r="P2950" s="137"/>
      <c r="Q2950" s="126"/>
    </row>
    <row r="2951" spans="3:17" x14ac:dyDescent="0.3">
      <c r="C2951" s="126"/>
      <c r="F2951" s="137"/>
      <c r="G2951" s="138"/>
      <c r="H2951" s="138"/>
      <c r="I2951" s="139"/>
      <c r="J2951" s="137"/>
      <c r="K2951" s="137"/>
      <c r="M2951" s="126"/>
      <c r="O2951" s="137"/>
      <c r="P2951" s="137"/>
      <c r="Q2951" s="126"/>
    </row>
    <row r="2952" spans="3:17" x14ac:dyDescent="0.3">
      <c r="C2952" s="126"/>
      <c r="F2952" s="137"/>
      <c r="G2952" s="138"/>
      <c r="H2952" s="138"/>
      <c r="I2952" s="139"/>
      <c r="J2952" s="137"/>
      <c r="K2952" s="137"/>
      <c r="M2952" s="126"/>
      <c r="O2952" s="137"/>
      <c r="P2952" s="137"/>
      <c r="Q2952" s="126"/>
    </row>
    <row r="2953" spans="3:17" x14ac:dyDescent="0.3">
      <c r="C2953" s="126"/>
      <c r="F2953" s="137"/>
      <c r="G2953" s="138"/>
      <c r="H2953" s="138"/>
      <c r="I2953" s="139"/>
      <c r="J2953" s="137"/>
      <c r="K2953" s="137"/>
      <c r="M2953" s="126"/>
      <c r="O2953" s="137"/>
      <c r="P2953" s="137"/>
      <c r="Q2953" s="126"/>
    </row>
    <row r="2954" spans="3:17" x14ac:dyDescent="0.3">
      <c r="C2954" s="126"/>
      <c r="F2954" s="137"/>
      <c r="G2954" s="138"/>
      <c r="H2954" s="138"/>
      <c r="I2954" s="139"/>
      <c r="J2954" s="137"/>
      <c r="K2954" s="137"/>
      <c r="M2954" s="126"/>
      <c r="O2954" s="137"/>
      <c r="P2954" s="137"/>
      <c r="Q2954" s="126"/>
    </row>
    <row r="2955" spans="3:17" x14ac:dyDescent="0.3">
      <c r="C2955" s="126"/>
      <c r="F2955" s="137"/>
      <c r="G2955" s="138"/>
      <c r="H2955" s="138"/>
      <c r="I2955" s="139"/>
      <c r="J2955" s="137"/>
      <c r="K2955" s="137"/>
      <c r="M2955" s="126"/>
      <c r="O2955" s="137"/>
      <c r="P2955" s="137"/>
      <c r="Q2955" s="126"/>
    </row>
    <row r="2956" spans="3:17" x14ac:dyDescent="0.3">
      <c r="C2956" s="126"/>
      <c r="F2956" s="137"/>
      <c r="G2956" s="138"/>
      <c r="H2956" s="138"/>
      <c r="I2956" s="139"/>
      <c r="J2956" s="137"/>
      <c r="K2956" s="137"/>
      <c r="M2956" s="126"/>
      <c r="O2956" s="137"/>
      <c r="P2956" s="137"/>
      <c r="Q2956" s="126"/>
    </row>
    <row r="2957" spans="3:17" x14ac:dyDescent="0.3">
      <c r="C2957" s="126"/>
      <c r="F2957" s="137"/>
      <c r="G2957" s="138"/>
      <c r="H2957" s="138"/>
      <c r="I2957" s="139"/>
      <c r="J2957" s="137"/>
      <c r="K2957" s="137"/>
      <c r="M2957" s="126"/>
      <c r="O2957" s="137"/>
      <c r="P2957" s="137"/>
      <c r="Q2957" s="126"/>
    </row>
    <row r="2958" spans="3:17" x14ac:dyDescent="0.3">
      <c r="C2958" s="126"/>
      <c r="F2958" s="137"/>
      <c r="G2958" s="138"/>
      <c r="H2958" s="138"/>
      <c r="I2958" s="139"/>
      <c r="J2958" s="137"/>
      <c r="K2958" s="137"/>
      <c r="M2958" s="126"/>
      <c r="O2958" s="137"/>
      <c r="P2958" s="137"/>
      <c r="Q2958" s="126"/>
    </row>
    <row r="2959" spans="3:17" x14ac:dyDescent="0.3">
      <c r="C2959" s="126"/>
      <c r="F2959" s="137"/>
      <c r="G2959" s="138"/>
      <c r="H2959" s="138"/>
      <c r="I2959" s="139"/>
      <c r="J2959" s="137"/>
      <c r="K2959" s="137"/>
      <c r="M2959" s="126"/>
      <c r="O2959" s="137"/>
      <c r="P2959" s="137"/>
      <c r="Q2959" s="126"/>
    </row>
    <row r="2960" spans="3:17" x14ac:dyDescent="0.3">
      <c r="C2960" s="126"/>
      <c r="F2960" s="137"/>
      <c r="G2960" s="138"/>
      <c r="H2960" s="138"/>
      <c r="I2960" s="139"/>
      <c r="J2960" s="137"/>
      <c r="K2960" s="137"/>
      <c r="M2960" s="126"/>
      <c r="O2960" s="137"/>
      <c r="P2960" s="137"/>
      <c r="Q2960" s="126"/>
    </row>
    <row r="2961" spans="3:17" x14ac:dyDescent="0.3">
      <c r="C2961" s="126"/>
      <c r="F2961" s="137"/>
      <c r="G2961" s="138"/>
      <c r="H2961" s="138"/>
      <c r="I2961" s="139"/>
      <c r="J2961" s="137"/>
      <c r="K2961" s="137"/>
      <c r="M2961" s="126"/>
      <c r="O2961" s="137"/>
      <c r="P2961" s="137"/>
      <c r="Q2961" s="126"/>
    </row>
    <row r="2962" spans="3:17" x14ac:dyDescent="0.3">
      <c r="C2962" s="126"/>
      <c r="F2962" s="137"/>
      <c r="G2962" s="138"/>
      <c r="H2962" s="138"/>
      <c r="I2962" s="139"/>
      <c r="J2962" s="137"/>
      <c r="K2962" s="137"/>
      <c r="M2962" s="126"/>
      <c r="O2962" s="137"/>
      <c r="P2962" s="137"/>
      <c r="Q2962" s="126"/>
    </row>
    <row r="2963" spans="3:17" x14ac:dyDescent="0.3">
      <c r="C2963" s="126"/>
      <c r="F2963" s="137"/>
      <c r="G2963" s="138"/>
      <c r="H2963" s="138"/>
      <c r="I2963" s="139"/>
      <c r="J2963" s="137"/>
      <c r="K2963" s="137"/>
      <c r="M2963" s="126"/>
      <c r="O2963" s="137"/>
      <c r="P2963" s="137"/>
      <c r="Q2963" s="126"/>
    </row>
    <row r="2964" spans="3:17" x14ac:dyDescent="0.3">
      <c r="C2964" s="126"/>
      <c r="F2964" s="137"/>
      <c r="G2964" s="138"/>
      <c r="H2964" s="138"/>
      <c r="I2964" s="139"/>
      <c r="J2964" s="137"/>
      <c r="K2964" s="137"/>
      <c r="M2964" s="126"/>
      <c r="O2964" s="137"/>
      <c r="P2964" s="137"/>
      <c r="Q2964" s="126"/>
    </row>
    <row r="2965" spans="3:17" x14ac:dyDescent="0.3">
      <c r="C2965" s="126"/>
      <c r="F2965" s="137"/>
      <c r="G2965" s="138"/>
      <c r="H2965" s="138"/>
      <c r="I2965" s="139"/>
      <c r="J2965" s="137"/>
      <c r="K2965" s="137"/>
      <c r="M2965" s="126"/>
      <c r="O2965" s="137"/>
      <c r="P2965" s="137"/>
      <c r="Q2965" s="126"/>
    </row>
    <row r="2966" spans="3:17" x14ac:dyDescent="0.3">
      <c r="C2966" s="126"/>
      <c r="F2966" s="137"/>
      <c r="G2966" s="138"/>
      <c r="H2966" s="138"/>
      <c r="I2966" s="139"/>
      <c r="J2966" s="137"/>
      <c r="K2966" s="137"/>
      <c r="M2966" s="126"/>
      <c r="O2966" s="137"/>
      <c r="P2966" s="137"/>
      <c r="Q2966" s="126"/>
    </row>
    <row r="2967" spans="3:17" x14ac:dyDescent="0.3">
      <c r="C2967" s="126"/>
      <c r="F2967" s="137"/>
      <c r="G2967" s="138"/>
      <c r="H2967" s="138"/>
      <c r="I2967" s="139"/>
      <c r="J2967" s="137"/>
      <c r="K2967" s="137"/>
      <c r="M2967" s="126"/>
      <c r="O2967" s="137"/>
      <c r="P2967" s="137"/>
      <c r="Q2967" s="126"/>
    </row>
    <row r="2968" spans="3:17" x14ac:dyDescent="0.3">
      <c r="C2968" s="126"/>
      <c r="F2968" s="137"/>
      <c r="G2968" s="138"/>
      <c r="H2968" s="138"/>
      <c r="I2968" s="139"/>
      <c r="J2968" s="137"/>
      <c r="K2968" s="137"/>
      <c r="M2968" s="126"/>
      <c r="O2968" s="137"/>
      <c r="P2968" s="137"/>
      <c r="Q2968" s="126"/>
    </row>
    <row r="2969" spans="3:17" x14ac:dyDescent="0.3">
      <c r="C2969" s="126"/>
      <c r="F2969" s="137"/>
      <c r="G2969" s="138"/>
      <c r="H2969" s="138"/>
      <c r="I2969" s="139"/>
      <c r="J2969" s="137"/>
      <c r="K2969" s="137"/>
      <c r="M2969" s="126"/>
      <c r="O2969" s="137"/>
      <c r="P2969" s="137"/>
      <c r="Q2969" s="126"/>
    </row>
    <row r="2970" spans="3:17" x14ac:dyDescent="0.3">
      <c r="C2970" s="126"/>
      <c r="F2970" s="137"/>
      <c r="G2970" s="138"/>
      <c r="H2970" s="138"/>
      <c r="I2970" s="139"/>
      <c r="J2970" s="137"/>
      <c r="K2970" s="137"/>
      <c r="M2970" s="126"/>
      <c r="O2970" s="137"/>
      <c r="P2970" s="137"/>
      <c r="Q2970" s="126"/>
    </row>
    <row r="2971" spans="3:17" x14ac:dyDescent="0.3">
      <c r="C2971" s="126"/>
      <c r="F2971" s="137"/>
      <c r="G2971" s="138"/>
      <c r="H2971" s="138"/>
      <c r="I2971" s="139"/>
      <c r="J2971" s="137"/>
      <c r="K2971" s="137"/>
      <c r="M2971" s="126"/>
      <c r="O2971" s="137"/>
      <c r="P2971" s="137"/>
      <c r="Q2971" s="126"/>
    </row>
    <row r="2972" spans="3:17" x14ac:dyDescent="0.3">
      <c r="C2972" s="126"/>
      <c r="F2972" s="137"/>
      <c r="G2972" s="138"/>
      <c r="H2972" s="138"/>
      <c r="I2972" s="139"/>
      <c r="J2972" s="137"/>
      <c r="K2972" s="137"/>
      <c r="M2972" s="126"/>
      <c r="O2972" s="137"/>
      <c r="P2972" s="137"/>
      <c r="Q2972" s="126"/>
    </row>
    <row r="2973" spans="3:17" x14ac:dyDescent="0.3">
      <c r="C2973" s="126"/>
      <c r="F2973" s="137"/>
      <c r="G2973" s="138"/>
      <c r="H2973" s="138"/>
      <c r="I2973" s="139"/>
      <c r="J2973" s="137"/>
      <c r="K2973" s="137"/>
      <c r="M2973" s="126"/>
      <c r="O2973" s="137"/>
      <c r="P2973" s="137"/>
      <c r="Q2973" s="126"/>
    </row>
    <row r="2974" spans="3:17" x14ac:dyDescent="0.3">
      <c r="C2974" s="126"/>
      <c r="F2974" s="137"/>
      <c r="G2974" s="138"/>
      <c r="H2974" s="138"/>
      <c r="I2974" s="139"/>
      <c r="J2974" s="137"/>
      <c r="K2974" s="137"/>
      <c r="M2974" s="126"/>
      <c r="O2974" s="137"/>
      <c r="P2974" s="137"/>
      <c r="Q2974" s="126"/>
    </row>
    <row r="2975" spans="3:17" x14ac:dyDescent="0.3">
      <c r="C2975" s="126"/>
      <c r="F2975" s="137"/>
      <c r="G2975" s="138"/>
      <c r="H2975" s="138"/>
      <c r="I2975" s="139"/>
      <c r="J2975" s="137"/>
      <c r="K2975" s="137"/>
      <c r="M2975" s="126"/>
      <c r="O2975" s="137"/>
      <c r="P2975" s="137"/>
      <c r="Q2975" s="126"/>
    </row>
    <row r="2976" spans="3:17" x14ac:dyDescent="0.3">
      <c r="C2976" s="126"/>
      <c r="F2976" s="137"/>
      <c r="G2976" s="138"/>
      <c r="H2976" s="138"/>
      <c r="I2976" s="139"/>
      <c r="J2976" s="137"/>
      <c r="K2976" s="137"/>
      <c r="M2976" s="126"/>
      <c r="O2976" s="137"/>
      <c r="P2976" s="137"/>
      <c r="Q2976" s="126"/>
    </row>
    <row r="2977" spans="3:17" x14ac:dyDescent="0.3">
      <c r="C2977" s="126"/>
      <c r="F2977" s="137"/>
      <c r="G2977" s="138"/>
      <c r="H2977" s="138"/>
      <c r="I2977" s="139"/>
      <c r="J2977" s="137"/>
      <c r="K2977" s="137"/>
      <c r="M2977" s="126"/>
      <c r="O2977" s="137"/>
      <c r="P2977" s="137"/>
      <c r="Q2977" s="126"/>
    </row>
    <row r="2978" spans="3:17" x14ac:dyDescent="0.3">
      <c r="C2978" s="126"/>
      <c r="F2978" s="137"/>
      <c r="G2978" s="138"/>
      <c r="H2978" s="138"/>
      <c r="I2978" s="139"/>
      <c r="J2978" s="137"/>
      <c r="K2978" s="137"/>
      <c r="M2978" s="126"/>
      <c r="O2978" s="137"/>
      <c r="P2978" s="137"/>
      <c r="Q2978" s="126"/>
    </row>
    <row r="2979" spans="3:17" x14ac:dyDescent="0.3">
      <c r="C2979" s="126"/>
      <c r="F2979" s="137"/>
      <c r="G2979" s="138"/>
      <c r="H2979" s="138"/>
      <c r="I2979" s="139"/>
      <c r="J2979" s="137"/>
      <c r="K2979" s="137"/>
      <c r="M2979" s="126"/>
      <c r="O2979" s="137"/>
      <c r="P2979" s="137"/>
      <c r="Q2979" s="126"/>
    </row>
    <row r="2980" spans="3:17" x14ac:dyDescent="0.3">
      <c r="C2980" s="126"/>
      <c r="F2980" s="137"/>
      <c r="G2980" s="138"/>
      <c r="H2980" s="138"/>
      <c r="I2980" s="139"/>
      <c r="J2980" s="137"/>
      <c r="K2980" s="137"/>
      <c r="M2980" s="126"/>
      <c r="O2980" s="137"/>
      <c r="P2980" s="137"/>
      <c r="Q2980" s="126"/>
    </row>
    <row r="2981" spans="3:17" x14ac:dyDescent="0.3">
      <c r="C2981" s="126"/>
      <c r="F2981" s="137"/>
      <c r="G2981" s="138"/>
      <c r="H2981" s="138"/>
      <c r="I2981" s="139"/>
      <c r="J2981" s="137"/>
      <c r="K2981" s="137"/>
      <c r="M2981" s="126"/>
      <c r="O2981" s="137"/>
      <c r="P2981" s="137"/>
      <c r="Q2981" s="126"/>
    </row>
    <row r="2982" spans="3:17" x14ac:dyDescent="0.3">
      <c r="C2982" s="126"/>
      <c r="F2982" s="137"/>
      <c r="G2982" s="138"/>
      <c r="H2982" s="138"/>
      <c r="I2982" s="139"/>
      <c r="J2982" s="137"/>
      <c r="K2982" s="137"/>
      <c r="M2982" s="126"/>
      <c r="O2982" s="137"/>
      <c r="P2982" s="137"/>
      <c r="Q2982" s="126"/>
    </row>
    <row r="2983" spans="3:17" x14ac:dyDescent="0.3">
      <c r="C2983" s="126"/>
      <c r="F2983" s="137"/>
      <c r="G2983" s="138"/>
      <c r="H2983" s="138"/>
      <c r="I2983" s="139"/>
      <c r="J2983" s="137"/>
      <c r="K2983" s="137"/>
      <c r="M2983" s="126"/>
      <c r="O2983" s="137"/>
      <c r="P2983" s="137"/>
      <c r="Q2983" s="126"/>
    </row>
    <row r="2984" spans="3:17" x14ac:dyDescent="0.3">
      <c r="C2984" s="126"/>
      <c r="F2984" s="137"/>
      <c r="G2984" s="138"/>
      <c r="H2984" s="138"/>
      <c r="I2984" s="139"/>
      <c r="J2984" s="137"/>
      <c r="K2984" s="137"/>
      <c r="M2984" s="126"/>
      <c r="O2984" s="137"/>
      <c r="P2984" s="137"/>
      <c r="Q2984" s="126"/>
    </row>
    <row r="2985" spans="3:17" x14ac:dyDescent="0.3">
      <c r="C2985" s="126"/>
      <c r="F2985" s="137"/>
      <c r="G2985" s="138"/>
      <c r="H2985" s="138"/>
      <c r="I2985" s="139"/>
      <c r="J2985" s="137"/>
      <c r="K2985" s="137"/>
      <c r="M2985" s="126"/>
      <c r="O2985" s="137"/>
      <c r="P2985" s="137"/>
      <c r="Q2985" s="126"/>
    </row>
    <row r="2986" spans="3:17" x14ac:dyDescent="0.3">
      <c r="C2986" s="126"/>
      <c r="F2986" s="137"/>
      <c r="G2986" s="138"/>
      <c r="H2986" s="138"/>
      <c r="I2986" s="139"/>
      <c r="J2986" s="137"/>
      <c r="K2986" s="137"/>
      <c r="M2986" s="126"/>
      <c r="O2986" s="137"/>
      <c r="P2986" s="137"/>
      <c r="Q2986" s="126"/>
    </row>
    <row r="2987" spans="3:17" x14ac:dyDescent="0.3">
      <c r="C2987" s="126"/>
      <c r="F2987" s="137"/>
      <c r="G2987" s="138"/>
      <c r="H2987" s="138"/>
      <c r="I2987" s="139"/>
      <c r="J2987" s="137"/>
      <c r="K2987" s="137"/>
      <c r="M2987" s="126"/>
      <c r="O2987" s="137"/>
      <c r="P2987" s="137"/>
      <c r="Q2987" s="126"/>
    </row>
    <row r="2988" spans="3:17" x14ac:dyDescent="0.3">
      <c r="C2988" s="126"/>
      <c r="F2988" s="137"/>
      <c r="G2988" s="138"/>
      <c r="H2988" s="138"/>
      <c r="I2988" s="139"/>
      <c r="J2988" s="137"/>
      <c r="K2988" s="137"/>
      <c r="M2988" s="126"/>
      <c r="O2988" s="137"/>
      <c r="P2988" s="137"/>
      <c r="Q2988" s="126"/>
    </row>
    <row r="2989" spans="3:17" x14ac:dyDescent="0.3">
      <c r="C2989" s="126"/>
      <c r="F2989" s="137"/>
      <c r="G2989" s="138"/>
      <c r="H2989" s="138"/>
      <c r="I2989" s="139"/>
      <c r="J2989" s="137"/>
      <c r="K2989" s="137"/>
      <c r="M2989" s="126"/>
      <c r="O2989" s="137"/>
      <c r="P2989" s="137"/>
      <c r="Q2989" s="126"/>
    </row>
    <row r="2990" spans="3:17" x14ac:dyDescent="0.3">
      <c r="C2990" s="126"/>
      <c r="F2990" s="137"/>
      <c r="G2990" s="138"/>
      <c r="H2990" s="138"/>
      <c r="I2990" s="139"/>
      <c r="J2990" s="137"/>
      <c r="K2990" s="137"/>
      <c r="M2990" s="126"/>
      <c r="O2990" s="137"/>
      <c r="P2990" s="137"/>
      <c r="Q2990" s="126"/>
    </row>
    <row r="2991" spans="3:17" x14ac:dyDescent="0.3">
      <c r="C2991" s="126"/>
      <c r="F2991" s="137"/>
      <c r="G2991" s="138"/>
      <c r="H2991" s="138"/>
      <c r="I2991" s="139"/>
      <c r="J2991" s="137"/>
      <c r="K2991" s="137"/>
      <c r="M2991" s="126"/>
      <c r="O2991" s="137"/>
      <c r="P2991" s="137"/>
      <c r="Q2991" s="126"/>
    </row>
    <row r="2992" spans="3:17" x14ac:dyDescent="0.3">
      <c r="C2992" s="126"/>
      <c r="F2992" s="137"/>
      <c r="G2992" s="138"/>
      <c r="H2992" s="138"/>
      <c r="I2992" s="139"/>
      <c r="J2992" s="137"/>
      <c r="K2992" s="137"/>
      <c r="M2992" s="126"/>
      <c r="O2992" s="137"/>
      <c r="P2992" s="137"/>
      <c r="Q2992" s="126"/>
    </row>
    <row r="2993" spans="3:17" x14ac:dyDescent="0.3">
      <c r="C2993" s="126"/>
      <c r="F2993" s="137"/>
      <c r="G2993" s="138"/>
      <c r="H2993" s="138"/>
      <c r="I2993" s="139"/>
      <c r="J2993" s="137"/>
      <c r="K2993" s="137"/>
      <c r="M2993" s="126"/>
      <c r="O2993" s="137"/>
      <c r="P2993" s="137"/>
      <c r="Q2993" s="126"/>
    </row>
    <row r="2994" spans="3:17" x14ac:dyDescent="0.3">
      <c r="C2994" s="126"/>
      <c r="F2994" s="137"/>
      <c r="G2994" s="138"/>
      <c r="H2994" s="138"/>
      <c r="I2994" s="139"/>
      <c r="J2994" s="137"/>
      <c r="K2994" s="137"/>
      <c r="M2994" s="126"/>
      <c r="O2994" s="137"/>
      <c r="P2994" s="137"/>
      <c r="Q2994" s="126"/>
    </row>
    <row r="2995" spans="3:17" x14ac:dyDescent="0.3">
      <c r="C2995" s="126"/>
      <c r="F2995" s="137"/>
      <c r="G2995" s="138"/>
      <c r="H2995" s="138"/>
      <c r="I2995" s="139"/>
      <c r="J2995" s="137"/>
      <c r="K2995" s="137"/>
      <c r="M2995" s="126"/>
      <c r="O2995" s="137"/>
      <c r="P2995" s="137"/>
      <c r="Q2995" s="126"/>
    </row>
    <row r="2996" spans="3:17" x14ac:dyDescent="0.3">
      <c r="C2996" s="126"/>
      <c r="F2996" s="137"/>
      <c r="G2996" s="138"/>
      <c r="H2996" s="138"/>
      <c r="I2996" s="139"/>
      <c r="J2996" s="137"/>
      <c r="K2996" s="137"/>
      <c r="M2996" s="126"/>
      <c r="O2996" s="137"/>
      <c r="P2996" s="137"/>
      <c r="Q2996" s="126"/>
    </row>
    <row r="2997" spans="3:17" x14ac:dyDescent="0.3">
      <c r="C2997" s="126"/>
      <c r="F2997" s="137"/>
      <c r="G2997" s="138"/>
      <c r="H2997" s="138"/>
      <c r="I2997" s="139"/>
      <c r="J2997" s="137"/>
      <c r="K2997" s="137"/>
      <c r="M2997" s="126"/>
      <c r="O2997" s="137"/>
      <c r="P2997" s="137"/>
      <c r="Q2997" s="126"/>
    </row>
    <row r="2998" spans="3:17" x14ac:dyDescent="0.3">
      <c r="C2998" s="126"/>
      <c r="F2998" s="137"/>
      <c r="G2998" s="138"/>
      <c r="H2998" s="138"/>
      <c r="I2998" s="139"/>
      <c r="J2998" s="137"/>
      <c r="K2998" s="137"/>
      <c r="M2998" s="126"/>
      <c r="O2998" s="137"/>
      <c r="P2998" s="137"/>
      <c r="Q2998" s="126"/>
    </row>
    <row r="2999" spans="3:17" x14ac:dyDescent="0.3">
      <c r="C2999" s="126"/>
      <c r="F2999" s="137"/>
      <c r="G2999" s="138"/>
      <c r="H2999" s="138"/>
      <c r="I2999" s="139"/>
      <c r="J2999" s="137"/>
      <c r="K2999" s="137"/>
      <c r="M2999" s="126"/>
      <c r="O2999" s="137"/>
      <c r="P2999" s="137"/>
      <c r="Q2999" s="126"/>
    </row>
    <row r="3000" spans="3:17" x14ac:dyDescent="0.3">
      <c r="C3000" s="126"/>
      <c r="F3000" s="137"/>
      <c r="G3000" s="138"/>
      <c r="H3000" s="138"/>
      <c r="I3000" s="139"/>
      <c r="J3000" s="137"/>
      <c r="K3000" s="137"/>
      <c r="M3000" s="126"/>
      <c r="O3000" s="137"/>
      <c r="P3000" s="137"/>
      <c r="Q3000" s="126"/>
    </row>
  </sheetData>
  <sheetProtection algorithmName="SHA-512" hashValue="tRLzyiRNyInQHs/MCm94nQbPA1ZVspzsaznT4ZPXbtukizrnrXt3aPhyRTyCSOu6vCiDUw7LvllcSzUINBl0PA==" saltValue="+eIcVErvSrBsBC22fLBVEg==" spinCount="100000" sheet="1" scenarios="1"/>
  <phoneticPr fontId="59" type="noConversion"/>
  <conditionalFormatting sqref="L2:L2000">
    <cfRule type="expression" dxfId="24" priority="1" stopIfTrue="1">
      <formula>mEQA.PadronizarStatus($L2)="NAO ACEITO"</formula>
    </cfRule>
    <cfRule type="expression" dxfId="23" priority="2" stopIfTrue="1">
      <formula>mEQA.PadronizarStatus($L2)="ACEITO"</formula>
    </cfRule>
  </conditionalFormatting>
  <conditionalFormatting sqref="P2:P200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{2BAE0D05-0048-4454-BCF1-79E73208C9C5}</x14:id>
        </ext>
      </extLst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AE0D05-0048-4454-BCF1-79E73208C9C5}">
            <x14:dataBar minLength="0" maxLength="100" negativeBarColorSameAsPositive="1" axisPosition="none">
              <x14:cfvo type="min"/>
              <x14:cfvo type="max"/>
            </x14:dataBar>
          </x14:cfRule>
          <xm:sqref>P2:P2000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5E71A-EF45-47DC-B596-4830C5428BAA}">
  <sheetPr codeName="Planilha22">
    <tabColor rgb="FF1F6F5C"/>
  </sheetPr>
  <dimension ref="A1:J87"/>
  <sheetViews>
    <sheetView workbookViewId="0">
      <pane ySplit="4" topLeftCell="A5" activePane="bottomLeft" state="frozen"/>
      <selection pane="bottomLeft"/>
    </sheetView>
  </sheetViews>
  <sheetFormatPr defaultRowHeight="14.4" x14ac:dyDescent="0.3"/>
  <cols>
    <col min="1" max="1" width="30.6640625" customWidth="1"/>
    <col min="2" max="9" width="13.6640625" customWidth="1"/>
    <col min="10" max="10" width="18.6640625" customWidth="1"/>
  </cols>
  <sheetData>
    <row r="1" spans="1:10" ht="19.8" x14ac:dyDescent="0.4">
      <c r="A1" s="129" t="s">
        <v>1095</v>
      </c>
    </row>
    <row r="2" spans="1:10" x14ac:dyDescent="0.3">
      <c r="A2" s="130" t="s">
        <v>1096</v>
      </c>
    </row>
    <row r="4" spans="1:10" ht="30" customHeight="1" x14ac:dyDescent="0.3">
      <c r="A4" s="132" t="s">
        <v>242</v>
      </c>
      <c r="B4" s="132" t="s">
        <v>241</v>
      </c>
      <c r="C4" s="132" t="s">
        <v>1081</v>
      </c>
      <c r="D4" s="132" t="s">
        <v>1082</v>
      </c>
      <c r="E4" s="132" t="s">
        <v>1097</v>
      </c>
      <c r="F4" s="132" t="s">
        <v>1098</v>
      </c>
      <c r="G4" s="132" t="s">
        <v>1099</v>
      </c>
    </row>
    <row r="5" spans="1:10" x14ac:dyDescent="0.3">
      <c r="A5" t="str">
        <f>IFERROR(INDEX(EQA.Controllab_Dados!$B$2:$B$5000,MATCH(1,EQA.Controllab_Dados!$T$2:$T$5000,0)),"")</f>
        <v/>
      </c>
      <c r="B5" t="str">
        <f>IF($A5="","",IFERROR(INDEX(EQA.Controllab_Dados!$C$2:$C$5000,MATCH($A5,EQA.Controllab_Dados!$B$2:$B$5000,0)),""))</f>
        <v/>
      </c>
      <c r="C5" t="str">
        <f>IF($A5="","",SUMIFS(EQA.Controllab_Dados!$V$2:$V$5000,EQA.Controllab_Dados!$B$2:$B$5000,$A5))</f>
        <v/>
      </c>
      <c r="D5" t="str">
        <f>IF($A5="","",COUNTIF(EQA.Controllab_Dados!$B$2:$B$5000,$A5))</f>
        <v/>
      </c>
      <c r="E5" t="str">
        <f>IF($A5="","",COUNTIFS(EQA.Controllab_Dados!$B$2:$B$5000,$A5,EQA.Controllab_Dados!$W$2:$W$5000,"ACEITO"))</f>
        <v/>
      </c>
      <c r="F5" t="str">
        <f>IF($A5="","",COUNTIFS(EQA.Controllab_Dados!$B$2:$B$5000,$A5,EQA.Controllab_Dados!$W$2:$W$5000,"NAO ACEITO"))</f>
        <v/>
      </c>
      <c r="G5" s="135" t="str">
        <f t="shared" ref="G5:G12" si="0">IF(OR($A5="",$D5=0),"",$E5/$D5*100)</f>
        <v/>
      </c>
    </row>
    <row r="6" spans="1:10" x14ac:dyDescent="0.3">
      <c r="A6" t="str">
        <f>IFERROR(INDEX(EQA.Controllab_Dados!$B$2:$B$5000,MATCH(2,EQA.Controllab_Dados!$T$2:$T$5000,0)),"")</f>
        <v/>
      </c>
      <c r="B6" t="str">
        <f>IF($A6="","",IFERROR(INDEX(EQA.Controllab_Dados!$C$2:$C$5000,MATCH($A6,EQA.Controllab_Dados!$B$2:$B$5000,0)),""))</f>
        <v/>
      </c>
      <c r="C6" t="str">
        <f>IF($A6="","",SUMIFS(EQA.Controllab_Dados!$V$2:$V$5000,EQA.Controllab_Dados!$B$2:$B$5000,$A6))</f>
        <v/>
      </c>
      <c r="D6" t="str">
        <f>IF($A6="","",COUNTIF(EQA.Controllab_Dados!$B$2:$B$5000,$A6))</f>
        <v/>
      </c>
      <c r="E6" t="str">
        <f>IF($A6="","",COUNTIFS(EQA.Controllab_Dados!$B$2:$B$5000,$A6,EQA.Controllab_Dados!$W$2:$W$5000,"ACEITO"))</f>
        <v/>
      </c>
      <c r="F6" t="str">
        <f>IF($A6="","",COUNTIFS(EQA.Controllab_Dados!$B$2:$B$5000,$A6,EQA.Controllab_Dados!$W$2:$W$5000,"NAO ACEITO"))</f>
        <v/>
      </c>
      <c r="G6" s="135" t="str">
        <f t="shared" si="0"/>
        <v/>
      </c>
    </row>
    <row r="7" spans="1:10" x14ac:dyDescent="0.3">
      <c r="A7" t="str">
        <f>IFERROR(INDEX(EQA.Controllab_Dados!$B$2:$B$5000,MATCH(3,EQA.Controllab_Dados!$T$2:$T$5000,0)),"")</f>
        <v/>
      </c>
      <c r="B7" t="str">
        <f>IF($A7="","",IFERROR(INDEX(EQA.Controllab_Dados!$C$2:$C$5000,MATCH($A7,EQA.Controllab_Dados!$B$2:$B$5000,0)),""))</f>
        <v/>
      </c>
      <c r="C7" t="str">
        <f>IF($A7="","",SUMIFS(EQA.Controllab_Dados!$V$2:$V$5000,EQA.Controllab_Dados!$B$2:$B$5000,$A7))</f>
        <v/>
      </c>
      <c r="D7" t="str">
        <f>IF($A7="","",COUNTIF(EQA.Controllab_Dados!$B$2:$B$5000,$A7))</f>
        <v/>
      </c>
      <c r="E7" t="str">
        <f>IF($A7="","",COUNTIFS(EQA.Controllab_Dados!$B$2:$B$5000,$A7,EQA.Controllab_Dados!$W$2:$W$5000,"ACEITO"))</f>
        <v/>
      </c>
      <c r="F7" t="str">
        <f>IF($A7="","",COUNTIFS(EQA.Controllab_Dados!$B$2:$B$5000,$A7,EQA.Controllab_Dados!$W$2:$W$5000,"NAO ACEITO"))</f>
        <v/>
      </c>
      <c r="G7" s="135" t="str">
        <f t="shared" si="0"/>
        <v/>
      </c>
    </row>
    <row r="8" spans="1:10" x14ac:dyDescent="0.3">
      <c r="A8" t="str">
        <f>IFERROR(INDEX(EQA.Controllab_Dados!$B$2:$B$5000,MATCH(4,EQA.Controllab_Dados!$T$2:$T$5000,0)),"")</f>
        <v/>
      </c>
      <c r="B8" t="str">
        <f>IF($A8="","",IFERROR(INDEX(EQA.Controllab_Dados!$C$2:$C$5000,MATCH($A8,EQA.Controllab_Dados!$B$2:$B$5000,0)),""))</f>
        <v/>
      </c>
      <c r="C8" t="str">
        <f>IF($A8="","",SUMIFS(EQA.Controllab_Dados!$V$2:$V$5000,EQA.Controllab_Dados!$B$2:$B$5000,$A8))</f>
        <v/>
      </c>
      <c r="D8" t="str">
        <f>IF($A8="","",COUNTIF(EQA.Controllab_Dados!$B$2:$B$5000,$A8))</f>
        <v/>
      </c>
      <c r="E8" t="str">
        <f>IF($A8="","",COUNTIFS(EQA.Controllab_Dados!$B$2:$B$5000,$A8,EQA.Controllab_Dados!$W$2:$W$5000,"ACEITO"))</f>
        <v/>
      </c>
      <c r="F8" t="str">
        <f>IF($A8="","",COUNTIFS(EQA.Controllab_Dados!$B$2:$B$5000,$A8,EQA.Controllab_Dados!$W$2:$W$5000,"NAO ACEITO"))</f>
        <v/>
      </c>
      <c r="G8" s="135" t="str">
        <f t="shared" si="0"/>
        <v/>
      </c>
    </row>
    <row r="9" spans="1:10" x14ac:dyDescent="0.3">
      <c r="A9" t="str">
        <f>IFERROR(INDEX(EQA.Controllab_Dados!$B$2:$B$5000,MATCH(5,EQA.Controllab_Dados!$T$2:$T$5000,0)),"")</f>
        <v/>
      </c>
      <c r="B9" t="str">
        <f>IF($A9="","",IFERROR(INDEX(EQA.Controllab_Dados!$C$2:$C$5000,MATCH($A9,EQA.Controllab_Dados!$B$2:$B$5000,0)),""))</f>
        <v/>
      </c>
      <c r="C9" t="str">
        <f>IF($A9="","",SUMIFS(EQA.Controllab_Dados!$V$2:$V$5000,EQA.Controllab_Dados!$B$2:$B$5000,$A9))</f>
        <v/>
      </c>
      <c r="D9" t="str">
        <f>IF($A9="","",COUNTIF(EQA.Controllab_Dados!$B$2:$B$5000,$A9))</f>
        <v/>
      </c>
      <c r="E9" t="str">
        <f>IF($A9="","",COUNTIFS(EQA.Controllab_Dados!$B$2:$B$5000,$A9,EQA.Controllab_Dados!$W$2:$W$5000,"ACEITO"))</f>
        <v/>
      </c>
      <c r="F9" t="str">
        <f>IF($A9="","",COUNTIFS(EQA.Controllab_Dados!$B$2:$B$5000,$A9,EQA.Controllab_Dados!$W$2:$W$5000,"NAO ACEITO"))</f>
        <v/>
      </c>
      <c r="G9" s="135" t="str">
        <f t="shared" si="0"/>
        <v/>
      </c>
    </row>
    <row r="10" spans="1:10" x14ac:dyDescent="0.3">
      <c r="A10" t="str">
        <f>IFERROR(INDEX(EQA.Controllab_Dados!$B$2:$B$5000,MATCH(6,EQA.Controllab_Dados!$T$2:$T$5000,0)),"")</f>
        <v/>
      </c>
      <c r="B10" t="str">
        <f>IF($A10="","",IFERROR(INDEX(EQA.Controllab_Dados!$C$2:$C$5000,MATCH($A10,EQA.Controllab_Dados!$B$2:$B$5000,0)),""))</f>
        <v/>
      </c>
      <c r="C10" t="str">
        <f>IF($A10="","",SUMIFS(EQA.Controllab_Dados!$V$2:$V$5000,EQA.Controllab_Dados!$B$2:$B$5000,$A10))</f>
        <v/>
      </c>
      <c r="D10" t="str">
        <f>IF($A10="","",COUNTIF(EQA.Controllab_Dados!$B$2:$B$5000,$A10))</f>
        <v/>
      </c>
      <c r="E10" t="str">
        <f>IF($A10="","",COUNTIFS(EQA.Controllab_Dados!$B$2:$B$5000,$A10,EQA.Controllab_Dados!$W$2:$W$5000,"ACEITO"))</f>
        <v/>
      </c>
      <c r="F10" t="str">
        <f>IF($A10="","",COUNTIFS(EQA.Controllab_Dados!$B$2:$B$5000,$A10,EQA.Controllab_Dados!$W$2:$W$5000,"NAO ACEITO"))</f>
        <v/>
      </c>
      <c r="G10" s="135" t="str">
        <f t="shared" si="0"/>
        <v/>
      </c>
    </row>
    <row r="11" spans="1:10" x14ac:dyDescent="0.3">
      <c r="A11" t="str">
        <f>IFERROR(INDEX(EQA.Controllab_Dados!$B$2:$B$5000,MATCH(7,EQA.Controllab_Dados!$T$2:$T$5000,0)),"")</f>
        <v/>
      </c>
      <c r="B11" t="str">
        <f>IF($A11="","",IFERROR(INDEX(EQA.Controllab_Dados!$C$2:$C$5000,MATCH($A11,EQA.Controllab_Dados!$B$2:$B$5000,0)),""))</f>
        <v/>
      </c>
      <c r="C11" t="str">
        <f>IF($A11="","",SUMIFS(EQA.Controllab_Dados!$V$2:$V$5000,EQA.Controllab_Dados!$B$2:$B$5000,$A11))</f>
        <v/>
      </c>
      <c r="D11" t="str">
        <f>IF($A11="","",COUNTIF(EQA.Controllab_Dados!$B$2:$B$5000,$A11))</f>
        <v/>
      </c>
      <c r="E11" t="str">
        <f>IF($A11="","",COUNTIFS(EQA.Controllab_Dados!$B$2:$B$5000,$A11,EQA.Controllab_Dados!$W$2:$W$5000,"ACEITO"))</f>
        <v/>
      </c>
      <c r="F11" t="str">
        <f>IF($A11="","",COUNTIFS(EQA.Controllab_Dados!$B$2:$B$5000,$A11,EQA.Controllab_Dados!$W$2:$W$5000,"NAO ACEITO"))</f>
        <v/>
      </c>
      <c r="G11" s="135" t="str">
        <f t="shared" si="0"/>
        <v/>
      </c>
    </row>
    <row r="12" spans="1:10" x14ac:dyDescent="0.3">
      <c r="A12" t="str">
        <f>IFERROR(INDEX(EQA.Controllab_Dados!$B$2:$B$5000,MATCH(8,EQA.Controllab_Dados!$T$2:$T$5000,0)),"")</f>
        <v/>
      </c>
      <c r="B12" t="str">
        <f>IF($A12="","",IFERROR(INDEX(EQA.Controllab_Dados!$C$2:$C$5000,MATCH($A12,EQA.Controllab_Dados!$B$2:$B$5000,0)),""))</f>
        <v/>
      </c>
      <c r="C12" t="str">
        <f>IF($A12="","",SUMIFS(EQA.Controllab_Dados!$V$2:$V$5000,EQA.Controllab_Dados!$B$2:$B$5000,$A12))</f>
        <v/>
      </c>
      <c r="D12" t="str">
        <f>IF($A12="","",COUNTIF(EQA.Controllab_Dados!$B$2:$B$5000,$A12))</f>
        <v/>
      </c>
      <c r="E12" t="str">
        <f>IF($A12="","",COUNTIFS(EQA.Controllab_Dados!$B$2:$B$5000,$A12,EQA.Controllab_Dados!$W$2:$W$5000,"ACEITO"))</f>
        <v/>
      </c>
      <c r="F12" t="str">
        <f>IF($A12="","",COUNTIFS(EQA.Controllab_Dados!$B$2:$B$5000,$A12,EQA.Controllab_Dados!$W$2:$W$5000,"NAO ACEITO"))</f>
        <v/>
      </c>
      <c r="G12" s="135" t="str">
        <f t="shared" si="0"/>
        <v/>
      </c>
    </row>
    <row r="13" spans="1:10" x14ac:dyDescent="0.3">
      <c r="A13" s="133" t="s">
        <v>1084</v>
      </c>
      <c r="B13" s="133"/>
      <c r="C13" s="133">
        <f>SUM(EQA.Controllab_Dados!$V$2:$V$5000)</f>
        <v>0</v>
      </c>
      <c r="D13" s="133">
        <f>COUNTA(EQA.Controllab_Dados!$B$2:$B$5000)</f>
        <v>0</v>
      </c>
      <c r="E13" s="133">
        <f>COUNTIF(EQA.Controllab_Dados!$W$2:$W$5000,"ACEITO")</f>
        <v>0</v>
      </c>
      <c r="F13" s="133">
        <f>COUNTIF(EQA.Controllab_Dados!$W$2:$W$5000,"NAO ACEITO")</f>
        <v>0</v>
      </c>
      <c r="G13" s="136" t="str">
        <f>IF($D13=0,"",$E13/$D13*100)</f>
        <v/>
      </c>
    </row>
    <row r="15" spans="1:10" ht="30" customHeight="1" x14ac:dyDescent="0.3">
      <c r="I15" s="132" t="s">
        <v>1085</v>
      </c>
      <c r="J15" s="132" t="s">
        <v>1086</v>
      </c>
    </row>
    <row r="16" spans="1:10" x14ac:dyDescent="0.3">
      <c r="I16" t="s">
        <v>1087</v>
      </c>
      <c r="J16">
        <f>COUNT(EQA.Controllab_Dados!$T$2:$T$5000)</f>
        <v>0</v>
      </c>
    </row>
    <row r="17" spans="1:10" x14ac:dyDescent="0.3">
      <c r="I17" t="s">
        <v>1088</v>
      </c>
      <c r="J17">
        <f>COUNT(EQA.Controllab_Dados!$U$2:$U$5000)</f>
        <v>0</v>
      </c>
    </row>
    <row r="18" spans="1:10" x14ac:dyDescent="0.3">
      <c r="I18" t="s">
        <v>1082</v>
      </c>
      <c r="J18">
        <f>COUNTA(EQA.Controllab_Dados!$B$2:$B$5000)</f>
        <v>0</v>
      </c>
    </row>
    <row r="19" spans="1:10" x14ac:dyDescent="0.3">
      <c r="I19" t="s">
        <v>1098</v>
      </c>
      <c r="J19">
        <f>COUNTIF(EQA.Controllab_Dados!$W$2:$W$5000,"NAO ACEITO")</f>
        <v>0</v>
      </c>
    </row>
    <row r="20" spans="1:10" x14ac:dyDescent="0.3">
      <c r="I20" t="s">
        <v>1100</v>
      </c>
      <c r="J20">
        <f>SUM(EQA.Controllab_Dados!$X$2:$X$5000)</f>
        <v>0</v>
      </c>
    </row>
    <row r="21" spans="1:10" x14ac:dyDescent="0.3">
      <c r="I21" t="s">
        <v>1090</v>
      </c>
      <c r="J21">
        <f>COUNTIF(EQA.Controllab_Dados!$W$2:$W$5000,"NAO AVALIADO")</f>
        <v>0</v>
      </c>
    </row>
    <row r="22" spans="1:10" x14ac:dyDescent="0.3">
      <c r="I22" t="s">
        <v>1091</v>
      </c>
      <c r="J22">
        <f>SUMPRODUCT((EQA_Base!$A$2:$A$5001="Controllab")*(EQA_Base!$E$2:$E$5001="")*(EQA_Base!$D$2:$D$5001&lt;&gt;""))</f>
        <v>0</v>
      </c>
    </row>
    <row r="23" spans="1:10" x14ac:dyDescent="0.3">
      <c r="I23" t="s">
        <v>1092</v>
      </c>
      <c r="J23">
        <f>SUMPRODUCT((EQA_Base!$A$2:$A$5001="Controllab")*(EQA_Base!$T$2:$T$5001="NAO"))</f>
        <v>0</v>
      </c>
    </row>
    <row r="26" spans="1:10" ht="15.6" x14ac:dyDescent="0.3">
      <c r="A26" s="134" t="s">
        <v>1101</v>
      </c>
    </row>
    <row r="27" spans="1:10" ht="30" customHeight="1" x14ac:dyDescent="0.3">
      <c r="A27" s="132" t="s">
        <v>88</v>
      </c>
      <c r="B27" s="132" t="str">
        <f>IF($A5="","",$A5)</f>
        <v/>
      </c>
      <c r="C27" s="132" t="str">
        <f>IF($A6="","",$A6)</f>
        <v/>
      </c>
      <c r="D27" s="132" t="str">
        <f>IF($A7="","",$A7)</f>
        <v/>
      </c>
      <c r="E27" s="132" t="str">
        <f>IF($A8="","",$A8)</f>
        <v/>
      </c>
      <c r="F27" s="132" t="str">
        <f>IF($A9="","",$A9)</f>
        <v/>
      </c>
      <c r="G27" s="132" t="str">
        <f>IF($A10="","",$A10)</f>
        <v/>
      </c>
      <c r="H27" s="132" t="str">
        <f>IF($A11="","",$A11)</f>
        <v/>
      </c>
      <c r="I27" s="132" t="str">
        <f>IF($A12="","",$A12)</f>
        <v/>
      </c>
      <c r="J27" s="132" t="s">
        <v>1094</v>
      </c>
    </row>
    <row r="28" spans="1:10" x14ac:dyDescent="0.3">
      <c r="A28" t="str">
        <f>IFERROR(INDEX(EQA.Controllab_Dados!$D$2:$D$5000,MATCH(ROW()-27,EQA.Controllab_Dados!$U$2:$U$5000,0)),"")</f>
        <v/>
      </c>
      <c r="B28" t="str">
        <f>IF(OR($A28="",B$27=""),"",IF(COUNTIFS(EQA.Controllab_Dados!$B$2:$B$5000,B$27,EQA.Controllab_Dados!$D$2:$D$5000,$A28)=0,"—",COUNTIFS(EQA.Controllab_Dados!$B$2:$B$5000,B$27,EQA.Controllab_Dados!$D$2:$D$5000,$A28)))</f>
        <v/>
      </c>
      <c r="C28" t="str">
        <f>IF(OR($A28="",C$27=""),"",IF(COUNTIFS(EQA.Controllab_Dados!$B$2:$B$5000,C$27,EQA.Controllab_Dados!$D$2:$D$5000,$A28)=0,"—",COUNTIFS(EQA.Controllab_Dados!$B$2:$B$5000,C$27,EQA.Controllab_Dados!$D$2:$D$5000,$A28)))</f>
        <v/>
      </c>
      <c r="D28" t="str">
        <f>IF(OR($A28="",D$27=""),"",IF(COUNTIFS(EQA.Controllab_Dados!$B$2:$B$5000,D$27,EQA.Controllab_Dados!$D$2:$D$5000,$A28)=0,"—",COUNTIFS(EQA.Controllab_Dados!$B$2:$B$5000,D$27,EQA.Controllab_Dados!$D$2:$D$5000,$A28)))</f>
        <v/>
      </c>
      <c r="E28" t="str">
        <f>IF(OR($A28="",E$27=""),"",IF(COUNTIFS(EQA.Controllab_Dados!$B$2:$B$5000,E$27,EQA.Controllab_Dados!$D$2:$D$5000,$A28)=0,"—",COUNTIFS(EQA.Controllab_Dados!$B$2:$B$5000,E$27,EQA.Controllab_Dados!$D$2:$D$5000,$A28)))</f>
        <v/>
      </c>
      <c r="F28" t="str">
        <f>IF(OR($A28="",F$27=""),"",IF(COUNTIFS(EQA.Controllab_Dados!$B$2:$B$5000,F$27,EQA.Controllab_Dados!$D$2:$D$5000,$A28)=0,"—",COUNTIFS(EQA.Controllab_Dados!$B$2:$B$5000,F$27,EQA.Controllab_Dados!$D$2:$D$5000,$A28)))</f>
        <v/>
      </c>
      <c r="G28" t="str">
        <f>IF(OR($A28="",G$27=""),"",IF(COUNTIFS(EQA.Controllab_Dados!$B$2:$B$5000,G$27,EQA.Controllab_Dados!$D$2:$D$5000,$A28)=0,"—",COUNTIFS(EQA.Controllab_Dados!$B$2:$B$5000,G$27,EQA.Controllab_Dados!$D$2:$D$5000,$A28)))</f>
        <v/>
      </c>
      <c r="H28" t="str">
        <f>IF(OR($A28="",H$27=""),"",IF(COUNTIFS(EQA.Controllab_Dados!$B$2:$B$5000,H$27,EQA.Controllab_Dados!$D$2:$D$5000,$A28)=0,"—",COUNTIFS(EQA.Controllab_Dados!$B$2:$B$5000,H$27,EQA.Controllab_Dados!$D$2:$D$5000,$A28)))</f>
        <v/>
      </c>
      <c r="I28" t="str">
        <f>IF(OR($A28="",I$27=""),"",IF(COUNTIFS(EQA.Controllab_Dados!$B$2:$B$5000,I$27,EQA.Controllab_Dados!$D$2:$D$5000,$A28)=0,"—",COUNTIFS(EQA.Controllab_Dados!$B$2:$B$5000,I$27,EQA.Controllab_Dados!$D$2:$D$5000,$A28)))</f>
        <v/>
      </c>
      <c r="J28" t="str">
        <f>IF($A28="","",COUNTIF(EQA.Controllab_Dados!$D$2:$D$5000,$A28))</f>
        <v/>
      </c>
    </row>
    <row r="29" spans="1:10" x14ac:dyDescent="0.3">
      <c r="A29" t="str">
        <f>IFERROR(INDEX(EQA.Controllab_Dados!$D$2:$D$5000,MATCH(ROW()-27,EQA.Controllab_Dados!$U$2:$U$5000,0)),"")</f>
        <v/>
      </c>
      <c r="B29" t="str">
        <f>IF(OR($A29="",B$27=""),"",IF(COUNTIFS(EQA.Controllab_Dados!$B$2:$B$5000,B$27,EQA.Controllab_Dados!$D$2:$D$5000,$A29)=0,"—",COUNTIFS(EQA.Controllab_Dados!$B$2:$B$5000,B$27,EQA.Controllab_Dados!$D$2:$D$5000,$A29)))</f>
        <v/>
      </c>
      <c r="C29" t="str">
        <f>IF(OR($A29="",C$27=""),"",IF(COUNTIFS(EQA.Controllab_Dados!$B$2:$B$5000,C$27,EQA.Controllab_Dados!$D$2:$D$5000,$A29)=0,"—",COUNTIFS(EQA.Controllab_Dados!$B$2:$B$5000,C$27,EQA.Controllab_Dados!$D$2:$D$5000,$A29)))</f>
        <v/>
      </c>
      <c r="D29" t="str">
        <f>IF(OR($A29="",D$27=""),"",IF(COUNTIFS(EQA.Controllab_Dados!$B$2:$B$5000,D$27,EQA.Controllab_Dados!$D$2:$D$5000,$A29)=0,"—",COUNTIFS(EQA.Controllab_Dados!$B$2:$B$5000,D$27,EQA.Controllab_Dados!$D$2:$D$5000,$A29)))</f>
        <v/>
      </c>
      <c r="E29" t="str">
        <f>IF(OR($A29="",E$27=""),"",IF(COUNTIFS(EQA.Controllab_Dados!$B$2:$B$5000,E$27,EQA.Controllab_Dados!$D$2:$D$5000,$A29)=0,"—",COUNTIFS(EQA.Controllab_Dados!$B$2:$B$5000,E$27,EQA.Controllab_Dados!$D$2:$D$5000,$A29)))</f>
        <v/>
      </c>
      <c r="F29" t="str">
        <f>IF(OR($A29="",F$27=""),"",IF(COUNTIFS(EQA.Controllab_Dados!$B$2:$B$5000,F$27,EQA.Controllab_Dados!$D$2:$D$5000,$A29)=0,"—",COUNTIFS(EQA.Controllab_Dados!$B$2:$B$5000,F$27,EQA.Controllab_Dados!$D$2:$D$5000,$A29)))</f>
        <v/>
      </c>
      <c r="G29" t="str">
        <f>IF(OR($A29="",G$27=""),"",IF(COUNTIFS(EQA.Controllab_Dados!$B$2:$B$5000,G$27,EQA.Controllab_Dados!$D$2:$D$5000,$A29)=0,"—",COUNTIFS(EQA.Controllab_Dados!$B$2:$B$5000,G$27,EQA.Controllab_Dados!$D$2:$D$5000,$A29)))</f>
        <v/>
      </c>
      <c r="H29" t="str">
        <f>IF(OR($A29="",H$27=""),"",IF(COUNTIFS(EQA.Controllab_Dados!$B$2:$B$5000,H$27,EQA.Controllab_Dados!$D$2:$D$5000,$A29)=0,"—",COUNTIFS(EQA.Controllab_Dados!$B$2:$B$5000,H$27,EQA.Controllab_Dados!$D$2:$D$5000,$A29)))</f>
        <v/>
      </c>
      <c r="I29" t="str">
        <f>IF(OR($A29="",I$27=""),"",IF(COUNTIFS(EQA.Controllab_Dados!$B$2:$B$5000,I$27,EQA.Controllab_Dados!$D$2:$D$5000,$A29)=0,"—",COUNTIFS(EQA.Controllab_Dados!$B$2:$B$5000,I$27,EQA.Controllab_Dados!$D$2:$D$5000,$A29)))</f>
        <v/>
      </c>
      <c r="J29" t="str">
        <f>IF($A29="","",COUNTIF(EQA.Controllab_Dados!$D$2:$D$5000,$A29))</f>
        <v/>
      </c>
    </row>
    <row r="30" spans="1:10" x14ac:dyDescent="0.3">
      <c r="A30" t="str">
        <f>IFERROR(INDEX(EQA.Controllab_Dados!$D$2:$D$5000,MATCH(ROW()-27,EQA.Controllab_Dados!$U$2:$U$5000,0)),"")</f>
        <v/>
      </c>
      <c r="B30" t="str">
        <f>IF(OR($A30="",B$27=""),"",IF(COUNTIFS(EQA.Controllab_Dados!$B$2:$B$5000,B$27,EQA.Controllab_Dados!$D$2:$D$5000,$A30)=0,"—",COUNTIFS(EQA.Controllab_Dados!$B$2:$B$5000,B$27,EQA.Controllab_Dados!$D$2:$D$5000,$A30)))</f>
        <v/>
      </c>
      <c r="C30" t="str">
        <f>IF(OR($A30="",C$27=""),"",IF(COUNTIFS(EQA.Controllab_Dados!$B$2:$B$5000,C$27,EQA.Controllab_Dados!$D$2:$D$5000,$A30)=0,"—",COUNTIFS(EQA.Controllab_Dados!$B$2:$B$5000,C$27,EQA.Controllab_Dados!$D$2:$D$5000,$A30)))</f>
        <v/>
      </c>
      <c r="D30" t="str">
        <f>IF(OR($A30="",D$27=""),"",IF(COUNTIFS(EQA.Controllab_Dados!$B$2:$B$5000,D$27,EQA.Controllab_Dados!$D$2:$D$5000,$A30)=0,"—",COUNTIFS(EQA.Controllab_Dados!$B$2:$B$5000,D$27,EQA.Controllab_Dados!$D$2:$D$5000,$A30)))</f>
        <v/>
      </c>
      <c r="E30" t="str">
        <f>IF(OR($A30="",E$27=""),"",IF(COUNTIFS(EQA.Controllab_Dados!$B$2:$B$5000,E$27,EQA.Controllab_Dados!$D$2:$D$5000,$A30)=0,"—",COUNTIFS(EQA.Controllab_Dados!$B$2:$B$5000,E$27,EQA.Controllab_Dados!$D$2:$D$5000,$A30)))</f>
        <v/>
      </c>
      <c r="F30" t="str">
        <f>IF(OR($A30="",F$27=""),"",IF(COUNTIFS(EQA.Controllab_Dados!$B$2:$B$5000,F$27,EQA.Controllab_Dados!$D$2:$D$5000,$A30)=0,"—",COUNTIFS(EQA.Controllab_Dados!$B$2:$B$5000,F$27,EQA.Controllab_Dados!$D$2:$D$5000,$A30)))</f>
        <v/>
      </c>
      <c r="G30" t="str">
        <f>IF(OR($A30="",G$27=""),"",IF(COUNTIFS(EQA.Controllab_Dados!$B$2:$B$5000,G$27,EQA.Controllab_Dados!$D$2:$D$5000,$A30)=0,"—",COUNTIFS(EQA.Controllab_Dados!$B$2:$B$5000,G$27,EQA.Controllab_Dados!$D$2:$D$5000,$A30)))</f>
        <v/>
      </c>
      <c r="H30" t="str">
        <f>IF(OR($A30="",H$27=""),"",IF(COUNTIFS(EQA.Controllab_Dados!$B$2:$B$5000,H$27,EQA.Controllab_Dados!$D$2:$D$5000,$A30)=0,"—",COUNTIFS(EQA.Controllab_Dados!$B$2:$B$5000,H$27,EQA.Controllab_Dados!$D$2:$D$5000,$A30)))</f>
        <v/>
      </c>
      <c r="I30" t="str">
        <f>IF(OR($A30="",I$27=""),"",IF(COUNTIFS(EQA.Controllab_Dados!$B$2:$B$5000,I$27,EQA.Controllab_Dados!$D$2:$D$5000,$A30)=0,"—",COUNTIFS(EQA.Controllab_Dados!$B$2:$B$5000,I$27,EQA.Controllab_Dados!$D$2:$D$5000,$A30)))</f>
        <v/>
      </c>
      <c r="J30" t="str">
        <f>IF($A30="","",COUNTIF(EQA.Controllab_Dados!$D$2:$D$5000,$A30))</f>
        <v/>
      </c>
    </row>
    <row r="31" spans="1:10" x14ac:dyDescent="0.3">
      <c r="A31" t="str">
        <f>IFERROR(INDEX(EQA.Controllab_Dados!$D$2:$D$5000,MATCH(ROW()-27,EQA.Controllab_Dados!$U$2:$U$5000,0)),"")</f>
        <v/>
      </c>
      <c r="B31" t="str">
        <f>IF(OR($A31="",B$27=""),"",IF(COUNTIFS(EQA.Controllab_Dados!$B$2:$B$5000,B$27,EQA.Controllab_Dados!$D$2:$D$5000,$A31)=0,"—",COUNTIFS(EQA.Controllab_Dados!$B$2:$B$5000,B$27,EQA.Controllab_Dados!$D$2:$D$5000,$A31)))</f>
        <v/>
      </c>
      <c r="C31" t="str">
        <f>IF(OR($A31="",C$27=""),"",IF(COUNTIFS(EQA.Controllab_Dados!$B$2:$B$5000,C$27,EQA.Controllab_Dados!$D$2:$D$5000,$A31)=0,"—",COUNTIFS(EQA.Controllab_Dados!$B$2:$B$5000,C$27,EQA.Controllab_Dados!$D$2:$D$5000,$A31)))</f>
        <v/>
      </c>
      <c r="D31" t="str">
        <f>IF(OR($A31="",D$27=""),"",IF(COUNTIFS(EQA.Controllab_Dados!$B$2:$B$5000,D$27,EQA.Controllab_Dados!$D$2:$D$5000,$A31)=0,"—",COUNTIFS(EQA.Controllab_Dados!$B$2:$B$5000,D$27,EQA.Controllab_Dados!$D$2:$D$5000,$A31)))</f>
        <v/>
      </c>
      <c r="E31" t="str">
        <f>IF(OR($A31="",E$27=""),"",IF(COUNTIFS(EQA.Controllab_Dados!$B$2:$B$5000,E$27,EQA.Controllab_Dados!$D$2:$D$5000,$A31)=0,"—",COUNTIFS(EQA.Controllab_Dados!$B$2:$B$5000,E$27,EQA.Controllab_Dados!$D$2:$D$5000,$A31)))</f>
        <v/>
      </c>
      <c r="F31" t="str">
        <f>IF(OR($A31="",F$27=""),"",IF(COUNTIFS(EQA.Controllab_Dados!$B$2:$B$5000,F$27,EQA.Controllab_Dados!$D$2:$D$5000,$A31)=0,"—",COUNTIFS(EQA.Controllab_Dados!$B$2:$B$5000,F$27,EQA.Controllab_Dados!$D$2:$D$5000,$A31)))</f>
        <v/>
      </c>
      <c r="G31" t="str">
        <f>IF(OR($A31="",G$27=""),"",IF(COUNTIFS(EQA.Controllab_Dados!$B$2:$B$5000,G$27,EQA.Controllab_Dados!$D$2:$D$5000,$A31)=0,"—",COUNTIFS(EQA.Controllab_Dados!$B$2:$B$5000,G$27,EQA.Controllab_Dados!$D$2:$D$5000,$A31)))</f>
        <v/>
      </c>
      <c r="H31" t="str">
        <f>IF(OR($A31="",H$27=""),"",IF(COUNTIFS(EQA.Controllab_Dados!$B$2:$B$5000,H$27,EQA.Controllab_Dados!$D$2:$D$5000,$A31)=0,"—",COUNTIFS(EQA.Controllab_Dados!$B$2:$B$5000,H$27,EQA.Controllab_Dados!$D$2:$D$5000,$A31)))</f>
        <v/>
      </c>
      <c r="I31" t="str">
        <f>IF(OR($A31="",I$27=""),"",IF(COUNTIFS(EQA.Controllab_Dados!$B$2:$B$5000,I$27,EQA.Controllab_Dados!$D$2:$D$5000,$A31)=0,"—",COUNTIFS(EQA.Controllab_Dados!$B$2:$B$5000,I$27,EQA.Controllab_Dados!$D$2:$D$5000,$A31)))</f>
        <v/>
      </c>
      <c r="J31" t="str">
        <f>IF($A31="","",COUNTIF(EQA.Controllab_Dados!$D$2:$D$5000,$A31))</f>
        <v/>
      </c>
    </row>
    <row r="32" spans="1:10" x14ac:dyDescent="0.3">
      <c r="A32" t="str">
        <f>IFERROR(INDEX(EQA.Controllab_Dados!$D$2:$D$5000,MATCH(ROW()-27,EQA.Controllab_Dados!$U$2:$U$5000,0)),"")</f>
        <v/>
      </c>
      <c r="B32" t="str">
        <f>IF(OR($A32="",B$27=""),"",IF(COUNTIFS(EQA.Controllab_Dados!$B$2:$B$5000,B$27,EQA.Controllab_Dados!$D$2:$D$5000,$A32)=0,"—",COUNTIFS(EQA.Controllab_Dados!$B$2:$B$5000,B$27,EQA.Controllab_Dados!$D$2:$D$5000,$A32)))</f>
        <v/>
      </c>
      <c r="C32" t="str">
        <f>IF(OR($A32="",C$27=""),"",IF(COUNTIFS(EQA.Controllab_Dados!$B$2:$B$5000,C$27,EQA.Controllab_Dados!$D$2:$D$5000,$A32)=0,"—",COUNTIFS(EQA.Controllab_Dados!$B$2:$B$5000,C$27,EQA.Controllab_Dados!$D$2:$D$5000,$A32)))</f>
        <v/>
      </c>
      <c r="D32" t="str">
        <f>IF(OR($A32="",D$27=""),"",IF(COUNTIFS(EQA.Controllab_Dados!$B$2:$B$5000,D$27,EQA.Controllab_Dados!$D$2:$D$5000,$A32)=0,"—",COUNTIFS(EQA.Controllab_Dados!$B$2:$B$5000,D$27,EQA.Controllab_Dados!$D$2:$D$5000,$A32)))</f>
        <v/>
      </c>
      <c r="E32" t="str">
        <f>IF(OR($A32="",E$27=""),"",IF(COUNTIFS(EQA.Controllab_Dados!$B$2:$B$5000,E$27,EQA.Controllab_Dados!$D$2:$D$5000,$A32)=0,"—",COUNTIFS(EQA.Controllab_Dados!$B$2:$B$5000,E$27,EQA.Controllab_Dados!$D$2:$D$5000,$A32)))</f>
        <v/>
      </c>
      <c r="F32" t="str">
        <f>IF(OR($A32="",F$27=""),"",IF(COUNTIFS(EQA.Controllab_Dados!$B$2:$B$5000,F$27,EQA.Controllab_Dados!$D$2:$D$5000,$A32)=0,"—",COUNTIFS(EQA.Controllab_Dados!$B$2:$B$5000,F$27,EQA.Controllab_Dados!$D$2:$D$5000,$A32)))</f>
        <v/>
      </c>
      <c r="G32" t="str">
        <f>IF(OR($A32="",G$27=""),"",IF(COUNTIFS(EQA.Controllab_Dados!$B$2:$B$5000,G$27,EQA.Controllab_Dados!$D$2:$D$5000,$A32)=0,"—",COUNTIFS(EQA.Controllab_Dados!$B$2:$B$5000,G$27,EQA.Controllab_Dados!$D$2:$D$5000,$A32)))</f>
        <v/>
      </c>
      <c r="H32" t="str">
        <f>IF(OR($A32="",H$27=""),"",IF(COUNTIFS(EQA.Controllab_Dados!$B$2:$B$5000,H$27,EQA.Controllab_Dados!$D$2:$D$5000,$A32)=0,"—",COUNTIFS(EQA.Controllab_Dados!$B$2:$B$5000,H$27,EQA.Controllab_Dados!$D$2:$D$5000,$A32)))</f>
        <v/>
      </c>
      <c r="I32" t="str">
        <f>IF(OR($A32="",I$27=""),"",IF(COUNTIFS(EQA.Controllab_Dados!$B$2:$B$5000,I$27,EQA.Controllab_Dados!$D$2:$D$5000,$A32)=0,"—",COUNTIFS(EQA.Controllab_Dados!$B$2:$B$5000,I$27,EQA.Controllab_Dados!$D$2:$D$5000,$A32)))</f>
        <v/>
      </c>
      <c r="J32" t="str">
        <f>IF($A32="","",COUNTIF(EQA.Controllab_Dados!$D$2:$D$5000,$A32))</f>
        <v/>
      </c>
    </row>
    <row r="33" spans="1:10" x14ac:dyDescent="0.3">
      <c r="A33" t="str">
        <f>IFERROR(INDEX(EQA.Controllab_Dados!$D$2:$D$5000,MATCH(ROW()-27,EQA.Controllab_Dados!$U$2:$U$5000,0)),"")</f>
        <v/>
      </c>
      <c r="B33" t="str">
        <f>IF(OR($A33="",B$27=""),"",IF(COUNTIFS(EQA.Controllab_Dados!$B$2:$B$5000,B$27,EQA.Controllab_Dados!$D$2:$D$5000,$A33)=0,"—",COUNTIFS(EQA.Controllab_Dados!$B$2:$B$5000,B$27,EQA.Controllab_Dados!$D$2:$D$5000,$A33)))</f>
        <v/>
      </c>
      <c r="C33" t="str">
        <f>IF(OR($A33="",C$27=""),"",IF(COUNTIFS(EQA.Controllab_Dados!$B$2:$B$5000,C$27,EQA.Controllab_Dados!$D$2:$D$5000,$A33)=0,"—",COUNTIFS(EQA.Controllab_Dados!$B$2:$B$5000,C$27,EQA.Controllab_Dados!$D$2:$D$5000,$A33)))</f>
        <v/>
      </c>
      <c r="D33" t="str">
        <f>IF(OR($A33="",D$27=""),"",IF(COUNTIFS(EQA.Controllab_Dados!$B$2:$B$5000,D$27,EQA.Controllab_Dados!$D$2:$D$5000,$A33)=0,"—",COUNTIFS(EQA.Controllab_Dados!$B$2:$B$5000,D$27,EQA.Controllab_Dados!$D$2:$D$5000,$A33)))</f>
        <v/>
      </c>
      <c r="E33" t="str">
        <f>IF(OR($A33="",E$27=""),"",IF(COUNTIFS(EQA.Controllab_Dados!$B$2:$B$5000,E$27,EQA.Controllab_Dados!$D$2:$D$5000,$A33)=0,"—",COUNTIFS(EQA.Controllab_Dados!$B$2:$B$5000,E$27,EQA.Controllab_Dados!$D$2:$D$5000,$A33)))</f>
        <v/>
      </c>
      <c r="F33" t="str">
        <f>IF(OR($A33="",F$27=""),"",IF(COUNTIFS(EQA.Controllab_Dados!$B$2:$B$5000,F$27,EQA.Controllab_Dados!$D$2:$D$5000,$A33)=0,"—",COUNTIFS(EQA.Controllab_Dados!$B$2:$B$5000,F$27,EQA.Controllab_Dados!$D$2:$D$5000,$A33)))</f>
        <v/>
      </c>
      <c r="G33" t="str">
        <f>IF(OR($A33="",G$27=""),"",IF(COUNTIFS(EQA.Controllab_Dados!$B$2:$B$5000,G$27,EQA.Controllab_Dados!$D$2:$D$5000,$A33)=0,"—",COUNTIFS(EQA.Controllab_Dados!$B$2:$B$5000,G$27,EQA.Controllab_Dados!$D$2:$D$5000,$A33)))</f>
        <v/>
      </c>
      <c r="H33" t="str">
        <f>IF(OR($A33="",H$27=""),"",IF(COUNTIFS(EQA.Controllab_Dados!$B$2:$B$5000,H$27,EQA.Controllab_Dados!$D$2:$D$5000,$A33)=0,"—",COUNTIFS(EQA.Controllab_Dados!$B$2:$B$5000,H$27,EQA.Controllab_Dados!$D$2:$D$5000,$A33)))</f>
        <v/>
      </c>
      <c r="I33" t="str">
        <f>IF(OR($A33="",I$27=""),"",IF(COUNTIFS(EQA.Controllab_Dados!$B$2:$B$5000,I$27,EQA.Controllab_Dados!$D$2:$D$5000,$A33)=0,"—",COUNTIFS(EQA.Controllab_Dados!$B$2:$B$5000,I$27,EQA.Controllab_Dados!$D$2:$D$5000,$A33)))</f>
        <v/>
      </c>
      <c r="J33" t="str">
        <f>IF($A33="","",COUNTIF(EQA.Controllab_Dados!$D$2:$D$5000,$A33))</f>
        <v/>
      </c>
    </row>
    <row r="34" spans="1:10" x14ac:dyDescent="0.3">
      <c r="A34" t="str">
        <f>IFERROR(INDEX(EQA.Controllab_Dados!$D$2:$D$5000,MATCH(ROW()-27,EQA.Controllab_Dados!$U$2:$U$5000,0)),"")</f>
        <v/>
      </c>
      <c r="B34" t="str">
        <f>IF(OR($A34="",B$27=""),"",IF(COUNTIFS(EQA.Controllab_Dados!$B$2:$B$5000,B$27,EQA.Controllab_Dados!$D$2:$D$5000,$A34)=0,"—",COUNTIFS(EQA.Controllab_Dados!$B$2:$B$5000,B$27,EQA.Controllab_Dados!$D$2:$D$5000,$A34)))</f>
        <v/>
      </c>
      <c r="C34" t="str">
        <f>IF(OR($A34="",C$27=""),"",IF(COUNTIFS(EQA.Controllab_Dados!$B$2:$B$5000,C$27,EQA.Controllab_Dados!$D$2:$D$5000,$A34)=0,"—",COUNTIFS(EQA.Controllab_Dados!$B$2:$B$5000,C$27,EQA.Controllab_Dados!$D$2:$D$5000,$A34)))</f>
        <v/>
      </c>
      <c r="D34" t="str">
        <f>IF(OR($A34="",D$27=""),"",IF(COUNTIFS(EQA.Controllab_Dados!$B$2:$B$5000,D$27,EQA.Controllab_Dados!$D$2:$D$5000,$A34)=0,"—",COUNTIFS(EQA.Controllab_Dados!$B$2:$B$5000,D$27,EQA.Controllab_Dados!$D$2:$D$5000,$A34)))</f>
        <v/>
      </c>
      <c r="E34" t="str">
        <f>IF(OR($A34="",E$27=""),"",IF(COUNTIFS(EQA.Controllab_Dados!$B$2:$B$5000,E$27,EQA.Controllab_Dados!$D$2:$D$5000,$A34)=0,"—",COUNTIFS(EQA.Controllab_Dados!$B$2:$B$5000,E$27,EQA.Controllab_Dados!$D$2:$D$5000,$A34)))</f>
        <v/>
      </c>
      <c r="F34" t="str">
        <f>IF(OR($A34="",F$27=""),"",IF(COUNTIFS(EQA.Controllab_Dados!$B$2:$B$5000,F$27,EQA.Controllab_Dados!$D$2:$D$5000,$A34)=0,"—",COUNTIFS(EQA.Controllab_Dados!$B$2:$B$5000,F$27,EQA.Controllab_Dados!$D$2:$D$5000,$A34)))</f>
        <v/>
      </c>
      <c r="G34" t="str">
        <f>IF(OR($A34="",G$27=""),"",IF(COUNTIFS(EQA.Controllab_Dados!$B$2:$B$5000,G$27,EQA.Controllab_Dados!$D$2:$D$5000,$A34)=0,"—",COUNTIFS(EQA.Controllab_Dados!$B$2:$B$5000,G$27,EQA.Controllab_Dados!$D$2:$D$5000,$A34)))</f>
        <v/>
      </c>
      <c r="H34" t="str">
        <f>IF(OR($A34="",H$27=""),"",IF(COUNTIFS(EQA.Controllab_Dados!$B$2:$B$5000,H$27,EQA.Controllab_Dados!$D$2:$D$5000,$A34)=0,"—",COUNTIFS(EQA.Controllab_Dados!$B$2:$B$5000,H$27,EQA.Controllab_Dados!$D$2:$D$5000,$A34)))</f>
        <v/>
      </c>
      <c r="I34" t="str">
        <f>IF(OR($A34="",I$27=""),"",IF(COUNTIFS(EQA.Controllab_Dados!$B$2:$B$5000,I$27,EQA.Controllab_Dados!$D$2:$D$5000,$A34)=0,"—",COUNTIFS(EQA.Controllab_Dados!$B$2:$B$5000,I$27,EQA.Controllab_Dados!$D$2:$D$5000,$A34)))</f>
        <v/>
      </c>
      <c r="J34" t="str">
        <f>IF($A34="","",COUNTIF(EQA.Controllab_Dados!$D$2:$D$5000,$A34))</f>
        <v/>
      </c>
    </row>
    <row r="35" spans="1:10" x14ac:dyDescent="0.3">
      <c r="A35" t="str">
        <f>IFERROR(INDEX(EQA.Controllab_Dados!$D$2:$D$5000,MATCH(ROW()-27,EQA.Controllab_Dados!$U$2:$U$5000,0)),"")</f>
        <v/>
      </c>
      <c r="B35" t="str">
        <f>IF(OR($A35="",B$27=""),"",IF(COUNTIFS(EQA.Controllab_Dados!$B$2:$B$5000,B$27,EQA.Controllab_Dados!$D$2:$D$5000,$A35)=0,"—",COUNTIFS(EQA.Controllab_Dados!$B$2:$B$5000,B$27,EQA.Controllab_Dados!$D$2:$D$5000,$A35)))</f>
        <v/>
      </c>
      <c r="C35" t="str">
        <f>IF(OR($A35="",C$27=""),"",IF(COUNTIFS(EQA.Controllab_Dados!$B$2:$B$5000,C$27,EQA.Controllab_Dados!$D$2:$D$5000,$A35)=0,"—",COUNTIFS(EQA.Controllab_Dados!$B$2:$B$5000,C$27,EQA.Controllab_Dados!$D$2:$D$5000,$A35)))</f>
        <v/>
      </c>
      <c r="D35" t="str">
        <f>IF(OR($A35="",D$27=""),"",IF(COUNTIFS(EQA.Controllab_Dados!$B$2:$B$5000,D$27,EQA.Controllab_Dados!$D$2:$D$5000,$A35)=0,"—",COUNTIFS(EQA.Controllab_Dados!$B$2:$B$5000,D$27,EQA.Controllab_Dados!$D$2:$D$5000,$A35)))</f>
        <v/>
      </c>
      <c r="E35" t="str">
        <f>IF(OR($A35="",E$27=""),"",IF(COUNTIFS(EQA.Controllab_Dados!$B$2:$B$5000,E$27,EQA.Controllab_Dados!$D$2:$D$5000,$A35)=0,"—",COUNTIFS(EQA.Controllab_Dados!$B$2:$B$5000,E$27,EQA.Controllab_Dados!$D$2:$D$5000,$A35)))</f>
        <v/>
      </c>
      <c r="F35" t="str">
        <f>IF(OR($A35="",F$27=""),"",IF(COUNTIFS(EQA.Controllab_Dados!$B$2:$B$5000,F$27,EQA.Controllab_Dados!$D$2:$D$5000,$A35)=0,"—",COUNTIFS(EQA.Controllab_Dados!$B$2:$B$5000,F$27,EQA.Controllab_Dados!$D$2:$D$5000,$A35)))</f>
        <v/>
      </c>
      <c r="G35" t="str">
        <f>IF(OR($A35="",G$27=""),"",IF(COUNTIFS(EQA.Controllab_Dados!$B$2:$B$5000,G$27,EQA.Controllab_Dados!$D$2:$D$5000,$A35)=0,"—",COUNTIFS(EQA.Controllab_Dados!$B$2:$B$5000,G$27,EQA.Controllab_Dados!$D$2:$D$5000,$A35)))</f>
        <v/>
      </c>
      <c r="H35" t="str">
        <f>IF(OR($A35="",H$27=""),"",IF(COUNTIFS(EQA.Controllab_Dados!$B$2:$B$5000,H$27,EQA.Controllab_Dados!$D$2:$D$5000,$A35)=0,"—",COUNTIFS(EQA.Controllab_Dados!$B$2:$B$5000,H$27,EQA.Controllab_Dados!$D$2:$D$5000,$A35)))</f>
        <v/>
      </c>
      <c r="I35" t="str">
        <f>IF(OR($A35="",I$27=""),"",IF(COUNTIFS(EQA.Controllab_Dados!$B$2:$B$5000,I$27,EQA.Controllab_Dados!$D$2:$D$5000,$A35)=0,"—",COUNTIFS(EQA.Controllab_Dados!$B$2:$B$5000,I$27,EQA.Controllab_Dados!$D$2:$D$5000,$A35)))</f>
        <v/>
      </c>
      <c r="J35" t="str">
        <f>IF($A35="","",COUNTIF(EQA.Controllab_Dados!$D$2:$D$5000,$A35))</f>
        <v/>
      </c>
    </row>
    <row r="36" spans="1:10" x14ac:dyDescent="0.3">
      <c r="A36" t="str">
        <f>IFERROR(INDEX(EQA.Controllab_Dados!$D$2:$D$5000,MATCH(ROW()-27,EQA.Controllab_Dados!$U$2:$U$5000,0)),"")</f>
        <v/>
      </c>
      <c r="B36" t="str">
        <f>IF(OR($A36="",B$27=""),"",IF(COUNTIFS(EQA.Controllab_Dados!$B$2:$B$5000,B$27,EQA.Controllab_Dados!$D$2:$D$5000,$A36)=0,"—",COUNTIFS(EQA.Controllab_Dados!$B$2:$B$5000,B$27,EQA.Controllab_Dados!$D$2:$D$5000,$A36)))</f>
        <v/>
      </c>
      <c r="C36" t="str">
        <f>IF(OR($A36="",C$27=""),"",IF(COUNTIFS(EQA.Controllab_Dados!$B$2:$B$5000,C$27,EQA.Controllab_Dados!$D$2:$D$5000,$A36)=0,"—",COUNTIFS(EQA.Controllab_Dados!$B$2:$B$5000,C$27,EQA.Controllab_Dados!$D$2:$D$5000,$A36)))</f>
        <v/>
      </c>
      <c r="D36" t="str">
        <f>IF(OR($A36="",D$27=""),"",IF(COUNTIFS(EQA.Controllab_Dados!$B$2:$B$5000,D$27,EQA.Controllab_Dados!$D$2:$D$5000,$A36)=0,"—",COUNTIFS(EQA.Controllab_Dados!$B$2:$B$5000,D$27,EQA.Controllab_Dados!$D$2:$D$5000,$A36)))</f>
        <v/>
      </c>
      <c r="E36" t="str">
        <f>IF(OR($A36="",E$27=""),"",IF(COUNTIFS(EQA.Controllab_Dados!$B$2:$B$5000,E$27,EQA.Controllab_Dados!$D$2:$D$5000,$A36)=0,"—",COUNTIFS(EQA.Controllab_Dados!$B$2:$B$5000,E$27,EQA.Controllab_Dados!$D$2:$D$5000,$A36)))</f>
        <v/>
      </c>
      <c r="F36" t="str">
        <f>IF(OR($A36="",F$27=""),"",IF(COUNTIFS(EQA.Controllab_Dados!$B$2:$B$5000,F$27,EQA.Controllab_Dados!$D$2:$D$5000,$A36)=0,"—",COUNTIFS(EQA.Controllab_Dados!$B$2:$B$5000,F$27,EQA.Controllab_Dados!$D$2:$D$5000,$A36)))</f>
        <v/>
      </c>
      <c r="G36" t="str">
        <f>IF(OR($A36="",G$27=""),"",IF(COUNTIFS(EQA.Controllab_Dados!$B$2:$B$5000,G$27,EQA.Controllab_Dados!$D$2:$D$5000,$A36)=0,"—",COUNTIFS(EQA.Controllab_Dados!$B$2:$B$5000,G$27,EQA.Controllab_Dados!$D$2:$D$5000,$A36)))</f>
        <v/>
      </c>
      <c r="H36" t="str">
        <f>IF(OR($A36="",H$27=""),"",IF(COUNTIFS(EQA.Controllab_Dados!$B$2:$B$5000,H$27,EQA.Controllab_Dados!$D$2:$D$5000,$A36)=0,"—",COUNTIFS(EQA.Controllab_Dados!$B$2:$B$5000,H$27,EQA.Controllab_Dados!$D$2:$D$5000,$A36)))</f>
        <v/>
      </c>
      <c r="I36" t="str">
        <f>IF(OR($A36="",I$27=""),"",IF(COUNTIFS(EQA.Controllab_Dados!$B$2:$B$5000,I$27,EQA.Controllab_Dados!$D$2:$D$5000,$A36)=0,"—",COUNTIFS(EQA.Controllab_Dados!$B$2:$B$5000,I$27,EQA.Controllab_Dados!$D$2:$D$5000,$A36)))</f>
        <v/>
      </c>
      <c r="J36" t="str">
        <f>IF($A36="","",COUNTIF(EQA.Controllab_Dados!$D$2:$D$5000,$A36))</f>
        <v/>
      </c>
    </row>
    <row r="37" spans="1:10" x14ac:dyDescent="0.3">
      <c r="A37" t="str">
        <f>IFERROR(INDEX(EQA.Controllab_Dados!$D$2:$D$5000,MATCH(ROW()-27,EQA.Controllab_Dados!$U$2:$U$5000,0)),"")</f>
        <v/>
      </c>
      <c r="B37" t="str">
        <f>IF(OR($A37="",B$27=""),"",IF(COUNTIFS(EQA.Controllab_Dados!$B$2:$B$5000,B$27,EQA.Controllab_Dados!$D$2:$D$5000,$A37)=0,"—",COUNTIFS(EQA.Controllab_Dados!$B$2:$B$5000,B$27,EQA.Controllab_Dados!$D$2:$D$5000,$A37)))</f>
        <v/>
      </c>
      <c r="C37" t="str">
        <f>IF(OR($A37="",C$27=""),"",IF(COUNTIFS(EQA.Controllab_Dados!$B$2:$B$5000,C$27,EQA.Controllab_Dados!$D$2:$D$5000,$A37)=0,"—",COUNTIFS(EQA.Controllab_Dados!$B$2:$B$5000,C$27,EQA.Controllab_Dados!$D$2:$D$5000,$A37)))</f>
        <v/>
      </c>
      <c r="D37" t="str">
        <f>IF(OR($A37="",D$27=""),"",IF(COUNTIFS(EQA.Controllab_Dados!$B$2:$B$5000,D$27,EQA.Controllab_Dados!$D$2:$D$5000,$A37)=0,"—",COUNTIFS(EQA.Controllab_Dados!$B$2:$B$5000,D$27,EQA.Controllab_Dados!$D$2:$D$5000,$A37)))</f>
        <v/>
      </c>
      <c r="E37" t="str">
        <f>IF(OR($A37="",E$27=""),"",IF(COUNTIFS(EQA.Controllab_Dados!$B$2:$B$5000,E$27,EQA.Controllab_Dados!$D$2:$D$5000,$A37)=0,"—",COUNTIFS(EQA.Controllab_Dados!$B$2:$B$5000,E$27,EQA.Controllab_Dados!$D$2:$D$5000,$A37)))</f>
        <v/>
      </c>
      <c r="F37" t="str">
        <f>IF(OR($A37="",F$27=""),"",IF(COUNTIFS(EQA.Controllab_Dados!$B$2:$B$5000,F$27,EQA.Controllab_Dados!$D$2:$D$5000,$A37)=0,"—",COUNTIFS(EQA.Controllab_Dados!$B$2:$B$5000,F$27,EQA.Controllab_Dados!$D$2:$D$5000,$A37)))</f>
        <v/>
      </c>
      <c r="G37" t="str">
        <f>IF(OR($A37="",G$27=""),"",IF(COUNTIFS(EQA.Controllab_Dados!$B$2:$B$5000,G$27,EQA.Controllab_Dados!$D$2:$D$5000,$A37)=0,"—",COUNTIFS(EQA.Controllab_Dados!$B$2:$B$5000,G$27,EQA.Controllab_Dados!$D$2:$D$5000,$A37)))</f>
        <v/>
      </c>
      <c r="H37" t="str">
        <f>IF(OR($A37="",H$27=""),"",IF(COUNTIFS(EQA.Controllab_Dados!$B$2:$B$5000,H$27,EQA.Controllab_Dados!$D$2:$D$5000,$A37)=0,"—",COUNTIFS(EQA.Controllab_Dados!$B$2:$B$5000,H$27,EQA.Controllab_Dados!$D$2:$D$5000,$A37)))</f>
        <v/>
      </c>
      <c r="I37" t="str">
        <f>IF(OR($A37="",I$27=""),"",IF(COUNTIFS(EQA.Controllab_Dados!$B$2:$B$5000,I$27,EQA.Controllab_Dados!$D$2:$D$5000,$A37)=0,"—",COUNTIFS(EQA.Controllab_Dados!$B$2:$B$5000,I$27,EQA.Controllab_Dados!$D$2:$D$5000,$A37)))</f>
        <v/>
      </c>
      <c r="J37" t="str">
        <f>IF($A37="","",COUNTIF(EQA.Controllab_Dados!$D$2:$D$5000,$A37))</f>
        <v/>
      </c>
    </row>
    <row r="38" spans="1:10" x14ac:dyDescent="0.3">
      <c r="A38" t="str">
        <f>IFERROR(INDEX(EQA.Controllab_Dados!$D$2:$D$5000,MATCH(ROW()-27,EQA.Controllab_Dados!$U$2:$U$5000,0)),"")</f>
        <v/>
      </c>
      <c r="B38" t="str">
        <f>IF(OR($A38="",B$27=""),"",IF(COUNTIFS(EQA.Controllab_Dados!$B$2:$B$5000,B$27,EQA.Controllab_Dados!$D$2:$D$5000,$A38)=0,"—",COUNTIFS(EQA.Controllab_Dados!$B$2:$B$5000,B$27,EQA.Controllab_Dados!$D$2:$D$5000,$A38)))</f>
        <v/>
      </c>
      <c r="C38" t="str">
        <f>IF(OR($A38="",C$27=""),"",IF(COUNTIFS(EQA.Controllab_Dados!$B$2:$B$5000,C$27,EQA.Controllab_Dados!$D$2:$D$5000,$A38)=0,"—",COUNTIFS(EQA.Controllab_Dados!$B$2:$B$5000,C$27,EQA.Controllab_Dados!$D$2:$D$5000,$A38)))</f>
        <v/>
      </c>
      <c r="D38" t="str">
        <f>IF(OR($A38="",D$27=""),"",IF(COUNTIFS(EQA.Controllab_Dados!$B$2:$B$5000,D$27,EQA.Controllab_Dados!$D$2:$D$5000,$A38)=0,"—",COUNTIFS(EQA.Controllab_Dados!$B$2:$B$5000,D$27,EQA.Controllab_Dados!$D$2:$D$5000,$A38)))</f>
        <v/>
      </c>
      <c r="E38" t="str">
        <f>IF(OR($A38="",E$27=""),"",IF(COUNTIFS(EQA.Controllab_Dados!$B$2:$B$5000,E$27,EQA.Controllab_Dados!$D$2:$D$5000,$A38)=0,"—",COUNTIFS(EQA.Controllab_Dados!$B$2:$B$5000,E$27,EQA.Controllab_Dados!$D$2:$D$5000,$A38)))</f>
        <v/>
      </c>
      <c r="F38" t="str">
        <f>IF(OR($A38="",F$27=""),"",IF(COUNTIFS(EQA.Controllab_Dados!$B$2:$B$5000,F$27,EQA.Controllab_Dados!$D$2:$D$5000,$A38)=0,"—",COUNTIFS(EQA.Controllab_Dados!$B$2:$B$5000,F$27,EQA.Controllab_Dados!$D$2:$D$5000,$A38)))</f>
        <v/>
      </c>
      <c r="G38" t="str">
        <f>IF(OR($A38="",G$27=""),"",IF(COUNTIFS(EQA.Controllab_Dados!$B$2:$B$5000,G$27,EQA.Controllab_Dados!$D$2:$D$5000,$A38)=0,"—",COUNTIFS(EQA.Controllab_Dados!$B$2:$B$5000,G$27,EQA.Controllab_Dados!$D$2:$D$5000,$A38)))</f>
        <v/>
      </c>
      <c r="H38" t="str">
        <f>IF(OR($A38="",H$27=""),"",IF(COUNTIFS(EQA.Controllab_Dados!$B$2:$B$5000,H$27,EQA.Controllab_Dados!$D$2:$D$5000,$A38)=0,"—",COUNTIFS(EQA.Controllab_Dados!$B$2:$B$5000,H$27,EQA.Controllab_Dados!$D$2:$D$5000,$A38)))</f>
        <v/>
      </c>
      <c r="I38" t="str">
        <f>IF(OR($A38="",I$27=""),"",IF(COUNTIFS(EQA.Controllab_Dados!$B$2:$B$5000,I$27,EQA.Controllab_Dados!$D$2:$D$5000,$A38)=0,"—",COUNTIFS(EQA.Controllab_Dados!$B$2:$B$5000,I$27,EQA.Controllab_Dados!$D$2:$D$5000,$A38)))</f>
        <v/>
      </c>
      <c r="J38" t="str">
        <f>IF($A38="","",COUNTIF(EQA.Controllab_Dados!$D$2:$D$5000,$A38))</f>
        <v/>
      </c>
    </row>
    <row r="39" spans="1:10" x14ac:dyDescent="0.3">
      <c r="A39" t="str">
        <f>IFERROR(INDEX(EQA.Controllab_Dados!$D$2:$D$5000,MATCH(ROW()-27,EQA.Controllab_Dados!$U$2:$U$5000,0)),"")</f>
        <v/>
      </c>
      <c r="B39" t="str">
        <f>IF(OR($A39="",B$27=""),"",IF(COUNTIFS(EQA.Controllab_Dados!$B$2:$B$5000,B$27,EQA.Controllab_Dados!$D$2:$D$5000,$A39)=0,"—",COUNTIFS(EQA.Controllab_Dados!$B$2:$B$5000,B$27,EQA.Controllab_Dados!$D$2:$D$5000,$A39)))</f>
        <v/>
      </c>
      <c r="C39" t="str">
        <f>IF(OR($A39="",C$27=""),"",IF(COUNTIFS(EQA.Controllab_Dados!$B$2:$B$5000,C$27,EQA.Controllab_Dados!$D$2:$D$5000,$A39)=0,"—",COUNTIFS(EQA.Controllab_Dados!$B$2:$B$5000,C$27,EQA.Controllab_Dados!$D$2:$D$5000,$A39)))</f>
        <v/>
      </c>
      <c r="D39" t="str">
        <f>IF(OR($A39="",D$27=""),"",IF(COUNTIFS(EQA.Controllab_Dados!$B$2:$B$5000,D$27,EQA.Controllab_Dados!$D$2:$D$5000,$A39)=0,"—",COUNTIFS(EQA.Controllab_Dados!$B$2:$B$5000,D$27,EQA.Controllab_Dados!$D$2:$D$5000,$A39)))</f>
        <v/>
      </c>
      <c r="E39" t="str">
        <f>IF(OR($A39="",E$27=""),"",IF(COUNTIFS(EQA.Controllab_Dados!$B$2:$B$5000,E$27,EQA.Controllab_Dados!$D$2:$D$5000,$A39)=0,"—",COUNTIFS(EQA.Controllab_Dados!$B$2:$B$5000,E$27,EQA.Controllab_Dados!$D$2:$D$5000,$A39)))</f>
        <v/>
      </c>
      <c r="F39" t="str">
        <f>IF(OR($A39="",F$27=""),"",IF(COUNTIFS(EQA.Controllab_Dados!$B$2:$B$5000,F$27,EQA.Controllab_Dados!$D$2:$D$5000,$A39)=0,"—",COUNTIFS(EQA.Controllab_Dados!$B$2:$B$5000,F$27,EQA.Controllab_Dados!$D$2:$D$5000,$A39)))</f>
        <v/>
      </c>
      <c r="G39" t="str">
        <f>IF(OR($A39="",G$27=""),"",IF(COUNTIFS(EQA.Controllab_Dados!$B$2:$B$5000,G$27,EQA.Controllab_Dados!$D$2:$D$5000,$A39)=0,"—",COUNTIFS(EQA.Controllab_Dados!$B$2:$B$5000,G$27,EQA.Controllab_Dados!$D$2:$D$5000,$A39)))</f>
        <v/>
      </c>
      <c r="H39" t="str">
        <f>IF(OR($A39="",H$27=""),"",IF(COUNTIFS(EQA.Controllab_Dados!$B$2:$B$5000,H$27,EQA.Controllab_Dados!$D$2:$D$5000,$A39)=0,"—",COUNTIFS(EQA.Controllab_Dados!$B$2:$B$5000,H$27,EQA.Controllab_Dados!$D$2:$D$5000,$A39)))</f>
        <v/>
      </c>
      <c r="I39" t="str">
        <f>IF(OR($A39="",I$27=""),"",IF(COUNTIFS(EQA.Controllab_Dados!$B$2:$B$5000,I$27,EQA.Controllab_Dados!$D$2:$D$5000,$A39)=0,"—",COUNTIFS(EQA.Controllab_Dados!$B$2:$B$5000,I$27,EQA.Controllab_Dados!$D$2:$D$5000,$A39)))</f>
        <v/>
      </c>
      <c r="J39" t="str">
        <f>IF($A39="","",COUNTIF(EQA.Controllab_Dados!$D$2:$D$5000,$A39))</f>
        <v/>
      </c>
    </row>
    <row r="40" spans="1:10" x14ac:dyDescent="0.3">
      <c r="A40" t="str">
        <f>IFERROR(INDEX(EQA.Controllab_Dados!$D$2:$D$5000,MATCH(ROW()-27,EQA.Controllab_Dados!$U$2:$U$5000,0)),"")</f>
        <v/>
      </c>
      <c r="B40" t="str">
        <f>IF(OR($A40="",B$27=""),"",IF(COUNTIFS(EQA.Controllab_Dados!$B$2:$B$5000,B$27,EQA.Controllab_Dados!$D$2:$D$5000,$A40)=0,"—",COUNTIFS(EQA.Controllab_Dados!$B$2:$B$5000,B$27,EQA.Controllab_Dados!$D$2:$D$5000,$A40)))</f>
        <v/>
      </c>
      <c r="C40" t="str">
        <f>IF(OR($A40="",C$27=""),"",IF(COUNTIFS(EQA.Controllab_Dados!$B$2:$B$5000,C$27,EQA.Controllab_Dados!$D$2:$D$5000,$A40)=0,"—",COUNTIFS(EQA.Controllab_Dados!$B$2:$B$5000,C$27,EQA.Controllab_Dados!$D$2:$D$5000,$A40)))</f>
        <v/>
      </c>
      <c r="D40" t="str">
        <f>IF(OR($A40="",D$27=""),"",IF(COUNTIFS(EQA.Controllab_Dados!$B$2:$B$5000,D$27,EQA.Controllab_Dados!$D$2:$D$5000,$A40)=0,"—",COUNTIFS(EQA.Controllab_Dados!$B$2:$B$5000,D$27,EQA.Controllab_Dados!$D$2:$D$5000,$A40)))</f>
        <v/>
      </c>
      <c r="E40" t="str">
        <f>IF(OR($A40="",E$27=""),"",IF(COUNTIFS(EQA.Controllab_Dados!$B$2:$B$5000,E$27,EQA.Controllab_Dados!$D$2:$D$5000,$A40)=0,"—",COUNTIFS(EQA.Controllab_Dados!$B$2:$B$5000,E$27,EQA.Controllab_Dados!$D$2:$D$5000,$A40)))</f>
        <v/>
      </c>
      <c r="F40" t="str">
        <f>IF(OR($A40="",F$27=""),"",IF(COUNTIFS(EQA.Controllab_Dados!$B$2:$B$5000,F$27,EQA.Controllab_Dados!$D$2:$D$5000,$A40)=0,"—",COUNTIFS(EQA.Controllab_Dados!$B$2:$B$5000,F$27,EQA.Controllab_Dados!$D$2:$D$5000,$A40)))</f>
        <v/>
      </c>
      <c r="G40" t="str">
        <f>IF(OR($A40="",G$27=""),"",IF(COUNTIFS(EQA.Controllab_Dados!$B$2:$B$5000,G$27,EQA.Controllab_Dados!$D$2:$D$5000,$A40)=0,"—",COUNTIFS(EQA.Controllab_Dados!$B$2:$B$5000,G$27,EQA.Controllab_Dados!$D$2:$D$5000,$A40)))</f>
        <v/>
      </c>
      <c r="H40" t="str">
        <f>IF(OR($A40="",H$27=""),"",IF(COUNTIFS(EQA.Controllab_Dados!$B$2:$B$5000,H$27,EQA.Controllab_Dados!$D$2:$D$5000,$A40)=0,"—",COUNTIFS(EQA.Controllab_Dados!$B$2:$B$5000,H$27,EQA.Controllab_Dados!$D$2:$D$5000,$A40)))</f>
        <v/>
      </c>
      <c r="I40" t="str">
        <f>IF(OR($A40="",I$27=""),"",IF(COUNTIFS(EQA.Controllab_Dados!$B$2:$B$5000,I$27,EQA.Controllab_Dados!$D$2:$D$5000,$A40)=0,"—",COUNTIFS(EQA.Controllab_Dados!$B$2:$B$5000,I$27,EQA.Controllab_Dados!$D$2:$D$5000,$A40)))</f>
        <v/>
      </c>
      <c r="J40" t="str">
        <f>IF($A40="","",COUNTIF(EQA.Controllab_Dados!$D$2:$D$5000,$A40))</f>
        <v/>
      </c>
    </row>
    <row r="41" spans="1:10" x14ac:dyDescent="0.3">
      <c r="A41" t="str">
        <f>IFERROR(INDEX(EQA.Controllab_Dados!$D$2:$D$5000,MATCH(ROW()-27,EQA.Controllab_Dados!$U$2:$U$5000,0)),"")</f>
        <v/>
      </c>
      <c r="B41" t="str">
        <f>IF(OR($A41="",B$27=""),"",IF(COUNTIFS(EQA.Controllab_Dados!$B$2:$B$5000,B$27,EQA.Controllab_Dados!$D$2:$D$5000,$A41)=0,"—",COUNTIFS(EQA.Controllab_Dados!$B$2:$B$5000,B$27,EQA.Controllab_Dados!$D$2:$D$5000,$A41)))</f>
        <v/>
      </c>
      <c r="C41" t="str">
        <f>IF(OR($A41="",C$27=""),"",IF(COUNTIFS(EQA.Controllab_Dados!$B$2:$B$5000,C$27,EQA.Controllab_Dados!$D$2:$D$5000,$A41)=0,"—",COUNTIFS(EQA.Controllab_Dados!$B$2:$B$5000,C$27,EQA.Controllab_Dados!$D$2:$D$5000,$A41)))</f>
        <v/>
      </c>
      <c r="D41" t="str">
        <f>IF(OR($A41="",D$27=""),"",IF(COUNTIFS(EQA.Controllab_Dados!$B$2:$B$5000,D$27,EQA.Controllab_Dados!$D$2:$D$5000,$A41)=0,"—",COUNTIFS(EQA.Controllab_Dados!$B$2:$B$5000,D$27,EQA.Controllab_Dados!$D$2:$D$5000,$A41)))</f>
        <v/>
      </c>
      <c r="E41" t="str">
        <f>IF(OR($A41="",E$27=""),"",IF(COUNTIFS(EQA.Controllab_Dados!$B$2:$B$5000,E$27,EQA.Controllab_Dados!$D$2:$D$5000,$A41)=0,"—",COUNTIFS(EQA.Controllab_Dados!$B$2:$B$5000,E$27,EQA.Controllab_Dados!$D$2:$D$5000,$A41)))</f>
        <v/>
      </c>
      <c r="F41" t="str">
        <f>IF(OR($A41="",F$27=""),"",IF(COUNTIFS(EQA.Controllab_Dados!$B$2:$B$5000,F$27,EQA.Controllab_Dados!$D$2:$D$5000,$A41)=0,"—",COUNTIFS(EQA.Controllab_Dados!$B$2:$B$5000,F$27,EQA.Controllab_Dados!$D$2:$D$5000,$A41)))</f>
        <v/>
      </c>
      <c r="G41" t="str">
        <f>IF(OR($A41="",G$27=""),"",IF(COUNTIFS(EQA.Controllab_Dados!$B$2:$B$5000,G$27,EQA.Controllab_Dados!$D$2:$D$5000,$A41)=0,"—",COUNTIFS(EQA.Controllab_Dados!$B$2:$B$5000,G$27,EQA.Controllab_Dados!$D$2:$D$5000,$A41)))</f>
        <v/>
      </c>
      <c r="H41" t="str">
        <f>IF(OR($A41="",H$27=""),"",IF(COUNTIFS(EQA.Controllab_Dados!$B$2:$B$5000,H$27,EQA.Controllab_Dados!$D$2:$D$5000,$A41)=0,"—",COUNTIFS(EQA.Controllab_Dados!$B$2:$B$5000,H$27,EQA.Controllab_Dados!$D$2:$D$5000,$A41)))</f>
        <v/>
      </c>
      <c r="I41" t="str">
        <f>IF(OR($A41="",I$27=""),"",IF(COUNTIFS(EQA.Controllab_Dados!$B$2:$B$5000,I$27,EQA.Controllab_Dados!$D$2:$D$5000,$A41)=0,"—",COUNTIFS(EQA.Controllab_Dados!$B$2:$B$5000,I$27,EQA.Controllab_Dados!$D$2:$D$5000,$A41)))</f>
        <v/>
      </c>
      <c r="J41" t="str">
        <f>IF($A41="","",COUNTIF(EQA.Controllab_Dados!$D$2:$D$5000,$A41))</f>
        <v/>
      </c>
    </row>
    <row r="42" spans="1:10" x14ac:dyDescent="0.3">
      <c r="A42" t="str">
        <f>IFERROR(INDEX(EQA.Controllab_Dados!$D$2:$D$5000,MATCH(ROW()-27,EQA.Controllab_Dados!$U$2:$U$5000,0)),"")</f>
        <v/>
      </c>
      <c r="B42" t="str">
        <f>IF(OR($A42="",B$27=""),"",IF(COUNTIFS(EQA.Controllab_Dados!$B$2:$B$5000,B$27,EQA.Controllab_Dados!$D$2:$D$5000,$A42)=0,"—",COUNTIFS(EQA.Controllab_Dados!$B$2:$B$5000,B$27,EQA.Controllab_Dados!$D$2:$D$5000,$A42)))</f>
        <v/>
      </c>
      <c r="C42" t="str">
        <f>IF(OR($A42="",C$27=""),"",IF(COUNTIFS(EQA.Controllab_Dados!$B$2:$B$5000,C$27,EQA.Controllab_Dados!$D$2:$D$5000,$A42)=0,"—",COUNTIFS(EQA.Controllab_Dados!$B$2:$B$5000,C$27,EQA.Controllab_Dados!$D$2:$D$5000,$A42)))</f>
        <v/>
      </c>
      <c r="D42" t="str">
        <f>IF(OR($A42="",D$27=""),"",IF(COUNTIFS(EQA.Controllab_Dados!$B$2:$B$5000,D$27,EQA.Controllab_Dados!$D$2:$D$5000,$A42)=0,"—",COUNTIFS(EQA.Controllab_Dados!$B$2:$B$5000,D$27,EQA.Controllab_Dados!$D$2:$D$5000,$A42)))</f>
        <v/>
      </c>
      <c r="E42" t="str">
        <f>IF(OR($A42="",E$27=""),"",IF(COUNTIFS(EQA.Controllab_Dados!$B$2:$B$5000,E$27,EQA.Controllab_Dados!$D$2:$D$5000,$A42)=0,"—",COUNTIFS(EQA.Controllab_Dados!$B$2:$B$5000,E$27,EQA.Controllab_Dados!$D$2:$D$5000,$A42)))</f>
        <v/>
      </c>
      <c r="F42" t="str">
        <f>IF(OR($A42="",F$27=""),"",IF(COUNTIFS(EQA.Controllab_Dados!$B$2:$B$5000,F$27,EQA.Controllab_Dados!$D$2:$D$5000,$A42)=0,"—",COUNTIFS(EQA.Controllab_Dados!$B$2:$B$5000,F$27,EQA.Controllab_Dados!$D$2:$D$5000,$A42)))</f>
        <v/>
      </c>
      <c r="G42" t="str">
        <f>IF(OR($A42="",G$27=""),"",IF(COUNTIFS(EQA.Controllab_Dados!$B$2:$B$5000,G$27,EQA.Controllab_Dados!$D$2:$D$5000,$A42)=0,"—",COUNTIFS(EQA.Controllab_Dados!$B$2:$B$5000,G$27,EQA.Controllab_Dados!$D$2:$D$5000,$A42)))</f>
        <v/>
      </c>
      <c r="H42" t="str">
        <f>IF(OR($A42="",H$27=""),"",IF(COUNTIFS(EQA.Controllab_Dados!$B$2:$B$5000,H$27,EQA.Controllab_Dados!$D$2:$D$5000,$A42)=0,"—",COUNTIFS(EQA.Controllab_Dados!$B$2:$B$5000,H$27,EQA.Controllab_Dados!$D$2:$D$5000,$A42)))</f>
        <v/>
      </c>
      <c r="I42" t="str">
        <f>IF(OR($A42="",I$27=""),"",IF(COUNTIFS(EQA.Controllab_Dados!$B$2:$B$5000,I$27,EQA.Controllab_Dados!$D$2:$D$5000,$A42)=0,"—",COUNTIFS(EQA.Controllab_Dados!$B$2:$B$5000,I$27,EQA.Controllab_Dados!$D$2:$D$5000,$A42)))</f>
        <v/>
      </c>
      <c r="J42" t="str">
        <f>IF($A42="","",COUNTIF(EQA.Controllab_Dados!$D$2:$D$5000,$A42))</f>
        <v/>
      </c>
    </row>
    <row r="43" spans="1:10" x14ac:dyDescent="0.3">
      <c r="A43" t="str">
        <f>IFERROR(INDEX(EQA.Controllab_Dados!$D$2:$D$5000,MATCH(ROW()-27,EQA.Controllab_Dados!$U$2:$U$5000,0)),"")</f>
        <v/>
      </c>
      <c r="B43" t="str">
        <f>IF(OR($A43="",B$27=""),"",IF(COUNTIFS(EQA.Controllab_Dados!$B$2:$B$5000,B$27,EQA.Controllab_Dados!$D$2:$D$5000,$A43)=0,"—",COUNTIFS(EQA.Controllab_Dados!$B$2:$B$5000,B$27,EQA.Controllab_Dados!$D$2:$D$5000,$A43)))</f>
        <v/>
      </c>
      <c r="C43" t="str">
        <f>IF(OR($A43="",C$27=""),"",IF(COUNTIFS(EQA.Controllab_Dados!$B$2:$B$5000,C$27,EQA.Controllab_Dados!$D$2:$D$5000,$A43)=0,"—",COUNTIFS(EQA.Controllab_Dados!$B$2:$B$5000,C$27,EQA.Controllab_Dados!$D$2:$D$5000,$A43)))</f>
        <v/>
      </c>
      <c r="D43" t="str">
        <f>IF(OR($A43="",D$27=""),"",IF(COUNTIFS(EQA.Controllab_Dados!$B$2:$B$5000,D$27,EQA.Controllab_Dados!$D$2:$D$5000,$A43)=0,"—",COUNTIFS(EQA.Controllab_Dados!$B$2:$B$5000,D$27,EQA.Controllab_Dados!$D$2:$D$5000,$A43)))</f>
        <v/>
      </c>
      <c r="E43" t="str">
        <f>IF(OR($A43="",E$27=""),"",IF(COUNTIFS(EQA.Controllab_Dados!$B$2:$B$5000,E$27,EQA.Controllab_Dados!$D$2:$D$5000,$A43)=0,"—",COUNTIFS(EQA.Controllab_Dados!$B$2:$B$5000,E$27,EQA.Controllab_Dados!$D$2:$D$5000,$A43)))</f>
        <v/>
      </c>
      <c r="F43" t="str">
        <f>IF(OR($A43="",F$27=""),"",IF(COUNTIFS(EQA.Controllab_Dados!$B$2:$B$5000,F$27,EQA.Controllab_Dados!$D$2:$D$5000,$A43)=0,"—",COUNTIFS(EQA.Controllab_Dados!$B$2:$B$5000,F$27,EQA.Controllab_Dados!$D$2:$D$5000,$A43)))</f>
        <v/>
      </c>
      <c r="G43" t="str">
        <f>IF(OR($A43="",G$27=""),"",IF(COUNTIFS(EQA.Controllab_Dados!$B$2:$B$5000,G$27,EQA.Controllab_Dados!$D$2:$D$5000,$A43)=0,"—",COUNTIFS(EQA.Controllab_Dados!$B$2:$B$5000,G$27,EQA.Controllab_Dados!$D$2:$D$5000,$A43)))</f>
        <v/>
      </c>
      <c r="H43" t="str">
        <f>IF(OR($A43="",H$27=""),"",IF(COUNTIFS(EQA.Controllab_Dados!$B$2:$B$5000,H$27,EQA.Controllab_Dados!$D$2:$D$5000,$A43)=0,"—",COUNTIFS(EQA.Controllab_Dados!$B$2:$B$5000,H$27,EQA.Controllab_Dados!$D$2:$D$5000,$A43)))</f>
        <v/>
      </c>
      <c r="I43" t="str">
        <f>IF(OR($A43="",I$27=""),"",IF(COUNTIFS(EQA.Controllab_Dados!$B$2:$B$5000,I$27,EQA.Controllab_Dados!$D$2:$D$5000,$A43)=0,"—",COUNTIFS(EQA.Controllab_Dados!$B$2:$B$5000,I$27,EQA.Controllab_Dados!$D$2:$D$5000,$A43)))</f>
        <v/>
      </c>
      <c r="J43" t="str">
        <f>IF($A43="","",COUNTIF(EQA.Controllab_Dados!$D$2:$D$5000,$A43))</f>
        <v/>
      </c>
    </row>
    <row r="44" spans="1:10" x14ac:dyDescent="0.3">
      <c r="A44" t="str">
        <f>IFERROR(INDEX(EQA.Controllab_Dados!$D$2:$D$5000,MATCH(ROW()-27,EQA.Controllab_Dados!$U$2:$U$5000,0)),"")</f>
        <v/>
      </c>
      <c r="B44" t="str">
        <f>IF(OR($A44="",B$27=""),"",IF(COUNTIFS(EQA.Controllab_Dados!$B$2:$B$5000,B$27,EQA.Controllab_Dados!$D$2:$D$5000,$A44)=0,"—",COUNTIFS(EQA.Controllab_Dados!$B$2:$B$5000,B$27,EQA.Controllab_Dados!$D$2:$D$5000,$A44)))</f>
        <v/>
      </c>
      <c r="C44" t="str">
        <f>IF(OR($A44="",C$27=""),"",IF(COUNTIFS(EQA.Controllab_Dados!$B$2:$B$5000,C$27,EQA.Controllab_Dados!$D$2:$D$5000,$A44)=0,"—",COUNTIFS(EQA.Controllab_Dados!$B$2:$B$5000,C$27,EQA.Controllab_Dados!$D$2:$D$5000,$A44)))</f>
        <v/>
      </c>
      <c r="D44" t="str">
        <f>IF(OR($A44="",D$27=""),"",IF(COUNTIFS(EQA.Controllab_Dados!$B$2:$B$5000,D$27,EQA.Controllab_Dados!$D$2:$D$5000,$A44)=0,"—",COUNTIFS(EQA.Controllab_Dados!$B$2:$B$5000,D$27,EQA.Controllab_Dados!$D$2:$D$5000,$A44)))</f>
        <v/>
      </c>
      <c r="E44" t="str">
        <f>IF(OR($A44="",E$27=""),"",IF(COUNTIFS(EQA.Controllab_Dados!$B$2:$B$5000,E$27,EQA.Controllab_Dados!$D$2:$D$5000,$A44)=0,"—",COUNTIFS(EQA.Controllab_Dados!$B$2:$B$5000,E$27,EQA.Controllab_Dados!$D$2:$D$5000,$A44)))</f>
        <v/>
      </c>
      <c r="F44" t="str">
        <f>IF(OR($A44="",F$27=""),"",IF(COUNTIFS(EQA.Controllab_Dados!$B$2:$B$5000,F$27,EQA.Controllab_Dados!$D$2:$D$5000,$A44)=0,"—",COUNTIFS(EQA.Controllab_Dados!$B$2:$B$5000,F$27,EQA.Controllab_Dados!$D$2:$D$5000,$A44)))</f>
        <v/>
      </c>
      <c r="G44" t="str">
        <f>IF(OR($A44="",G$27=""),"",IF(COUNTIFS(EQA.Controllab_Dados!$B$2:$B$5000,G$27,EQA.Controllab_Dados!$D$2:$D$5000,$A44)=0,"—",COUNTIFS(EQA.Controllab_Dados!$B$2:$B$5000,G$27,EQA.Controllab_Dados!$D$2:$D$5000,$A44)))</f>
        <v/>
      </c>
      <c r="H44" t="str">
        <f>IF(OR($A44="",H$27=""),"",IF(COUNTIFS(EQA.Controllab_Dados!$B$2:$B$5000,H$27,EQA.Controllab_Dados!$D$2:$D$5000,$A44)=0,"—",COUNTIFS(EQA.Controllab_Dados!$B$2:$B$5000,H$27,EQA.Controllab_Dados!$D$2:$D$5000,$A44)))</f>
        <v/>
      </c>
      <c r="I44" t="str">
        <f>IF(OR($A44="",I$27=""),"",IF(COUNTIFS(EQA.Controllab_Dados!$B$2:$B$5000,I$27,EQA.Controllab_Dados!$D$2:$D$5000,$A44)=0,"—",COUNTIFS(EQA.Controllab_Dados!$B$2:$B$5000,I$27,EQA.Controllab_Dados!$D$2:$D$5000,$A44)))</f>
        <v/>
      </c>
      <c r="J44" t="str">
        <f>IF($A44="","",COUNTIF(EQA.Controllab_Dados!$D$2:$D$5000,$A44))</f>
        <v/>
      </c>
    </row>
    <row r="45" spans="1:10" x14ac:dyDescent="0.3">
      <c r="A45" t="str">
        <f>IFERROR(INDEX(EQA.Controllab_Dados!$D$2:$D$5000,MATCH(ROW()-27,EQA.Controllab_Dados!$U$2:$U$5000,0)),"")</f>
        <v/>
      </c>
      <c r="B45" t="str">
        <f>IF(OR($A45="",B$27=""),"",IF(COUNTIFS(EQA.Controllab_Dados!$B$2:$B$5000,B$27,EQA.Controllab_Dados!$D$2:$D$5000,$A45)=0,"—",COUNTIFS(EQA.Controllab_Dados!$B$2:$B$5000,B$27,EQA.Controllab_Dados!$D$2:$D$5000,$A45)))</f>
        <v/>
      </c>
      <c r="C45" t="str">
        <f>IF(OR($A45="",C$27=""),"",IF(COUNTIFS(EQA.Controllab_Dados!$B$2:$B$5000,C$27,EQA.Controllab_Dados!$D$2:$D$5000,$A45)=0,"—",COUNTIFS(EQA.Controllab_Dados!$B$2:$B$5000,C$27,EQA.Controllab_Dados!$D$2:$D$5000,$A45)))</f>
        <v/>
      </c>
      <c r="D45" t="str">
        <f>IF(OR($A45="",D$27=""),"",IF(COUNTIFS(EQA.Controllab_Dados!$B$2:$B$5000,D$27,EQA.Controllab_Dados!$D$2:$D$5000,$A45)=0,"—",COUNTIFS(EQA.Controllab_Dados!$B$2:$B$5000,D$27,EQA.Controllab_Dados!$D$2:$D$5000,$A45)))</f>
        <v/>
      </c>
      <c r="E45" t="str">
        <f>IF(OR($A45="",E$27=""),"",IF(COUNTIFS(EQA.Controllab_Dados!$B$2:$B$5000,E$27,EQA.Controllab_Dados!$D$2:$D$5000,$A45)=0,"—",COUNTIFS(EQA.Controllab_Dados!$B$2:$B$5000,E$27,EQA.Controllab_Dados!$D$2:$D$5000,$A45)))</f>
        <v/>
      </c>
      <c r="F45" t="str">
        <f>IF(OR($A45="",F$27=""),"",IF(COUNTIFS(EQA.Controllab_Dados!$B$2:$B$5000,F$27,EQA.Controllab_Dados!$D$2:$D$5000,$A45)=0,"—",COUNTIFS(EQA.Controllab_Dados!$B$2:$B$5000,F$27,EQA.Controllab_Dados!$D$2:$D$5000,$A45)))</f>
        <v/>
      </c>
      <c r="G45" t="str">
        <f>IF(OR($A45="",G$27=""),"",IF(COUNTIFS(EQA.Controllab_Dados!$B$2:$B$5000,G$27,EQA.Controllab_Dados!$D$2:$D$5000,$A45)=0,"—",COUNTIFS(EQA.Controllab_Dados!$B$2:$B$5000,G$27,EQA.Controllab_Dados!$D$2:$D$5000,$A45)))</f>
        <v/>
      </c>
      <c r="H45" t="str">
        <f>IF(OR($A45="",H$27=""),"",IF(COUNTIFS(EQA.Controllab_Dados!$B$2:$B$5000,H$27,EQA.Controllab_Dados!$D$2:$D$5000,$A45)=0,"—",COUNTIFS(EQA.Controllab_Dados!$B$2:$B$5000,H$27,EQA.Controllab_Dados!$D$2:$D$5000,$A45)))</f>
        <v/>
      </c>
      <c r="I45" t="str">
        <f>IF(OR($A45="",I$27=""),"",IF(COUNTIFS(EQA.Controllab_Dados!$B$2:$B$5000,I$27,EQA.Controllab_Dados!$D$2:$D$5000,$A45)=0,"—",COUNTIFS(EQA.Controllab_Dados!$B$2:$B$5000,I$27,EQA.Controllab_Dados!$D$2:$D$5000,$A45)))</f>
        <v/>
      </c>
      <c r="J45" t="str">
        <f>IF($A45="","",COUNTIF(EQA.Controllab_Dados!$D$2:$D$5000,$A45))</f>
        <v/>
      </c>
    </row>
    <row r="46" spans="1:10" x14ac:dyDescent="0.3">
      <c r="A46" t="str">
        <f>IFERROR(INDEX(EQA.Controllab_Dados!$D$2:$D$5000,MATCH(ROW()-27,EQA.Controllab_Dados!$U$2:$U$5000,0)),"")</f>
        <v/>
      </c>
      <c r="B46" t="str">
        <f>IF(OR($A46="",B$27=""),"",IF(COUNTIFS(EQA.Controllab_Dados!$B$2:$B$5000,B$27,EQA.Controllab_Dados!$D$2:$D$5000,$A46)=0,"—",COUNTIFS(EQA.Controllab_Dados!$B$2:$B$5000,B$27,EQA.Controllab_Dados!$D$2:$D$5000,$A46)))</f>
        <v/>
      </c>
      <c r="C46" t="str">
        <f>IF(OR($A46="",C$27=""),"",IF(COUNTIFS(EQA.Controllab_Dados!$B$2:$B$5000,C$27,EQA.Controllab_Dados!$D$2:$D$5000,$A46)=0,"—",COUNTIFS(EQA.Controllab_Dados!$B$2:$B$5000,C$27,EQA.Controllab_Dados!$D$2:$D$5000,$A46)))</f>
        <v/>
      </c>
      <c r="D46" t="str">
        <f>IF(OR($A46="",D$27=""),"",IF(COUNTIFS(EQA.Controllab_Dados!$B$2:$B$5000,D$27,EQA.Controllab_Dados!$D$2:$D$5000,$A46)=0,"—",COUNTIFS(EQA.Controllab_Dados!$B$2:$B$5000,D$27,EQA.Controllab_Dados!$D$2:$D$5000,$A46)))</f>
        <v/>
      </c>
      <c r="E46" t="str">
        <f>IF(OR($A46="",E$27=""),"",IF(COUNTIFS(EQA.Controllab_Dados!$B$2:$B$5000,E$27,EQA.Controllab_Dados!$D$2:$D$5000,$A46)=0,"—",COUNTIFS(EQA.Controllab_Dados!$B$2:$B$5000,E$27,EQA.Controllab_Dados!$D$2:$D$5000,$A46)))</f>
        <v/>
      </c>
      <c r="F46" t="str">
        <f>IF(OR($A46="",F$27=""),"",IF(COUNTIFS(EQA.Controllab_Dados!$B$2:$B$5000,F$27,EQA.Controllab_Dados!$D$2:$D$5000,$A46)=0,"—",COUNTIFS(EQA.Controllab_Dados!$B$2:$B$5000,F$27,EQA.Controllab_Dados!$D$2:$D$5000,$A46)))</f>
        <v/>
      </c>
      <c r="G46" t="str">
        <f>IF(OR($A46="",G$27=""),"",IF(COUNTIFS(EQA.Controllab_Dados!$B$2:$B$5000,G$27,EQA.Controllab_Dados!$D$2:$D$5000,$A46)=0,"—",COUNTIFS(EQA.Controllab_Dados!$B$2:$B$5000,G$27,EQA.Controllab_Dados!$D$2:$D$5000,$A46)))</f>
        <v/>
      </c>
      <c r="H46" t="str">
        <f>IF(OR($A46="",H$27=""),"",IF(COUNTIFS(EQA.Controllab_Dados!$B$2:$B$5000,H$27,EQA.Controllab_Dados!$D$2:$D$5000,$A46)=0,"—",COUNTIFS(EQA.Controllab_Dados!$B$2:$B$5000,H$27,EQA.Controllab_Dados!$D$2:$D$5000,$A46)))</f>
        <v/>
      </c>
      <c r="I46" t="str">
        <f>IF(OR($A46="",I$27=""),"",IF(COUNTIFS(EQA.Controllab_Dados!$B$2:$B$5000,I$27,EQA.Controllab_Dados!$D$2:$D$5000,$A46)=0,"—",COUNTIFS(EQA.Controllab_Dados!$B$2:$B$5000,I$27,EQA.Controllab_Dados!$D$2:$D$5000,$A46)))</f>
        <v/>
      </c>
      <c r="J46" t="str">
        <f>IF($A46="","",COUNTIF(EQA.Controllab_Dados!$D$2:$D$5000,$A46))</f>
        <v/>
      </c>
    </row>
    <row r="47" spans="1:10" x14ac:dyDescent="0.3">
      <c r="A47" t="str">
        <f>IFERROR(INDEX(EQA.Controllab_Dados!$D$2:$D$5000,MATCH(ROW()-27,EQA.Controllab_Dados!$U$2:$U$5000,0)),"")</f>
        <v/>
      </c>
      <c r="B47" t="str">
        <f>IF(OR($A47="",B$27=""),"",IF(COUNTIFS(EQA.Controllab_Dados!$B$2:$B$5000,B$27,EQA.Controllab_Dados!$D$2:$D$5000,$A47)=0,"—",COUNTIFS(EQA.Controllab_Dados!$B$2:$B$5000,B$27,EQA.Controllab_Dados!$D$2:$D$5000,$A47)))</f>
        <v/>
      </c>
      <c r="C47" t="str">
        <f>IF(OR($A47="",C$27=""),"",IF(COUNTIFS(EQA.Controllab_Dados!$B$2:$B$5000,C$27,EQA.Controllab_Dados!$D$2:$D$5000,$A47)=0,"—",COUNTIFS(EQA.Controllab_Dados!$B$2:$B$5000,C$27,EQA.Controllab_Dados!$D$2:$D$5000,$A47)))</f>
        <v/>
      </c>
      <c r="D47" t="str">
        <f>IF(OR($A47="",D$27=""),"",IF(COUNTIFS(EQA.Controllab_Dados!$B$2:$B$5000,D$27,EQA.Controllab_Dados!$D$2:$D$5000,$A47)=0,"—",COUNTIFS(EQA.Controllab_Dados!$B$2:$B$5000,D$27,EQA.Controllab_Dados!$D$2:$D$5000,$A47)))</f>
        <v/>
      </c>
      <c r="E47" t="str">
        <f>IF(OR($A47="",E$27=""),"",IF(COUNTIFS(EQA.Controllab_Dados!$B$2:$B$5000,E$27,EQA.Controllab_Dados!$D$2:$D$5000,$A47)=0,"—",COUNTIFS(EQA.Controllab_Dados!$B$2:$B$5000,E$27,EQA.Controllab_Dados!$D$2:$D$5000,$A47)))</f>
        <v/>
      </c>
      <c r="F47" t="str">
        <f>IF(OR($A47="",F$27=""),"",IF(COUNTIFS(EQA.Controllab_Dados!$B$2:$B$5000,F$27,EQA.Controllab_Dados!$D$2:$D$5000,$A47)=0,"—",COUNTIFS(EQA.Controllab_Dados!$B$2:$B$5000,F$27,EQA.Controllab_Dados!$D$2:$D$5000,$A47)))</f>
        <v/>
      </c>
      <c r="G47" t="str">
        <f>IF(OR($A47="",G$27=""),"",IF(COUNTIFS(EQA.Controllab_Dados!$B$2:$B$5000,G$27,EQA.Controllab_Dados!$D$2:$D$5000,$A47)=0,"—",COUNTIFS(EQA.Controllab_Dados!$B$2:$B$5000,G$27,EQA.Controllab_Dados!$D$2:$D$5000,$A47)))</f>
        <v/>
      </c>
      <c r="H47" t="str">
        <f>IF(OR($A47="",H$27=""),"",IF(COUNTIFS(EQA.Controllab_Dados!$B$2:$B$5000,H$27,EQA.Controllab_Dados!$D$2:$D$5000,$A47)=0,"—",COUNTIFS(EQA.Controllab_Dados!$B$2:$B$5000,H$27,EQA.Controllab_Dados!$D$2:$D$5000,$A47)))</f>
        <v/>
      </c>
      <c r="I47" t="str">
        <f>IF(OR($A47="",I$27=""),"",IF(COUNTIFS(EQA.Controllab_Dados!$B$2:$B$5000,I$27,EQA.Controllab_Dados!$D$2:$D$5000,$A47)=0,"—",COUNTIFS(EQA.Controllab_Dados!$B$2:$B$5000,I$27,EQA.Controllab_Dados!$D$2:$D$5000,$A47)))</f>
        <v/>
      </c>
      <c r="J47" t="str">
        <f>IF($A47="","",COUNTIF(EQA.Controllab_Dados!$D$2:$D$5000,$A47))</f>
        <v/>
      </c>
    </row>
    <row r="48" spans="1:10" x14ac:dyDescent="0.3">
      <c r="A48" t="str">
        <f>IFERROR(INDEX(EQA.Controllab_Dados!$D$2:$D$5000,MATCH(ROW()-27,EQA.Controllab_Dados!$U$2:$U$5000,0)),"")</f>
        <v/>
      </c>
      <c r="B48" t="str">
        <f>IF(OR($A48="",B$27=""),"",IF(COUNTIFS(EQA.Controllab_Dados!$B$2:$B$5000,B$27,EQA.Controllab_Dados!$D$2:$D$5000,$A48)=0,"—",COUNTIFS(EQA.Controllab_Dados!$B$2:$B$5000,B$27,EQA.Controllab_Dados!$D$2:$D$5000,$A48)))</f>
        <v/>
      </c>
      <c r="C48" t="str">
        <f>IF(OR($A48="",C$27=""),"",IF(COUNTIFS(EQA.Controllab_Dados!$B$2:$B$5000,C$27,EQA.Controllab_Dados!$D$2:$D$5000,$A48)=0,"—",COUNTIFS(EQA.Controllab_Dados!$B$2:$B$5000,C$27,EQA.Controllab_Dados!$D$2:$D$5000,$A48)))</f>
        <v/>
      </c>
      <c r="D48" t="str">
        <f>IF(OR($A48="",D$27=""),"",IF(COUNTIFS(EQA.Controllab_Dados!$B$2:$B$5000,D$27,EQA.Controllab_Dados!$D$2:$D$5000,$A48)=0,"—",COUNTIFS(EQA.Controllab_Dados!$B$2:$B$5000,D$27,EQA.Controllab_Dados!$D$2:$D$5000,$A48)))</f>
        <v/>
      </c>
      <c r="E48" t="str">
        <f>IF(OR($A48="",E$27=""),"",IF(COUNTIFS(EQA.Controllab_Dados!$B$2:$B$5000,E$27,EQA.Controllab_Dados!$D$2:$D$5000,$A48)=0,"—",COUNTIFS(EQA.Controllab_Dados!$B$2:$B$5000,E$27,EQA.Controllab_Dados!$D$2:$D$5000,$A48)))</f>
        <v/>
      </c>
      <c r="F48" t="str">
        <f>IF(OR($A48="",F$27=""),"",IF(COUNTIFS(EQA.Controllab_Dados!$B$2:$B$5000,F$27,EQA.Controllab_Dados!$D$2:$D$5000,$A48)=0,"—",COUNTIFS(EQA.Controllab_Dados!$B$2:$B$5000,F$27,EQA.Controllab_Dados!$D$2:$D$5000,$A48)))</f>
        <v/>
      </c>
      <c r="G48" t="str">
        <f>IF(OR($A48="",G$27=""),"",IF(COUNTIFS(EQA.Controllab_Dados!$B$2:$B$5000,G$27,EQA.Controllab_Dados!$D$2:$D$5000,$A48)=0,"—",COUNTIFS(EQA.Controllab_Dados!$B$2:$B$5000,G$27,EQA.Controllab_Dados!$D$2:$D$5000,$A48)))</f>
        <v/>
      </c>
      <c r="H48" t="str">
        <f>IF(OR($A48="",H$27=""),"",IF(COUNTIFS(EQA.Controllab_Dados!$B$2:$B$5000,H$27,EQA.Controllab_Dados!$D$2:$D$5000,$A48)=0,"—",COUNTIFS(EQA.Controllab_Dados!$B$2:$B$5000,H$27,EQA.Controllab_Dados!$D$2:$D$5000,$A48)))</f>
        <v/>
      </c>
      <c r="I48" t="str">
        <f>IF(OR($A48="",I$27=""),"",IF(COUNTIFS(EQA.Controllab_Dados!$B$2:$B$5000,I$27,EQA.Controllab_Dados!$D$2:$D$5000,$A48)=0,"—",COUNTIFS(EQA.Controllab_Dados!$B$2:$B$5000,I$27,EQA.Controllab_Dados!$D$2:$D$5000,$A48)))</f>
        <v/>
      </c>
      <c r="J48" t="str">
        <f>IF($A48="","",COUNTIF(EQA.Controllab_Dados!$D$2:$D$5000,$A48))</f>
        <v/>
      </c>
    </row>
    <row r="49" spans="1:10" x14ac:dyDescent="0.3">
      <c r="A49" t="str">
        <f>IFERROR(INDEX(EQA.Controllab_Dados!$D$2:$D$5000,MATCH(ROW()-27,EQA.Controllab_Dados!$U$2:$U$5000,0)),"")</f>
        <v/>
      </c>
      <c r="B49" t="str">
        <f>IF(OR($A49="",B$27=""),"",IF(COUNTIFS(EQA.Controllab_Dados!$B$2:$B$5000,B$27,EQA.Controllab_Dados!$D$2:$D$5000,$A49)=0,"—",COUNTIFS(EQA.Controllab_Dados!$B$2:$B$5000,B$27,EQA.Controllab_Dados!$D$2:$D$5000,$A49)))</f>
        <v/>
      </c>
      <c r="C49" t="str">
        <f>IF(OR($A49="",C$27=""),"",IF(COUNTIFS(EQA.Controllab_Dados!$B$2:$B$5000,C$27,EQA.Controllab_Dados!$D$2:$D$5000,$A49)=0,"—",COUNTIFS(EQA.Controllab_Dados!$B$2:$B$5000,C$27,EQA.Controllab_Dados!$D$2:$D$5000,$A49)))</f>
        <v/>
      </c>
      <c r="D49" t="str">
        <f>IF(OR($A49="",D$27=""),"",IF(COUNTIFS(EQA.Controllab_Dados!$B$2:$B$5000,D$27,EQA.Controllab_Dados!$D$2:$D$5000,$A49)=0,"—",COUNTIFS(EQA.Controllab_Dados!$B$2:$B$5000,D$27,EQA.Controllab_Dados!$D$2:$D$5000,$A49)))</f>
        <v/>
      </c>
      <c r="E49" t="str">
        <f>IF(OR($A49="",E$27=""),"",IF(COUNTIFS(EQA.Controllab_Dados!$B$2:$B$5000,E$27,EQA.Controllab_Dados!$D$2:$D$5000,$A49)=0,"—",COUNTIFS(EQA.Controllab_Dados!$B$2:$B$5000,E$27,EQA.Controllab_Dados!$D$2:$D$5000,$A49)))</f>
        <v/>
      </c>
      <c r="F49" t="str">
        <f>IF(OR($A49="",F$27=""),"",IF(COUNTIFS(EQA.Controllab_Dados!$B$2:$B$5000,F$27,EQA.Controllab_Dados!$D$2:$D$5000,$A49)=0,"—",COUNTIFS(EQA.Controllab_Dados!$B$2:$B$5000,F$27,EQA.Controllab_Dados!$D$2:$D$5000,$A49)))</f>
        <v/>
      </c>
      <c r="G49" t="str">
        <f>IF(OR($A49="",G$27=""),"",IF(COUNTIFS(EQA.Controllab_Dados!$B$2:$B$5000,G$27,EQA.Controllab_Dados!$D$2:$D$5000,$A49)=0,"—",COUNTIFS(EQA.Controllab_Dados!$B$2:$B$5000,G$27,EQA.Controllab_Dados!$D$2:$D$5000,$A49)))</f>
        <v/>
      </c>
      <c r="H49" t="str">
        <f>IF(OR($A49="",H$27=""),"",IF(COUNTIFS(EQA.Controllab_Dados!$B$2:$B$5000,H$27,EQA.Controllab_Dados!$D$2:$D$5000,$A49)=0,"—",COUNTIFS(EQA.Controllab_Dados!$B$2:$B$5000,H$27,EQA.Controllab_Dados!$D$2:$D$5000,$A49)))</f>
        <v/>
      </c>
      <c r="I49" t="str">
        <f>IF(OR($A49="",I$27=""),"",IF(COUNTIFS(EQA.Controllab_Dados!$B$2:$B$5000,I$27,EQA.Controllab_Dados!$D$2:$D$5000,$A49)=0,"—",COUNTIFS(EQA.Controllab_Dados!$B$2:$B$5000,I$27,EQA.Controllab_Dados!$D$2:$D$5000,$A49)))</f>
        <v/>
      </c>
      <c r="J49" t="str">
        <f>IF($A49="","",COUNTIF(EQA.Controllab_Dados!$D$2:$D$5000,$A49))</f>
        <v/>
      </c>
    </row>
    <row r="50" spans="1:10" x14ac:dyDescent="0.3">
      <c r="A50" t="str">
        <f>IFERROR(INDEX(EQA.Controllab_Dados!$D$2:$D$5000,MATCH(ROW()-27,EQA.Controllab_Dados!$U$2:$U$5000,0)),"")</f>
        <v/>
      </c>
      <c r="B50" t="str">
        <f>IF(OR($A50="",B$27=""),"",IF(COUNTIFS(EQA.Controllab_Dados!$B$2:$B$5000,B$27,EQA.Controllab_Dados!$D$2:$D$5000,$A50)=0,"—",COUNTIFS(EQA.Controllab_Dados!$B$2:$B$5000,B$27,EQA.Controllab_Dados!$D$2:$D$5000,$A50)))</f>
        <v/>
      </c>
      <c r="C50" t="str">
        <f>IF(OR($A50="",C$27=""),"",IF(COUNTIFS(EQA.Controllab_Dados!$B$2:$B$5000,C$27,EQA.Controllab_Dados!$D$2:$D$5000,$A50)=0,"—",COUNTIFS(EQA.Controllab_Dados!$B$2:$B$5000,C$27,EQA.Controllab_Dados!$D$2:$D$5000,$A50)))</f>
        <v/>
      </c>
      <c r="D50" t="str">
        <f>IF(OR($A50="",D$27=""),"",IF(COUNTIFS(EQA.Controllab_Dados!$B$2:$B$5000,D$27,EQA.Controllab_Dados!$D$2:$D$5000,$A50)=0,"—",COUNTIFS(EQA.Controllab_Dados!$B$2:$B$5000,D$27,EQA.Controllab_Dados!$D$2:$D$5000,$A50)))</f>
        <v/>
      </c>
      <c r="E50" t="str">
        <f>IF(OR($A50="",E$27=""),"",IF(COUNTIFS(EQA.Controllab_Dados!$B$2:$B$5000,E$27,EQA.Controllab_Dados!$D$2:$D$5000,$A50)=0,"—",COUNTIFS(EQA.Controllab_Dados!$B$2:$B$5000,E$27,EQA.Controllab_Dados!$D$2:$D$5000,$A50)))</f>
        <v/>
      </c>
      <c r="F50" t="str">
        <f>IF(OR($A50="",F$27=""),"",IF(COUNTIFS(EQA.Controllab_Dados!$B$2:$B$5000,F$27,EQA.Controllab_Dados!$D$2:$D$5000,$A50)=0,"—",COUNTIFS(EQA.Controllab_Dados!$B$2:$B$5000,F$27,EQA.Controllab_Dados!$D$2:$D$5000,$A50)))</f>
        <v/>
      </c>
      <c r="G50" t="str">
        <f>IF(OR($A50="",G$27=""),"",IF(COUNTIFS(EQA.Controllab_Dados!$B$2:$B$5000,G$27,EQA.Controllab_Dados!$D$2:$D$5000,$A50)=0,"—",COUNTIFS(EQA.Controllab_Dados!$B$2:$B$5000,G$27,EQA.Controllab_Dados!$D$2:$D$5000,$A50)))</f>
        <v/>
      </c>
      <c r="H50" t="str">
        <f>IF(OR($A50="",H$27=""),"",IF(COUNTIFS(EQA.Controllab_Dados!$B$2:$B$5000,H$27,EQA.Controllab_Dados!$D$2:$D$5000,$A50)=0,"—",COUNTIFS(EQA.Controllab_Dados!$B$2:$B$5000,H$27,EQA.Controllab_Dados!$D$2:$D$5000,$A50)))</f>
        <v/>
      </c>
      <c r="I50" t="str">
        <f>IF(OR($A50="",I$27=""),"",IF(COUNTIFS(EQA.Controllab_Dados!$B$2:$B$5000,I$27,EQA.Controllab_Dados!$D$2:$D$5000,$A50)=0,"—",COUNTIFS(EQA.Controllab_Dados!$B$2:$B$5000,I$27,EQA.Controllab_Dados!$D$2:$D$5000,$A50)))</f>
        <v/>
      </c>
      <c r="J50" t="str">
        <f>IF($A50="","",COUNTIF(EQA.Controllab_Dados!$D$2:$D$5000,$A50))</f>
        <v/>
      </c>
    </row>
    <row r="51" spans="1:10" x14ac:dyDescent="0.3">
      <c r="A51" t="str">
        <f>IFERROR(INDEX(EQA.Controllab_Dados!$D$2:$D$5000,MATCH(ROW()-27,EQA.Controllab_Dados!$U$2:$U$5000,0)),"")</f>
        <v/>
      </c>
      <c r="B51" t="str">
        <f>IF(OR($A51="",B$27=""),"",IF(COUNTIFS(EQA.Controllab_Dados!$B$2:$B$5000,B$27,EQA.Controllab_Dados!$D$2:$D$5000,$A51)=0,"—",COUNTIFS(EQA.Controllab_Dados!$B$2:$B$5000,B$27,EQA.Controllab_Dados!$D$2:$D$5000,$A51)))</f>
        <v/>
      </c>
      <c r="C51" t="str">
        <f>IF(OR($A51="",C$27=""),"",IF(COUNTIFS(EQA.Controllab_Dados!$B$2:$B$5000,C$27,EQA.Controllab_Dados!$D$2:$D$5000,$A51)=0,"—",COUNTIFS(EQA.Controllab_Dados!$B$2:$B$5000,C$27,EQA.Controllab_Dados!$D$2:$D$5000,$A51)))</f>
        <v/>
      </c>
      <c r="D51" t="str">
        <f>IF(OR($A51="",D$27=""),"",IF(COUNTIFS(EQA.Controllab_Dados!$B$2:$B$5000,D$27,EQA.Controllab_Dados!$D$2:$D$5000,$A51)=0,"—",COUNTIFS(EQA.Controllab_Dados!$B$2:$B$5000,D$27,EQA.Controllab_Dados!$D$2:$D$5000,$A51)))</f>
        <v/>
      </c>
      <c r="E51" t="str">
        <f>IF(OR($A51="",E$27=""),"",IF(COUNTIFS(EQA.Controllab_Dados!$B$2:$B$5000,E$27,EQA.Controllab_Dados!$D$2:$D$5000,$A51)=0,"—",COUNTIFS(EQA.Controllab_Dados!$B$2:$B$5000,E$27,EQA.Controllab_Dados!$D$2:$D$5000,$A51)))</f>
        <v/>
      </c>
      <c r="F51" t="str">
        <f>IF(OR($A51="",F$27=""),"",IF(COUNTIFS(EQA.Controllab_Dados!$B$2:$B$5000,F$27,EQA.Controllab_Dados!$D$2:$D$5000,$A51)=0,"—",COUNTIFS(EQA.Controllab_Dados!$B$2:$B$5000,F$27,EQA.Controllab_Dados!$D$2:$D$5000,$A51)))</f>
        <v/>
      </c>
      <c r="G51" t="str">
        <f>IF(OR($A51="",G$27=""),"",IF(COUNTIFS(EQA.Controllab_Dados!$B$2:$B$5000,G$27,EQA.Controllab_Dados!$D$2:$D$5000,$A51)=0,"—",COUNTIFS(EQA.Controllab_Dados!$B$2:$B$5000,G$27,EQA.Controllab_Dados!$D$2:$D$5000,$A51)))</f>
        <v/>
      </c>
      <c r="H51" t="str">
        <f>IF(OR($A51="",H$27=""),"",IF(COUNTIFS(EQA.Controllab_Dados!$B$2:$B$5000,H$27,EQA.Controllab_Dados!$D$2:$D$5000,$A51)=0,"—",COUNTIFS(EQA.Controllab_Dados!$B$2:$B$5000,H$27,EQA.Controllab_Dados!$D$2:$D$5000,$A51)))</f>
        <v/>
      </c>
      <c r="I51" t="str">
        <f>IF(OR($A51="",I$27=""),"",IF(COUNTIFS(EQA.Controllab_Dados!$B$2:$B$5000,I$27,EQA.Controllab_Dados!$D$2:$D$5000,$A51)=0,"—",COUNTIFS(EQA.Controllab_Dados!$B$2:$B$5000,I$27,EQA.Controllab_Dados!$D$2:$D$5000,$A51)))</f>
        <v/>
      </c>
      <c r="J51" t="str">
        <f>IF($A51="","",COUNTIF(EQA.Controllab_Dados!$D$2:$D$5000,$A51))</f>
        <v/>
      </c>
    </row>
    <row r="52" spans="1:10" x14ac:dyDescent="0.3">
      <c r="A52" t="str">
        <f>IFERROR(INDEX(EQA.Controllab_Dados!$D$2:$D$5000,MATCH(ROW()-27,EQA.Controllab_Dados!$U$2:$U$5000,0)),"")</f>
        <v/>
      </c>
      <c r="B52" t="str">
        <f>IF(OR($A52="",B$27=""),"",IF(COUNTIFS(EQA.Controllab_Dados!$B$2:$B$5000,B$27,EQA.Controllab_Dados!$D$2:$D$5000,$A52)=0,"—",COUNTIFS(EQA.Controllab_Dados!$B$2:$B$5000,B$27,EQA.Controllab_Dados!$D$2:$D$5000,$A52)))</f>
        <v/>
      </c>
      <c r="C52" t="str">
        <f>IF(OR($A52="",C$27=""),"",IF(COUNTIFS(EQA.Controllab_Dados!$B$2:$B$5000,C$27,EQA.Controllab_Dados!$D$2:$D$5000,$A52)=0,"—",COUNTIFS(EQA.Controllab_Dados!$B$2:$B$5000,C$27,EQA.Controllab_Dados!$D$2:$D$5000,$A52)))</f>
        <v/>
      </c>
      <c r="D52" t="str">
        <f>IF(OR($A52="",D$27=""),"",IF(COUNTIFS(EQA.Controllab_Dados!$B$2:$B$5000,D$27,EQA.Controllab_Dados!$D$2:$D$5000,$A52)=0,"—",COUNTIFS(EQA.Controllab_Dados!$B$2:$B$5000,D$27,EQA.Controllab_Dados!$D$2:$D$5000,$A52)))</f>
        <v/>
      </c>
      <c r="E52" t="str">
        <f>IF(OR($A52="",E$27=""),"",IF(COUNTIFS(EQA.Controllab_Dados!$B$2:$B$5000,E$27,EQA.Controllab_Dados!$D$2:$D$5000,$A52)=0,"—",COUNTIFS(EQA.Controllab_Dados!$B$2:$B$5000,E$27,EQA.Controllab_Dados!$D$2:$D$5000,$A52)))</f>
        <v/>
      </c>
      <c r="F52" t="str">
        <f>IF(OR($A52="",F$27=""),"",IF(COUNTIFS(EQA.Controllab_Dados!$B$2:$B$5000,F$27,EQA.Controllab_Dados!$D$2:$D$5000,$A52)=0,"—",COUNTIFS(EQA.Controllab_Dados!$B$2:$B$5000,F$27,EQA.Controllab_Dados!$D$2:$D$5000,$A52)))</f>
        <v/>
      </c>
      <c r="G52" t="str">
        <f>IF(OR($A52="",G$27=""),"",IF(COUNTIFS(EQA.Controllab_Dados!$B$2:$B$5000,G$27,EQA.Controllab_Dados!$D$2:$D$5000,$A52)=0,"—",COUNTIFS(EQA.Controllab_Dados!$B$2:$B$5000,G$27,EQA.Controllab_Dados!$D$2:$D$5000,$A52)))</f>
        <v/>
      </c>
      <c r="H52" t="str">
        <f>IF(OR($A52="",H$27=""),"",IF(COUNTIFS(EQA.Controllab_Dados!$B$2:$B$5000,H$27,EQA.Controllab_Dados!$D$2:$D$5000,$A52)=0,"—",COUNTIFS(EQA.Controllab_Dados!$B$2:$B$5000,H$27,EQA.Controllab_Dados!$D$2:$D$5000,$A52)))</f>
        <v/>
      </c>
      <c r="I52" t="str">
        <f>IF(OR($A52="",I$27=""),"",IF(COUNTIFS(EQA.Controllab_Dados!$B$2:$B$5000,I$27,EQA.Controllab_Dados!$D$2:$D$5000,$A52)=0,"—",COUNTIFS(EQA.Controllab_Dados!$B$2:$B$5000,I$27,EQA.Controllab_Dados!$D$2:$D$5000,$A52)))</f>
        <v/>
      </c>
      <c r="J52" t="str">
        <f>IF($A52="","",COUNTIF(EQA.Controllab_Dados!$D$2:$D$5000,$A52))</f>
        <v/>
      </c>
    </row>
    <row r="53" spans="1:10" x14ac:dyDescent="0.3">
      <c r="A53" t="str">
        <f>IFERROR(INDEX(EQA.Controllab_Dados!$D$2:$D$5000,MATCH(ROW()-27,EQA.Controllab_Dados!$U$2:$U$5000,0)),"")</f>
        <v/>
      </c>
      <c r="B53" t="str">
        <f>IF(OR($A53="",B$27=""),"",IF(COUNTIFS(EQA.Controllab_Dados!$B$2:$B$5000,B$27,EQA.Controllab_Dados!$D$2:$D$5000,$A53)=0,"—",COUNTIFS(EQA.Controllab_Dados!$B$2:$B$5000,B$27,EQA.Controllab_Dados!$D$2:$D$5000,$A53)))</f>
        <v/>
      </c>
      <c r="C53" t="str">
        <f>IF(OR($A53="",C$27=""),"",IF(COUNTIFS(EQA.Controllab_Dados!$B$2:$B$5000,C$27,EQA.Controllab_Dados!$D$2:$D$5000,$A53)=0,"—",COUNTIFS(EQA.Controllab_Dados!$B$2:$B$5000,C$27,EQA.Controllab_Dados!$D$2:$D$5000,$A53)))</f>
        <v/>
      </c>
      <c r="D53" t="str">
        <f>IF(OR($A53="",D$27=""),"",IF(COUNTIFS(EQA.Controllab_Dados!$B$2:$B$5000,D$27,EQA.Controllab_Dados!$D$2:$D$5000,$A53)=0,"—",COUNTIFS(EQA.Controllab_Dados!$B$2:$B$5000,D$27,EQA.Controllab_Dados!$D$2:$D$5000,$A53)))</f>
        <v/>
      </c>
      <c r="E53" t="str">
        <f>IF(OR($A53="",E$27=""),"",IF(COUNTIFS(EQA.Controllab_Dados!$B$2:$B$5000,E$27,EQA.Controllab_Dados!$D$2:$D$5000,$A53)=0,"—",COUNTIFS(EQA.Controllab_Dados!$B$2:$B$5000,E$27,EQA.Controllab_Dados!$D$2:$D$5000,$A53)))</f>
        <v/>
      </c>
      <c r="F53" t="str">
        <f>IF(OR($A53="",F$27=""),"",IF(COUNTIFS(EQA.Controllab_Dados!$B$2:$B$5000,F$27,EQA.Controllab_Dados!$D$2:$D$5000,$A53)=0,"—",COUNTIFS(EQA.Controllab_Dados!$B$2:$B$5000,F$27,EQA.Controllab_Dados!$D$2:$D$5000,$A53)))</f>
        <v/>
      </c>
      <c r="G53" t="str">
        <f>IF(OR($A53="",G$27=""),"",IF(COUNTIFS(EQA.Controllab_Dados!$B$2:$B$5000,G$27,EQA.Controllab_Dados!$D$2:$D$5000,$A53)=0,"—",COUNTIFS(EQA.Controllab_Dados!$B$2:$B$5000,G$27,EQA.Controllab_Dados!$D$2:$D$5000,$A53)))</f>
        <v/>
      </c>
      <c r="H53" t="str">
        <f>IF(OR($A53="",H$27=""),"",IF(COUNTIFS(EQA.Controllab_Dados!$B$2:$B$5000,H$27,EQA.Controllab_Dados!$D$2:$D$5000,$A53)=0,"—",COUNTIFS(EQA.Controllab_Dados!$B$2:$B$5000,H$27,EQA.Controllab_Dados!$D$2:$D$5000,$A53)))</f>
        <v/>
      </c>
      <c r="I53" t="str">
        <f>IF(OR($A53="",I$27=""),"",IF(COUNTIFS(EQA.Controllab_Dados!$B$2:$B$5000,I$27,EQA.Controllab_Dados!$D$2:$D$5000,$A53)=0,"—",COUNTIFS(EQA.Controllab_Dados!$B$2:$B$5000,I$27,EQA.Controllab_Dados!$D$2:$D$5000,$A53)))</f>
        <v/>
      </c>
      <c r="J53" t="str">
        <f>IF($A53="","",COUNTIF(EQA.Controllab_Dados!$D$2:$D$5000,$A53))</f>
        <v/>
      </c>
    </row>
    <row r="54" spans="1:10" x14ac:dyDescent="0.3">
      <c r="A54" t="str">
        <f>IFERROR(INDEX(EQA.Controllab_Dados!$D$2:$D$5000,MATCH(ROW()-27,EQA.Controllab_Dados!$U$2:$U$5000,0)),"")</f>
        <v/>
      </c>
      <c r="B54" t="str">
        <f>IF(OR($A54="",B$27=""),"",IF(COUNTIFS(EQA.Controllab_Dados!$B$2:$B$5000,B$27,EQA.Controllab_Dados!$D$2:$D$5000,$A54)=0,"—",COUNTIFS(EQA.Controllab_Dados!$B$2:$B$5000,B$27,EQA.Controllab_Dados!$D$2:$D$5000,$A54)))</f>
        <v/>
      </c>
      <c r="C54" t="str">
        <f>IF(OR($A54="",C$27=""),"",IF(COUNTIFS(EQA.Controllab_Dados!$B$2:$B$5000,C$27,EQA.Controllab_Dados!$D$2:$D$5000,$A54)=0,"—",COUNTIFS(EQA.Controllab_Dados!$B$2:$B$5000,C$27,EQA.Controllab_Dados!$D$2:$D$5000,$A54)))</f>
        <v/>
      </c>
      <c r="D54" t="str">
        <f>IF(OR($A54="",D$27=""),"",IF(COUNTIFS(EQA.Controllab_Dados!$B$2:$B$5000,D$27,EQA.Controllab_Dados!$D$2:$D$5000,$A54)=0,"—",COUNTIFS(EQA.Controllab_Dados!$B$2:$B$5000,D$27,EQA.Controllab_Dados!$D$2:$D$5000,$A54)))</f>
        <v/>
      </c>
      <c r="E54" t="str">
        <f>IF(OR($A54="",E$27=""),"",IF(COUNTIFS(EQA.Controllab_Dados!$B$2:$B$5000,E$27,EQA.Controllab_Dados!$D$2:$D$5000,$A54)=0,"—",COUNTIFS(EQA.Controllab_Dados!$B$2:$B$5000,E$27,EQA.Controllab_Dados!$D$2:$D$5000,$A54)))</f>
        <v/>
      </c>
      <c r="F54" t="str">
        <f>IF(OR($A54="",F$27=""),"",IF(COUNTIFS(EQA.Controllab_Dados!$B$2:$B$5000,F$27,EQA.Controllab_Dados!$D$2:$D$5000,$A54)=0,"—",COUNTIFS(EQA.Controllab_Dados!$B$2:$B$5000,F$27,EQA.Controllab_Dados!$D$2:$D$5000,$A54)))</f>
        <v/>
      </c>
      <c r="G54" t="str">
        <f>IF(OR($A54="",G$27=""),"",IF(COUNTIFS(EQA.Controllab_Dados!$B$2:$B$5000,G$27,EQA.Controllab_Dados!$D$2:$D$5000,$A54)=0,"—",COUNTIFS(EQA.Controllab_Dados!$B$2:$B$5000,G$27,EQA.Controllab_Dados!$D$2:$D$5000,$A54)))</f>
        <v/>
      </c>
      <c r="H54" t="str">
        <f>IF(OR($A54="",H$27=""),"",IF(COUNTIFS(EQA.Controllab_Dados!$B$2:$B$5000,H$27,EQA.Controllab_Dados!$D$2:$D$5000,$A54)=0,"—",COUNTIFS(EQA.Controllab_Dados!$B$2:$B$5000,H$27,EQA.Controllab_Dados!$D$2:$D$5000,$A54)))</f>
        <v/>
      </c>
      <c r="I54" t="str">
        <f>IF(OR($A54="",I$27=""),"",IF(COUNTIFS(EQA.Controllab_Dados!$B$2:$B$5000,I$27,EQA.Controllab_Dados!$D$2:$D$5000,$A54)=0,"—",COUNTIFS(EQA.Controllab_Dados!$B$2:$B$5000,I$27,EQA.Controllab_Dados!$D$2:$D$5000,$A54)))</f>
        <v/>
      </c>
      <c r="J54" t="str">
        <f>IF($A54="","",COUNTIF(EQA.Controllab_Dados!$D$2:$D$5000,$A54))</f>
        <v/>
      </c>
    </row>
    <row r="55" spans="1:10" x14ac:dyDescent="0.3">
      <c r="A55" t="str">
        <f>IFERROR(INDEX(EQA.Controllab_Dados!$D$2:$D$5000,MATCH(ROW()-27,EQA.Controllab_Dados!$U$2:$U$5000,0)),"")</f>
        <v/>
      </c>
      <c r="B55" t="str">
        <f>IF(OR($A55="",B$27=""),"",IF(COUNTIFS(EQA.Controllab_Dados!$B$2:$B$5000,B$27,EQA.Controllab_Dados!$D$2:$D$5000,$A55)=0,"—",COUNTIFS(EQA.Controllab_Dados!$B$2:$B$5000,B$27,EQA.Controllab_Dados!$D$2:$D$5000,$A55)))</f>
        <v/>
      </c>
      <c r="C55" t="str">
        <f>IF(OR($A55="",C$27=""),"",IF(COUNTIFS(EQA.Controllab_Dados!$B$2:$B$5000,C$27,EQA.Controllab_Dados!$D$2:$D$5000,$A55)=0,"—",COUNTIFS(EQA.Controllab_Dados!$B$2:$B$5000,C$27,EQA.Controllab_Dados!$D$2:$D$5000,$A55)))</f>
        <v/>
      </c>
      <c r="D55" t="str">
        <f>IF(OR($A55="",D$27=""),"",IF(COUNTIFS(EQA.Controllab_Dados!$B$2:$B$5000,D$27,EQA.Controllab_Dados!$D$2:$D$5000,$A55)=0,"—",COUNTIFS(EQA.Controllab_Dados!$B$2:$B$5000,D$27,EQA.Controllab_Dados!$D$2:$D$5000,$A55)))</f>
        <v/>
      </c>
      <c r="E55" t="str">
        <f>IF(OR($A55="",E$27=""),"",IF(COUNTIFS(EQA.Controllab_Dados!$B$2:$B$5000,E$27,EQA.Controllab_Dados!$D$2:$D$5000,$A55)=0,"—",COUNTIFS(EQA.Controllab_Dados!$B$2:$B$5000,E$27,EQA.Controllab_Dados!$D$2:$D$5000,$A55)))</f>
        <v/>
      </c>
      <c r="F55" t="str">
        <f>IF(OR($A55="",F$27=""),"",IF(COUNTIFS(EQA.Controllab_Dados!$B$2:$B$5000,F$27,EQA.Controllab_Dados!$D$2:$D$5000,$A55)=0,"—",COUNTIFS(EQA.Controllab_Dados!$B$2:$B$5000,F$27,EQA.Controllab_Dados!$D$2:$D$5000,$A55)))</f>
        <v/>
      </c>
      <c r="G55" t="str">
        <f>IF(OR($A55="",G$27=""),"",IF(COUNTIFS(EQA.Controllab_Dados!$B$2:$B$5000,G$27,EQA.Controllab_Dados!$D$2:$D$5000,$A55)=0,"—",COUNTIFS(EQA.Controllab_Dados!$B$2:$B$5000,G$27,EQA.Controllab_Dados!$D$2:$D$5000,$A55)))</f>
        <v/>
      </c>
      <c r="H55" t="str">
        <f>IF(OR($A55="",H$27=""),"",IF(COUNTIFS(EQA.Controllab_Dados!$B$2:$B$5000,H$27,EQA.Controllab_Dados!$D$2:$D$5000,$A55)=0,"—",COUNTIFS(EQA.Controllab_Dados!$B$2:$B$5000,H$27,EQA.Controllab_Dados!$D$2:$D$5000,$A55)))</f>
        <v/>
      </c>
      <c r="I55" t="str">
        <f>IF(OR($A55="",I$27=""),"",IF(COUNTIFS(EQA.Controllab_Dados!$B$2:$B$5000,I$27,EQA.Controllab_Dados!$D$2:$D$5000,$A55)=0,"—",COUNTIFS(EQA.Controllab_Dados!$B$2:$B$5000,I$27,EQA.Controllab_Dados!$D$2:$D$5000,$A55)))</f>
        <v/>
      </c>
      <c r="J55" t="str">
        <f>IF($A55="","",COUNTIF(EQA.Controllab_Dados!$D$2:$D$5000,$A55))</f>
        <v/>
      </c>
    </row>
    <row r="56" spans="1:10" x14ac:dyDescent="0.3">
      <c r="A56" t="str">
        <f>IFERROR(INDEX(EQA.Controllab_Dados!$D$2:$D$5000,MATCH(ROW()-27,EQA.Controllab_Dados!$U$2:$U$5000,0)),"")</f>
        <v/>
      </c>
      <c r="B56" t="str">
        <f>IF(OR($A56="",B$27=""),"",IF(COUNTIFS(EQA.Controllab_Dados!$B$2:$B$5000,B$27,EQA.Controllab_Dados!$D$2:$D$5000,$A56)=0,"—",COUNTIFS(EQA.Controllab_Dados!$B$2:$B$5000,B$27,EQA.Controllab_Dados!$D$2:$D$5000,$A56)))</f>
        <v/>
      </c>
      <c r="C56" t="str">
        <f>IF(OR($A56="",C$27=""),"",IF(COUNTIFS(EQA.Controllab_Dados!$B$2:$B$5000,C$27,EQA.Controllab_Dados!$D$2:$D$5000,$A56)=0,"—",COUNTIFS(EQA.Controllab_Dados!$B$2:$B$5000,C$27,EQA.Controllab_Dados!$D$2:$D$5000,$A56)))</f>
        <v/>
      </c>
      <c r="D56" t="str">
        <f>IF(OR($A56="",D$27=""),"",IF(COUNTIFS(EQA.Controllab_Dados!$B$2:$B$5000,D$27,EQA.Controllab_Dados!$D$2:$D$5000,$A56)=0,"—",COUNTIFS(EQA.Controllab_Dados!$B$2:$B$5000,D$27,EQA.Controllab_Dados!$D$2:$D$5000,$A56)))</f>
        <v/>
      </c>
      <c r="E56" t="str">
        <f>IF(OR($A56="",E$27=""),"",IF(COUNTIFS(EQA.Controllab_Dados!$B$2:$B$5000,E$27,EQA.Controllab_Dados!$D$2:$D$5000,$A56)=0,"—",COUNTIFS(EQA.Controllab_Dados!$B$2:$B$5000,E$27,EQA.Controllab_Dados!$D$2:$D$5000,$A56)))</f>
        <v/>
      </c>
      <c r="F56" t="str">
        <f>IF(OR($A56="",F$27=""),"",IF(COUNTIFS(EQA.Controllab_Dados!$B$2:$B$5000,F$27,EQA.Controllab_Dados!$D$2:$D$5000,$A56)=0,"—",COUNTIFS(EQA.Controllab_Dados!$B$2:$B$5000,F$27,EQA.Controllab_Dados!$D$2:$D$5000,$A56)))</f>
        <v/>
      </c>
      <c r="G56" t="str">
        <f>IF(OR($A56="",G$27=""),"",IF(COUNTIFS(EQA.Controllab_Dados!$B$2:$B$5000,G$27,EQA.Controllab_Dados!$D$2:$D$5000,$A56)=0,"—",COUNTIFS(EQA.Controllab_Dados!$B$2:$B$5000,G$27,EQA.Controllab_Dados!$D$2:$D$5000,$A56)))</f>
        <v/>
      </c>
      <c r="H56" t="str">
        <f>IF(OR($A56="",H$27=""),"",IF(COUNTIFS(EQA.Controllab_Dados!$B$2:$B$5000,H$27,EQA.Controllab_Dados!$D$2:$D$5000,$A56)=0,"—",COUNTIFS(EQA.Controllab_Dados!$B$2:$B$5000,H$27,EQA.Controllab_Dados!$D$2:$D$5000,$A56)))</f>
        <v/>
      </c>
      <c r="I56" t="str">
        <f>IF(OR($A56="",I$27=""),"",IF(COUNTIFS(EQA.Controllab_Dados!$B$2:$B$5000,I$27,EQA.Controllab_Dados!$D$2:$D$5000,$A56)=0,"—",COUNTIFS(EQA.Controllab_Dados!$B$2:$B$5000,I$27,EQA.Controllab_Dados!$D$2:$D$5000,$A56)))</f>
        <v/>
      </c>
      <c r="J56" t="str">
        <f>IF($A56="","",COUNTIF(EQA.Controllab_Dados!$D$2:$D$5000,$A56))</f>
        <v/>
      </c>
    </row>
    <row r="57" spans="1:10" x14ac:dyDescent="0.3">
      <c r="A57" t="str">
        <f>IFERROR(INDEX(EQA.Controllab_Dados!$D$2:$D$5000,MATCH(ROW()-27,EQA.Controllab_Dados!$U$2:$U$5000,0)),"")</f>
        <v/>
      </c>
      <c r="B57" t="str">
        <f>IF(OR($A57="",B$27=""),"",IF(COUNTIFS(EQA.Controllab_Dados!$B$2:$B$5000,B$27,EQA.Controllab_Dados!$D$2:$D$5000,$A57)=0,"—",COUNTIFS(EQA.Controllab_Dados!$B$2:$B$5000,B$27,EQA.Controllab_Dados!$D$2:$D$5000,$A57)))</f>
        <v/>
      </c>
      <c r="C57" t="str">
        <f>IF(OR($A57="",C$27=""),"",IF(COUNTIFS(EQA.Controllab_Dados!$B$2:$B$5000,C$27,EQA.Controllab_Dados!$D$2:$D$5000,$A57)=0,"—",COUNTIFS(EQA.Controllab_Dados!$B$2:$B$5000,C$27,EQA.Controllab_Dados!$D$2:$D$5000,$A57)))</f>
        <v/>
      </c>
      <c r="D57" t="str">
        <f>IF(OR($A57="",D$27=""),"",IF(COUNTIFS(EQA.Controllab_Dados!$B$2:$B$5000,D$27,EQA.Controllab_Dados!$D$2:$D$5000,$A57)=0,"—",COUNTIFS(EQA.Controllab_Dados!$B$2:$B$5000,D$27,EQA.Controllab_Dados!$D$2:$D$5000,$A57)))</f>
        <v/>
      </c>
      <c r="E57" t="str">
        <f>IF(OR($A57="",E$27=""),"",IF(COUNTIFS(EQA.Controllab_Dados!$B$2:$B$5000,E$27,EQA.Controllab_Dados!$D$2:$D$5000,$A57)=0,"—",COUNTIFS(EQA.Controllab_Dados!$B$2:$B$5000,E$27,EQA.Controllab_Dados!$D$2:$D$5000,$A57)))</f>
        <v/>
      </c>
      <c r="F57" t="str">
        <f>IF(OR($A57="",F$27=""),"",IF(COUNTIFS(EQA.Controllab_Dados!$B$2:$B$5000,F$27,EQA.Controllab_Dados!$D$2:$D$5000,$A57)=0,"—",COUNTIFS(EQA.Controllab_Dados!$B$2:$B$5000,F$27,EQA.Controllab_Dados!$D$2:$D$5000,$A57)))</f>
        <v/>
      </c>
      <c r="G57" t="str">
        <f>IF(OR($A57="",G$27=""),"",IF(COUNTIFS(EQA.Controllab_Dados!$B$2:$B$5000,G$27,EQA.Controllab_Dados!$D$2:$D$5000,$A57)=0,"—",COUNTIFS(EQA.Controllab_Dados!$B$2:$B$5000,G$27,EQA.Controllab_Dados!$D$2:$D$5000,$A57)))</f>
        <v/>
      </c>
      <c r="H57" t="str">
        <f>IF(OR($A57="",H$27=""),"",IF(COUNTIFS(EQA.Controllab_Dados!$B$2:$B$5000,H$27,EQA.Controllab_Dados!$D$2:$D$5000,$A57)=0,"—",COUNTIFS(EQA.Controllab_Dados!$B$2:$B$5000,H$27,EQA.Controllab_Dados!$D$2:$D$5000,$A57)))</f>
        <v/>
      </c>
      <c r="I57" t="str">
        <f>IF(OR($A57="",I$27=""),"",IF(COUNTIFS(EQA.Controllab_Dados!$B$2:$B$5000,I$27,EQA.Controllab_Dados!$D$2:$D$5000,$A57)=0,"—",COUNTIFS(EQA.Controllab_Dados!$B$2:$B$5000,I$27,EQA.Controllab_Dados!$D$2:$D$5000,$A57)))</f>
        <v/>
      </c>
      <c r="J57" t="str">
        <f>IF($A57="","",COUNTIF(EQA.Controllab_Dados!$D$2:$D$5000,$A57))</f>
        <v/>
      </c>
    </row>
    <row r="58" spans="1:10" x14ac:dyDescent="0.3">
      <c r="A58" t="str">
        <f>IFERROR(INDEX(EQA.Controllab_Dados!$D$2:$D$5000,MATCH(ROW()-27,EQA.Controllab_Dados!$U$2:$U$5000,0)),"")</f>
        <v/>
      </c>
      <c r="B58" t="str">
        <f>IF(OR($A58="",B$27=""),"",IF(COUNTIFS(EQA.Controllab_Dados!$B$2:$B$5000,B$27,EQA.Controllab_Dados!$D$2:$D$5000,$A58)=0,"—",COUNTIFS(EQA.Controllab_Dados!$B$2:$B$5000,B$27,EQA.Controllab_Dados!$D$2:$D$5000,$A58)))</f>
        <v/>
      </c>
      <c r="C58" t="str">
        <f>IF(OR($A58="",C$27=""),"",IF(COUNTIFS(EQA.Controllab_Dados!$B$2:$B$5000,C$27,EQA.Controllab_Dados!$D$2:$D$5000,$A58)=0,"—",COUNTIFS(EQA.Controllab_Dados!$B$2:$B$5000,C$27,EQA.Controllab_Dados!$D$2:$D$5000,$A58)))</f>
        <v/>
      </c>
      <c r="D58" t="str">
        <f>IF(OR($A58="",D$27=""),"",IF(COUNTIFS(EQA.Controllab_Dados!$B$2:$B$5000,D$27,EQA.Controllab_Dados!$D$2:$D$5000,$A58)=0,"—",COUNTIFS(EQA.Controllab_Dados!$B$2:$B$5000,D$27,EQA.Controllab_Dados!$D$2:$D$5000,$A58)))</f>
        <v/>
      </c>
      <c r="E58" t="str">
        <f>IF(OR($A58="",E$27=""),"",IF(COUNTIFS(EQA.Controllab_Dados!$B$2:$B$5000,E$27,EQA.Controllab_Dados!$D$2:$D$5000,$A58)=0,"—",COUNTIFS(EQA.Controllab_Dados!$B$2:$B$5000,E$27,EQA.Controllab_Dados!$D$2:$D$5000,$A58)))</f>
        <v/>
      </c>
      <c r="F58" t="str">
        <f>IF(OR($A58="",F$27=""),"",IF(COUNTIFS(EQA.Controllab_Dados!$B$2:$B$5000,F$27,EQA.Controllab_Dados!$D$2:$D$5000,$A58)=0,"—",COUNTIFS(EQA.Controllab_Dados!$B$2:$B$5000,F$27,EQA.Controllab_Dados!$D$2:$D$5000,$A58)))</f>
        <v/>
      </c>
      <c r="G58" t="str">
        <f>IF(OR($A58="",G$27=""),"",IF(COUNTIFS(EQA.Controllab_Dados!$B$2:$B$5000,G$27,EQA.Controllab_Dados!$D$2:$D$5000,$A58)=0,"—",COUNTIFS(EQA.Controllab_Dados!$B$2:$B$5000,G$27,EQA.Controllab_Dados!$D$2:$D$5000,$A58)))</f>
        <v/>
      </c>
      <c r="H58" t="str">
        <f>IF(OR($A58="",H$27=""),"",IF(COUNTIFS(EQA.Controllab_Dados!$B$2:$B$5000,H$27,EQA.Controllab_Dados!$D$2:$D$5000,$A58)=0,"—",COUNTIFS(EQA.Controllab_Dados!$B$2:$B$5000,H$27,EQA.Controllab_Dados!$D$2:$D$5000,$A58)))</f>
        <v/>
      </c>
      <c r="I58" t="str">
        <f>IF(OR($A58="",I$27=""),"",IF(COUNTIFS(EQA.Controllab_Dados!$B$2:$B$5000,I$27,EQA.Controllab_Dados!$D$2:$D$5000,$A58)=0,"—",COUNTIFS(EQA.Controllab_Dados!$B$2:$B$5000,I$27,EQA.Controllab_Dados!$D$2:$D$5000,$A58)))</f>
        <v/>
      </c>
      <c r="J58" t="str">
        <f>IF($A58="","",COUNTIF(EQA.Controllab_Dados!$D$2:$D$5000,$A58))</f>
        <v/>
      </c>
    </row>
    <row r="59" spans="1:10" x14ac:dyDescent="0.3">
      <c r="A59" t="str">
        <f>IFERROR(INDEX(EQA.Controllab_Dados!$D$2:$D$5000,MATCH(ROW()-27,EQA.Controllab_Dados!$U$2:$U$5000,0)),"")</f>
        <v/>
      </c>
      <c r="B59" t="str">
        <f>IF(OR($A59="",B$27=""),"",IF(COUNTIFS(EQA.Controllab_Dados!$B$2:$B$5000,B$27,EQA.Controllab_Dados!$D$2:$D$5000,$A59)=0,"—",COUNTIFS(EQA.Controllab_Dados!$B$2:$B$5000,B$27,EQA.Controllab_Dados!$D$2:$D$5000,$A59)))</f>
        <v/>
      </c>
      <c r="C59" t="str">
        <f>IF(OR($A59="",C$27=""),"",IF(COUNTIFS(EQA.Controllab_Dados!$B$2:$B$5000,C$27,EQA.Controllab_Dados!$D$2:$D$5000,$A59)=0,"—",COUNTIFS(EQA.Controllab_Dados!$B$2:$B$5000,C$27,EQA.Controllab_Dados!$D$2:$D$5000,$A59)))</f>
        <v/>
      </c>
      <c r="D59" t="str">
        <f>IF(OR($A59="",D$27=""),"",IF(COUNTIFS(EQA.Controllab_Dados!$B$2:$B$5000,D$27,EQA.Controllab_Dados!$D$2:$D$5000,$A59)=0,"—",COUNTIFS(EQA.Controllab_Dados!$B$2:$B$5000,D$27,EQA.Controllab_Dados!$D$2:$D$5000,$A59)))</f>
        <v/>
      </c>
      <c r="E59" t="str">
        <f>IF(OR($A59="",E$27=""),"",IF(COUNTIFS(EQA.Controllab_Dados!$B$2:$B$5000,E$27,EQA.Controllab_Dados!$D$2:$D$5000,$A59)=0,"—",COUNTIFS(EQA.Controllab_Dados!$B$2:$B$5000,E$27,EQA.Controllab_Dados!$D$2:$D$5000,$A59)))</f>
        <v/>
      </c>
      <c r="F59" t="str">
        <f>IF(OR($A59="",F$27=""),"",IF(COUNTIFS(EQA.Controllab_Dados!$B$2:$B$5000,F$27,EQA.Controllab_Dados!$D$2:$D$5000,$A59)=0,"—",COUNTIFS(EQA.Controllab_Dados!$B$2:$B$5000,F$27,EQA.Controllab_Dados!$D$2:$D$5000,$A59)))</f>
        <v/>
      </c>
      <c r="G59" t="str">
        <f>IF(OR($A59="",G$27=""),"",IF(COUNTIFS(EQA.Controllab_Dados!$B$2:$B$5000,G$27,EQA.Controllab_Dados!$D$2:$D$5000,$A59)=0,"—",COUNTIFS(EQA.Controllab_Dados!$B$2:$B$5000,G$27,EQA.Controllab_Dados!$D$2:$D$5000,$A59)))</f>
        <v/>
      </c>
      <c r="H59" t="str">
        <f>IF(OR($A59="",H$27=""),"",IF(COUNTIFS(EQA.Controllab_Dados!$B$2:$B$5000,H$27,EQA.Controllab_Dados!$D$2:$D$5000,$A59)=0,"—",COUNTIFS(EQA.Controllab_Dados!$B$2:$B$5000,H$27,EQA.Controllab_Dados!$D$2:$D$5000,$A59)))</f>
        <v/>
      </c>
      <c r="I59" t="str">
        <f>IF(OR($A59="",I$27=""),"",IF(COUNTIFS(EQA.Controllab_Dados!$B$2:$B$5000,I$27,EQA.Controllab_Dados!$D$2:$D$5000,$A59)=0,"—",COUNTIFS(EQA.Controllab_Dados!$B$2:$B$5000,I$27,EQA.Controllab_Dados!$D$2:$D$5000,$A59)))</f>
        <v/>
      </c>
      <c r="J59" t="str">
        <f>IF($A59="","",COUNTIF(EQA.Controllab_Dados!$D$2:$D$5000,$A59))</f>
        <v/>
      </c>
    </row>
    <row r="60" spans="1:10" x14ac:dyDescent="0.3">
      <c r="A60" t="str">
        <f>IFERROR(INDEX(EQA.Controllab_Dados!$D$2:$D$5000,MATCH(ROW()-27,EQA.Controllab_Dados!$U$2:$U$5000,0)),"")</f>
        <v/>
      </c>
      <c r="B60" t="str">
        <f>IF(OR($A60="",B$27=""),"",IF(COUNTIFS(EQA.Controllab_Dados!$B$2:$B$5000,B$27,EQA.Controllab_Dados!$D$2:$D$5000,$A60)=0,"—",COUNTIFS(EQA.Controllab_Dados!$B$2:$B$5000,B$27,EQA.Controllab_Dados!$D$2:$D$5000,$A60)))</f>
        <v/>
      </c>
      <c r="C60" t="str">
        <f>IF(OR($A60="",C$27=""),"",IF(COUNTIFS(EQA.Controllab_Dados!$B$2:$B$5000,C$27,EQA.Controllab_Dados!$D$2:$D$5000,$A60)=0,"—",COUNTIFS(EQA.Controllab_Dados!$B$2:$B$5000,C$27,EQA.Controllab_Dados!$D$2:$D$5000,$A60)))</f>
        <v/>
      </c>
      <c r="D60" t="str">
        <f>IF(OR($A60="",D$27=""),"",IF(COUNTIFS(EQA.Controllab_Dados!$B$2:$B$5000,D$27,EQA.Controllab_Dados!$D$2:$D$5000,$A60)=0,"—",COUNTIFS(EQA.Controllab_Dados!$B$2:$B$5000,D$27,EQA.Controllab_Dados!$D$2:$D$5000,$A60)))</f>
        <v/>
      </c>
      <c r="E60" t="str">
        <f>IF(OR($A60="",E$27=""),"",IF(COUNTIFS(EQA.Controllab_Dados!$B$2:$B$5000,E$27,EQA.Controllab_Dados!$D$2:$D$5000,$A60)=0,"—",COUNTIFS(EQA.Controllab_Dados!$B$2:$B$5000,E$27,EQA.Controllab_Dados!$D$2:$D$5000,$A60)))</f>
        <v/>
      </c>
      <c r="F60" t="str">
        <f>IF(OR($A60="",F$27=""),"",IF(COUNTIFS(EQA.Controllab_Dados!$B$2:$B$5000,F$27,EQA.Controllab_Dados!$D$2:$D$5000,$A60)=0,"—",COUNTIFS(EQA.Controllab_Dados!$B$2:$B$5000,F$27,EQA.Controllab_Dados!$D$2:$D$5000,$A60)))</f>
        <v/>
      </c>
      <c r="G60" t="str">
        <f>IF(OR($A60="",G$27=""),"",IF(COUNTIFS(EQA.Controllab_Dados!$B$2:$B$5000,G$27,EQA.Controllab_Dados!$D$2:$D$5000,$A60)=0,"—",COUNTIFS(EQA.Controllab_Dados!$B$2:$B$5000,G$27,EQA.Controllab_Dados!$D$2:$D$5000,$A60)))</f>
        <v/>
      </c>
      <c r="H60" t="str">
        <f>IF(OR($A60="",H$27=""),"",IF(COUNTIFS(EQA.Controllab_Dados!$B$2:$B$5000,H$27,EQA.Controllab_Dados!$D$2:$D$5000,$A60)=0,"—",COUNTIFS(EQA.Controllab_Dados!$B$2:$B$5000,H$27,EQA.Controllab_Dados!$D$2:$D$5000,$A60)))</f>
        <v/>
      </c>
      <c r="I60" t="str">
        <f>IF(OR($A60="",I$27=""),"",IF(COUNTIFS(EQA.Controllab_Dados!$B$2:$B$5000,I$27,EQA.Controllab_Dados!$D$2:$D$5000,$A60)=0,"—",COUNTIFS(EQA.Controllab_Dados!$B$2:$B$5000,I$27,EQA.Controllab_Dados!$D$2:$D$5000,$A60)))</f>
        <v/>
      </c>
      <c r="J60" t="str">
        <f>IF($A60="","",COUNTIF(EQA.Controllab_Dados!$D$2:$D$5000,$A60))</f>
        <v/>
      </c>
    </row>
    <row r="61" spans="1:10" x14ac:dyDescent="0.3">
      <c r="A61" t="str">
        <f>IFERROR(INDEX(EQA.Controllab_Dados!$D$2:$D$5000,MATCH(ROW()-27,EQA.Controllab_Dados!$U$2:$U$5000,0)),"")</f>
        <v/>
      </c>
      <c r="B61" t="str">
        <f>IF(OR($A61="",B$27=""),"",IF(COUNTIFS(EQA.Controllab_Dados!$B$2:$B$5000,B$27,EQA.Controllab_Dados!$D$2:$D$5000,$A61)=0,"—",COUNTIFS(EQA.Controllab_Dados!$B$2:$B$5000,B$27,EQA.Controllab_Dados!$D$2:$D$5000,$A61)))</f>
        <v/>
      </c>
      <c r="C61" t="str">
        <f>IF(OR($A61="",C$27=""),"",IF(COUNTIFS(EQA.Controllab_Dados!$B$2:$B$5000,C$27,EQA.Controllab_Dados!$D$2:$D$5000,$A61)=0,"—",COUNTIFS(EQA.Controllab_Dados!$B$2:$B$5000,C$27,EQA.Controllab_Dados!$D$2:$D$5000,$A61)))</f>
        <v/>
      </c>
      <c r="D61" t="str">
        <f>IF(OR($A61="",D$27=""),"",IF(COUNTIFS(EQA.Controllab_Dados!$B$2:$B$5000,D$27,EQA.Controllab_Dados!$D$2:$D$5000,$A61)=0,"—",COUNTIFS(EQA.Controllab_Dados!$B$2:$B$5000,D$27,EQA.Controllab_Dados!$D$2:$D$5000,$A61)))</f>
        <v/>
      </c>
      <c r="E61" t="str">
        <f>IF(OR($A61="",E$27=""),"",IF(COUNTIFS(EQA.Controllab_Dados!$B$2:$B$5000,E$27,EQA.Controllab_Dados!$D$2:$D$5000,$A61)=0,"—",COUNTIFS(EQA.Controllab_Dados!$B$2:$B$5000,E$27,EQA.Controllab_Dados!$D$2:$D$5000,$A61)))</f>
        <v/>
      </c>
      <c r="F61" t="str">
        <f>IF(OR($A61="",F$27=""),"",IF(COUNTIFS(EQA.Controllab_Dados!$B$2:$B$5000,F$27,EQA.Controllab_Dados!$D$2:$D$5000,$A61)=0,"—",COUNTIFS(EQA.Controllab_Dados!$B$2:$B$5000,F$27,EQA.Controllab_Dados!$D$2:$D$5000,$A61)))</f>
        <v/>
      </c>
      <c r="G61" t="str">
        <f>IF(OR($A61="",G$27=""),"",IF(COUNTIFS(EQA.Controllab_Dados!$B$2:$B$5000,G$27,EQA.Controllab_Dados!$D$2:$D$5000,$A61)=0,"—",COUNTIFS(EQA.Controllab_Dados!$B$2:$B$5000,G$27,EQA.Controllab_Dados!$D$2:$D$5000,$A61)))</f>
        <v/>
      </c>
      <c r="H61" t="str">
        <f>IF(OR($A61="",H$27=""),"",IF(COUNTIFS(EQA.Controllab_Dados!$B$2:$B$5000,H$27,EQA.Controllab_Dados!$D$2:$D$5000,$A61)=0,"—",COUNTIFS(EQA.Controllab_Dados!$B$2:$B$5000,H$27,EQA.Controllab_Dados!$D$2:$D$5000,$A61)))</f>
        <v/>
      </c>
      <c r="I61" t="str">
        <f>IF(OR($A61="",I$27=""),"",IF(COUNTIFS(EQA.Controllab_Dados!$B$2:$B$5000,I$27,EQA.Controllab_Dados!$D$2:$D$5000,$A61)=0,"—",COUNTIFS(EQA.Controllab_Dados!$B$2:$B$5000,I$27,EQA.Controllab_Dados!$D$2:$D$5000,$A61)))</f>
        <v/>
      </c>
      <c r="J61" t="str">
        <f>IF($A61="","",COUNTIF(EQA.Controllab_Dados!$D$2:$D$5000,$A61))</f>
        <v/>
      </c>
    </row>
    <row r="62" spans="1:10" x14ac:dyDescent="0.3">
      <c r="A62" t="str">
        <f>IFERROR(INDEX(EQA.Controllab_Dados!$D$2:$D$5000,MATCH(ROW()-27,EQA.Controllab_Dados!$U$2:$U$5000,0)),"")</f>
        <v/>
      </c>
      <c r="B62" t="str">
        <f>IF(OR($A62="",B$27=""),"",IF(COUNTIFS(EQA.Controllab_Dados!$B$2:$B$5000,B$27,EQA.Controllab_Dados!$D$2:$D$5000,$A62)=0,"—",COUNTIFS(EQA.Controllab_Dados!$B$2:$B$5000,B$27,EQA.Controllab_Dados!$D$2:$D$5000,$A62)))</f>
        <v/>
      </c>
      <c r="C62" t="str">
        <f>IF(OR($A62="",C$27=""),"",IF(COUNTIFS(EQA.Controllab_Dados!$B$2:$B$5000,C$27,EQA.Controllab_Dados!$D$2:$D$5000,$A62)=0,"—",COUNTIFS(EQA.Controllab_Dados!$B$2:$B$5000,C$27,EQA.Controllab_Dados!$D$2:$D$5000,$A62)))</f>
        <v/>
      </c>
      <c r="D62" t="str">
        <f>IF(OR($A62="",D$27=""),"",IF(COUNTIFS(EQA.Controllab_Dados!$B$2:$B$5000,D$27,EQA.Controllab_Dados!$D$2:$D$5000,$A62)=0,"—",COUNTIFS(EQA.Controllab_Dados!$B$2:$B$5000,D$27,EQA.Controllab_Dados!$D$2:$D$5000,$A62)))</f>
        <v/>
      </c>
      <c r="E62" t="str">
        <f>IF(OR($A62="",E$27=""),"",IF(COUNTIFS(EQA.Controllab_Dados!$B$2:$B$5000,E$27,EQA.Controllab_Dados!$D$2:$D$5000,$A62)=0,"—",COUNTIFS(EQA.Controllab_Dados!$B$2:$B$5000,E$27,EQA.Controllab_Dados!$D$2:$D$5000,$A62)))</f>
        <v/>
      </c>
      <c r="F62" t="str">
        <f>IF(OR($A62="",F$27=""),"",IF(COUNTIFS(EQA.Controllab_Dados!$B$2:$B$5000,F$27,EQA.Controllab_Dados!$D$2:$D$5000,$A62)=0,"—",COUNTIFS(EQA.Controllab_Dados!$B$2:$B$5000,F$27,EQA.Controllab_Dados!$D$2:$D$5000,$A62)))</f>
        <v/>
      </c>
      <c r="G62" t="str">
        <f>IF(OR($A62="",G$27=""),"",IF(COUNTIFS(EQA.Controllab_Dados!$B$2:$B$5000,G$27,EQA.Controllab_Dados!$D$2:$D$5000,$A62)=0,"—",COUNTIFS(EQA.Controllab_Dados!$B$2:$B$5000,G$27,EQA.Controllab_Dados!$D$2:$D$5000,$A62)))</f>
        <v/>
      </c>
      <c r="H62" t="str">
        <f>IF(OR($A62="",H$27=""),"",IF(COUNTIFS(EQA.Controllab_Dados!$B$2:$B$5000,H$27,EQA.Controllab_Dados!$D$2:$D$5000,$A62)=0,"—",COUNTIFS(EQA.Controllab_Dados!$B$2:$B$5000,H$27,EQA.Controllab_Dados!$D$2:$D$5000,$A62)))</f>
        <v/>
      </c>
      <c r="I62" t="str">
        <f>IF(OR($A62="",I$27=""),"",IF(COUNTIFS(EQA.Controllab_Dados!$B$2:$B$5000,I$27,EQA.Controllab_Dados!$D$2:$D$5000,$A62)=0,"—",COUNTIFS(EQA.Controllab_Dados!$B$2:$B$5000,I$27,EQA.Controllab_Dados!$D$2:$D$5000,$A62)))</f>
        <v/>
      </c>
      <c r="J62" t="str">
        <f>IF($A62="","",COUNTIF(EQA.Controllab_Dados!$D$2:$D$5000,$A62))</f>
        <v/>
      </c>
    </row>
    <row r="63" spans="1:10" x14ac:dyDescent="0.3">
      <c r="A63" t="str">
        <f>IFERROR(INDEX(EQA.Controllab_Dados!$D$2:$D$5000,MATCH(ROW()-27,EQA.Controllab_Dados!$U$2:$U$5000,0)),"")</f>
        <v/>
      </c>
      <c r="B63" t="str">
        <f>IF(OR($A63="",B$27=""),"",IF(COUNTIFS(EQA.Controllab_Dados!$B$2:$B$5000,B$27,EQA.Controllab_Dados!$D$2:$D$5000,$A63)=0,"—",COUNTIFS(EQA.Controllab_Dados!$B$2:$B$5000,B$27,EQA.Controllab_Dados!$D$2:$D$5000,$A63)))</f>
        <v/>
      </c>
      <c r="C63" t="str">
        <f>IF(OR($A63="",C$27=""),"",IF(COUNTIFS(EQA.Controllab_Dados!$B$2:$B$5000,C$27,EQA.Controllab_Dados!$D$2:$D$5000,$A63)=0,"—",COUNTIFS(EQA.Controllab_Dados!$B$2:$B$5000,C$27,EQA.Controllab_Dados!$D$2:$D$5000,$A63)))</f>
        <v/>
      </c>
      <c r="D63" t="str">
        <f>IF(OR($A63="",D$27=""),"",IF(COUNTIFS(EQA.Controllab_Dados!$B$2:$B$5000,D$27,EQA.Controllab_Dados!$D$2:$D$5000,$A63)=0,"—",COUNTIFS(EQA.Controllab_Dados!$B$2:$B$5000,D$27,EQA.Controllab_Dados!$D$2:$D$5000,$A63)))</f>
        <v/>
      </c>
      <c r="E63" t="str">
        <f>IF(OR($A63="",E$27=""),"",IF(COUNTIFS(EQA.Controllab_Dados!$B$2:$B$5000,E$27,EQA.Controllab_Dados!$D$2:$D$5000,$A63)=0,"—",COUNTIFS(EQA.Controllab_Dados!$B$2:$B$5000,E$27,EQA.Controllab_Dados!$D$2:$D$5000,$A63)))</f>
        <v/>
      </c>
      <c r="F63" t="str">
        <f>IF(OR($A63="",F$27=""),"",IF(COUNTIFS(EQA.Controllab_Dados!$B$2:$B$5000,F$27,EQA.Controllab_Dados!$D$2:$D$5000,$A63)=0,"—",COUNTIFS(EQA.Controllab_Dados!$B$2:$B$5000,F$27,EQA.Controllab_Dados!$D$2:$D$5000,$A63)))</f>
        <v/>
      </c>
      <c r="G63" t="str">
        <f>IF(OR($A63="",G$27=""),"",IF(COUNTIFS(EQA.Controllab_Dados!$B$2:$B$5000,G$27,EQA.Controllab_Dados!$D$2:$D$5000,$A63)=0,"—",COUNTIFS(EQA.Controllab_Dados!$B$2:$B$5000,G$27,EQA.Controllab_Dados!$D$2:$D$5000,$A63)))</f>
        <v/>
      </c>
      <c r="H63" t="str">
        <f>IF(OR($A63="",H$27=""),"",IF(COUNTIFS(EQA.Controllab_Dados!$B$2:$B$5000,H$27,EQA.Controllab_Dados!$D$2:$D$5000,$A63)=0,"—",COUNTIFS(EQA.Controllab_Dados!$B$2:$B$5000,H$27,EQA.Controllab_Dados!$D$2:$D$5000,$A63)))</f>
        <v/>
      </c>
      <c r="I63" t="str">
        <f>IF(OR($A63="",I$27=""),"",IF(COUNTIFS(EQA.Controllab_Dados!$B$2:$B$5000,I$27,EQA.Controllab_Dados!$D$2:$D$5000,$A63)=0,"—",COUNTIFS(EQA.Controllab_Dados!$B$2:$B$5000,I$27,EQA.Controllab_Dados!$D$2:$D$5000,$A63)))</f>
        <v/>
      </c>
      <c r="J63" t="str">
        <f>IF($A63="","",COUNTIF(EQA.Controllab_Dados!$D$2:$D$5000,$A63))</f>
        <v/>
      </c>
    </row>
    <row r="64" spans="1:10" x14ac:dyDescent="0.3">
      <c r="A64" t="str">
        <f>IFERROR(INDEX(EQA.Controllab_Dados!$D$2:$D$5000,MATCH(ROW()-27,EQA.Controllab_Dados!$U$2:$U$5000,0)),"")</f>
        <v/>
      </c>
      <c r="B64" t="str">
        <f>IF(OR($A64="",B$27=""),"",IF(COUNTIFS(EQA.Controllab_Dados!$B$2:$B$5000,B$27,EQA.Controllab_Dados!$D$2:$D$5000,$A64)=0,"—",COUNTIFS(EQA.Controllab_Dados!$B$2:$B$5000,B$27,EQA.Controllab_Dados!$D$2:$D$5000,$A64)))</f>
        <v/>
      </c>
      <c r="C64" t="str">
        <f>IF(OR($A64="",C$27=""),"",IF(COUNTIFS(EQA.Controllab_Dados!$B$2:$B$5000,C$27,EQA.Controllab_Dados!$D$2:$D$5000,$A64)=0,"—",COUNTIFS(EQA.Controllab_Dados!$B$2:$B$5000,C$27,EQA.Controllab_Dados!$D$2:$D$5000,$A64)))</f>
        <v/>
      </c>
      <c r="D64" t="str">
        <f>IF(OR($A64="",D$27=""),"",IF(COUNTIFS(EQA.Controllab_Dados!$B$2:$B$5000,D$27,EQA.Controllab_Dados!$D$2:$D$5000,$A64)=0,"—",COUNTIFS(EQA.Controllab_Dados!$B$2:$B$5000,D$27,EQA.Controllab_Dados!$D$2:$D$5000,$A64)))</f>
        <v/>
      </c>
      <c r="E64" t="str">
        <f>IF(OR($A64="",E$27=""),"",IF(COUNTIFS(EQA.Controllab_Dados!$B$2:$B$5000,E$27,EQA.Controllab_Dados!$D$2:$D$5000,$A64)=0,"—",COUNTIFS(EQA.Controllab_Dados!$B$2:$B$5000,E$27,EQA.Controllab_Dados!$D$2:$D$5000,$A64)))</f>
        <v/>
      </c>
      <c r="F64" t="str">
        <f>IF(OR($A64="",F$27=""),"",IF(COUNTIFS(EQA.Controllab_Dados!$B$2:$B$5000,F$27,EQA.Controllab_Dados!$D$2:$D$5000,$A64)=0,"—",COUNTIFS(EQA.Controllab_Dados!$B$2:$B$5000,F$27,EQA.Controllab_Dados!$D$2:$D$5000,$A64)))</f>
        <v/>
      </c>
      <c r="G64" t="str">
        <f>IF(OR($A64="",G$27=""),"",IF(COUNTIFS(EQA.Controllab_Dados!$B$2:$B$5000,G$27,EQA.Controllab_Dados!$D$2:$D$5000,$A64)=0,"—",COUNTIFS(EQA.Controllab_Dados!$B$2:$B$5000,G$27,EQA.Controllab_Dados!$D$2:$D$5000,$A64)))</f>
        <v/>
      </c>
      <c r="H64" t="str">
        <f>IF(OR($A64="",H$27=""),"",IF(COUNTIFS(EQA.Controllab_Dados!$B$2:$B$5000,H$27,EQA.Controllab_Dados!$D$2:$D$5000,$A64)=0,"—",COUNTIFS(EQA.Controllab_Dados!$B$2:$B$5000,H$27,EQA.Controllab_Dados!$D$2:$D$5000,$A64)))</f>
        <v/>
      </c>
      <c r="I64" t="str">
        <f>IF(OR($A64="",I$27=""),"",IF(COUNTIFS(EQA.Controllab_Dados!$B$2:$B$5000,I$27,EQA.Controllab_Dados!$D$2:$D$5000,$A64)=0,"—",COUNTIFS(EQA.Controllab_Dados!$B$2:$B$5000,I$27,EQA.Controllab_Dados!$D$2:$D$5000,$A64)))</f>
        <v/>
      </c>
      <c r="J64" t="str">
        <f>IF($A64="","",COUNTIF(EQA.Controllab_Dados!$D$2:$D$5000,$A64))</f>
        <v/>
      </c>
    </row>
    <row r="65" spans="1:10" x14ac:dyDescent="0.3">
      <c r="A65" t="str">
        <f>IFERROR(INDEX(EQA.Controllab_Dados!$D$2:$D$5000,MATCH(ROW()-27,EQA.Controllab_Dados!$U$2:$U$5000,0)),"")</f>
        <v/>
      </c>
      <c r="B65" t="str">
        <f>IF(OR($A65="",B$27=""),"",IF(COUNTIFS(EQA.Controllab_Dados!$B$2:$B$5000,B$27,EQA.Controllab_Dados!$D$2:$D$5000,$A65)=0,"—",COUNTIFS(EQA.Controllab_Dados!$B$2:$B$5000,B$27,EQA.Controllab_Dados!$D$2:$D$5000,$A65)))</f>
        <v/>
      </c>
      <c r="C65" t="str">
        <f>IF(OR($A65="",C$27=""),"",IF(COUNTIFS(EQA.Controllab_Dados!$B$2:$B$5000,C$27,EQA.Controllab_Dados!$D$2:$D$5000,$A65)=0,"—",COUNTIFS(EQA.Controllab_Dados!$B$2:$B$5000,C$27,EQA.Controllab_Dados!$D$2:$D$5000,$A65)))</f>
        <v/>
      </c>
      <c r="D65" t="str">
        <f>IF(OR($A65="",D$27=""),"",IF(COUNTIFS(EQA.Controllab_Dados!$B$2:$B$5000,D$27,EQA.Controllab_Dados!$D$2:$D$5000,$A65)=0,"—",COUNTIFS(EQA.Controllab_Dados!$B$2:$B$5000,D$27,EQA.Controllab_Dados!$D$2:$D$5000,$A65)))</f>
        <v/>
      </c>
      <c r="E65" t="str">
        <f>IF(OR($A65="",E$27=""),"",IF(COUNTIFS(EQA.Controllab_Dados!$B$2:$B$5000,E$27,EQA.Controllab_Dados!$D$2:$D$5000,$A65)=0,"—",COUNTIFS(EQA.Controllab_Dados!$B$2:$B$5000,E$27,EQA.Controllab_Dados!$D$2:$D$5000,$A65)))</f>
        <v/>
      </c>
      <c r="F65" t="str">
        <f>IF(OR($A65="",F$27=""),"",IF(COUNTIFS(EQA.Controllab_Dados!$B$2:$B$5000,F$27,EQA.Controllab_Dados!$D$2:$D$5000,$A65)=0,"—",COUNTIFS(EQA.Controllab_Dados!$B$2:$B$5000,F$27,EQA.Controllab_Dados!$D$2:$D$5000,$A65)))</f>
        <v/>
      </c>
      <c r="G65" t="str">
        <f>IF(OR($A65="",G$27=""),"",IF(COUNTIFS(EQA.Controllab_Dados!$B$2:$B$5000,G$27,EQA.Controllab_Dados!$D$2:$D$5000,$A65)=0,"—",COUNTIFS(EQA.Controllab_Dados!$B$2:$B$5000,G$27,EQA.Controllab_Dados!$D$2:$D$5000,$A65)))</f>
        <v/>
      </c>
      <c r="H65" t="str">
        <f>IF(OR($A65="",H$27=""),"",IF(COUNTIFS(EQA.Controllab_Dados!$B$2:$B$5000,H$27,EQA.Controllab_Dados!$D$2:$D$5000,$A65)=0,"—",COUNTIFS(EQA.Controllab_Dados!$B$2:$B$5000,H$27,EQA.Controllab_Dados!$D$2:$D$5000,$A65)))</f>
        <v/>
      </c>
      <c r="I65" t="str">
        <f>IF(OR($A65="",I$27=""),"",IF(COUNTIFS(EQA.Controllab_Dados!$B$2:$B$5000,I$27,EQA.Controllab_Dados!$D$2:$D$5000,$A65)=0,"—",COUNTIFS(EQA.Controllab_Dados!$B$2:$B$5000,I$27,EQA.Controllab_Dados!$D$2:$D$5000,$A65)))</f>
        <v/>
      </c>
      <c r="J65" t="str">
        <f>IF($A65="","",COUNTIF(EQA.Controllab_Dados!$D$2:$D$5000,$A65))</f>
        <v/>
      </c>
    </row>
    <row r="66" spans="1:10" x14ac:dyDescent="0.3">
      <c r="A66" t="str">
        <f>IFERROR(INDEX(EQA.Controllab_Dados!$D$2:$D$5000,MATCH(ROW()-27,EQA.Controllab_Dados!$U$2:$U$5000,0)),"")</f>
        <v/>
      </c>
      <c r="B66" t="str">
        <f>IF(OR($A66="",B$27=""),"",IF(COUNTIFS(EQA.Controllab_Dados!$B$2:$B$5000,B$27,EQA.Controllab_Dados!$D$2:$D$5000,$A66)=0,"—",COUNTIFS(EQA.Controllab_Dados!$B$2:$B$5000,B$27,EQA.Controllab_Dados!$D$2:$D$5000,$A66)))</f>
        <v/>
      </c>
      <c r="C66" t="str">
        <f>IF(OR($A66="",C$27=""),"",IF(COUNTIFS(EQA.Controllab_Dados!$B$2:$B$5000,C$27,EQA.Controllab_Dados!$D$2:$D$5000,$A66)=0,"—",COUNTIFS(EQA.Controllab_Dados!$B$2:$B$5000,C$27,EQA.Controllab_Dados!$D$2:$D$5000,$A66)))</f>
        <v/>
      </c>
      <c r="D66" t="str">
        <f>IF(OR($A66="",D$27=""),"",IF(COUNTIFS(EQA.Controllab_Dados!$B$2:$B$5000,D$27,EQA.Controllab_Dados!$D$2:$D$5000,$A66)=0,"—",COUNTIFS(EQA.Controllab_Dados!$B$2:$B$5000,D$27,EQA.Controllab_Dados!$D$2:$D$5000,$A66)))</f>
        <v/>
      </c>
      <c r="E66" t="str">
        <f>IF(OR($A66="",E$27=""),"",IF(COUNTIFS(EQA.Controllab_Dados!$B$2:$B$5000,E$27,EQA.Controllab_Dados!$D$2:$D$5000,$A66)=0,"—",COUNTIFS(EQA.Controllab_Dados!$B$2:$B$5000,E$27,EQA.Controllab_Dados!$D$2:$D$5000,$A66)))</f>
        <v/>
      </c>
      <c r="F66" t="str">
        <f>IF(OR($A66="",F$27=""),"",IF(COUNTIFS(EQA.Controllab_Dados!$B$2:$B$5000,F$27,EQA.Controllab_Dados!$D$2:$D$5000,$A66)=0,"—",COUNTIFS(EQA.Controllab_Dados!$B$2:$B$5000,F$27,EQA.Controllab_Dados!$D$2:$D$5000,$A66)))</f>
        <v/>
      </c>
      <c r="G66" t="str">
        <f>IF(OR($A66="",G$27=""),"",IF(COUNTIFS(EQA.Controllab_Dados!$B$2:$B$5000,G$27,EQA.Controllab_Dados!$D$2:$D$5000,$A66)=0,"—",COUNTIFS(EQA.Controllab_Dados!$B$2:$B$5000,G$27,EQA.Controllab_Dados!$D$2:$D$5000,$A66)))</f>
        <v/>
      </c>
      <c r="H66" t="str">
        <f>IF(OR($A66="",H$27=""),"",IF(COUNTIFS(EQA.Controllab_Dados!$B$2:$B$5000,H$27,EQA.Controllab_Dados!$D$2:$D$5000,$A66)=0,"—",COUNTIFS(EQA.Controllab_Dados!$B$2:$B$5000,H$27,EQA.Controllab_Dados!$D$2:$D$5000,$A66)))</f>
        <v/>
      </c>
      <c r="I66" t="str">
        <f>IF(OR($A66="",I$27=""),"",IF(COUNTIFS(EQA.Controllab_Dados!$B$2:$B$5000,I$27,EQA.Controllab_Dados!$D$2:$D$5000,$A66)=0,"—",COUNTIFS(EQA.Controllab_Dados!$B$2:$B$5000,I$27,EQA.Controllab_Dados!$D$2:$D$5000,$A66)))</f>
        <v/>
      </c>
      <c r="J66" t="str">
        <f>IF($A66="","",COUNTIF(EQA.Controllab_Dados!$D$2:$D$5000,$A66))</f>
        <v/>
      </c>
    </row>
    <row r="67" spans="1:10" x14ac:dyDescent="0.3">
      <c r="A67" t="str">
        <f>IFERROR(INDEX(EQA.Controllab_Dados!$D$2:$D$5000,MATCH(ROW()-27,EQA.Controllab_Dados!$U$2:$U$5000,0)),"")</f>
        <v/>
      </c>
      <c r="B67" t="str">
        <f>IF(OR($A67="",B$27=""),"",IF(COUNTIFS(EQA.Controllab_Dados!$B$2:$B$5000,B$27,EQA.Controllab_Dados!$D$2:$D$5000,$A67)=0,"—",COUNTIFS(EQA.Controllab_Dados!$B$2:$B$5000,B$27,EQA.Controllab_Dados!$D$2:$D$5000,$A67)))</f>
        <v/>
      </c>
      <c r="C67" t="str">
        <f>IF(OR($A67="",C$27=""),"",IF(COUNTIFS(EQA.Controllab_Dados!$B$2:$B$5000,C$27,EQA.Controllab_Dados!$D$2:$D$5000,$A67)=0,"—",COUNTIFS(EQA.Controllab_Dados!$B$2:$B$5000,C$27,EQA.Controllab_Dados!$D$2:$D$5000,$A67)))</f>
        <v/>
      </c>
      <c r="D67" t="str">
        <f>IF(OR($A67="",D$27=""),"",IF(COUNTIFS(EQA.Controllab_Dados!$B$2:$B$5000,D$27,EQA.Controllab_Dados!$D$2:$D$5000,$A67)=0,"—",COUNTIFS(EQA.Controllab_Dados!$B$2:$B$5000,D$27,EQA.Controllab_Dados!$D$2:$D$5000,$A67)))</f>
        <v/>
      </c>
      <c r="E67" t="str">
        <f>IF(OR($A67="",E$27=""),"",IF(COUNTIFS(EQA.Controllab_Dados!$B$2:$B$5000,E$27,EQA.Controllab_Dados!$D$2:$D$5000,$A67)=0,"—",COUNTIFS(EQA.Controllab_Dados!$B$2:$B$5000,E$27,EQA.Controllab_Dados!$D$2:$D$5000,$A67)))</f>
        <v/>
      </c>
      <c r="F67" t="str">
        <f>IF(OR($A67="",F$27=""),"",IF(COUNTIFS(EQA.Controllab_Dados!$B$2:$B$5000,F$27,EQA.Controllab_Dados!$D$2:$D$5000,$A67)=0,"—",COUNTIFS(EQA.Controllab_Dados!$B$2:$B$5000,F$27,EQA.Controllab_Dados!$D$2:$D$5000,$A67)))</f>
        <v/>
      </c>
      <c r="G67" t="str">
        <f>IF(OR($A67="",G$27=""),"",IF(COUNTIFS(EQA.Controllab_Dados!$B$2:$B$5000,G$27,EQA.Controllab_Dados!$D$2:$D$5000,$A67)=0,"—",COUNTIFS(EQA.Controllab_Dados!$B$2:$B$5000,G$27,EQA.Controllab_Dados!$D$2:$D$5000,$A67)))</f>
        <v/>
      </c>
      <c r="H67" t="str">
        <f>IF(OR($A67="",H$27=""),"",IF(COUNTIFS(EQA.Controllab_Dados!$B$2:$B$5000,H$27,EQA.Controllab_Dados!$D$2:$D$5000,$A67)=0,"—",COUNTIFS(EQA.Controllab_Dados!$B$2:$B$5000,H$27,EQA.Controllab_Dados!$D$2:$D$5000,$A67)))</f>
        <v/>
      </c>
      <c r="I67" t="str">
        <f>IF(OR($A67="",I$27=""),"",IF(COUNTIFS(EQA.Controllab_Dados!$B$2:$B$5000,I$27,EQA.Controllab_Dados!$D$2:$D$5000,$A67)=0,"—",COUNTIFS(EQA.Controllab_Dados!$B$2:$B$5000,I$27,EQA.Controllab_Dados!$D$2:$D$5000,$A67)))</f>
        <v/>
      </c>
      <c r="J67" t="str">
        <f>IF($A67="","",COUNTIF(EQA.Controllab_Dados!$D$2:$D$5000,$A67))</f>
        <v/>
      </c>
    </row>
    <row r="68" spans="1:10" x14ac:dyDescent="0.3">
      <c r="A68" t="str">
        <f>IFERROR(INDEX(EQA.Controllab_Dados!$D$2:$D$5000,MATCH(ROW()-27,EQA.Controllab_Dados!$U$2:$U$5000,0)),"")</f>
        <v/>
      </c>
      <c r="B68" t="str">
        <f>IF(OR($A68="",B$27=""),"",IF(COUNTIFS(EQA.Controllab_Dados!$B$2:$B$5000,B$27,EQA.Controllab_Dados!$D$2:$D$5000,$A68)=0,"—",COUNTIFS(EQA.Controllab_Dados!$B$2:$B$5000,B$27,EQA.Controllab_Dados!$D$2:$D$5000,$A68)))</f>
        <v/>
      </c>
      <c r="C68" t="str">
        <f>IF(OR($A68="",C$27=""),"",IF(COUNTIFS(EQA.Controllab_Dados!$B$2:$B$5000,C$27,EQA.Controllab_Dados!$D$2:$D$5000,$A68)=0,"—",COUNTIFS(EQA.Controllab_Dados!$B$2:$B$5000,C$27,EQA.Controllab_Dados!$D$2:$D$5000,$A68)))</f>
        <v/>
      </c>
      <c r="D68" t="str">
        <f>IF(OR($A68="",D$27=""),"",IF(COUNTIFS(EQA.Controllab_Dados!$B$2:$B$5000,D$27,EQA.Controllab_Dados!$D$2:$D$5000,$A68)=0,"—",COUNTIFS(EQA.Controllab_Dados!$B$2:$B$5000,D$27,EQA.Controllab_Dados!$D$2:$D$5000,$A68)))</f>
        <v/>
      </c>
      <c r="E68" t="str">
        <f>IF(OR($A68="",E$27=""),"",IF(COUNTIFS(EQA.Controllab_Dados!$B$2:$B$5000,E$27,EQA.Controllab_Dados!$D$2:$D$5000,$A68)=0,"—",COUNTIFS(EQA.Controllab_Dados!$B$2:$B$5000,E$27,EQA.Controllab_Dados!$D$2:$D$5000,$A68)))</f>
        <v/>
      </c>
      <c r="F68" t="str">
        <f>IF(OR($A68="",F$27=""),"",IF(COUNTIFS(EQA.Controllab_Dados!$B$2:$B$5000,F$27,EQA.Controllab_Dados!$D$2:$D$5000,$A68)=0,"—",COUNTIFS(EQA.Controllab_Dados!$B$2:$B$5000,F$27,EQA.Controllab_Dados!$D$2:$D$5000,$A68)))</f>
        <v/>
      </c>
      <c r="G68" t="str">
        <f>IF(OR($A68="",G$27=""),"",IF(COUNTIFS(EQA.Controllab_Dados!$B$2:$B$5000,G$27,EQA.Controllab_Dados!$D$2:$D$5000,$A68)=0,"—",COUNTIFS(EQA.Controllab_Dados!$B$2:$B$5000,G$27,EQA.Controllab_Dados!$D$2:$D$5000,$A68)))</f>
        <v/>
      </c>
      <c r="H68" t="str">
        <f>IF(OR($A68="",H$27=""),"",IF(COUNTIFS(EQA.Controllab_Dados!$B$2:$B$5000,H$27,EQA.Controllab_Dados!$D$2:$D$5000,$A68)=0,"—",COUNTIFS(EQA.Controllab_Dados!$B$2:$B$5000,H$27,EQA.Controllab_Dados!$D$2:$D$5000,$A68)))</f>
        <v/>
      </c>
      <c r="I68" t="str">
        <f>IF(OR($A68="",I$27=""),"",IF(COUNTIFS(EQA.Controllab_Dados!$B$2:$B$5000,I$27,EQA.Controllab_Dados!$D$2:$D$5000,$A68)=0,"—",COUNTIFS(EQA.Controllab_Dados!$B$2:$B$5000,I$27,EQA.Controllab_Dados!$D$2:$D$5000,$A68)))</f>
        <v/>
      </c>
      <c r="J68" t="str">
        <f>IF($A68="","",COUNTIF(EQA.Controllab_Dados!$D$2:$D$5000,$A68))</f>
        <v/>
      </c>
    </row>
    <row r="69" spans="1:10" x14ac:dyDescent="0.3">
      <c r="A69" t="str">
        <f>IFERROR(INDEX(EQA.Controllab_Dados!$D$2:$D$5000,MATCH(ROW()-27,EQA.Controllab_Dados!$U$2:$U$5000,0)),"")</f>
        <v/>
      </c>
      <c r="B69" t="str">
        <f>IF(OR($A69="",B$27=""),"",IF(COUNTIFS(EQA.Controllab_Dados!$B$2:$B$5000,B$27,EQA.Controllab_Dados!$D$2:$D$5000,$A69)=0,"—",COUNTIFS(EQA.Controllab_Dados!$B$2:$B$5000,B$27,EQA.Controllab_Dados!$D$2:$D$5000,$A69)))</f>
        <v/>
      </c>
      <c r="C69" t="str">
        <f>IF(OR($A69="",C$27=""),"",IF(COUNTIFS(EQA.Controllab_Dados!$B$2:$B$5000,C$27,EQA.Controllab_Dados!$D$2:$D$5000,$A69)=0,"—",COUNTIFS(EQA.Controllab_Dados!$B$2:$B$5000,C$27,EQA.Controllab_Dados!$D$2:$D$5000,$A69)))</f>
        <v/>
      </c>
      <c r="D69" t="str">
        <f>IF(OR($A69="",D$27=""),"",IF(COUNTIFS(EQA.Controllab_Dados!$B$2:$B$5000,D$27,EQA.Controllab_Dados!$D$2:$D$5000,$A69)=0,"—",COUNTIFS(EQA.Controllab_Dados!$B$2:$B$5000,D$27,EQA.Controllab_Dados!$D$2:$D$5000,$A69)))</f>
        <v/>
      </c>
      <c r="E69" t="str">
        <f>IF(OR($A69="",E$27=""),"",IF(COUNTIFS(EQA.Controllab_Dados!$B$2:$B$5000,E$27,EQA.Controllab_Dados!$D$2:$D$5000,$A69)=0,"—",COUNTIFS(EQA.Controllab_Dados!$B$2:$B$5000,E$27,EQA.Controllab_Dados!$D$2:$D$5000,$A69)))</f>
        <v/>
      </c>
      <c r="F69" t="str">
        <f>IF(OR($A69="",F$27=""),"",IF(COUNTIFS(EQA.Controllab_Dados!$B$2:$B$5000,F$27,EQA.Controllab_Dados!$D$2:$D$5000,$A69)=0,"—",COUNTIFS(EQA.Controllab_Dados!$B$2:$B$5000,F$27,EQA.Controllab_Dados!$D$2:$D$5000,$A69)))</f>
        <v/>
      </c>
      <c r="G69" t="str">
        <f>IF(OR($A69="",G$27=""),"",IF(COUNTIFS(EQA.Controllab_Dados!$B$2:$B$5000,G$27,EQA.Controllab_Dados!$D$2:$D$5000,$A69)=0,"—",COUNTIFS(EQA.Controllab_Dados!$B$2:$B$5000,G$27,EQA.Controllab_Dados!$D$2:$D$5000,$A69)))</f>
        <v/>
      </c>
      <c r="H69" t="str">
        <f>IF(OR($A69="",H$27=""),"",IF(COUNTIFS(EQA.Controllab_Dados!$B$2:$B$5000,H$27,EQA.Controllab_Dados!$D$2:$D$5000,$A69)=0,"—",COUNTIFS(EQA.Controllab_Dados!$B$2:$B$5000,H$27,EQA.Controllab_Dados!$D$2:$D$5000,$A69)))</f>
        <v/>
      </c>
      <c r="I69" t="str">
        <f>IF(OR($A69="",I$27=""),"",IF(COUNTIFS(EQA.Controllab_Dados!$B$2:$B$5000,I$27,EQA.Controllab_Dados!$D$2:$D$5000,$A69)=0,"—",COUNTIFS(EQA.Controllab_Dados!$B$2:$B$5000,I$27,EQA.Controllab_Dados!$D$2:$D$5000,$A69)))</f>
        <v/>
      </c>
      <c r="J69" t="str">
        <f>IF($A69="","",COUNTIF(EQA.Controllab_Dados!$D$2:$D$5000,$A69))</f>
        <v/>
      </c>
    </row>
    <row r="70" spans="1:10" x14ac:dyDescent="0.3">
      <c r="A70" t="str">
        <f>IFERROR(INDEX(EQA.Controllab_Dados!$D$2:$D$5000,MATCH(ROW()-27,EQA.Controllab_Dados!$U$2:$U$5000,0)),"")</f>
        <v/>
      </c>
      <c r="B70" t="str">
        <f>IF(OR($A70="",B$27=""),"",IF(COUNTIFS(EQA.Controllab_Dados!$B$2:$B$5000,B$27,EQA.Controllab_Dados!$D$2:$D$5000,$A70)=0,"—",COUNTIFS(EQA.Controllab_Dados!$B$2:$B$5000,B$27,EQA.Controllab_Dados!$D$2:$D$5000,$A70)))</f>
        <v/>
      </c>
      <c r="C70" t="str">
        <f>IF(OR($A70="",C$27=""),"",IF(COUNTIFS(EQA.Controllab_Dados!$B$2:$B$5000,C$27,EQA.Controllab_Dados!$D$2:$D$5000,$A70)=0,"—",COUNTIFS(EQA.Controllab_Dados!$B$2:$B$5000,C$27,EQA.Controllab_Dados!$D$2:$D$5000,$A70)))</f>
        <v/>
      </c>
      <c r="D70" t="str">
        <f>IF(OR($A70="",D$27=""),"",IF(COUNTIFS(EQA.Controllab_Dados!$B$2:$B$5000,D$27,EQA.Controllab_Dados!$D$2:$D$5000,$A70)=0,"—",COUNTIFS(EQA.Controllab_Dados!$B$2:$B$5000,D$27,EQA.Controllab_Dados!$D$2:$D$5000,$A70)))</f>
        <v/>
      </c>
      <c r="E70" t="str">
        <f>IF(OR($A70="",E$27=""),"",IF(COUNTIFS(EQA.Controllab_Dados!$B$2:$B$5000,E$27,EQA.Controllab_Dados!$D$2:$D$5000,$A70)=0,"—",COUNTIFS(EQA.Controllab_Dados!$B$2:$B$5000,E$27,EQA.Controllab_Dados!$D$2:$D$5000,$A70)))</f>
        <v/>
      </c>
      <c r="F70" t="str">
        <f>IF(OR($A70="",F$27=""),"",IF(COUNTIFS(EQA.Controllab_Dados!$B$2:$B$5000,F$27,EQA.Controllab_Dados!$D$2:$D$5000,$A70)=0,"—",COUNTIFS(EQA.Controllab_Dados!$B$2:$B$5000,F$27,EQA.Controllab_Dados!$D$2:$D$5000,$A70)))</f>
        <v/>
      </c>
      <c r="G70" t="str">
        <f>IF(OR($A70="",G$27=""),"",IF(COUNTIFS(EQA.Controllab_Dados!$B$2:$B$5000,G$27,EQA.Controllab_Dados!$D$2:$D$5000,$A70)=0,"—",COUNTIFS(EQA.Controllab_Dados!$B$2:$B$5000,G$27,EQA.Controllab_Dados!$D$2:$D$5000,$A70)))</f>
        <v/>
      </c>
      <c r="H70" t="str">
        <f>IF(OR($A70="",H$27=""),"",IF(COUNTIFS(EQA.Controllab_Dados!$B$2:$B$5000,H$27,EQA.Controllab_Dados!$D$2:$D$5000,$A70)=0,"—",COUNTIFS(EQA.Controllab_Dados!$B$2:$B$5000,H$27,EQA.Controllab_Dados!$D$2:$D$5000,$A70)))</f>
        <v/>
      </c>
      <c r="I70" t="str">
        <f>IF(OR($A70="",I$27=""),"",IF(COUNTIFS(EQA.Controllab_Dados!$B$2:$B$5000,I$27,EQA.Controllab_Dados!$D$2:$D$5000,$A70)=0,"—",COUNTIFS(EQA.Controllab_Dados!$B$2:$B$5000,I$27,EQA.Controllab_Dados!$D$2:$D$5000,$A70)))</f>
        <v/>
      </c>
      <c r="J70" t="str">
        <f>IF($A70="","",COUNTIF(EQA.Controllab_Dados!$D$2:$D$5000,$A70))</f>
        <v/>
      </c>
    </row>
    <row r="71" spans="1:10" x14ac:dyDescent="0.3">
      <c r="A71" t="str">
        <f>IFERROR(INDEX(EQA.Controllab_Dados!$D$2:$D$5000,MATCH(ROW()-27,EQA.Controllab_Dados!$U$2:$U$5000,0)),"")</f>
        <v/>
      </c>
      <c r="B71" t="str">
        <f>IF(OR($A71="",B$27=""),"",IF(COUNTIFS(EQA.Controllab_Dados!$B$2:$B$5000,B$27,EQA.Controllab_Dados!$D$2:$D$5000,$A71)=0,"—",COUNTIFS(EQA.Controllab_Dados!$B$2:$B$5000,B$27,EQA.Controllab_Dados!$D$2:$D$5000,$A71)))</f>
        <v/>
      </c>
      <c r="C71" t="str">
        <f>IF(OR($A71="",C$27=""),"",IF(COUNTIFS(EQA.Controllab_Dados!$B$2:$B$5000,C$27,EQA.Controllab_Dados!$D$2:$D$5000,$A71)=0,"—",COUNTIFS(EQA.Controllab_Dados!$B$2:$B$5000,C$27,EQA.Controllab_Dados!$D$2:$D$5000,$A71)))</f>
        <v/>
      </c>
      <c r="D71" t="str">
        <f>IF(OR($A71="",D$27=""),"",IF(COUNTIFS(EQA.Controllab_Dados!$B$2:$B$5000,D$27,EQA.Controllab_Dados!$D$2:$D$5000,$A71)=0,"—",COUNTIFS(EQA.Controllab_Dados!$B$2:$B$5000,D$27,EQA.Controllab_Dados!$D$2:$D$5000,$A71)))</f>
        <v/>
      </c>
      <c r="E71" t="str">
        <f>IF(OR($A71="",E$27=""),"",IF(COUNTIFS(EQA.Controllab_Dados!$B$2:$B$5000,E$27,EQA.Controllab_Dados!$D$2:$D$5000,$A71)=0,"—",COUNTIFS(EQA.Controllab_Dados!$B$2:$B$5000,E$27,EQA.Controllab_Dados!$D$2:$D$5000,$A71)))</f>
        <v/>
      </c>
      <c r="F71" t="str">
        <f>IF(OR($A71="",F$27=""),"",IF(COUNTIFS(EQA.Controllab_Dados!$B$2:$B$5000,F$27,EQA.Controllab_Dados!$D$2:$D$5000,$A71)=0,"—",COUNTIFS(EQA.Controllab_Dados!$B$2:$B$5000,F$27,EQA.Controllab_Dados!$D$2:$D$5000,$A71)))</f>
        <v/>
      </c>
      <c r="G71" t="str">
        <f>IF(OR($A71="",G$27=""),"",IF(COUNTIFS(EQA.Controllab_Dados!$B$2:$B$5000,G$27,EQA.Controllab_Dados!$D$2:$D$5000,$A71)=0,"—",COUNTIFS(EQA.Controllab_Dados!$B$2:$B$5000,G$27,EQA.Controllab_Dados!$D$2:$D$5000,$A71)))</f>
        <v/>
      </c>
      <c r="H71" t="str">
        <f>IF(OR($A71="",H$27=""),"",IF(COUNTIFS(EQA.Controllab_Dados!$B$2:$B$5000,H$27,EQA.Controllab_Dados!$D$2:$D$5000,$A71)=0,"—",COUNTIFS(EQA.Controllab_Dados!$B$2:$B$5000,H$27,EQA.Controllab_Dados!$D$2:$D$5000,$A71)))</f>
        <v/>
      </c>
      <c r="I71" t="str">
        <f>IF(OR($A71="",I$27=""),"",IF(COUNTIFS(EQA.Controllab_Dados!$B$2:$B$5000,I$27,EQA.Controllab_Dados!$D$2:$D$5000,$A71)=0,"—",COUNTIFS(EQA.Controllab_Dados!$B$2:$B$5000,I$27,EQA.Controllab_Dados!$D$2:$D$5000,$A71)))</f>
        <v/>
      </c>
      <c r="J71" t="str">
        <f>IF($A71="","",COUNTIF(EQA.Controllab_Dados!$D$2:$D$5000,$A71))</f>
        <v/>
      </c>
    </row>
    <row r="72" spans="1:10" x14ac:dyDescent="0.3">
      <c r="A72" t="str">
        <f>IFERROR(INDEX(EQA.Controllab_Dados!$D$2:$D$5000,MATCH(ROW()-27,EQA.Controllab_Dados!$U$2:$U$5000,0)),"")</f>
        <v/>
      </c>
      <c r="B72" t="str">
        <f>IF(OR($A72="",B$27=""),"",IF(COUNTIFS(EQA.Controllab_Dados!$B$2:$B$5000,B$27,EQA.Controllab_Dados!$D$2:$D$5000,$A72)=0,"—",COUNTIFS(EQA.Controllab_Dados!$B$2:$B$5000,B$27,EQA.Controllab_Dados!$D$2:$D$5000,$A72)))</f>
        <v/>
      </c>
      <c r="C72" t="str">
        <f>IF(OR($A72="",C$27=""),"",IF(COUNTIFS(EQA.Controllab_Dados!$B$2:$B$5000,C$27,EQA.Controllab_Dados!$D$2:$D$5000,$A72)=0,"—",COUNTIFS(EQA.Controllab_Dados!$B$2:$B$5000,C$27,EQA.Controllab_Dados!$D$2:$D$5000,$A72)))</f>
        <v/>
      </c>
      <c r="D72" t="str">
        <f>IF(OR($A72="",D$27=""),"",IF(COUNTIFS(EQA.Controllab_Dados!$B$2:$B$5000,D$27,EQA.Controllab_Dados!$D$2:$D$5000,$A72)=0,"—",COUNTIFS(EQA.Controllab_Dados!$B$2:$B$5000,D$27,EQA.Controllab_Dados!$D$2:$D$5000,$A72)))</f>
        <v/>
      </c>
      <c r="E72" t="str">
        <f>IF(OR($A72="",E$27=""),"",IF(COUNTIFS(EQA.Controllab_Dados!$B$2:$B$5000,E$27,EQA.Controllab_Dados!$D$2:$D$5000,$A72)=0,"—",COUNTIFS(EQA.Controllab_Dados!$B$2:$B$5000,E$27,EQA.Controllab_Dados!$D$2:$D$5000,$A72)))</f>
        <v/>
      </c>
      <c r="F72" t="str">
        <f>IF(OR($A72="",F$27=""),"",IF(COUNTIFS(EQA.Controllab_Dados!$B$2:$B$5000,F$27,EQA.Controllab_Dados!$D$2:$D$5000,$A72)=0,"—",COUNTIFS(EQA.Controllab_Dados!$B$2:$B$5000,F$27,EQA.Controllab_Dados!$D$2:$D$5000,$A72)))</f>
        <v/>
      </c>
      <c r="G72" t="str">
        <f>IF(OR($A72="",G$27=""),"",IF(COUNTIFS(EQA.Controllab_Dados!$B$2:$B$5000,G$27,EQA.Controllab_Dados!$D$2:$D$5000,$A72)=0,"—",COUNTIFS(EQA.Controllab_Dados!$B$2:$B$5000,G$27,EQA.Controllab_Dados!$D$2:$D$5000,$A72)))</f>
        <v/>
      </c>
      <c r="H72" t="str">
        <f>IF(OR($A72="",H$27=""),"",IF(COUNTIFS(EQA.Controllab_Dados!$B$2:$B$5000,H$27,EQA.Controllab_Dados!$D$2:$D$5000,$A72)=0,"—",COUNTIFS(EQA.Controllab_Dados!$B$2:$B$5000,H$27,EQA.Controllab_Dados!$D$2:$D$5000,$A72)))</f>
        <v/>
      </c>
      <c r="I72" t="str">
        <f>IF(OR($A72="",I$27=""),"",IF(COUNTIFS(EQA.Controllab_Dados!$B$2:$B$5000,I$27,EQA.Controllab_Dados!$D$2:$D$5000,$A72)=0,"—",COUNTIFS(EQA.Controllab_Dados!$B$2:$B$5000,I$27,EQA.Controllab_Dados!$D$2:$D$5000,$A72)))</f>
        <v/>
      </c>
      <c r="J72" t="str">
        <f>IF($A72="","",COUNTIF(EQA.Controllab_Dados!$D$2:$D$5000,$A72))</f>
        <v/>
      </c>
    </row>
    <row r="73" spans="1:10" x14ac:dyDescent="0.3">
      <c r="A73" t="str">
        <f>IFERROR(INDEX(EQA.Controllab_Dados!$D$2:$D$5000,MATCH(ROW()-27,EQA.Controllab_Dados!$U$2:$U$5000,0)),"")</f>
        <v/>
      </c>
      <c r="B73" t="str">
        <f>IF(OR($A73="",B$27=""),"",IF(COUNTIFS(EQA.Controllab_Dados!$B$2:$B$5000,B$27,EQA.Controllab_Dados!$D$2:$D$5000,$A73)=0,"—",COUNTIFS(EQA.Controllab_Dados!$B$2:$B$5000,B$27,EQA.Controllab_Dados!$D$2:$D$5000,$A73)))</f>
        <v/>
      </c>
      <c r="C73" t="str">
        <f>IF(OR($A73="",C$27=""),"",IF(COUNTIFS(EQA.Controllab_Dados!$B$2:$B$5000,C$27,EQA.Controllab_Dados!$D$2:$D$5000,$A73)=0,"—",COUNTIFS(EQA.Controllab_Dados!$B$2:$B$5000,C$27,EQA.Controllab_Dados!$D$2:$D$5000,$A73)))</f>
        <v/>
      </c>
      <c r="D73" t="str">
        <f>IF(OR($A73="",D$27=""),"",IF(COUNTIFS(EQA.Controllab_Dados!$B$2:$B$5000,D$27,EQA.Controllab_Dados!$D$2:$D$5000,$A73)=0,"—",COUNTIFS(EQA.Controllab_Dados!$B$2:$B$5000,D$27,EQA.Controllab_Dados!$D$2:$D$5000,$A73)))</f>
        <v/>
      </c>
      <c r="E73" t="str">
        <f>IF(OR($A73="",E$27=""),"",IF(COUNTIFS(EQA.Controllab_Dados!$B$2:$B$5000,E$27,EQA.Controllab_Dados!$D$2:$D$5000,$A73)=0,"—",COUNTIFS(EQA.Controllab_Dados!$B$2:$B$5000,E$27,EQA.Controllab_Dados!$D$2:$D$5000,$A73)))</f>
        <v/>
      </c>
      <c r="F73" t="str">
        <f>IF(OR($A73="",F$27=""),"",IF(COUNTIFS(EQA.Controllab_Dados!$B$2:$B$5000,F$27,EQA.Controllab_Dados!$D$2:$D$5000,$A73)=0,"—",COUNTIFS(EQA.Controllab_Dados!$B$2:$B$5000,F$27,EQA.Controllab_Dados!$D$2:$D$5000,$A73)))</f>
        <v/>
      </c>
      <c r="G73" t="str">
        <f>IF(OR($A73="",G$27=""),"",IF(COUNTIFS(EQA.Controllab_Dados!$B$2:$B$5000,G$27,EQA.Controllab_Dados!$D$2:$D$5000,$A73)=0,"—",COUNTIFS(EQA.Controllab_Dados!$B$2:$B$5000,G$27,EQA.Controllab_Dados!$D$2:$D$5000,$A73)))</f>
        <v/>
      </c>
      <c r="H73" t="str">
        <f>IF(OR($A73="",H$27=""),"",IF(COUNTIFS(EQA.Controllab_Dados!$B$2:$B$5000,H$27,EQA.Controllab_Dados!$D$2:$D$5000,$A73)=0,"—",COUNTIFS(EQA.Controllab_Dados!$B$2:$B$5000,H$27,EQA.Controllab_Dados!$D$2:$D$5000,$A73)))</f>
        <v/>
      </c>
      <c r="I73" t="str">
        <f>IF(OR($A73="",I$27=""),"",IF(COUNTIFS(EQA.Controllab_Dados!$B$2:$B$5000,I$27,EQA.Controllab_Dados!$D$2:$D$5000,$A73)=0,"—",COUNTIFS(EQA.Controllab_Dados!$B$2:$B$5000,I$27,EQA.Controllab_Dados!$D$2:$D$5000,$A73)))</f>
        <v/>
      </c>
      <c r="J73" t="str">
        <f>IF($A73="","",COUNTIF(EQA.Controllab_Dados!$D$2:$D$5000,$A73))</f>
        <v/>
      </c>
    </row>
    <row r="74" spans="1:10" x14ac:dyDescent="0.3">
      <c r="A74" t="str">
        <f>IFERROR(INDEX(EQA.Controllab_Dados!$D$2:$D$5000,MATCH(ROW()-27,EQA.Controllab_Dados!$U$2:$U$5000,0)),"")</f>
        <v/>
      </c>
      <c r="B74" t="str">
        <f>IF(OR($A74="",B$27=""),"",IF(COUNTIFS(EQA.Controllab_Dados!$B$2:$B$5000,B$27,EQA.Controllab_Dados!$D$2:$D$5000,$A74)=0,"—",COUNTIFS(EQA.Controllab_Dados!$B$2:$B$5000,B$27,EQA.Controllab_Dados!$D$2:$D$5000,$A74)))</f>
        <v/>
      </c>
      <c r="C74" t="str">
        <f>IF(OR($A74="",C$27=""),"",IF(COUNTIFS(EQA.Controllab_Dados!$B$2:$B$5000,C$27,EQA.Controllab_Dados!$D$2:$D$5000,$A74)=0,"—",COUNTIFS(EQA.Controllab_Dados!$B$2:$B$5000,C$27,EQA.Controllab_Dados!$D$2:$D$5000,$A74)))</f>
        <v/>
      </c>
      <c r="D74" t="str">
        <f>IF(OR($A74="",D$27=""),"",IF(COUNTIFS(EQA.Controllab_Dados!$B$2:$B$5000,D$27,EQA.Controllab_Dados!$D$2:$D$5000,$A74)=0,"—",COUNTIFS(EQA.Controllab_Dados!$B$2:$B$5000,D$27,EQA.Controllab_Dados!$D$2:$D$5000,$A74)))</f>
        <v/>
      </c>
      <c r="E74" t="str">
        <f>IF(OR($A74="",E$27=""),"",IF(COUNTIFS(EQA.Controllab_Dados!$B$2:$B$5000,E$27,EQA.Controllab_Dados!$D$2:$D$5000,$A74)=0,"—",COUNTIFS(EQA.Controllab_Dados!$B$2:$B$5000,E$27,EQA.Controllab_Dados!$D$2:$D$5000,$A74)))</f>
        <v/>
      </c>
      <c r="F74" t="str">
        <f>IF(OR($A74="",F$27=""),"",IF(COUNTIFS(EQA.Controllab_Dados!$B$2:$B$5000,F$27,EQA.Controllab_Dados!$D$2:$D$5000,$A74)=0,"—",COUNTIFS(EQA.Controllab_Dados!$B$2:$B$5000,F$27,EQA.Controllab_Dados!$D$2:$D$5000,$A74)))</f>
        <v/>
      </c>
      <c r="G74" t="str">
        <f>IF(OR($A74="",G$27=""),"",IF(COUNTIFS(EQA.Controllab_Dados!$B$2:$B$5000,G$27,EQA.Controllab_Dados!$D$2:$D$5000,$A74)=0,"—",COUNTIFS(EQA.Controllab_Dados!$B$2:$B$5000,G$27,EQA.Controllab_Dados!$D$2:$D$5000,$A74)))</f>
        <v/>
      </c>
      <c r="H74" t="str">
        <f>IF(OR($A74="",H$27=""),"",IF(COUNTIFS(EQA.Controllab_Dados!$B$2:$B$5000,H$27,EQA.Controllab_Dados!$D$2:$D$5000,$A74)=0,"—",COUNTIFS(EQA.Controllab_Dados!$B$2:$B$5000,H$27,EQA.Controllab_Dados!$D$2:$D$5000,$A74)))</f>
        <v/>
      </c>
      <c r="I74" t="str">
        <f>IF(OR($A74="",I$27=""),"",IF(COUNTIFS(EQA.Controllab_Dados!$B$2:$B$5000,I$27,EQA.Controllab_Dados!$D$2:$D$5000,$A74)=0,"—",COUNTIFS(EQA.Controllab_Dados!$B$2:$B$5000,I$27,EQA.Controllab_Dados!$D$2:$D$5000,$A74)))</f>
        <v/>
      </c>
      <c r="J74" t="str">
        <f>IF($A74="","",COUNTIF(EQA.Controllab_Dados!$D$2:$D$5000,$A74))</f>
        <v/>
      </c>
    </row>
    <row r="75" spans="1:10" x14ac:dyDescent="0.3">
      <c r="A75" t="str">
        <f>IFERROR(INDEX(EQA.Controllab_Dados!$D$2:$D$5000,MATCH(ROW()-27,EQA.Controllab_Dados!$U$2:$U$5000,0)),"")</f>
        <v/>
      </c>
      <c r="B75" t="str">
        <f>IF(OR($A75="",B$27=""),"",IF(COUNTIFS(EQA.Controllab_Dados!$B$2:$B$5000,B$27,EQA.Controllab_Dados!$D$2:$D$5000,$A75)=0,"—",COUNTIFS(EQA.Controllab_Dados!$B$2:$B$5000,B$27,EQA.Controllab_Dados!$D$2:$D$5000,$A75)))</f>
        <v/>
      </c>
      <c r="C75" t="str">
        <f>IF(OR($A75="",C$27=""),"",IF(COUNTIFS(EQA.Controllab_Dados!$B$2:$B$5000,C$27,EQA.Controllab_Dados!$D$2:$D$5000,$A75)=0,"—",COUNTIFS(EQA.Controllab_Dados!$B$2:$B$5000,C$27,EQA.Controllab_Dados!$D$2:$D$5000,$A75)))</f>
        <v/>
      </c>
      <c r="D75" t="str">
        <f>IF(OR($A75="",D$27=""),"",IF(COUNTIFS(EQA.Controllab_Dados!$B$2:$B$5000,D$27,EQA.Controllab_Dados!$D$2:$D$5000,$A75)=0,"—",COUNTIFS(EQA.Controllab_Dados!$B$2:$B$5000,D$27,EQA.Controllab_Dados!$D$2:$D$5000,$A75)))</f>
        <v/>
      </c>
      <c r="E75" t="str">
        <f>IF(OR($A75="",E$27=""),"",IF(COUNTIFS(EQA.Controllab_Dados!$B$2:$B$5000,E$27,EQA.Controllab_Dados!$D$2:$D$5000,$A75)=0,"—",COUNTIFS(EQA.Controllab_Dados!$B$2:$B$5000,E$27,EQA.Controllab_Dados!$D$2:$D$5000,$A75)))</f>
        <v/>
      </c>
      <c r="F75" t="str">
        <f>IF(OR($A75="",F$27=""),"",IF(COUNTIFS(EQA.Controllab_Dados!$B$2:$B$5000,F$27,EQA.Controllab_Dados!$D$2:$D$5000,$A75)=0,"—",COUNTIFS(EQA.Controllab_Dados!$B$2:$B$5000,F$27,EQA.Controllab_Dados!$D$2:$D$5000,$A75)))</f>
        <v/>
      </c>
      <c r="G75" t="str">
        <f>IF(OR($A75="",G$27=""),"",IF(COUNTIFS(EQA.Controllab_Dados!$B$2:$B$5000,G$27,EQA.Controllab_Dados!$D$2:$D$5000,$A75)=0,"—",COUNTIFS(EQA.Controllab_Dados!$B$2:$B$5000,G$27,EQA.Controllab_Dados!$D$2:$D$5000,$A75)))</f>
        <v/>
      </c>
      <c r="H75" t="str">
        <f>IF(OR($A75="",H$27=""),"",IF(COUNTIFS(EQA.Controllab_Dados!$B$2:$B$5000,H$27,EQA.Controllab_Dados!$D$2:$D$5000,$A75)=0,"—",COUNTIFS(EQA.Controllab_Dados!$B$2:$B$5000,H$27,EQA.Controllab_Dados!$D$2:$D$5000,$A75)))</f>
        <v/>
      </c>
      <c r="I75" t="str">
        <f>IF(OR($A75="",I$27=""),"",IF(COUNTIFS(EQA.Controllab_Dados!$B$2:$B$5000,I$27,EQA.Controllab_Dados!$D$2:$D$5000,$A75)=0,"—",COUNTIFS(EQA.Controllab_Dados!$B$2:$B$5000,I$27,EQA.Controllab_Dados!$D$2:$D$5000,$A75)))</f>
        <v/>
      </c>
      <c r="J75" t="str">
        <f>IF($A75="","",COUNTIF(EQA.Controllab_Dados!$D$2:$D$5000,$A75))</f>
        <v/>
      </c>
    </row>
    <row r="76" spans="1:10" x14ac:dyDescent="0.3">
      <c r="A76" t="str">
        <f>IFERROR(INDEX(EQA.Controllab_Dados!$D$2:$D$5000,MATCH(ROW()-27,EQA.Controllab_Dados!$U$2:$U$5000,0)),"")</f>
        <v/>
      </c>
      <c r="B76" t="str">
        <f>IF(OR($A76="",B$27=""),"",IF(COUNTIFS(EQA.Controllab_Dados!$B$2:$B$5000,B$27,EQA.Controllab_Dados!$D$2:$D$5000,$A76)=0,"—",COUNTIFS(EQA.Controllab_Dados!$B$2:$B$5000,B$27,EQA.Controllab_Dados!$D$2:$D$5000,$A76)))</f>
        <v/>
      </c>
      <c r="C76" t="str">
        <f>IF(OR($A76="",C$27=""),"",IF(COUNTIFS(EQA.Controllab_Dados!$B$2:$B$5000,C$27,EQA.Controllab_Dados!$D$2:$D$5000,$A76)=0,"—",COUNTIFS(EQA.Controllab_Dados!$B$2:$B$5000,C$27,EQA.Controllab_Dados!$D$2:$D$5000,$A76)))</f>
        <v/>
      </c>
      <c r="D76" t="str">
        <f>IF(OR($A76="",D$27=""),"",IF(COUNTIFS(EQA.Controllab_Dados!$B$2:$B$5000,D$27,EQA.Controllab_Dados!$D$2:$D$5000,$A76)=0,"—",COUNTIFS(EQA.Controllab_Dados!$B$2:$B$5000,D$27,EQA.Controllab_Dados!$D$2:$D$5000,$A76)))</f>
        <v/>
      </c>
      <c r="E76" t="str">
        <f>IF(OR($A76="",E$27=""),"",IF(COUNTIFS(EQA.Controllab_Dados!$B$2:$B$5000,E$27,EQA.Controllab_Dados!$D$2:$D$5000,$A76)=0,"—",COUNTIFS(EQA.Controllab_Dados!$B$2:$B$5000,E$27,EQA.Controllab_Dados!$D$2:$D$5000,$A76)))</f>
        <v/>
      </c>
      <c r="F76" t="str">
        <f>IF(OR($A76="",F$27=""),"",IF(COUNTIFS(EQA.Controllab_Dados!$B$2:$B$5000,F$27,EQA.Controllab_Dados!$D$2:$D$5000,$A76)=0,"—",COUNTIFS(EQA.Controllab_Dados!$B$2:$B$5000,F$27,EQA.Controllab_Dados!$D$2:$D$5000,$A76)))</f>
        <v/>
      </c>
      <c r="G76" t="str">
        <f>IF(OR($A76="",G$27=""),"",IF(COUNTIFS(EQA.Controllab_Dados!$B$2:$B$5000,G$27,EQA.Controllab_Dados!$D$2:$D$5000,$A76)=0,"—",COUNTIFS(EQA.Controllab_Dados!$B$2:$B$5000,G$27,EQA.Controllab_Dados!$D$2:$D$5000,$A76)))</f>
        <v/>
      </c>
      <c r="H76" t="str">
        <f>IF(OR($A76="",H$27=""),"",IF(COUNTIFS(EQA.Controllab_Dados!$B$2:$B$5000,H$27,EQA.Controllab_Dados!$D$2:$D$5000,$A76)=0,"—",COUNTIFS(EQA.Controllab_Dados!$B$2:$B$5000,H$27,EQA.Controllab_Dados!$D$2:$D$5000,$A76)))</f>
        <v/>
      </c>
      <c r="I76" t="str">
        <f>IF(OR($A76="",I$27=""),"",IF(COUNTIFS(EQA.Controllab_Dados!$B$2:$B$5000,I$27,EQA.Controllab_Dados!$D$2:$D$5000,$A76)=0,"—",COUNTIFS(EQA.Controllab_Dados!$B$2:$B$5000,I$27,EQA.Controllab_Dados!$D$2:$D$5000,$A76)))</f>
        <v/>
      </c>
      <c r="J76" t="str">
        <f>IF($A76="","",COUNTIF(EQA.Controllab_Dados!$D$2:$D$5000,$A76))</f>
        <v/>
      </c>
    </row>
    <row r="77" spans="1:10" x14ac:dyDescent="0.3">
      <c r="A77" t="str">
        <f>IFERROR(INDEX(EQA.Controllab_Dados!$D$2:$D$5000,MATCH(ROW()-27,EQA.Controllab_Dados!$U$2:$U$5000,0)),"")</f>
        <v/>
      </c>
      <c r="B77" t="str">
        <f>IF(OR($A77="",B$27=""),"",IF(COUNTIFS(EQA.Controllab_Dados!$B$2:$B$5000,B$27,EQA.Controllab_Dados!$D$2:$D$5000,$A77)=0,"—",COUNTIFS(EQA.Controllab_Dados!$B$2:$B$5000,B$27,EQA.Controllab_Dados!$D$2:$D$5000,$A77)))</f>
        <v/>
      </c>
      <c r="C77" t="str">
        <f>IF(OR($A77="",C$27=""),"",IF(COUNTIFS(EQA.Controllab_Dados!$B$2:$B$5000,C$27,EQA.Controllab_Dados!$D$2:$D$5000,$A77)=0,"—",COUNTIFS(EQA.Controllab_Dados!$B$2:$B$5000,C$27,EQA.Controllab_Dados!$D$2:$D$5000,$A77)))</f>
        <v/>
      </c>
      <c r="D77" t="str">
        <f>IF(OR($A77="",D$27=""),"",IF(COUNTIFS(EQA.Controllab_Dados!$B$2:$B$5000,D$27,EQA.Controllab_Dados!$D$2:$D$5000,$A77)=0,"—",COUNTIFS(EQA.Controllab_Dados!$B$2:$B$5000,D$27,EQA.Controllab_Dados!$D$2:$D$5000,$A77)))</f>
        <v/>
      </c>
      <c r="E77" t="str">
        <f>IF(OR($A77="",E$27=""),"",IF(COUNTIFS(EQA.Controllab_Dados!$B$2:$B$5000,E$27,EQA.Controllab_Dados!$D$2:$D$5000,$A77)=0,"—",COUNTIFS(EQA.Controllab_Dados!$B$2:$B$5000,E$27,EQA.Controllab_Dados!$D$2:$D$5000,$A77)))</f>
        <v/>
      </c>
      <c r="F77" t="str">
        <f>IF(OR($A77="",F$27=""),"",IF(COUNTIFS(EQA.Controllab_Dados!$B$2:$B$5000,F$27,EQA.Controllab_Dados!$D$2:$D$5000,$A77)=0,"—",COUNTIFS(EQA.Controllab_Dados!$B$2:$B$5000,F$27,EQA.Controllab_Dados!$D$2:$D$5000,$A77)))</f>
        <v/>
      </c>
      <c r="G77" t="str">
        <f>IF(OR($A77="",G$27=""),"",IF(COUNTIFS(EQA.Controllab_Dados!$B$2:$B$5000,G$27,EQA.Controllab_Dados!$D$2:$D$5000,$A77)=0,"—",COUNTIFS(EQA.Controllab_Dados!$B$2:$B$5000,G$27,EQA.Controllab_Dados!$D$2:$D$5000,$A77)))</f>
        <v/>
      </c>
      <c r="H77" t="str">
        <f>IF(OR($A77="",H$27=""),"",IF(COUNTIFS(EQA.Controllab_Dados!$B$2:$B$5000,H$27,EQA.Controllab_Dados!$D$2:$D$5000,$A77)=0,"—",COUNTIFS(EQA.Controllab_Dados!$B$2:$B$5000,H$27,EQA.Controllab_Dados!$D$2:$D$5000,$A77)))</f>
        <v/>
      </c>
      <c r="I77" t="str">
        <f>IF(OR($A77="",I$27=""),"",IF(COUNTIFS(EQA.Controllab_Dados!$B$2:$B$5000,I$27,EQA.Controllab_Dados!$D$2:$D$5000,$A77)=0,"—",COUNTIFS(EQA.Controllab_Dados!$B$2:$B$5000,I$27,EQA.Controllab_Dados!$D$2:$D$5000,$A77)))</f>
        <v/>
      </c>
      <c r="J77" t="str">
        <f>IF($A77="","",COUNTIF(EQA.Controllab_Dados!$D$2:$D$5000,$A77))</f>
        <v/>
      </c>
    </row>
    <row r="78" spans="1:10" x14ac:dyDescent="0.3">
      <c r="A78" t="str">
        <f>IFERROR(INDEX(EQA.Controllab_Dados!$D$2:$D$5000,MATCH(ROW()-27,EQA.Controllab_Dados!$U$2:$U$5000,0)),"")</f>
        <v/>
      </c>
      <c r="B78" t="str">
        <f>IF(OR($A78="",B$27=""),"",IF(COUNTIFS(EQA.Controllab_Dados!$B$2:$B$5000,B$27,EQA.Controllab_Dados!$D$2:$D$5000,$A78)=0,"—",COUNTIFS(EQA.Controllab_Dados!$B$2:$B$5000,B$27,EQA.Controllab_Dados!$D$2:$D$5000,$A78)))</f>
        <v/>
      </c>
      <c r="C78" t="str">
        <f>IF(OR($A78="",C$27=""),"",IF(COUNTIFS(EQA.Controllab_Dados!$B$2:$B$5000,C$27,EQA.Controllab_Dados!$D$2:$D$5000,$A78)=0,"—",COUNTIFS(EQA.Controllab_Dados!$B$2:$B$5000,C$27,EQA.Controllab_Dados!$D$2:$D$5000,$A78)))</f>
        <v/>
      </c>
      <c r="D78" t="str">
        <f>IF(OR($A78="",D$27=""),"",IF(COUNTIFS(EQA.Controllab_Dados!$B$2:$B$5000,D$27,EQA.Controllab_Dados!$D$2:$D$5000,$A78)=0,"—",COUNTIFS(EQA.Controllab_Dados!$B$2:$B$5000,D$27,EQA.Controllab_Dados!$D$2:$D$5000,$A78)))</f>
        <v/>
      </c>
      <c r="E78" t="str">
        <f>IF(OR($A78="",E$27=""),"",IF(COUNTIFS(EQA.Controllab_Dados!$B$2:$B$5000,E$27,EQA.Controllab_Dados!$D$2:$D$5000,$A78)=0,"—",COUNTIFS(EQA.Controllab_Dados!$B$2:$B$5000,E$27,EQA.Controllab_Dados!$D$2:$D$5000,$A78)))</f>
        <v/>
      </c>
      <c r="F78" t="str">
        <f>IF(OR($A78="",F$27=""),"",IF(COUNTIFS(EQA.Controllab_Dados!$B$2:$B$5000,F$27,EQA.Controllab_Dados!$D$2:$D$5000,$A78)=0,"—",COUNTIFS(EQA.Controllab_Dados!$B$2:$B$5000,F$27,EQA.Controllab_Dados!$D$2:$D$5000,$A78)))</f>
        <v/>
      </c>
      <c r="G78" t="str">
        <f>IF(OR($A78="",G$27=""),"",IF(COUNTIFS(EQA.Controllab_Dados!$B$2:$B$5000,G$27,EQA.Controllab_Dados!$D$2:$D$5000,$A78)=0,"—",COUNTIFS(EQA.Controllab_Dados!$B$2:$B$5000,G$27,EQA.Controllab_Dados!$D$2:$D$5000,$A78)))</f>
        <v/>
      </c>
      <c r="H78" t="str">
        <f>IF(OR($A78="",H$27=""),"",IF(COUNTIFS(EQA.Controllab_Dados!$B$2:$B$5000,H$27,EQA.Controllab_Dados!$D$2:$D$5000,$A78)=0,"—",COUNTIFS(EQA.Controllab_Dados!$B$2:$B$5000,H$27,EQA.Controllab_Dados!$D$2:$D$5000,$A78)))</f>
        <v/>
      </c>
      <c r="I78" t="str">
        <f>IF(OR($A78="",I$27=""),"",IF(COUNTIFS(EQA.Controllab_Dados!$B$2:$B$5000,I$27,EQA.Controllab_Dados!$D$2:$D$5000,$A78)=0,"—",COUNTIFS(EQA.Controllab_Dados!$B$2:$B$5000,I$27,EQA.Controllab_Dados!$D$2:$D$5000,$A78)))</f>
        <v/>
      </c>
      <c r="J78" t="str">
        <f>IF($A78="","",COUNTIF(EQA.Controllab_Dados!$D$2:$D$5000,$A78))</f>
        <v/>
      </c>
    </row>
    <row r="79" spans="1:10" x14ac:dyDescent="0.3">
      <c r="A79" t="str">
        <f>IFERROR(INDEX(EQA.Controllab_Dados!$D$2:$D$5000,MATCH(ROW()-27,EQA.Controllab_Dados!$U$2:$U$5000,0)),"")</f>
        <v/>
      </c>
      <c r="B79" t="str">
        <f>IF(OR($A79="",B$27=""),"",IF(COUNTIFS(EQA.Controllab_Dados!$B$2:$B$5000,B$27,EQA.Controllab_Dados!$D$2:$D$5000,$A79)=0,"—",COUNTIFS(EQA.Controllab_Dados!$B$2:$B$5000,B$27,EQA.Controllab_Dados!$D$2:$D$5000,$A79)))</f>
        <v/>
      </c>
      <c r="C79" t="str">
        <f>IF(OR($A79="",C$27=""),"",IF(COUNTIFS(EQA.Controllab_Dados!$B$2:$B$5000,C$27,EQA.Controllab_Dados!$D$2:$D$5000,$A79)=0,"—",COUNTIFS(EQA.Controllab_Dados!$B$2:$B$5000,C$27,EQA.Controllab_Dados!$D$2:$D$5000,$A79)))</f>
        <v/>
      </c>
      <c r="D79" t="str">
        <f>IF(OR($A79="",D$27=""),"",IF(COUNTIFS(EQA.Controllab_Dados!$B$2:$B$5000,D$27,EQA.Controllab_Dados!$D$2:$D$5000,$A79)=0,"—",COUNTIFS(EQA.Controllab_Dados!$B$2:$B$5000,D$27,EQA.Controllab_Dados!$D$2:$D$5000,$A79)))</f>
        <v/>
      </c>
      <c r="E79" t="str">
        <f>IF(OR($A79="",E$27=""),"",IF(COUNTIFS(EQA.Controllab_Dados!$B$2:$B$5000,E$27,EQA.Controllab_Dados!$D$2:$D$5000,$A79)=0,"—",COUNTIFS(EQA.Controllab_Dados!$B$2:$B$5000,E$27,EQA.Controllab_Dados!$D$2:$D$5000,$A79)))</f>
        <v/>
      </c>
      <c r="F79" t="str">
        <f>IF(OR($A79="",F$27=""),"",IF(COUNTIFS(EQA.Controllab_Dados!$B$2:$B$5000,F$27,EQA.Controllab_Dados!$D$2:$D$5000,$A79)=0,"—",COUNTIFS(EQA.Controllab_Dados!$B$2:$B$5000,F$27,EQA.Controllab_Dados!$D$2:$D$5000,$A79)))</f>
        <v/>
      </c>
      <c r="G79" t="str">
        <f>IF(OR($A79="",G$27=""),"",IF(COUNTIFS(EQA.Controllab_Dados!$B$2:$B$5000,G$27,EQA.Controllab_Dados!$D$2:$D$5000,$A79)=0,"—",COUNTIFS(EQA.Controllab_Dados!$B$2:$B$5000,G$27,EQA.Controllab_Dados!$D$2:$D$5000,$A79)))</f>
        <v/>
      </c>
      <c r="H79" t="str">
        <f>IF(OR($A79="",H$27=""),"",IF(COUNTIFS(EQA.Controllab_Dados!$B$2:$B$5000,H$27,EQA.Controllab_Dados!$D$2:$D$5000,$A79)=0,"—",COUNTIFS(EQA.Controllab_Dados!$B$2:$B$5000,H$27,EQA.Controllab_Dados!$D$2:$D$5000,$A79)))</f>
        <v/>
      </c>
      <c r="I79" t="str">
        <f>IF(OR($A79="",I$27=""),"",IF(COUNTIFS(EQA.Controllab_Dados!$B$2:$B$5000,I$27,EQA.Controllab_Dados!$D$2:$D$5000,$A79)=0,"—",COUNTIFS(EQA.Controllab_Dados!$B$2:$B$5000,I$27,EQA.Controllab_Dados!$D$2:$D$5000,$A79)))</f>
        <v/>
      </c>
      <c r="J79" t="str">
        <f>IF($A79="","",COUNTIF(EQA.Controllab_Dados!$D$2:$D$5000,$A79))</f>
        <v/>
      </c>
    </row>
    <row r="80" spans="1:10" x14ac:dyDescent="0.3">
      <c r="A80" t="str">
        <f>IFERROR(INDEX(EQA.Controllab_Dados!$D$2:$D$5000,MATCH(ROW()-27,EQA.Controllab_Dados!$U$2:$U$5000,0)),"")</f>
        <v/>
      </c>
      <c r="B80" t="str">
        <f>IF(OR($A80="",B$27=""),"",IF(COUNTIFS(EQA.Controllab_Dados!$B$2:$B$5000,B$27,EQA.Controllab_Dados!$D$2:$D$5000,$A80)=0,"—",COUNTIFS(EQA.Controllab_Dados!$B$2:$B$5000,B$27,EQA.Controllab_Dados!$D$2:$D$5000,$A80)))</f>
        <v/>
      </c>
      <c r="C80" t="str">
        <f>IF(OR($A80="",C$27=""),"",IF(COUNTIFS(EQA.Controllab_Dados!$B$2:$B$5000,C$27,EQA.Controllab_Dados!$D$2:$D$5000,$A80)=0,"—",COUNTIFS(EQA.Controllab_Dados!$B$2:$B$5000,C$27,EQA.Controllab_Dados!$D$2:$D$5000,$A80)))</f>
        <v/>
      </c>
      <c r="D80" t="str">
        <f>IF(OR($A80="",D$27=""),"",IF(COUNTIFS(EQA.Controllab_Dados!$B$2:$B$5000,D$27,EQA.Controllab_Dados!$D$2:$D$5000,$A80)=0,"—",COUNTIFS(EQA.Controllab_Dados!$B$2:$B$5000,D$27,EQA.Controllab_Dados!$D$2:$D$5000,$A80)))</f>
        <v/>
      </c>
      <c r="E80" t="str">
        <f>IF(OR($A80="",E$27=""),"",IF(COUNTIFS(EQA.Controllab_Dados!$B$2:$B$5000,E$27,EQA.Controllab_Dados!$D$2:$D$5000,$A80)=0,"—",COUNTIFS(EQA.Controllab_Dados!$B$2:$B$5000,E$27,EQA.Controllab_Dados!$D$2:$D$5000,$A80)))</f>
        <v/>
      </c>
      <c r="F80" t="str">
        <f>IF(OR($A80="",F$27=""),"",IF(COUNTIFS(EQA.Controllab_Dados!$B$2:$B$5000,F$27,EQA.Controllab_Dados!$D$2:$D$5000,$A80)=0,"—",COUNTIFS(EQA.Controllab_Dados!$B$2:$B$5000,F$27,EQA.Controllab_Dados!$D$2:$D$5000,$A80)))</f>
        <v/>
      </c>
      <c r="G80" t="str">
        <f>IF(OR($A80="",G$27=""),"",IF(COUNTIFS(EQA.Controllab_Dados!$B$2:$B$5000,G$27,EQA.Controllab_Dados!$D$2:$D$5000,$A80)=0,"—",COUNTIFS(EQA.Controllab_Dados!$B$2:$B$5000,G$27,EQA.Controllab_Dados!$D$2:$D$5000,$A80)))</f>
        <v/>
      </c>
      <c r="H80" t="str">
        <f>IF(OR($A80="",H$27=""),"",IF(COUNTIFS(EQA.Controllab_Dados!$B$2:$B$5000,H$27,EQA.Controllab_Dados!$D$2:$D$5000,$A80)=0,"—",COUNTIFS(EQA.Controllab_Dados!$B$2:$B$5000,H$27,EQA.Controllab_Dados!$D$2:$D$5000,$A80)))</f>
        <v/>
      </c>
      <c r="I80" t="str">
        <f>IF(OR($A80="",I$27=""),"",IF(COUNTIFS(EQA.Controllab_Dados!$B$2:$B$5000,I$27,EQA.Controllab_Dados!$D$2:$D$5000,$A80)=0,"—",COUNTIFS(EQA.Controllab_Dados!$B$2:$B$5000,I$27,EQA.Controllab_Dados!$D$2:$D$5000,$A80)))</f>
        <v/>
      </c>
      <c r="J80" t="str">
        <f>IF($A80="","",COUNTIF(EQA.Controllab_Dados!$D$2:$D$5000,$A80))</f>
        <v/>
      </c>
    </row>
    <row r="81" spans="1:10" x14ac:dyDescent="0.3">
      <c r="A81" t="str">
        <f>IFERROR(INDEX(EQA.Controllab_Dados!$D$2:$D$5000,MATCH(ROW()-27,EQA.Controllab_Dados!$U$2:$U$5000,0)),"")</f>
        <v/>
      </c>
      <c r="B81" t="str">
        <f>IF(OR($A81="",B$27=""),"",IF(COUNTIFS(EQA.Controllab_Dados!$B$2:$B$5000,B$27,EQA.Controllab_Dados!$D$2:$D$5000,$A81)=0,"—",COUNTIFS(EQA.Controllab_Dados!$B$2:$B$5000,B$27,EQA.Controllab_Dados!$D$2:$D$5000,$A81)))</f>
        <v/>
      </c>
      <c r="C81" t="str">
        <f>IF(OR($A81="",C$27=""),"",IF(COUNTIFS(EQA.Controllab_Dados!$B$2:$B$5000,C$27,EQA.Controllab_Dados!$D$2:$D$5000,$A81)=0,"—",COUNTIFS(EQA.Controllab_Dados!$B$2:$B$5000,C$27,EQA.Controllab_Dados!$D$2:$D$5000,$A81)))</f>
        <v/>
      </c>
      <c r="D81" t="str">
        <f>IF(OR($A81="",D$27=""),"",IF(COUNTIFS(EQA.Controllab_Dados!$B$2:$B$5000,D$27,EQA.Controllab_Dados!$D$2:$D$5000,$A81)=0,"—",COUNTIFS(EQA.Controllab_Dados!$B$2:$B$5000,D$27,EQA.Controllab_Dados!$D$2:$D$5000,$A81)))</f>
        <v/>
      </c>
      <c r="E81" t="str">
        <f>IF(OR($A81="",E$27=""),"",IF(COUNTIFS(EQA.Controllab_Dados!$B$2:$B$5000,E$27,EQA.Controllab_Dados!$D$2:$D$5000,$A81)=0,"—",COUNTIFS(EQA.Controllab_Dados!$B$2:$B$5000,E$27,EQA.Controllab_Dados!$D$2:$D$5000,$A81)))</f>
        <v/>
      </c>
      <c r="F81" t="str">
        <f>IF(OR($A81="",F$27=""),"",IF(COUNTIFS(EQA.Controllab_Dados!$B$2:$B$5000,F$27,EQA.Controllab_Dados!$D$2:$D$5000,$A81)=0,"—",COUNTIFS(EQA.Controllab_Dados!$B$2:$B$5000,F$27,EQA.Controllab_Dados!$D$2:$D$5000,$A81)))</f>
        <v/>
      </c>
      <c r="G81" t="str">
        <f>IF(OR($A81="",G$27=""),"",IF(COUNTIFS(EQA.Controllab_Dados!$B$2:$B$5000,G$27,EQA.Controllab_Dados!$D$2:$D$5000,$A81)=0,"—",COUNTIFS(EQA.Controllab_Dados!$B$2:$B$5000,G$27,EQA.Controllab_Dados!$D$2:$D$5000,$A81)))</f>
        <v/>
      </c>
      <c r="H81" t="str">
        <f>IF(OR($A81="",H$27=""),"",IF(COUNTIFS(EQA.Controllab_Dados!$B$2:$B$5000,H$27,EQA.Controllab_Dados!$D$2:$D$5000,$A81)=0,"—",COUNTIFS(EQA.Controllab_Dados!$B$2:$B$5000,H$27,EQA.Controllab_Dados!$D$2:$D$5000,$A81)))</f>
        <v/>
      </c>
      <c r="I81" t="str">
        <f>IF(OR($A81="",I$27=""),"",IF(COUNTIFS(EQA.Controllab_Dados!$B$2:$B$5000,I$27,EQA.Controllab_Dados!$D$2:$D$5000,$A81)=0,"—",COUNTIFS(EQA.Controllab_Dados!$B$2:$B$5000,I$27,EQA.Controllab_Dados!$D$2:$D$5000,$A81)))</f>
        <v/>
      </c>
      <c r="J81" t="str">
        <f>IF($A81="","",COUNTIF(EQA.Controllab_Dados!$D$2:$D$5000,$A81))</f>
        <v/>
      </c>
    </row>
    <row r="82" spans="1:10" x14ac:dyDescent="0.3">
      <c r="A82" t="str">
        <f>IFERROR(INDEX(EQA.Controllab_Dados!$D$2:$D$5000,MATCH(ROW()-27,EQA.Controllab_Dados!$U$2:$U$5000,0)),"")</f>
        <v/>
      </c>
      <c r="B82" t="str">
        <f>IF(OR($A82="",B$27=""),"",IF(COUNTIFS(EQA.Controllab_Dados!$B$2:$B$5000,B$27,EQA.Controllab_Dados!$D$2:$D$5000,$A82)=0,"—",COUNTIFS(EQA.Controllab_Dados!$B$2:$B$5000,B$27,EQA.Controllab_Dados!$D$2:$D$5000,$A82)))</f>
        <v/>
      </c>
      <c r="C82" t="str">
        <f>IF(OR($A82="",C$27=""),"",IF(COUNTIFS(EQA.Controllab_Dados!$B$2:$B$5000,C$27,EQA.Controllab_Dados!$D$2:$D$5000,$A82)=0,"—",COUNTIFS(EQA.Controllab_Dados!$B$2:$B$5000,C$27,EQA.Controllab_Dados!$D$2:$D$5000,$A82)))</f>
        <v/>
      </c>
      <c r="D82" t="str">
        <f>IF(OR($A82="",D$27=""),"",IF(COUNTIFS(EQA.Controllab_Dados!$B$2:$B$5000,D$27,EQA.Controllab_Dados!$D$2:$D$5000,$A82)=0,"—",COUNTIFS(EQA.Controllab_Dados!$B$2:$B$5000,D$27,EQA.Controllab_Dados!$D$2:$D$5000,$A82)))</f>
        <v/>
      </c>
      <c r="E82" t="str">
        <f>IF(OR($A82="",E$27=""),"",IF(COUNTIFS(EQA.Controllab_Dados!$B$2:$B$5000,E$27,EQA.Controllab_Dados!$D$2:$D$5000,$A82)=0,"—",COUNTIFS(EQA.Controllab_Dados!$B$2:$B$5000,E$27,EQA.Controllab_Dados!$D$2:$D$5000,$A82)))</f>
        <v/>
      </c>
      <c r="F82" t="str">
        <f>IF(OR($A82="",F$27=""),"",IF(COUNTIFS(EQA.Controllab_Dados!$B$2:$B$5000,F$27,EQA.Controllab_Dados!$D$2:$D$5000,$A82)=0,"—",COUNTIFS(EQA.Controllab_Dados!$B$2:$B$5000,F$27,EQA.Controllab_Dados!$D$2:$D$5000,$A82)))</f>
        <v/>
      </c>
      <c r="G82" t="str">
        <f>IF(OR($A82="",G$27=""),"",IF(COUNTIFS(EQA.Controllab_Dados!$B$2:$B$5000,G$27,EQA.Controllab_Dados!$D$2:$D$5000,$A82)=0,"—",COUNTIFS(EQA.Controllab_Dados!$B$2:$B$5000,G$27,EQA.Controllab_Dados!$D$2:$D$5000,$A82)))</f>
        <v/>
      </c>
      <c r="H82" t="str">
        <f>IF(OR($A82="",H$27=""),"",IF(COUNTIFS(EQA.Controllab_Dados!$B$2:$B$5000,H$27,EQA.Controllab_Dados!$D$2:$D$5000,$A82)=0,"—",COUNTIFS(EQA.Controllab_Dados!$B$2:$B$5000,H$27,EQA.Controllab_Dados!$D$2:$D$5000,$A82)))</f>
        <v/>
      </c>
      <c r="I82" t="str">
        <f>IF(OR($A82="",I$27=""),"",IF(COUNTIFS(EQA.Controllab_Dados!$B$2:$B$5000,I$27,EQA.Controllab_Dados!$D$2:$D$5000,$A82)=0,"—",COUNTIFS(EQA.Controllab_Dados!$B$2:$B$5000,I$27,EQA.Controllab_Dados!$D$2:$D$5000,$A82)))</f>
        <v/>
      </c>
      <c r="J82" t="str">
        <f>IF($A82="","",COUNTIF(EQA.Controllab_Dados!$D$2:$D$5000,$A82))</f>
        <v/>
      </c>
    </row>
    <row r="83" spans="1:10" x14ac:dyDescent="0.3">
      <c r="A83" t="str">
        <f>IFERROR(INDEX(EQA.Controllab_Dados!$D$2:$D$5000,MATCH(ROW()-27,EQA.Controllab_Dados!$U$2:$U$5000,0)),"")</f>
        <v/>
      </c>
      <c r="B83" t="str">
        <f>IF(OR($A83="",B$27=""),"",IF(COUNTIFS(EQA.Controllab_Dados!$B$2:$B$5000,B$27,EQA.Controllab_Dados!$D$2:$D$5000,$A83)=0,"—",COUNTIFS(EQA.Controllab_Dados!$B$2:$B$5000,B$27,EQA.Controllab_Dados!$D$2:$D$5000,$A83)))</f>
        <v/>
      </c>
      <c r="C83" t="str">
        <f>IF(OR($A83="",C$27=""),"",IF(COUNTIFS(EQA.Controllab_Dados!$B$2:$B$5000,C$27,EQA.Controllab_Dados!$D$2:$D$5000,$A83)=0,"—",COUNTIFS(EQA.Controllab_Dados!$B$2:$B$5000,C$27,EQA.Controllab_Dados!$D$2:$D$5000,$A83)))</f>
        <v/>
      </c>
      <c r="D83" t="str">
        <f>IF(OR($A83="",D$27=""),"",IF(COUNTIFS(EQA.Controllab_Dados!$B$2:$B$5000,D$27,EQA.Controllab_Dados!$D$2:$D$5000,$A83)=0,"—",COUNTIFS(EQA.Controllab_Dados!$B$2:$B$5000,D$27,EQA.Controllab_Dados!$D$2:$D$5000,$A83)))</f>
        <v/>
      </c>
      <c r="E83" t="str">
        <f>IF(OR($A83="",E$27=""),"",IF(COUNTIFS(EQA.Controllab_Dados!$B$2:$B$5000,E$27,EQA.Controllab_Dados!$D$2:$D$5000,$A83)=0,"—",COUNTIFS(EQA.Controllab_Dados!$B$2:$B$5000,E$27,EQA.Controllab_Dados!$D$2:$D$5000,$A83)))</f>
        <v/>
      </c>
      <c r="F83" t="str">
        <f>IF(OR($A83="",F$27=""),"",IF(COUNTIFS(EQA.Controllab_Dados!$B$2:$B$5000,F$27,EQA.Controllab_Dados!$D$2:$D$5000,$A83)=0,"—",COUNTIFS(EQA.Controllab_Dados!$B$2:$B$5000,F$27,EQA.Controllab_Dados!$D$2:$D$5000,$A83)))</f>
        <v/>
      </c>
      <c r="G83" t="str">
        <f>IF(OR($A83="",G$27=""),"",IF(COUNTIFS(EQA.Controllab_Dados!$B$2:$B$5000,G$27,EQA.Controllab_Dados!$D$2:$D$5000,$A83)=0,"—",COUNTIFS(EQA.Controllab_Dados!$B$2:$B$5000,G$27,EQA.Controllab_Dados!$D$2:$D$5000,$A83)))</f>
        <v/>
      </c>
      <c r="H83" t="str">
        <f>IF(OR($A83="",H$27=""),"",IF(COUNTIFS(EQA.Controllab_Dados!$B$2:$B$5000,H$27,EQA.Controllab_Dados!$D$2:$D$5000,$A83)=0,"—",COUNTIFS(EQA.Controllab_Dados!$B$2:$B$5000,H$27,EQA.Controllab_Dados!$D$2:$D$5000,$A83)))</f>
        <v/>
      </c>
      <c r="I83" t="str">
        <f>IF(OR($A83="",I$27=""),"",IF(COUNTIFS(EQA.Controllab_Dados!$B$2:$B$5000,I$27,EQA.Controllab_Dados!$D$2:$D$5000,$A83)=0,"—",COUNTIFS(EQA.Controllab_Dados!$B$2:$B$5000,I$27,EQA.Controllab_Dados!$D$2:$D$5000,$A83)))</f>
        <v/>
      </c>
      <c r="J83" t="str">
        <f>IF($A83="","",COUNTIF(EQA.Controllab_Dados!$D$2:$D$5000,$A83))</f>
        <v/>
      </c>
    </row>
    <row r="84" spans="1:10" x14ac:dyDescent="0.3">
      <c r="A84" t="str">
        <f>IFERROR(INDEX(EQA.Controllab_Dados!$D$2:$D$5000,MATCH(ROW()-27,EQA.Controllab_Dados!$U$2:$U$5000,0)),"")</f>
        <v/>
      </c>
      <c r="B84" t="str">
        <f>IF(OR($A84="",B$27=""),"",IF(COUNTIFS(EQA.Controllab_Dados!$B$2:$B$5000,B$27,EQA.Controllab_Dados!$D$2:$D$5000,$A84)=0,"—",COUNTIFS(EQA.Controllab_Dados!$B$2:$B$5000,B$27,EQA.Controllab_Dados!$D$2:$D$5000,$A84)))</f>
        <v/>
      </c>
      <c r="C84" t="str">
        <f>IF(OR($A84="",C$27=""),"",IF(COUNTIFS(EQA.Controllab_Dados!$B$2:$B$5000,C$27,EQA.Controllab_Dados!$D$2:$D$5000,$A84)=0,"—",COUNTIFS(EQA.Controllab_Dados!$B$2:$B$5000,C$27,EQA.Controllab_Dados!$D$2:$D$5000,$A84)))</f>
        <v/>
      </c>
      <c r="D84" t="str">
        <f>IF(OR($A84="",D$27=""),"",IF(COUNTIFS(EQA.Controllab_Dados!$B$2:$B$5000,D$27,EQA.Controllab_Dados!$D$2:$D$5000,$A84)=0,"—",COUNTIFS(EQA.Controllab_Dados!$B$2:$B$5000,D$27,EQA.Controllab_Dados!$D$2:$D$5000,$A84)))</f>
        <v/>
      </c>
      <c r="E84" t="str">
        <f>IF(OR($A84="",E$27=""),"",IF(COUNTIFS(EQA.Controllab_Dados!$B$2:$B$5000,E$27,EQA.Controllab_Dados!$D$2:$D$5000,$A84)=0,"—",COUNTIFS(EQA.Controllab_Dados!$B$2:$B$5000,E$27,EQA.Controllab_Dados!$D$2:$D$5000,$A84)))</f>
        <v/>
      </c>
      <c r="F84" t="str">
        <f>IF(OR($A84="",F$27=""),"",IF(COUNTIFS(EQA.Controllab_Dados!$B$2:$B$5000,F$27,EQA.Controllab_Dados!$D$2:$D$5000,$A84)=0,"—",COUNTIFS(EQA.Controllab_Dados!$B$2:$B$5000,F$27,EQA.Controllab_Dados!$D$2:$D$5000,$A84)))</f>
        <v/>
      </c>
      <c r="G84" t="str">
        <f>IF(OR($A84="",G$27=""),"",IF(COUNTIFS(EQA.Controllab_Dados!$B$2:$B$5000,G$27,EQA.Controllab_Dados!$D$2:$D$5000,$A84)=0,"—",COUNTIFS(EQA.Controllab_Dados!$B$2:$B$5000,G$27,EQA.Controllab_Dados!$D$2:$D$5000,$A84)))</f>
        <v/>
      </c>
      <c r="H84" t="str">
        <f>IF(OR($A84="",H$27=""),"",IF(COUNTIFS(EQA.Controllab_Dados!$B$2:$B$5000,H$27,EQA.Controllab_Dados!$D$2:$D$5000,$A84)=0,"—",COUNTIFS(EQA.Controllab_Dados!$B$2:$B$5000,H$27,EQA.Controllab_Dados!$D$2:$D$5000,$A84)))</f>
        <v/>
      </c>
      <c r="I84" t="str">
        <f>IF(OR($A84="",I$27=""),"",IF(COUNTIFS(EQA.Controllab_Dados!$B$2:$B$5000,I$27,EQA.Controllab_Dados!$D$2:$D$5000,$A84)=0,"—",COUNTIFS(EQA.Controllab_Dados!$B$2:$B$5000,I$27,EQA.Controllab_Dados!$D$2:$D$5000,$A84)))</f>
        <v/>
      </c>
      <c r="J84" t="str">
        <f>IF($A84="","",COUNTIF(EQA.Controllab_Dados!$D$2:$D$5000,$A84))</f>
        <v/>
      </c>
    </row>
    <row r="85" spans="1:10" x14ac:dyDescent="0.3">
      <c r="A85" t="str">
        <f>IFERROR(INDEX(EQA.Controllab_Dados!$D$2:$D$5000,MATCH(ROW()-27,EQA.Controllab_Dados!$U$2:$U$5000,0)),"")</f>
        <v/>
      </c>
      <c r="B85" t="str">
        <f>IF(OR($A85="",B$27=""),"",IF(COUNTIFS(EQA.Controllab_Dados!$B$2:$B$5000,B$27,EQA.Controllab_Dados!$D$2:$D$5000,$A85)=0,"—",COUNTIFS(EQA.Controllab_Dados!$B$2:$B$5000,B$27,EQA.Controllab_Dados!$D$2:$D$5000,$A85)))</f>
        <v/>
      </c>
      <c r="C85" t="str">
        <f>IF(OR($A85="",C$27=""),"",IF(COUNTIFS(EQA.Controllab_Dados!$B$2:$B$5000,C$27,EQA.Controllab_Dados!$D$2:$D$5000,$A85)=0,"—",COUNTIFS(EQA.Controllab_Dados!$B$2:$B$5000,C$27,EQA.Controllab_Dados!$D$2:$D$5000,$A85)))</f>
        <v/>
      </c>
      <c r="D85" t="str">
        <f>IF(OR($A85="",D$27=""),"",IF(COUNTIFS(EQA.Controllab_Dados!$B$2:$B$5000,D$27,EQA.Controllab_Dados!$D$2:$D$5000,$A85)=0,"—",COUNTIFS(EQA.Controllab_Dados!$B$2:$B$5000,D$27,EQA.Controllab_Dados!$D$2:$D$5000,$A85)))</f>
        <v/>
      </c>
      <c r="E85" t="str">
        <f>IF(OR($A85="",E$27=""),"",IF(COUNTIFS(EQA.Controllab_Dados!$B$2:$B$5000,E$27,EQA.Controllab_Dados!$D$2:$D$5000,$A85)=0,"—",COUNTIFS(EQA.Controllab_Dados!$B$2:$B$5000,E$27,EQA.Controllab_Dados!$D$2:$D$5000,$A85)))</f>
        <v/>
      </c>
      <c r="F85" t="str">
        <f>IF(OR($A85="",F$27=""),"",IF(COUNTIFS(EQA.Controllab_Dados!$B$2:$B$5000,F$27,EQA.Controllab_Dados!$D$2:$D$5000,$A85)=0,"—",COUNTIFS(EQA.Controllab_Dados!$B$2:$B$5000,F$27,EQA.Controllab_Dados!$D$2:$D$5000,$A85)))</f>
        <v/>
      </c>
      <c r="G85" t="str">
        <f>IF(OR($A85="",G$27=""),"",IF(COUNTIFS(EQA.Controllab_Dados!$B$2:$B$5000,G$27,EQA.Controllab_Dados!$D$2:$D$5000,$A85)=0,"—",COUNTIFS(EQA.Controllab_Dados!$B$2:$B$5000,G$27,EQA.Controllab_Dados!$D$2:$D$5000,$A85)))</f>
        <v/>
      </c>
      <c r="H85" t="str">
        <f>IF(OR($A85="",H$27=""),"",IF(COUNTIFS(EQA.Controllab_Dados!$B$2:$B$5000,H$27,EQA.Controllab_Dados!$D$2:$D$5000,$A85)=0,"—",COUNTIFS(EQA.Controllab_Dados!$B$2:$B$5000,H$27,EQA.Controllab_Dados!$D$2:$D$5000,$A85)))</f>
        <v/>
      </c>
      <c r="I85" t="str">
        <f>IF(OR($A85="",I$27=""),"",IF(COUNTIFS(EQA.Controllab_Dados!$B$2:$B$5000,I$27,EQA.Controllab_Dados!$D$2:$D$5000,$A85)=0,"—",COUNTIFS(EQA.Controllab_Dados!$B$2:$B$5000,I$27,EQA.Controllab_Dados!$D$2:$D$5000,$A85)))</f>
        <v/>
      </c>
      <c r="J85" t="str">
        <f>IF($A85="","",COUNTIF(EQA.Controllab_Dados!$D$2:$D$5000,$A85))</f>
        <v/>
      </c>
    </row>
    <row r="86" spans="1:10" x14ac:dyDescent="0.3">
      <c r="A86" t="str">
        <f>IFERROR(INDEX(EQA.Controllab_Dados!$D$2:$D$5000,MATCH(ROW()-27,EQA.Controllab_Dados!$U$2:$U$5000,0)),"")</f>
        <v/>
      </c>
      <c r="B86" t="str">
        <f>IF(OR($A86="",B$27=""),"",IF(COUNTIFS(EQA.Controllab_Dados!$B$2:$B$5000,B$27,EQA.Controllab_Dados!$D$2:$D$5000,$A86)=0,"—",COUNTIFS(EQA.Controllab_Dados!$B$2:$B$5000,B$27,EQA.Controllab_Dados!$D$2:$D$5000,$A86)))</f>
        <v/>
      </c>
      <c r="C86" t="str">
        <f>IF(OR($A86="",C$27=""),"",IF(COUNTIFS(EQA.Controllab_Dados!$B$2:$B$5000,C$27,EQA.Controllab_Dados!$D$2:$D$5000,$A86)=0,"—",COUNTIFS(EQA.Controllab_Dados!$B$2:$B$5000,C$27,EQA.Controllab_Dados!$D$2:$D$5000,$A86)))</f>
        <v/>
      </c>
      <c r="D86" t="str">
        <f>IF(OR($A86="",D$27=""),"",IF(COUNTIFS(EQA.Controllab_Dados!$B$2:$B$5000,D$27,EQA.Controllab_Dados!$D$2:$D$5000,$A86)=0,"—",COUNTIFS(EQA.Controllab_Dados!$B$2:$B$5000,D$27,EQA.Controllab_Dados!$D$2:$D$5000,$A86)))</f>
        <v/>
      </c>
      <c r="E86" t="str">
        <f>IF(OR($A86="",E$27=""),"",IF(COUNTIFS(EQA.Controllab_Dados!$B$2:$B$5000,E$27,EQA.Controllab_Dados!$D$2:$D$5000,$A86)=0,"—",COUNTIFS(EQA.Controllab_Dados!$B$2:$B$5000,E$27,EQA.Controllab_Dados!$D$2:$D$5000,$A86)))</f>
        <v/>
      </c>
      <c r="F86" t="str">
        <f>IF(OR($A86="",F$27=""),"",IF(COUNTIFS(EQA.Controllab_Dados!$B$2:$B$5000,F$27,EQA.Controllab_Dados!$D$2:$D$5000,$A86)=0,"—",COUNTIFS(EQA.Controllab_Dados!$B$2:$B$5000,F$27,EQA.Controllab_Dados!$D$2:$D$5000,$A86)))</f>
        <v/>
      </c>
      <c r="G86" t="str">
        <f>IF(OR($A86="",G$27=""),"",IF(COUNTIFS(EQA.Controllab_Dados!$B$2:$B$5000,G$27,EQA.Controllab_Dados!$D$2:$D$5000,$A86)=0,"—",COUNTIFS(EQA.Controllab_Dados!$B$2:$B$5000,G$27,EQA.Controllab_Dados!$D$2:$D$5000,$A86)))</f>
        <v/>
      </c>
      <c r="H86" t="str">
        <f>IF(OR($A86="",H$27=""),"",IF(COUNTIFS(EQA.Controllab_Dados!$B$2:$B$5000,H$27,EQA.Controllab_Dados!$D$2:$D$5000,$A86)=0,"—",COUNTIFS(EQA.Controllab_Dados!$B$2:$B$5000,H$27,EQA.Controllab_Dados!$D$2:$D$5000,$A86)))</f>
        <v/>
      </c>
      <c r="I86" t="str">
        <f>IF(OR($A86="",I$27=""),"",IF(COUNTIFS(EQA.Controllab_Dados!$B$2:$B$5000,I$27,EQA.Controllab_Dados!$D$2:$D$5000,$A86)=0,"—",COUNTIFS(EQA.Controllab_Dados!$B$2:$B$5000,I$27,EQA.Controllab_Dados!$D$2:$D$5000,$A86)))</f>
        <v/>
      </c>
      <c r="J86" t="str">
        <f>IF($A86="","",COUNTIF(EQA.Controllab_Dados!$D$2:$D$5000,$A86))</f>
        <v/>
      </c>
    </row>
    <row r="87" spans="1:10" x14ac:dyDescent="0.3">
      <c r="A87" t="str">
        <f>IFERROR(INDEX(EQA.Controllab_Dados!$D$2:$D$5000,MATCH(ROW()-27,EQA.Controllab_Dados!$U$2:$U$5000,0)),"")</f>
        <v/>
      </c>
      <c r="B87" t="str">
        <f>IF(OR($A87="",B$27=""),"",IF(COUNTIFS(EQA.Controllab_Dados!$B$2:$B$5000,B$27,EQA.Controllab_Dados!$D$2:$D$5000,$A87)=0,"—",COUNTIFS(EQA.Controllab_Dados!$B$2:$B$5000,B$27,EQA.Controllab_Dados!$D$2:$D$5000,$A87)))</f>
        <v/>
      </c>
      <c r="C87" t="str">
        <f>IF(OR($A87="",C$27=""),"",IF(COUNTIFS(EQA.Controllab_Dados!$B$2:$B$5000,C$27,EQA.Controllab_Dados!$D$2:$D$5000,$A87)=0,"—",COUNTIFS(EQA.Controllab_Dados!$B$2:$B$5000,C$27,EQA.Controllab_Dados!$D$2:$D$5000,$A87)))</f>
        <v/>
      </c>
      <c r="D87" t="str">
        <f>IF(OR($A87="",D$27=""),"",IF(COUNTIFS(EQA.Controllab_Dados!$B$2:$B$5000,D$27,EQA.Controllab_Dados!$D$2:$D$5000,$A87)=0,"—",COUNTIFS(EQA.Controllab_Dados!$B$2:$B$5000,D$27,EQA.Controllab_Dados!$D$2:$D$5000,$A87)))</f>
        <v/>
      </c>
      <c r="E87" t="str">
        <f>IF(OR($A87="",E$27=""),"",IF(COUNTIFS(EQA.Controllab_Dados!$B$2:$B$5000,E$27,EQA.Controllab_Dados!$D$2:$D$5000,$A87)=0,"—",COUNTIFS(EQA.Controllab_Dados!$B$2:$B$5000,E$27,EQA.Controllab_Dados!$D$2:$D$5000,$A87)))</f>
        <v/>
      </c>
      <c r="F87" t="str">
        <f>IF(OR($A87="",F$27=""),"",IF(COUNTIFS(EQA.Controllab_Dados!$B$2:$B$5000,F$27,EQA.Controllab_Dados!$D$2:$D$5000,$A87)=0,"—",COUNTIFS(EQA.Controllab_Dados!$B$2:$B$5000,F$27,EQA.Controllab_Dados!$D$2:$D$5000,$A87)))</f>
        <v/>
      </c>
      <c r="G87" t="str">
        <f>IF(OR($A87="",G$27=""),"",IF(COUNTIFS(EQA.Controllab_Dados!$B$2:$B$5000,G$27,EQA.Controllab_Dados!$D$2:$D$5000,$A87)=0,"—",COUNTIFS(EQA.Controllab_Dados!$B$2:$B$5000,G$27,EQA.Controllab_Dados!$D$2:$D$5000,$A87)))</f>
        <v/>
      </c>
      <c r="H87" t="str">
        <f>IF(OR($A87="",H$27=""),"",IF(COUNTIFS(EQA.Controllab_Dados!$B$2:$B$5000,H$27,EQA.Controllab_Dados!$D$2:$D$5000,$A87)=0,"—",COUNTIFS(EQA.Controllab_Dados!$B$2:$B$5000,H$27,EQA.Controllab_Dados!$D$2:$D$5000,$A87)))</f>
        <v/>
      </c>
      <c r="I87" t="str">
        <f>IF(OR($A87="",I$27=""),"",IF(COUNTIFS(EQA.Controllab_Dados!$B$2:$B$5000,I$27,EQA.Controllab_Dados!$D$2:$D$5000,$A87)=0,"—",COUNTIFS(EQA.Controllab_Dados!$B$2:$B$5000,I$27,EQA.Controllab_Dados!$D$2:$D$5000,$A87)))</f>
        <v/>
      </c>
      <c r="J87" t="str">
        <f>IF($A87="","",COUNTIF(EQA.Controllab_Dados!$D$2:$D$5000,$A87))</f>
        <v/>
      </c>
    </row>
  </sheetData>
  <sheetProtection algorithmName="SHA-512" hashValue="0v47j0snTCaPKwGSljhG2ZMs9zFdndwfV6cLCZYfgwtTz6+RPAWfo8Jz9PcCF2flNcZYaVAdPRQ2CSD/D2WtIw==" saltValue="vys3C3+JUTwcyeunV9sXAQ==" spinCount="100000" sheet="1" scenarios="1"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F149-47E4-4320-9DDB-849544BE3BB9}">
  <sheetPr codeName="Planilha23">
    <tabColor rgb="FF1F6F5C"/>
  </sheetPr>
  <dimension ref="A1:R210"/>
  <sheetViews>
    <sheetView workbookViewId="0">
      <pane ySplit="4" topLeftCell="A5" activePane="bottomLeft" state="frozen"/>
      <selection pane="bottomLeft" activeCell="D25" sqref="D25"/>
    </sheetView>
  </sheetViews>
  <sheetFormatPr defaultRowHeight="14.4" x14ac:dyDescent="0.3"/>
  <cols>
    <col min="1" max="1" width="13.6640625" customWidth="1"/>
    <col min="2" max="2" width="15.6640625" customWidth="1"/>
    <col min="3" max="3" width="8.6640625" customWidth="1"/>
    <col min="4" max="4" width="27.6640625" customWidth="1"/>
    <col min="5" max="5" width="11.6640625" customWidth="1"/>
    <col min="6" max="6" width="13.6640625" customWidth="1"/>
    <col min="7" max="7" width="17.6640625" customWidth="1"/>
    <col min="8" max="8" width="11.6640625" customWidth="1"/>
    <col min="9" max="9" width="9.6640625" customWidth="1"/>
    <col min="10" max="11" width="14.6640625" customWidth="1"/>
    <col min="12" max="13" width="15.6640625" customWidth="1"/>
    <col min="14" max="14" width="17.6640625" customWidth="1"/>
    <col min="15" max="16" width="12.6640625" customWidth="1"/>
    <col min="17" max="17" width="13.6640625" customWidth="1"/>
    <col min="18" max="18" width="48.6640625" customWidth="1"/>
  </cols>
  <sheetData>
    <row r="1" spans="1:18" ht="19.8" x14ac:dyDescent="0.4">
      <c r="A1" s="129" t="s">
        <v>1104</v>
      </c>
    </row>
    <row r="2" spans="1:18" x14ac:dyDescent="0.3">
      <c r="A2" s="130" t="s">
        <v>1105</v>
      </c>
    </row>
    <row r="3" spans="1:18" x14ac:dyDescent="0.3">
      <c r="A3" s="130" t="str">
        <f>COUNT(EQA.Controllab_Dados!$S$2:$S$5000)&amp;" registro(s) — a lista acompanha EQA.Controllab_Dados sozinha"</f>
        <v>0 registro(s) — a lista acompanha EQA.Controllab_Dados sozinha</v>
      </c>
    </row>
    <row r="4" spans="1:18" ht="30" customHeight="1" x14ac:dyDescent="0.3">
      <c r="A4" s="132" t="s">
        <v>243</v>
      </c>
      <c r="B4" s="132" t="s">
        <v>435</v>
      </c>
      <c r="C4" s="132" t="s">
        <v>241</v>
      </c>
      <c r="D4" s="132" t="s">
        <v>88</v>
      </c>
      <c r="E4" s="132" t="s">
        <v>244</v>
      </c>
      <c r="F4" s="132" t="s">
        <v>436</v>
      </c>
      <c r="G4" s="132" t="s">
        <v>437</v>
      </c>
      <c r="H4" s="132" t="s">
        <v>438</v>
      </c>
      <c r="I4" s="132" t="s">
        <v>248</v>
      </c>
      <c r="J4" s="132" t="s">
        <v>439</v>
      </c>
      <c r="K4" s="132" t="s">
        <v>440</v>
      </c>
      <c r="L4" s="132" t="s">
        <v>441</v>
      </c>
      <c r="M4" s="132" t="s">
        <v>442</v>
      </c>
      <c r="N4" s="132" t="s">
        <v>443</v>
      </c>
      <c r="O4" s="132" t="s">
        <v>444</v>
      </c>
      <c r="P4" s="132" t="s">
        <v>445</v>
      </c>
      <c r="Q4" s="132" t="s">
        <v>446</v>
      </c>
      <c r="R4" s="132" t="s">
        <v>447</v>
      </c>
    </row>
    <row r="5" spans="1:18" x14ac:dyDescent="0.3">
      <c r="A5" t="str">
        <f>IFERROR(INDEX(EQA.Controllab_Dados!A$2:A$5000,MATCH(ROW()-4,EQA.Controllab_Dados!$S$2:$S$5000,0)),"")</f>
        <v/>
      </c>
      <c r="B5" t="str">
        <f>IFERROR(INDEX(EQA.Controllab_Dados!B$2:B$5000,MATCH(ROW()-4,EQA.Controllab_Dados!$S$2:$S$5000,0)),"")</f>
        <v/>
      </c>
      <c r="C5" s="126" t="str">
        <f>IFERROR(INDEX(EQA.Controllab_Dados!C$2:C$5000,MATCH(ROW()-4,EQA.Controllab_Dados!$S$2:$S$5000,0)),"")</f>
        <v/>
      </c>
      <c r="D5" t="str">
        <f>IFERROR(INDEX(EQA.Controllab_Dados!D$2:D$5000,MATCH(ROW()-4,EQA.Controllab_Dados!$S$2:$S$5000,0)),"")</f>
        <v/>
      </c>
      <c r="E5" t="str">
        <f>IFERROR(INDEX(EQA.Controllab_Dados!E$2:E$5000,MATCH(ROW()-4,EQA.Controllab_Dados!$S$2:$S$5000,0)),"")</f>
        <v/>
      </c>
      <c r="F5" s="137" t="str">
        <f>IFERROR(INDEX(EQA.Controllab_Dados!F$2:F$5000,MATCH(ROW()-4,EQA.Controllab_Dados!$S$2:$S$5000,0)),"")</f>
        <v/>
      </c>
      <c r="G5" s="138" t="str">
        <f>IFERROR(INDEX(EQA.Controllab_Dados!G$2:G$5000,MATCH(ROW()-4,EQA.Controllab_Dados!$S$2:$S$5000,0)),"")</f>
        <v/>
      </c>
      <c r="H5" s="138" t="str">
        <f>IFERROR(INDEX(EQA.Controllab_Dados!H$2:H$5000,MATCH(ROW()-4,EQA.Controllab_Dados!$S$2:$S$5000,0)),"")</f>
        <v/>
      </c>
      <c r="I5" s="139" t="str">
        <f>IFERROR(INDEX(EQA.Controllab_Dados!I$2:I$5000,MATCH(ROW()-4,EQA.Controllab_Dados!$S$2:$S$5000,0)),"")</f>
        <v/>
      </c>
      <c r="J5" s="137" t="str">
        <f>IFERROR(INDEX(EQA.Controllab_Dados!J$2:J$5000,MATCH(ROW()-4,EQA.Controllab_Dados!$S$2:$S$5000,0)),"")</f>
        <v/>
      </c>
      <c r="K5" s="137" t="str">
        <f>IFERROR(INDEX(EQA.Controllab_Dados!K$2:K$5000,MATCH(ROW()-4,EQA.Controllab_Dados!$S$2:$S$5000,0)),"")</f>
        <v/>
      </c>
      <c r="L5" t="str">
        <f>IFERROR(INDEX(EQA.Controllab_Dados!L$2:L$5000,MATCH(ROW()-4,EQA.Controllab_Dados!$S$2:$S$5000,0)),"")</f>
        <v/>
      </c>
      <c r="M5" s="126" t="str">
        <f>IFERROR(INDEX(EQA.Controllab_Dados!M$2:M$5000,MATCH(ROW()-4,EQA.Controllab_Dados!$S$2:$S$5000,0)),"")</f>
        <v/>
      </c>
      <c r="N5" t="str">
        <f>IFERROR(INDEX(EQA.Controllab_Dados!N$2:N$5000,MATCH(ROW()-4,EQA.Controllab_Dados!$S$2:$S$5000,0)),"")</f>
        <v/>
      </c>
      <c r="O5" s="137" t="str">
        <f>IFERROR(INDEX(EQA.Controllab_Dados!O$2:O$5000,MATCH(ROW()-4,EQA.Controllab_Dados!$S$2:$S$5000,0)),"")</f>
        <v/>
      </c>
      <c r="P5" s="137" t="str">
        <f>IFERROR(INDEX(EQA.Controllab_Dados!P$2:P$5000,MATCH(ROW()-4,EQA.Controllab_Dados!$S$2:$S$5000,0)),"")</f>
        <v/>
      </c>
      <c r="Q5" s="126" t="str">
        <f>IFERROR(INDEX(EQA.Controllab_Dados!Q$2:Q$5000,MATCH(ROW()-4,EQA.Controllab_Dados!$S$2:$S$5000,0)),"")</f>
        <v/>
      </c>
      <c r="R5" t="str">
        <f>IFERROR(INDEX(EQA.Controllab_Dados!R$2:R$5000,MATCH(ROW()-4,EQA.Controllab_Dados!$S$2:$S$5000,0)),"")</f>
        <v/>
      </c>
    </row>
    <row r="6" spans="1:18" x14ac:dyDescent="0.3">
      <c r="A6" t="str">
        <f>IFERROR(INDEX(EQA.Controllab_Dados!A$2:A$5000,MATCH(ROW()-4,EQA.Controllab_Dados!$S$2:$S$5000,0)),"")</f>
        <v/>
      </c>
      <c r="B6" t="str">
        <f>IFERROR(INDEX(EQA.Controllab_Dados!B$2:B$5000,MATCH(ROW()-4,EQA.Controllab_Dados!$S$2:$S$5000,0)),"")</f>
        <v/>
      </c>
      <c r="C6" s="126" t="str">
        <f>IFERROR(INDEX(EQA.Controllab_Dados!C$2:C$5000,MATCH(ROW()-4,EQA.Controllab_Dados!$S$2:$S$5000,0)),"")</f>
        <v/>
      </c>
      <c r="D6" t="str">
        <f>IFERROR(INDEX(EQA.Controllab_Dados!D$2:D$5000,MATCH(ROW()-4,EQA.Controllab_Dados!$S$2:$S$5000,0)),"")</f>
        <v/>
      </c>
      <c r="E6" t="str">
        <f>IFERROR(INDEX(EQA.Controllab_Dados!E$2:E$5000,MATCH(ROW()-4,EQA.Controllab_Dados!$S$2:$S$5000,0)),"")</f>
        <v/>
      </c>
      <c r="F6" s="137" t="str">
        <f>IFERROR(INDEX(EQA.Controllab_Dados!F$2:F$5000,MATCH(ROW()-4,EQA.Controllab_Dados!$S$2:$S$5000,0)),"")</f>
        <v/>
      </c>
      <c r="G6" s="138" t="str">
        <f>IFERROR(INDEX(EQA.Controllab_Dados!G$2:G$5000,MATCH(ROW()-4,EQA.Controllab_Dados!$S$2:$S$5000,0)),"")</f>
        <v/>
      </c>
      <c r="H6" s="138" t="str">
        <f>IFERROR(INDEX(EQA.Controllab_Dados!H$2:H$5000,MATCH(ROW()-4,EQA.Controllab_Dados!$S$2:$S$5000,0)),"")</f>
        <v/>
      </c>
      <c r="I6" s="139" t="str">
        <f>IFERROR(INDEX(EQA.Controllab_Dados!I$2:I$5000,MATCH(ROW()-4,EQA.Controllab_Dados!$S$2:$S$5000,0)),"")</f>
        <v/>
      </c>
      <c r="J6" s="137" t="str">
        <f>IFERROR(INDEX(EQA.Controllab_Dados!J$2:J$5000,MATCH(ROW()-4,EQA.Controllab_Dados!$S$2:$S$5000,0)),"")</f>
        <v/>
      </c>
      <c r="K6" s="137" t="str">
        <f>IFERROR(INDEX(EQA.Controllab_Dados!K$2:K$5000,MATCH(ROW()-4,EQA.Controllab_Dados!$S$2:$S$5000,0)),"")</f>
        <v/>
      </c>
      <c r="L6" t="str">
        <f>IFERROR(INDEX(EQA.Controllab_Dados!L$2:L$5000,MATCH(ROW()-4,EQA.Controllab_Dados!$S$2:$S$5000,0)),"")</f>
        <v/>
      </c>
      <c r="M6" s="126" t="str">
        <f>IFERROR(INDEX(EQA.Controllab_Dados!M$2:M$5000,MATCH(ROW()-4,EQA.Controllab_Dados!$S$2:$S$5000,0)),"")</f>
        <v/>
      </c>
      <c r="N6" t="str">
        <f>IFERROR(INDEX(EQA.Controllab_Dados!N$2:N$5000,MATCH(ROW()-4,EQA.Controllab_Dados!$S$2:$S$5000,0)),"")</f>
        <v/>
      </c>
      <c r="O6" s="137" t="str">
        <f>IFERROR(INDEX(EQA.Controllab_Dados!O$2:O$5000,MATCH(ROW()-4,EQA.Controllab_Dados!$S$2:$S$5000,0)),"")</f>
        <v/>
      </c>
      <c r="P6" s="137" t="str">
        <f>IFERROR(INDEX(EQA.Controllab_Dados!P$2:P$5000,MATCH(ROW()-4,EQA.Controllab_Dados!$S$2:$S$5000,0)),"")</f>
        <v/>
      </c>
      <c r="Q6" s="126" t="str">
        <f>IFERROR(INDEX(EQA.Controllab_Dados!Q$2:Q$5000,MATCH(ROW()-4,EQA.Controllab_Dados!$S$2:$S$5000,0)),"")</f>
        <v/>
      </c>
      <c r="R6" t="str">
        <f>IFERROR(INDEX(EQA.Controllab_Dados!R$2:R$5000,MATCH(ROW()-4,EQA.Controllab_Dados!$S$2:$S$5000,0)),"")</f>
        <v/>
      </c>
    </row>
    <row r="7" spans="1:18" x14ac:dyDescent="0.3">
      <c r="A7" t="str">
        <f>IFERROR(INDEX(EQA.Controllab_Dados!A$2:A$5000,MATCH(ROW()-4,EQA.Controllab_Dados!$S$2:$S$5000,0)),"")</f>
        <v/>
      </c>
      <c r="B7" t="str">
        <f>IFERROR(INDEX(EQA.Controllab_Dados!B$2:B$5000,MATCH(ROW()-4,EQA.Controllab_Dados!$S$2:$S$5000,0)),"")</f>
        <v/>
      </c>
      <c r="C7" s="126" t="str">
        <f>IFERROR(INDEX(EQA.Controllab_Dados!C$2:C$5000,MATCH(ROW()-4,EQA.Controllab_Dados!$S$2:$S$5000,0)),"")</f>
        <v/>
      </c>
      <c r="D7" t="str">
        <f>IFERROR(INDEX(EQA.Controllab_Dados!D$2:D$5000,MATCH(ROW()-4,EQA.Controllab_Dados!$S$2:$S$5000,0)),"")</f>
        <v/>
      </c>
      <c r="E7" t="str">
        <f>IFERROR(INDEX(EQA.Controllab_Dados!E$2:E$5000,MATCH(ROW()-4,EQA.Controllab_Dados!$S$2:$S$5000,0)),"")</f>
        <v/>
      </c>
      <c r="F7" s="137" t="str">
        <f>IFERROR(INDEX(EQA.Controllab_Dados!F$2:F$5000,MATCH(ROW()-4,EQA.Controllab_Dados!$S$2:$S$5000,0)),"")</f>
        <v/>
      </c>
      <c r="G7" s="138" t="str">
        <f>IFERROR(INDEX(EQA.Controllab_Dados!G$2:G$5000,MATCH(ROW()-4,EQA.Controllab_Dados!$S$2:$S$5000,0)),"")</f>
        <v/>
      </c>
      <c r="H7" s="138" t="str">
        <f>IFERROR(INDEX(EQA.Controllab_Dados!H$2:H$5000,MATCH(ROW()-4,EQA.Controllab_Dados!$S$2:$S$5000,0)),"")</f>
        <v/>
      </c>
      <c r="I7" s="139" t="str">
        <f>IFERROR(INDEX(EQA.Controllab_Dados!I$2:I$5000,MATCH(ROW()-4,EQA.Controllab_Dados!$S$2:$S$5000,0)),"")</f>
        <v/>
      </c>
      <c r="J7" s="137" t="str">
        <f>IFERROR(INDEX(EQA.Controllab_Dados!J$2:J$5000,MATCH(ROW()-4,EQA.Controllab_Dados!$S$2:$S$5000,0)),"")</f>
        <v/>
      </c>
      <c r="K7" s="137" t="str">
        <f>IFERROR(INDEX(EQA.Controllab_Dados!K$2:K$5000,MATCH(ROW()-4,EQA.Controllab_Dados!$S$2:$S$5000,0)),"")</f>
        <v/>
      </c>
      <c r="L7" t="str">
        <f>IFERROR(INDEX(EQA.Controllab_Dados!L$2:L$5000,MATCH(ROW()-4,EQA.Controllab_Dados!$S$2:$S$5000,0)),"")</f>
        <v/>
      </c>
      <c r="M7" s="126" t="str">
        <f>IFERROR(INDEX(EQA.Controllab_Dados!M$2:M$5000,MATCH(ROW()-4,EQA.Controllab_Dados!$S$2:$S$5000,0)),"")</f>
        <v/>
      </c>
      <c r="N7" t="str">
        <f>IFERROR(INDEX(EQA.Controllab_Dados!N$2:N$5000,MATCH(ROW()-4,EQA.Controllab_Dados!$S$2:$S$5000,0)),"")</f>
        <v/>
      </c>
      <c r="O7" s="137" t="str">
        <f>IFERROR(INDEX(EQA.Controllab_Dados!O$2:O$5000,MATCH(ROW()-4,EQA.Controllab_Dados!$S$2:$S$5000,0)),"")</f>
        <v/>
      </c>
      <c r="P7" s="137" t="str">
        <f>IFERROR(INDEX(EQA.Controllab_Dados!P$2:P$5000,MATCH(ROW()-4,EQA.Controllab_Dados!$S$2:$S$5000,0)),"")</f>
        <v/>
      </c>
      <c r="Q7" s="126" t="str">
        <f>IFERROR(INDEX(EQA.Controllab_Dados!Q$2:Q$5000,MATCH(ROW()-4,EQA.Controllab_Dados!$S$2:$S$5000,0)),"")</f>
        <v/>
      </c>
      <c r="R7" t="str">
        <f>IFERROR(INDEX(EQA.Controllab_Dados!R$2:R$5000,MATCH(ROW()-4,EQA.Controllab_Dados!$S$2:$S$5000,0)),"")</f>
        <v/>
      </c>
    </row>
    <row r="8" spans="1:18" x14ac:dyDescent="0.3">
      <c r="A8" t="str">
        <f>IFERROR(INDEX(EQA.Controllab_Dados!A$2:A$5000,MATCH(ROW()-4,EQA.Controllab_Dados!$S$2:$S$5000,0)),"")</f>
        <v/>
      </c>
      <c r="B8" t="str">
        <f>IFERROR(INDEX(EQA.Controllab_Dados!B$2:B$5000,MATCH(ROW()-4,EQA.Controllab_Dados!$S$2:$S$5000,0)),"")</f>
        <v/>
      </c>
      <c r="C8" s="126" t="str">
        <f>IFERROR(INDEX(EQA.Controllab_Dados!C$2:C$5000,MATCH(ROW()-4,EQA.Controllab_Dados!$S$2:$S$5000,0)),"")</f>
        <v/>
      </c>
      <c r="D8" t="str">
        <f>IFERROR(INDEX(EQA.Controllab_Dados!D$2:D$5000,MATCH(ROW()-4,EQA.Controllab_Dados!$S$2:$S$5000,0)),"")</f>
        <v/>
      </c>
      <c r="E8" t="str">
        <f>IFERROR(INDEX(EQA.Controllab_Dados!E$2:E$5000,MATCH(ROW()-4,EQA.Controllab_Dados!$S$2:$S$5000,0)),"")</f>
        <v/>
      </c>
      <c r="F8" s="137" t="str">
        <f>IFERROR(INDEX(EQA.Controllab_Dados!F$2:F$5000,MATCH(ROW()-4,EQA.Controllab_Dados!$S$2:$S$5000,0)),"")</f>
        <v/>
      </c>
      <c r="G8" s="138" t="str">
        <f>IFERROR(INDEX(EQA.Controllab_Dados!G$2:G$5000,MATCH(ROW()-4,EQA.Controllab_Dados!$S$2:$S$5000,0)),"")</f>
        <v/>
      </c>
      <c r="H8" s="138" t="str">
        <f>IFERROR(INDEX(EQA.Controllab_Dados!H$2:H$5000,MATCH(ROW()-4,EQA.Controllab_Dados!$S$2:$S$5000,0)),"")</f>
        <v/>
      </c>
      <c r="I8" s="139" t="str">
        <f>IFERROR(INDEX(EQA.Controllab_Dados!I$2:I$5000,MATCH(ROW()-4,EQA.Controllab_Dados!$S$2:$S$5000,0)),"")</f>
        <v/>
      </c>
      <c r="J8" s="137" t="str">
        <f>IFERROR(INDEX(EQA.Controllab_Dados!J$2:J$5000,MATCH(ROW()-4,EQA.Controllab_Dados!$S$2:$S$5000,0)),"")</f>
        <v/>
      </c>
      <c r="K8" s="137" t="str">
        <f>IFERROR(INDEX(EQA.Controllab_Dados!K$2:K$5000,MATCH(ROW()-4,EQA.Controllab_Dados!$S$2:$S$5000,0)),"")</f>
        <v/>
      </c>
      <c r="L8" t="str">
        <f>IFERROR(INDEX(EQA.Controllab_Dados!L$2:L$5000,MATCH(ROW()-4,EQA.Controllab_Dados!$S$2:$S$5000,0)),"")</f>
        <v/>
      </c>
      <c r="M8" s="126" t="str">
        <f>IFERROR(INDEX(EQA.Controllab_Dados!M$2:M$5000,MATCH(ROW()-4,EQA.Controllab_Dados!$S$2:$S$5000,0)),"")</f>
        <v/>
      </c>
      <c r="N8" t="str">
        <f>IFERROR(INDEX(EQA.Controllab_Dados!N$2:N$5000,MATCH(ROW()-4,EQA.Controllab_Dados!$S$2:$S$5000,0)),"")</f>
        <v/>
      </c>
      <c r="O8" s="137" t="str">
        <f>IFERROR(INDEX(EQA.Controllab_Dados!O$2:O$5000,MATCH(ROW()-4,EQA.Controllab_Dados!$S$2:$S$5000,0)),"")</f>
        <v/>
      </c>
      <c r="P8" s="137" t="str">
        <f>IFERROR(INDEX(EQA.Controllab_Dados!P$2:P$5000,MATCH(ROW()-4,EQA.Controllab_Dados!$S$2:$S$5000,0)),"")</f>
        <v/>
      </c>
      <c r="Q8" s="126" t="str">
        <f>IFERROR(INDEX(EQA.Controllab_Dados!Q$2:Q$5000,MATCH(ROW()-4,EQA.Controllab_Dados!$S$2:$S$5000,0)),"")</f>
        <v/>
      </c>
      <c r="R8" t="str">
        <f>IFERROR(INDEX(EQA.Controllab_Dados!R$2:R$5000,MATCH(ROW()-4,EQA.Controllab_Dados!$S$2:$S$5000,0)),"")</f>
        <v/>
      </c>
    </row>
    <row r="9" spans="1:18" x14ac:dyDescent="0.3">
      <c r="A9" t="str">
        <f>IFERROR(INDEX(EQA.Controllab_Dados!A$2:A$5000,MATCH(ROW()-4,EQA.Controllab_Dados!$S$2:$S$5000,0)),"")</f>
        <v/>
      </c>
      <c r="B9" t="str">
        <f>IFERROR(INDEX(EQA.Controllab_Dados!B$2:B$5000,MATCH(ROW()-4,EQA.Controllab_Dados!$S$2:$S$5000,0)),"")</f>
        <v/>
      </c>
      <c r="C9" s="126" t="str">
        <f>IFERROR(INDEX(EQA.Controllab_Dados!C$2:C$5000,MATCH(ROW()-4,EQA.Controllab_Dados!$S$2:$S$5000,0)),"")</f>
        <v/>
      </c>
      <c r="D9" t="str">
        <f>IFERROR(INDEX(EQA.Controllab_Dados!D$2:D$5000,MATCH(ROW()-4,EQA.Controllab_Dados!$S$2:$S$5000,0)),"")</f>
        <v/>
      </c>
      <c r="E9" t="str">
        <f>IFERROR(INDEX(EQA.Controllab_Dados!E$2:E$5000,MATCH(ROW()-4,EQA.Controllab_Dados!$S$2:$S$5000,0)),"")</f>
        <v/>
      </c>
      <c r="F9" s="137" t="str">
        <f>IFERROR(INDEX(EQA.Controllab_Dados!F$2:F$5000,MATCH(ROW()-4,EQA.Controllab_Dados!$S$2:$S$5000,0)),"")</f>
        <v/>
      </c>
      <c r="G9" s="138" t="str">
        <f>IFERROR(INDEX(EQA.Controllab_Dados!G$2:G$5000,MATCH(ROW()-4,EQA.Controllab_Dados!$S$2:$S$5000,0)),"")</f>
        <v/>
      </c>
      <c r="H9" s="138" t="str">
        <f>IFERROR(INDEX(EQA.Controllab_Dados!H$2:H$5000,MATCH(ROW()-4,EQA.Controllab_Dados!$S$2:$S$5000,0)),"")</f>
        <v/>
      </c>
      <c r="I9" s="139" t="str">
        <f>IFERROR(INDEX(EQA.Controllab_Dados!I$2:I$5000,MATCH(ROW()-4,EQA.Controllab_Dados!$S$2:$S$5000,0)),"")</f>
        <v/>
      </c>
      <c r="J9" s="137" t="str">
        <f>IFERROR(INDEX(EQA.Controllab_Dados!J$2:J$5000,MATCH(ROW()-4,EQA.Controllab_Dados!$S$2:$S$5000,0)),"")</f>
        <v/>
      </c>
      <c r="K9" s="137" t="str">
        <f>IFERROR(INDEX(EQA.Controllab_Dados!K$2:K$5000,MATCH(ROW()-4,EQA.Controllab_Dados!$S$2:$S$5000,0)),"")</f>
        <v/>
      </c>
      <c r="L9" t="str">
        <f>IFERROR(INDEX(EQA.Controllab_Dados!L$2:L$5000,MATCH(ROW()-4,EQA.Controllab_Dados!$S$2:$S$5000,0)),"")</f>
        <v/>
      </c>
      <c r="M9" s="126" t="str">
        <f>IFERROR(INDEX(EQA.Controllab_Dados!M$2:M$5000,MATCH(ROW()-4,EQA.Controllab_Dados!$S$2:$S$5000,0)),"")</f>
        <v/>
      </c>
      <c r="N9" t="str">
        <f>IFERROR(INDEX(EQA.Controllab_Dados!N$2:N$5000,MATCH(ROW()-4,EQA.Controllab_Dados!$S$2:$S$5000,0)),"")</f>
        <v/>
      </c>
      <c r="O9" s="137" t="str">
        <f>IFERROR(INDEX(EQA.Controllab_Dados!O$2:O$5000,MATCH(ROW()-4,EQA.Controllab_Dados!$S$2:$S$5000,0)),"")</f>
        <v/>
      </c>
      <c r="P9" s="137" t="str">
        <f>IFERROR(INDEX(EQA.Controllab_Dados!P$2:P$5000,MATCH(ROW()-4,EQA.Controllab_Dados!$S$2:$S$5000,0)),"")</f>
        <v/>
      </c>
      <c r="Q9" s="126" t="str">
        <f>IFERROR(INDEX(EQA.Controllab_Dados!Q$2:Q$5000,MATCH(ROW()-4,EQA.Controllab_Dados!$S$2:$S$5000,0)),"")</f>
        <v/>
      </c>
      <c r="R9" t="str">
        <f>IFERROR(INDEX(EQA.Controllab_Dados!R$2:R$5000,MATCH(ROW()-4,EQA.Controllab_Dados!$S$2:$S$5000,0)),"")</f>
        <v/>
      </c>
    </row>
    <row r="10" spans="1:18" x14ac:dyDescent="0.3">
      <c r="A10" t="str">
        <f>IFERROR(INDEX(EQA.Controllab_Dados!A$2:A$5000,MATCH(ROW()-4,EQA.Controllab_Dados!$S$2:$S$5000,0)),"")</f>
        <v/>
      </c>
      <c r="B10" t="str">
        <f>IFERROR(INDEX(EQA.Controllab_Dados!B$2:B$5000,MATCH(ROW()-4,EQA.Controllab_Dados!$S$2:$S$5000,0)),"")</f>
        <v/>
      </c>
      <c r="C10" s="126" t="str">
        <f>IFERROR(INDEX(EQA.Controllab_Dados!C$2:C$5000,MATCH(ROW()-4,EQA.Controllab_Dados!$S$2:$S$5000,0)),"")</f>
        <v/>
      </c>
      <c r="D10" t="str">
        <f>IFERROR(INDEX(EQA.Controllab_Dados!D$2:D$5000,MATCH(ROW()-4,EQA.Controllab_Dados!$S$2:$S$5000,0)),"")</f>
        <v/>
      </c>
      <c r="E10" t="str">
        <f>IFERROR(INDEX(EQA.Controllab_Dados!E$2:E$5000,MATCH(ROW()-4,EQA.Controllab_Dados!$S$2:$S$5000,0)),"")</f>
        <v/>
      </c>
      <c r="F10" s="137" t="str">
        <f>IFERROR(INDEX(EQA.Controllab_Dados!F$2:F$5000,MATCH(ROW()-4,EQA.Controllab_Dados!$S$2:$S$5000,0)),"")</f>
        <v/>
      </c>
      <c r="G10" s="138" t="str">
        <f>IFERROR(INDEX(EQA.Controllab_Dados!G$2:G$5000,MATCH(ROW()-4,EQA.Controllab_Dados!$S$2:$S$5000,0)),"")</f>
        <v/>
      </c>
      <c r="H10" s="138" t="str">
        <f>IFERROR(INDEX(EQA.Controllab_Dados!H$2:H$5000,MATCH(ROW()-4,EQA.Controllab_Dados!$S$2:$S$5000,0)),"")</f>
        <v/>
      </c>
      <c r="I10" s="139" t="str">
        <f>IFERROR(INDEX(EQA.Controllab_Dados!I$2:I$5000,MATCH(ROW()-4,EQA.Controllab_Dados!$S$2:$S$5000,0)),"")</f>
        <v/>
      </c>
      <c r="J10" s="137" t="str">
        <f>IFERROR(INDEX(EQA.Controllab_Dados!J$2:J$5000,MATCH(ROW()-4,EQA.Controllab_Dados!$S$2:$S$5000,0)),"")</f>
        <v/>
      </c>
      <c r="K10" s="137" t="str">
        <f>IFERROR(INDEX(EQA.Controllab_Dados!K$2:K$5000,MATCH(ROW()-4,EQA.Controllab_Dados!$S$2:$S$5000,0)),"")</f>
        <v/>
      </c>
      <c r="L10" t="str">
        <f>IFERROR(INDEX(EQA.Controllab_Dados!L$2:L$5000,MATCH(ROW()-4,EQA.Controllab_Dados!$S$2:$S$5000,0)),"")</f>
        <v/>
      </c>
      <c r="M10" s="126" t="str">
        <f>IFERROR(INDEX(EQA.Controllab_Dados!M$2:M$5000,MATCH(ROW()-4,EQA.Controllab_Dados!$S$2:$S$5000,0)),"")</f>
        <v/>
      </c>
      <c r="N10" t="str">
        <f>IFERROR(INDEX(EQA.Controllab_Dados!N$2:N$5000,MATCH(ROW()-4,EQA.Controllab_Dados!$S$2:$S$5000,0)),"")</f>
        <v/>
      </c>
      <c r="O10" s="137" t="str">
        <f>IFERROR(INDEX(EQA.Controllab_Dados!O$2:O$5000,MATCH(ROW()-4,EQA.Controllab_Dados!$S$2:$S$5000,0)),"")</f>
        <v/>
      </c>
      <c r="P10" s="137" t="str">
        <f>IFERROR(INDEX(EQA.Controllab_Dados!P$2:P$5000,MATCH(ROW()-4,EQA.Controllab_Dados!$S$2:$S$5000,0)),"")</f>
        <v/>
      </c>
      <c r="Q10" s="126" t="str">
        <f>IFERROR(INDEX(EQA.Controllab_Dados!Q$2:Q$5000,MATCH(ROW()-4,EQA.Controllab_Dados!$S$2:$S$5000,0)),"")</f>
        <v/>
      </c>
      <c r="R10" t="str">
        <f>IFERROR(INDEX(EQA.Controllab_Dados!R$2:R$5000,MATCH(ROW()-4,EQA.Controllab_Dados!$S$2:$S$5000,0)),"")</f>
        <v/>
      </c>
    </row>
    <row r="11" spans="1:18" x14ac:dyDescent="0.3">
      <c r="A11" t="str">
        <f>IFERROR(INDEX(EQA.Controllab_Dados!A$2:A$5000,MATCH(ROW()-4,EQA.Controllab_Dados!$S$2:$S$5000,0)),"")</f>
        <v/>
      </c>
      <c r="B11" t="str">
        <f>IFERROR(INDEX(EQA.Controllab_Dados!B$2:B$5000,MATCH(ROW()-4,EQA.Controllab_Dados!$S$2:$S$5000,0)),"")</f>
        <v/>
      </c>
      <c r="C11" s="126" t="str">
        <f>IFERROR(INDEX(EQA.Controllab_Dados!C$2:C$5000,MATCH(ROW()-4,EQA.Controllab_Dados!$S$2:$S$5000,0)),"")</f>
        <v/>
      </c>
      <c r="D11" t="str">
        <f>IFERROR(INDEX(EQA.Controllab_Dados!D$2:D$5000,MATCH(ROW()-4,EQA.Controllab_Dados!$S$2:$S$5000,0)),"")</f>
        <v/>
      </c>
      <c r="E11" t="str">
        <f>IFERROR(INDEX(EQA.Controllab_Dados!E$2:E$5000,MATCH(ROW()-4,EQA.Controllab_Dados!$S$2:$S$5000,0)),"")</f>
        <v/>
      </c>
      <c r="F11" s="137" t="str">
        <f>IFERROR(INDEX(EQA.Controllab_Dados!F$2:F$5000,MATCH(ROW()-4,EQA.Controllab_Dados!$S$2:$S$5000,0)),"")</f>
        <v/>
      </c>
      <c r="G11" s="138" t="str">
        <f>IFERROR(INDEX(EQA.Controllab_Dados!G$2:G$5000,MATCH(ROW()-4,EQA.Controllab_Dados!$S$2:$S$5000,0)),"")</f>
        <v/>
      </c>
      <c r="H11" s="138" t="str">
        <f>IFERROR(INDEX(EQA.Controllab_Dados!H$2:H$5000,MATCH(ROW()-4,EQA.Controllab_Dados!$S$2:$S$5000,0)),"")</f>
        <v/>
      </c>
      <c r="I11" s="139" t="str">
        <f>IFERROR(INDEX(EQA.Controllab_Dados!I$2:I$5000,MATCH(ROW()-4,EQA.Controllab_Dados!$S$2:$S$5000,0)),"")</f>
        <v/>
      </c>
      <c r="J11" s="137" t="str">
        <f>IFERROR(INDEX(EQA.Controllab_Dados!J$2:J$5000,MATCH(ROW()-4,EQA.Controllab_Dados!$S$2:$S$5000,0)),"")</f>
        <v/>
      </c>
      <c r="K11" s="137" t="str">
        <f>IFERROR(INDEX(EQA.Controllab_Dados!K$2:K$5000,MATCH(ROW()-4,EQA.Controllab_Dados!$S$2:$S$5000,0)),"")</f>
        <v/>
      </c>
      <c r="L11" t="str">
        <f>IFERROR(INDEX(EQA.Controllab_Dados!L$2:L$5000,MATCH(ROW()-4,EQA.Controllab_Dados!$S$2:$S$5000,0)),"")</f>
        <v/>
      </c>
      <c r="M11" s="126" t="str">
        <f>IFERROR(INDEX(EQA.Controllab_Dados!M$2:M$5000,MATCH(ROW()-4,EQA.Controllab_Dados!$S$2:$S$5000,0)),"")</f>
        <v/>
      </c>
      <c r="N11" t="str">
        <f>IFERROR(INDEX(EQA.Controllab_Dados!N$2:N$5000,MATCH(ROW()-4,EQA.Controllab_Dados!$S$2:$S$5000,0)),"")</f>
        <v/>
      </c>
      <c r="O11" s="137" t="str">
        <f>IFERROR(INDEX(EQA.Controllab_Dados!O$2:O$5000,MATCH(ROW()-4,EQA.Controllab_Dados!$S$2:$S$5000,0)),"")</f>
        <v/>
      </c>
      <c r="P11" s="137" t="str">
        <f>IFERROR(INDEX(EQA.Controllab_Dados!P$2:P$5000,MATCH(ROW()-4,EQA.Controllab_Dados!$S$2:$S$5000,0)),"")</f>
        <v/>
      </c>
      <c r="Q11" s="126" t="str">
        <f>IFERROR(INDEX(EQA.Controllab_Dados!Q$2:Q$5000,MATCH(ROW()-4,EQA.Controllab_Dados!$S$2:$S$5000,0)),"")</f>
        <v/>
      </c>
      <c r="R11" t="str">
        <f>IFERROR(INDEX(EQA.Controllab_Dados!R$2:R$5000,MATCH(ROW()-4,EQA.Controllab_Dados!$S$2:$S$5000,0)),"")</f>
        <v/>
      </c>
    </row>
    <row r="12" spans="1:18" x14ac:dyDescent="0.3">
      <c r="A12" t="str">
        <f>IFERROR(INDEX(EQA.Controllab_Dados!A$2:A$5000,MATCH(ROW()-4,EQA.Controllab_Dados!$S$2:$S$5000,0)),"")</f>
        <v/>
      </c>
      <c r="B12" t="str">
        <f>IFERROR(INDEX(EQA.Controllab_Dados!B$2:B$5000,MATCH(ROW()-4,EQA.Controllab_Dados!$S$2:$S$5000,0)),"")</f>
        <v/>
      </c>
      <c r="C12" s="126" t="str">
        <f>IFERROR(INDEX(EQA.Controllab_Dados!C$2:C$5000,MATCH(ROW()-4,EQA.Controllab_Dados!$S$2:$S$5000,0)),"")</f>
        <v/>
      </c>
      <c r="D12" t="str">
        <f>IFERROR(INDEX(EQA.Controllab_Dados!D$2:D$5000,MATCH(ROW()-4,EQA.Controllab_Dados!$S$2:$S$5000,0)),"")</f>
        <v/>
      </c>
      <c r="E12" t="str">
        <f>IFERROR(INDEX(EQA.Controllab_Dados!E$2:E$5000,MATCH(ROW()-4,EQA.Controllab_Dados!$S$2:$S$5000,0)),"")</f>
        <v/>
      </c>
      <c r="F12" s="137" t="str">
        <f>IFERROR(INDEX(EQA.Controllab_Dados!F$2:F$5000,MATCH(ROW()-4,EQA.Controllab_Dados!$S$2:$S$5000,0)),"")</f>
        <v/>
      </c>
      <c r="G12" s="138" t="str">
        <f>IFERROR(INDEX(EQA.Controllab_Dados!G$2:G$5000,MATCH(ROW()-4,EQA.Controllab_Dados!$S$2:$S$5000,0)),"")</f>
        <v/>
      </c>
      <c r="H12" s="138" t="str">
        <f>IFERROR(INDEX(EQA.Controllab_Dados!H$2:H$5000,MATCH(ROW()-4,EQA.Controllab_Dados!$S$2:$S$5000,0)),"")</f>
        <v/>
      </c>
      <c r="I12" s="139" t="str">
        <f>IFERROR(INDEX(EQA.Controllab_Dados!I$2:I$5000,MATCH(ROW()-4,EQA.Controllab_Dados!$S$2:$S$5000,0)),"")</f>
        <v/>
      </c>
      <c r="J12" s="137" t="str">
        <f>IFERROR(INDEX(EQA.Controllab_Dados!J$2:J$5000,MATCH(ROW()-4,EQA.Controllab_Dados!$S$2:$S$5000,0)),"")</f>
        <v/>
      </c>
      <c r="K12" s="137" t="str">
        <f>IFERROR(INDEX(EQA.Controllab_Dados!K$2:K$5000,MATCH(ROW()-4,EQA.Controllab_Dados!$S$2:$S$5000,0)),"")</f>
        <v/>
      </c>
      <c r="L12" t="str">
        <f>IFERROR(INDEX(EQA.Controllab_Dados!L$2:L$5000,MATCH(ROW()-4,EQA.Controllab_Dados!$S$2:$S$5000,0)),"")</f>
        <v/>
      </c>
      <c r="M12" s="126" t="str">
        <f>IFERROR(INDEX(EQA.Controllab_Dados!M$2:M$5000,MATCH(ROW()-4,EQA.Controllab_Dados!$S$2:$S$5000,0)),"")</f>
        <v/>
      </c>
      <c r="N12" t="str">
        <f>IFERROR(INDEX(EQA.Controllab_Dados!N$2:N$5000,MATCH(ROW()-4,EQA.Controllab_Dados!$S$2:$S$5000,0)),"")</f>
        <v/>
      </c>
      <c r="O12" s="137" t="str">
        <f>IFERROR(INDEX(EQA.Controllab_Dados!O$2:O$5000,MATCH(ROW()-4,EQA.Controllab_Dados!$S$2:$S$5000,0)),"")</f>
        <v/>
      </c>
      <c r="P12" s="137" t="str">
        <f>IFERROR(INDEX(EQA.Controllab_Dados!P$2:P$5000,MATCH(ROW()-4,EQA.Controllab_Dados!$S$2:$S$5000,0)),"")</f>
        <v/>
      </c>
      <c r="Q12" s="126" t="str">
        <f>IFERROR(INDEX(EQA.Controllab_Dados!Q$2:Q$5000,MATCH(ROW()-4,EQA.Controllab_Dados!$S$2:$S$5000,0)),"")</f>
        <v/>
      </c>
      <c r="R12" t="str">
        <f>IFERROR(INDEX(EQA.Controllab_Dados!R$2:R$5000,MATCH(ROW()-4,EQA.Controllab_Dados!$S$2:$S$5000,0)),"")</f>
        <v/>
      </c>
    </row>
    <row r="13" spans="1:18" x14ac:dyDescent="0.3">
      <c r="A13" t="str">
        <f>IFERROR(INDEX(EQA.Controllab_Dados!A$2:A$5000,MATCH(ROW()-4,EQA.Controllab_Dados!$S$2:$S$5000,0)),"")</f>
        <v/>
      </c>
      <c r="B13" t="str">
        <f>IFERROR(INDEX(EQA.Controllab_Dados!B$2:B$5000,MATCH(ROW()-4,EQA.Controllab_Dados!$S$2:$S$5000,0)),"")</f>
        <v/>
      </c>
      <c r="C13" s="126" t="str">
        <f>IFERROR(INDEX(EQA.Controllab_Dados!C$2:C$5000,MATCH(ROW()-4,EQA.Controllab_Dados!$S$2:$S$5000,0)),"")</f>
        <v/>
      </c>
      <c r="D13" t="str">
        <f>IFERROR(INDEX(EQA.Controllab_Dados!D$2:D$5000,MATCH(ROW()-4,EQA.Controllab_Dados!$S$2:$S$5000,0)),"")</f>
        <v/>
      </c>
      <c r="E13" t="str">
        <f>IFERROR(INDEX(EQA.Controllab_Dados!E$2:E$5000,MATCH(ROW()-4,EQA.Controllab_Dados!$S$2:$S$5000,0)),"")</f>
        <v/>
      </c>
      <c r="F13" s="137" t="str">
        <f>IFERROR(INDEX(EQA.Controllab_Dados!F$2:F$5000,MATCH(ROW()-4,EQA.Controllab_Dados!$S$2:$S$5000,0)),"")</f>
        <v/>
      </c>
      <c r="G13" s="138" t="str">
        <f>IFERROR(INDEX(EQA.Controllab_Dados!G$2:G$5000,MATCH(ROW()-4,EQA.Controllab_Dados!$S$2:$S$5000,0)),"")</f>
        <v/>
      </c>
      <c r="H13" s="138" t="str">
        <f>IFERROR(INDEX(EQA.Controllab_Dados!H$2:H$5000,MATCH(ROW()-4,EQA.Controllab_Dados!$S$2:$S$5000,0)),"")</f>
        <v/>
      </c>
      <c r="I13" s="139" t="str">
        <f>IFERROR(INDEX(EQA.Controllab_Dados!I$2:I$5000,MATCH(ROW()-4,EQA.Controllab_Dados!$S$2:$S$5000,0)),"")</f>
        <v/>
      </c>
      <c r="J13" s="137" t="str">
        <f>IFERROR(INDEX(EQA.Controllab_Dados!J$2:J$5000,MATCH(ROW()-4,EQA.Controllab_Dados!$S$2:$S$5000,0)),"")</f>
        <v/>
      </c>
      <c r="K13" s="137" t="str">
        <f>IFERROR(INDEX(EQA.Controllab_Dados!K$2:K$5000,MATCH(ROW()-4,EQA.Controllab_Dados!$S$2:$S$5000,0)),"")</f>
        <v/>
      </c>
      <c r="L13" t="str">
        <f>IFERROR(INDEX(EQA.Controllab_Dados!L$2:L$5000,MATCH(ROW()-4,EQA.Controllab_Dados!$S$2:$S$5000,0)),"")</f>
        <v/>
      </c>
      <c r="M13" s="126" t="str">
        <f>IFERROR(INDEX(EQA.Controllab_Dados!M$2:M$5000,MATCH(ROW()-4,EQA.Controllab_Dados!$S$2:$S$5000,0)),"")</f>
        <v/>
      </c>
      <c r="N13" t="str">
        <f>IFERROR(INDEX(EQA.Controllab_Dados!N$2:N$5000,MATCH(ROW()-4,EQA.Controllab_Dados!$S$2:$S$5000,0)),"")</f>
        <v/>
      </c>
      <c r="O13" s="137" t="str">
        <f>IFERROR(INDEX(EQA.Controllab_Dados!O$2:O$5000,MATCH(ROW()-4,EQA.Controllab_Dados!$S$2:$S$5000,0)),"")</f>
        <v/>
      </c>
      <c r="P13" s="137" t="str">
        <f>IFERROR(INDEX(EQA.Controllab_Dados!P$2:P$5000,MATCH(ROW()-4,EQA.Controllab_Dados!$S$2:$S$5000,0)),"")</f>
        <v/>
      </c>
      <c r="Q13" s="126" t="str">
        <f>IFERROR(INDEX(EQA.Controllab_Dados!Q$2:Q$5000,MATCH(ROW()-4,EQA.Controllab_Dados!$S$2:$S$5000,0)),"")</f>
        <v/>
      </c>
      <c r="R13" t="str">
        <f>IFERROR(INDEX(EQA.Controllab_Dados!R$2:R$5000,MATCH(ROW()-4,EQA.Controllab_Dados!$S$2:$S$5000,0)),"")</f>
        <v/>
      </c>
    </row>
    <row r="14" spans="1:18" x14ac:dyDescent="0.3">
      <c r="A14" t="str">
        <f>IFERROR(INDEX(EQA.Controllab_Dados!A$2:A$5000,MATCH(ROW()-4,EQA.Controllab_Dados!$S$2:$S$5000,0)),"")</f>
        <v/>
      </c>
      <c r="B14" t="str">
        <f>IFERROR(INDEX(EQA.Controllab_Dados!B$2:B$5000,MATCH(ROW()-4,EQA.Controllab_Dados!$S$2:$S$5000,0)),"")</f>
        <v/>
      </c>
      <c r="C14" s="126" t="str">
        <f>IFERROR(INDEX(EQA.Controllab_Dados!C$2:C$5000,MATCH(ROW()-4,EQA.Controllab_Dados!$S$2:$S$5000,0)),"")</f>
        <v/>
      </c>
      <c r="D14" t="str">
        <f>IFERROR(INDEX(EQA.Controllab_Dados!D$2:D$5000,MATCH(ROW()-4,EQA.Controllab_Dados!$S$2:$S$5000,0)),"")</f>
        <v/>
      </c>
      <c r="E14" t="str">
        <f>IFERROR(INDEX(EQA.Controllab_Dados!E$2:E$5000,MATCH(ROW()-4,EQA.Controllab_Dados!$S$2:$S$5000,0)),"")</f>
        <v/>
      </c>
      <c r="F14" s="137" t="str">
        <f>IFERROR(INDEX(EQA.Controllab_Dados!F$2:F$5000,MATCH(ROW()-4,EQA.Controllab_Dados!$S$2:$S$5000,0)),"")</f>
        <v/>
      </c>
      <c r="G14" s="138" t="str">
        <f>IFERROR(INDEX(EQA.Controllab_Dados!G$2:G$5000,MATCH(ROW()-4,EQA.Controllab_Dados!$S$2:$S$5000,0)),"")</f>
        <v/>
      </c>
      <c r="H14" s="138" t="str">
        <f>IFERROR(INDEX(EQA.Controllab_Dados!H$2:H$5000,MATCH(ROW()-4,EQA.Controllab_Dados!$S$2:$S$5000,0)),"")</f>
        <v/>
      </c>
      <c r="I14" s="139" t="str">
        <f>IFERROR(INDEX(EQA.Controllab_Dados!I$2:I$5000,MATCH(ROW()-4,EQA.Controllab_Dados!$S$2:$S$5000,0)),"")</f>
        <v/>
      </c>
      <c r="J14" s="137" t="str">
        <f>IFERROR(INDEX(EQA.Controllab_Dados!J$2:J$5000,MATCH(ROW()-4,EQA.Controllab_Dados!$S$2:$S$5000,0)),"")</f>
        <v/>
      </c>
      <c r="K14" s="137" t="str">
        <f>IFERROR(INDEX(EQA.Controllab_Dados!K$2:K$5000,MATCH(ROW()-4,EQA.Controllab_Dados!$S$2:$S$5000,0)),"")</f>
        <v/>
      </c>
      <c r="L14" t="str">
        <f>IFERROR(INDEX(EQA.Controllab_Dados!L$2:L$5000,MATCH(ROW()-4,EQA.Controllab_Dados!$S$2:$S$5000,0)),"")</f>
        <v/>
      </c>
      <c r="M14" s="126" t="str">
        <f>IFERROR(INDEX(EQA.Controllab_Dados!M$2:M$5000,MATCH(ROW()-4,EQA.Controllab_Dados!$S$2:$S$5000,0)),"")</f>
        <v/>
      </c>
      <c r="N14" t="str">
        <f>IFERROR(INDEX(EQA.Controllab_Dados!N$2:N$5000,MATCH(ROW()-4,EQA.Controllab_Dados!$S$2:$S$5000,0)),"")</f>
        <v/>
      </c>
      <c r="O14" s="137" t="str">
        <f>IFERROR(INDEX(EQA.Controllab_Dados!O$2:O$5000,MATCH(ROW()-4,EQA.Controllab_Dados!$S$2:$S$5000,0)),"")</f>
        <v/>
      </c>
      <c r="P14" s="137" t="str">
        <f>IFERROR(INDEX(EQA.Controllab_Dados!P$2:P$5000,MATCH(ROW()-4,EQA.Controllab_Dados!$S$2:$S$5000,0)),"")</f>
        <v/>
      </c>
      <c r="Q14" s="126" t="str">
        <f>IFERROR(INDEX(EQA.Controllab_Dados!Q$2:Q$5000,MATCH(ROW()-4,EQA.Controllab_Dados!$S$2:$S$5000,0)),"")</f>
        <v/>
      </c>
      <c r="R14" t="str">
        <f>IFERROR(INDEX(EQA.Controllab_Dados!R$2:R$5000,MATCH(ROW()-4,EQA.Controllab_Dados!$S$2:$S$5000,0)),"")</f>
        <v/>
      </c>
    </row>
    <row r="15" spans="1:18" x14ac:dyDescent="0.3">
      <c r="A15" t="str">
        <f>IFERROR(INDEX(EQA.Controllab_Dados!A$2:A$5000,MATCH(ROW()-4,EQA.Controllab_Dados!$S$2:$S$5000,0)),"")</f>
        <v/>
      </c>
      <c r="B15" t="str">
        <f>IFERROR(INDEX(EQA.Controllab_Dados!B$2:B$5000,MATCH(ROW()-4,EQA.Controllab_Dados!$S$2:$S$5000,0)),"")</f>
        <v/>
      </c>
      <c r="C15" s="126" t="str">
        <f>IFERROR(INDEX(EQA.Controllab_Dados!C$2:C$5000,MATCH(ROW()-4,EQA.Controllab_Dados!$S$2:$S$5000,0)),"")</f>
        <v/>
      </c>
      <c r="D15" t="str">
        <f>IFERROR(INDEX(EQA.Controllab_Dados!D$2:D$5000,MATCH(ROW()-4,EQA.Controllab_Dados!$S$2:$S$5000,0)),"")</f>
        <v/>
      </c>
      <c r="E15" t="str">
        <f>IFERROR(INDEX(EQA.Controllab_Dados!E$2:E$5000,MATCH(ROW()-4,EQA.Controllab_Dados!$S$2:$S$5000,0)),"")</f>
        <v/>
      </c>
      <c r="F15" s="137" t="str">
        <f>IFERROR(INDEX(EQA.Controllab_Dados!F$2:F$5000,MATCH(ROW()-4,EQA.Controllab_Dados!$S$2:$S$5000,0)),"")</f>
        <v/>
      </c>
      <c r="G15" s="138" t="str">
        <f>IFERROR(INDEX(EQA.Controllab_Dados!G$2:G$5000,MATCH(ROW()-4,EQA.Controllab_Dados!$S$2:$S$5000,0)),"")</f>
        <v/>
      </c>
      <c r="H15" s="138" t="str">
        <f>IFERROR(INDEX(EQA.Controllab_Dados!H$2:H$5000,MATCH(ROW()-4,EQA.Controllab_Dados!$S$2:$S$5000,0)),"")</f>
        <v/>
      </c>
      <c r="I15" s="139" t="str">
        <f>IFERROR(INDEX(EQA.Controllab_Dados!I$2:I$5000,MATCH(ROW()-4,EQA.Controllab_Dados!$S$2:$S$5000,0)),"")</f>
        <v/>
      </c>
      <c r="J15" s="137" t="str">
        <f>IFERROR(INDEX(EQA.Controllab_Dados!J$2:J$5000,MATCH(ROW()-4,EQA.Controllab_Dados!$S$2:$S$5000,0)),"")</f>
        <v/>
      </c>
      <c r="K15" s="137" t="str">
        <f>IFERROR(INDEX(EQA.Controllab_Dados!K$2:K$5000,MATCH(ROW()-4,EQA.Controllab_Dados!$S$2:$S$5000,0)),"")</f>
        <v/>
      </c>
      <c r="L15" t="str">
        <f>IFERROR(INDEX(EQA.Controllab_Dados!L$2:L$5000,MATCH(ROW()-4,EQA.Controllab_Dados!$S$2:$S$5000,0)),"")</f>
        <v/>
      </c>
      <c r="M15" s="126" t="str">
        <f>IFERROR(INDEX(EQA.Controllab_Dados!M$2:M$5000,MATCH(ROW()-4,EQA.Controllab_Dados!$S$2:$S$5000,0)),"")</f>
        <v/>
      </c>
      <c r="N15" t="str">
        <f>IFERROR(INDEX(EQA.Controllab_Dados!N$2:N$5000,MATCH(ROW()-4,EQA.Controllab_Dados!$S$2:$S$5000,0)),"")</f>
        <v/>
      </c>
      <c r="O15" s="137" t="str">
        <f>IFERROR(INDEX(EQA.Controllab_Dados!O$2:O$5000,MATCH(ROW()-4,EQA.Controllab_Dados!$S$2:$S$5000,0)),"")</f>
        <v/>
      </c>
      <c r="P15" s="137" t="str">
        <f>IFERROR(INDEX(EQA.Controllab_Dados!P$2:P$5000,MATCH(ROW()-4,EQA.Controllab_Dados!$S$2:$S$5000,0)),"")</f>
        <v/>
      </c>
      <c r="Q15" s="126" t="str">
        <f>IFERROR(INDEX(EQA.Controllab_Dados!Q$2:Q$5000,MATCH(ROW()-4,EQA.Controllab_Dados!$S$2:$S$5000,0)),"")</f>
        <v/>
      </c>
      <c r="R15" t="str">
        <f>IFERROR(INDEX(EQA.Controllab_Dados!R$2:R$5000,MATCH(ROW()-4,EQA.Controllab_Dados!$S$2:$S$5000,0)),"")</f>
        <v/>
      </c>
    </row>
    <row r="16" spans="1:18" x14ac:dyDescent="0.3">
      <c r="A16" t="str">
        <f>IFERROR(INDEX(EQA.Controllab_Dados!A$2:A$5000,MATCH(ROW()-4,EQA.Controllab_Dados!$S$2:$S$5000,0)),"")</f>
        <v/>
      </c>
      <c r="B16" t="str">
        <f>IFERROR(INDEX(EQA.Controllab_Dados!B$2:B$5000,MATCH(ROW()-4,EQA.Controllab_Dados!$S$2:$S$5000,0)),"")</f>
        <v/>
      </c>
      <c r="C16" s="126" t="str">
        <f>IFERROR(INDEX(EQA.Controllab_Dados!C$2:C$5000,MATCH(ROW()-4,EQA.Controllab_Dados!$S$2:$S$5000,0)),"")</f>
        <v/>
      </c>
      <c r="D16" t="str">
        <f>IFERROR(INDEX(EQA.Controllab_Dados!D$2:D$5000,MATCH(ROW()-4,EQA.Controllab_Dados!$S$2:$S$5000,0)),"")</f>
        <v/>
      </c>
      <c r="E16" t="str">
        <f>IFERROR(INDEX(EQA.Controllab_Dados!E$2:E$5000,MATCH(ROW()-4,EQA.Controllab_Dados!$S$2:$S$5000,0)),"")</f>
        <v/>
      </c>
      <c r="F16" s="137" t="str">
        <f>IFERROR(INDEX(EQA.Controllab_Dados!F$2:F$5000,MATCH(ROW()-4,EQA.Controllab_Dados!$S$2:$S$5000,0)),"")</f>
        <v/>
      </c>
      <c r="G16" s="138" t="str">
        <f>IFERROR(INDEX(EQA.Controllab_Dados!G$2:G$5000,MATCH(ROW()-4,EQA.Controllab_Dados!$S$2:$S$5000,0)),"")</f>
        <v/>
      </c>
      <c r="H16" s="138" t="str">
        <f>IFERROR(INDEX(EQA.Controllab_Dados!H$2:H$5000,MATCH(ROW()-4,EQA.Controllab_Dados!$S$2:$S$5000,0)),"")</f>
        <v/>
      </c>
      <c r="I16" s="139" t="str">
        <f>IFERROR(INDEX(EQA.Controllab_Dados!I$2:I$5000,MATCH(ROW()-4,EQA.Controllab_Dados!$S$2:$S$5000,0)),"")</f>
        <v/>
      </c>
      <c r="J16" s="137" t="str">
        <f>IFERROR(INDEX(EQA.Controllab_Dados!J$2:J$5000,MATCH(ROW()-4,EQA.Controllab_Dados!$S$2:$S$5000,0)),"")</f>
        <v/>
      </c>
      <c r="K16" s="137" t="str">
        <f>IFERROR(INDEX(EQA.Controllab_Dados!K$2:K$5000,MATCH(ROW()-4,EQA.Controllab_Dados!$S$2:$S$5000,0)),"")</f>
        <v/>
      </c>
      <c r="L16" t="str">
        <f>IFERROR(INDEX(EQA.Controllab_Dados!L$2:L$5000,MATCH(ROW()-4,EQA.Controllab_Dados!$S$2:$S$5000,0)),"")</f>
        <v/>
      </c>
      <c r="M16" s="126" t="str">
        <f>IFERROR(INDEX(EQA.Controllab_Dados!M$2:M$5000,MATCH(ROW()-4,EQA.Controllab_Dados!$S$2:$S$5000,0)),"")</f>
        <v/>
      </c>
      <c r="N16" t="str">
        <f>IFERROR(INDEX(EQA.Controllab_Dados!N$2:N$5000,MATCH(ROW()-4,EQA.Controllab_Dados!$S$2:$S$5000,0)),"")</f>
        <v/>
      </c>
      <c r="O16" s="137" t="str">
        <f>IFERROR(INDEX(EQA.Controllab_Dados!O$2:O$5000,MATCH(ROW()-4,EQA.Controllab_Dados!$S$2:$S$5000,0)),"")</f>
        <v/>
      </c>
      <c r="P16" s="137" t="str">
        <f>IFERROR(INDEX(EQA.Controllab_Dados!P$2:P$5000,MATCH(ROW()-4,EQA.Controllab_Dados!$S$2:$S$5000,0)),"")</f>
        <v/>
      </c>
      <c r="Q16" s="126" t="str">
        <f>IFERROR(INDEX(EQA.Controllab_Dados!Q$2:Q$5000,MATCH(ROW()-4,EQA.Controllab_Dados!$S$2:$S$5000,0)),"")</f>
        <v/>
      </c>
      <c r="R16" t="str">
        <f>IFERROR(INDEX(EQA.Controllab_Dados!R$2:R$5000,MATCH(ROW()-4,EQA.Controllab_Dados!$S$2:$S$5000,0)),"")</f>
        <v/>
      </c>
    </row>
    <row r="17" spans="1:18" x14ac:dyDescent="0.3">
      <c r="A17" t="str">
        <f>IFERROR(INDEX(EQA.Controllab_Dados!A$2:A$5000,MATCH(ROW()-4,EQA.Controllab_Dados!$S$2:$S$5000,0)),"")</f>
        <v/>
      </c>
      <c r="B17" t="str">
        <f>IFERROR(INDEX(EQA.Controllab_Dados!B$2:B$5000,MATCH(ROW()-4,EQA.Controllab_Dados!$S$2:$S$5000,0)),"")</f>
        <v/>
      </c>
      <c r="C17" s="126" t="str">
        <f>IFERROR(INDEX(EQA.Controllab_Dados!C$2:C$5000,MATCH(ROW()-4,EQA.Controllab_Dados!$S$2:$S$5000,0)),"")</f>
        <v/>
      </c>
      <c r="D17" t="str">
        <f>IFERROR(INDEX(EQA.Controllab_Dados!D$2:D$5000,MATCH(ROW()-4,EQA.Controllab_Dados!$S$2:$S$5000,0)),"")</f>
        <v/>
      </c>
      <c r="E17" t="str">
        <f>IFERROR(INDEX(EQA.Controllab_Dados!E$2:E$5000,MATCH(ROW()-4,EQA.Controllab_Dados!$S$2:$S$5000,0)),"")</f>
        <v/>
      </c>
      <c r="F17" s="137" t="str">
        <f>IFERROR(INDEX(EQA.Controllab_Dados!F$2:F$5000,MATCH(ROW()-4,EQA.Controllab_Dados!$S$2:$S$5000,0)),"")</f>
        <v/>
      </c>
      <c r="G17" s="138" t="str">
        <f>IFERROR(INDEX(EQA.Controllab_Dados!G$2:G$5000,MATCH(ROW()-4,EQA.Controllab_Dados!$S$2:$S$5000,0)),"")</f>
        <v/>
      </c>
      <c r="H17" s="138" t="str">
        <f>IFERROR(INDEX(EQA.Controllab_Dados!H$2:H$5000,MATCH(ROW()-4,EQA.Controllab_Dados!$S$2:$S$5000,0)),"")</f>
        <v/>
      </c>
      <c r="I17" s="139" t="str">
        <f>IFERROR(INDEX(EQA.Controllab_Dados!I$2:I$5000,MATCH(ROW()-4,EQA.Controllab_Dados!$S$2:$S$5000,0)),"")</f>
        <v/>
      </c>
      <c r="J17" s="137" t="str">
        <f>IFERROR(INDEX(EQA.Controllab_Dados!J$2:J$5000,MATCH(ROW()-4,EQA.Controllab_Dados!$S$2:$S$5000,0)),"")</f>
        <v/>
      </c>
      <c r="K17" s="137" t="str">
        <f>IFERROR(INDEX(EQA.Controllab_Dados!K$2:K$5000,MATCH(ROW()-4,EQA.Controllab_Dados!$S$2:$S$5000,0)),"")</f>
        <v/>
      </c>
      <c r="L17" t="str">
        <f>IFERROR(INDEX(EQA.Controllab_Dados!L$2:L$5000,MATCH(ROW()-4,EQA.Controllab_Dados!$S$2:$S$5000,0)),"")</f>
        <v/>
      </c>
      <c r="M17" s="126" t="str">
        <f>IFERROR(INDEX(EQA.Controllab_Dados!M$2:M$5000,MATCH(ROW()-4,EQA.Controllab_Dados!$S$2:$S$5000,0)),"")</f>
        <v/>
      </c>
      <c r="N17" t="str">
        <f>IFERROR(INDEX(EQA.Controllab_Dados!N$2:N$5000,MATCH(ROW()-4,EQA.Controllab_Dados!$S$2:$S$5000,0)),"")</f>
        <v/>
      </c>
      <c r="O17" s="137" t="str">
        <f>IFERROR(INDEX(EQA.Controllab_Dados!O$2:O$5000,MATCH(ROW()-4,EQA.Controllab_Dados!$S$2:$S$5000,0)),"")</f>
        <v/>
      </c>
      <c r="P17" s="137" t="str">
        <f>IFERROR(INDEX(EQA.Controllab_Dados!P$2:P$5000,MATCH(ROW()-4,EQA.Controllab_Dados!$S$2:$S$5000,0)),"")</f>
        <v/>
      </c>
      <c r="Q17" s="126" t="str">
        <f>IFERROR(INDEX(EQA.Controllab_Dados!Q$2:Q$5000,MATCH(ROW()-4,EQA.Controllab_Dados!$S$2:$S$5000,0)),"")</f>
        <v/>
      </c>
      <c r="R17" t="str">
        <f>IFERROR(INDEX(EQA.Controllab_Dados!R$2:R$5000,MATCH(ROW()-4,EQA.Controllab_Dados!$S$2:$S$5000,0)),"")</f>
        <v/>
      </c>
    </row>
    <row r="18" spans="1:18" x14ac:dyDescent="0.3">
      <c r="A18" t="str">
        <f>IFERROR(INDEX(EQA.Controllab_Dados!A$2:A$5000,MATCH(ROW()-4,EQA.Controllab_Dados!$S$2:$S$5000,0)),"")</f>
        <v/>
      </c>
      <c r="B18" t="str">
        <f>IFERROR(INDEX(EQA.Controllab_Dados!B$2:B$5000,MATCH(ROW()-4,EQA.Controllab_Dados!$S$2:$S$5000,0)),"")</f>
        <v/>
      </c>
      <c r="C18" s="126" t="str">
        <f>IFERROR(INDEX(EQA.Controllab_Dados!C$2:C$5000,MATCH(ROW()-4,EQA.Controllab_Dados!$S$2:$S$5000,0)),"")</f>
        <v/>
      </c>
      <c r="D18" t="str">
        <f>IFERROR(INDEX(EQA.Controllab_Dados!D$2:D$5000,MATCH(ROW()-4,EQA.Controllab_Dados!$S$2:$S$5000,0)),"")</f>
        <v/>
      </c>
      <c r="E18" t="str">
        <f>IFERROR(INDEX(EQA.Controllab_Dados!E$2:E$5000,MATCH(ROW()-4,EQA.Controllab_Dados!$S$2:$S$5000,0)),"")</f>
        <v/>
      </c>
      <c r="F18" s="137" t="str">
        <f>IFERROR(INDEX(EQA.Controllab_Dados!F$2:F$5000,MATCH(ROW()-4,EQA.Controllab_Dados!$S$2:$S$5000,0)),"")</f>
        <v/>
      </c>
      <c r="G18" s="138" t="str">
        <f>IFERROR(INDEX(EQA.Controllab_Dados!G$2:G$5000,MATCH(ROW()-4,EQA.Controllab_Dados!$S$2:$S$5000,0)),"")</f>
        <v/>
      </c>
      <c r="H18" s="138" t="str">
        <f>IFERROR(INDEX(EQA.Controllab_Dados!H$2:H$5000,MATCH(ROW()-4,EQA.Controllab_Dados!$S$2:$S$5000,0)),"")</f>
        <v/>
      </c>
      <c r="I18" s="139" t="str">
        <f>IFERROR(INDEX(EQA.Controllab_Dados!I$2:I$5000,MATCH(ROW()-4,EQA.Controllab_Dados!$S$2:$S$5000,0)),"")</f>
        <v/>
      </c>
      <c r="J18" s="137" t="str">
        <f>IFERROR(INDEX(EQA.Controllab_Dados!J$2:J$5000,MATCH(ROW()-4,EQA.Controllab_Dados!$S$2:$S$5000,0)),"")</f>
        <v/>
      </c>
      <c r="K18" s="137" t="str">
        <f>IFERROR(INDEX(EQA.Controllab_Dados!K$2:K$5000,MATCH(ROW()-4,EQA.Controllab_Dados!$S$2:$S$5000,0)),"")</f>
        <v/>
      </c>
      <c r="L18" t="str">
        <f>IFERROR(INDEX(EQA.Controllab_Dados!L$2:L$5000,MATCH(ROW()-4,EQA.Controllab_Dados!$S$2:$S$5000,0)),"")</f>
        <v/>
      </c>
      <c r="M18" s="126" t="str">
        <f>IFERROR(INDEX(EQA.Controllab_Dados!M$2:M$5000,MATCH(ROW()-4,EQA.Controllab_Dados!$S$2:$S$5000,0)),"")</f>
        <v/>
      </c>
      <c r="N18" t="str">
        <f>IFERROR(INDEX(EQA.Controllab_Dados!N$2:N$5000,MATCH(ROW()-4,EQA.Controllab_Dados!$S$2:$S$5000,0)),"")</f>
        <v/>
      </c>
      <c r="O18" s="137" t="str">
        <f>IFERROR(INDEX(EQA.Controllab_Dados!O$2:O$5000,MATCH(ROW()-4,EQA.Controllab_Dados!$S$2:$S$5000,0)),"")</f>
        <v/>
      </c>
      <c r="P18" s="137" t="str">
        <f>IFERROR(INDEX(EQA.Controllab_Dados!P$2:P$5000,MATCH(ROW()-4,EQA.Controllab_Dados!$S$2:$S$5000,0)),"")</f>
        <v/>
      </c>
      <c r="Q18" s="126" t="str">
        <f>IFERROR(INDEX(EQA.Controllab_Dados!Q$2:Q$5000,MATCH(ROW()-4,EQA.Controllab_Dados!$S$2:$S$5000,0)),"")</f>
        <v/>
      </c>
      <c r="R18" t="str">
        <f>IFERROR(INDEX(EQA.Controllab_Dados!R$2:R$5000,MATCH(ROW()-4,EQA.Controllab_Dados!$S$2:$S$5000,0)),"")</f>
        <v/>
      </c>
    </row>
    <row r="19" spans="1:18" x14ac:dyDescent="0.3">
      <c r="A19" t="str">
        <f>IFERROR(INDEX(EQA.Controllab_Dados!A$2:A$5000,MATCH(ROW()-4,EQA.Controllab_Dados!$S$2:$S$5000,0)),"")</f>
        <v/>
      </c>
      <c r="B19" t="str">
        <f>IFERROR(INDEX(EQA.Controllab_Dados!B$2:B$5000,MATCH(ROW()-4,EQA.Controllab_Dados!$S$2:$S$5000,0)),"")</f>
        <v/>
      </c>
      <c r="C19" s="126" t="str">
        <f>IFERROR(INDEX(EQA.Controllab_Dados!C$2:C$5000,MATCH(ROW()-4,EQA.Controllab_Dados!$S$2:$S$5000,0)),"")</f>
        <v/>
      </c>
      <c r="D19" t="str">
        <f>IFERROR(INDEX(EQA.Controllab_Dados!D$2:D$5000,MATCH(ROW()-4,EQA.Controllab_Dados!$S$2:$S$5000,0)),"")</f>
        <v/>
      </c>
      <c r="E19" t="str">
        <f>IFERROR(INDEX(EQA.Controllab_Dados!E$2:E$5000,MATCH(ROW()-4,EQA.Controllab_Dados!$S$2:$S$5000,0)),"")</f>
        <v/>
      </c>
      <c r="F19" s="137" t="str">
        <f>IFERROR(INDEX(EQA.Controllab_Dados!F$2:F$5000,MATCH(ROW()-4,EQA.Controllab_Dados!$S$2:$S$5000,0)),"")</f>
        <v/>
      </c>
      <c r="G19" s="138" t="str">
        <f>IFERROR(INDEX(EQA.Controllab_Dados!G$2:G$5000,MATCH(ROW()-4,EQA.Controllab_Dados!$S$2:$S$5000,0)),"")</f>
        <v/>
      </c>
      <c r="H19" s="138" t="str">
        <f>IFERROR(INDEX(EQA.Controllab_Dados!H$2:H$5000,MATCH(ROW()-4,EQA.Controllab_Dados!$S$2:$S$5000,0)),"")</f>
        <v/>
      </c>
      <c r="I19" s="139" t="str">
        <f>IFERROR(INDEX(EQA.Controllab_Dados!I$2:I$5000,MATCH(ROW()-4,EQA.Controllab_Dados!$S$2:$S$5000,0)),"")</f>
        <v/>
      </c>
      <c r="J19" s="137" t="str">
        <f>IFERROR(INDEX(EQA.Controllab_Dados!J$2:J$5000,MATCH(ROW()-4,EQA.Controllab_Dados!$S$2:$S$5000,0)),"")</f>
        <v/>
      </c>
      <c r="K19" s="137" t="str">
        <f>IFERROR(INDEX(EQA.Controllab_Dados!K$2:K$5000,MATCH(ROW()-4,EQA.Controllab_Dados!$S$2:$S$5000,0)),"")</f>
        <v/>
      </c>
      <c r="L19" t="str">
        <f>IFERROR(INDEX(EQA.Controllab_Dados!L$2:L$5000,MATCH(ROW()-4,EQA.Controllab_Dados!$S$2:$S$5000,0)),"")</f>
        <v/>
      </c>
      <c r="M19" s="126" t="str">
        <f>IFERROR(INDEX(EQA.Controllab_Dados!M$2:M$5000,MATCH(ROW()-4,EQA.Controllab_Dados!$S$2:$S$5000,0)),"")</f>
        <v/>
      </c>
      <c r="N19" t="str">
        <f>IFERROR(INDEX(EQA.Controllab_Dados!N$2:N$5000,MATCH(ROW()-4,EQA.Controllab_Dados!$S$2:$S$5000,0)),"")</f>
        <v/>
      </c>
      <c r="O19" s="137" t="str">
        <f>IFERROR(INDEX(EQA.Controllab_Dados!O$2:O$5000,MATCH(ROW()-4,EQA.Controllab_Dados!$S$2:$S$5000,0)),"")</f>
        <v/>
      </c>
      <c r="P19" s="137" t="str">
        <f>IFERROR(INDEX(EQA.Controllab_Dados!P$2:P$5000,MATCH(ROW()-4,EQA.Controllab_Dados!$S$2:$S$5000,0)),"")</f>
        <v/>
      </c>
      <c r="Q19" s="126" t="str">
        <f>IFERROR(INDEX(EQA.Controllab_Dados!Q$2:Q$5000,MATCH(ROW()-4,EQA.Controllab_Dados!$S$2:$S$5000,0)),"")</f>
        <v/>
      </c>
      <c r="R19" t="str">
        <f>IFERROR(INDEX(EQA.Controllab_Dados!R$2:R$5000,MATCH(ROW()-4,EQA.Controllab_Dados!$S$2:$S$5000,0)),"")</f>
        <v/>
      </c>
    </row>
    <row r="20" spans="1:18" x14ac:dyDescent="0.3">
      <c r="A20" t="str">
        <f>IFERROR(INDEX(EQA.Controllab_Dados!A$2:A$5000,MATCH(ROW()-4,EQA.Controllab_Dados!$S$2:$S$5000,0)),"")</f>
        <v/>
      </c>
      <c r="B20" t="str">
        <f>IFERROR(INDEX(EQA.Controllab_Dados!B$2:B$5000,MATCH(ROW()-4,EQA.Controllab_Dados!$S$2:$S$5000,0)),"")</f>
        <v/>
      </c>
      <c r="C20" s="126" t="str">
        <f>IFERROR(INDEX(EQA.Controllab_Dados!C$2:C$5000,MATCH(ROW()-4,EQA.Controllab_Dados!$S$2:$S$5000,0)),"")</f>
        <v/>
      </c>
      <c r="D20" t="str">
        <f>IFERROR(INDEX(EQA.Controllab_Dados!D$2:D$5000,MATCH(ROW()-4,EQA.Controllab_Dados!$S$2:$S$5000,0)),"")</f>
        <v/>
      </c>
      <c r="E20" t="str">
        <f>IFERROR(INDEX(EQA.Controllab_Dados!E$2:E$5000,MATCH(ROW()-4,EQA.Controllab_Dados!$S$2:$S$5000,0)),"")</f>
        <v/>
      </c>
      <c r="F20" s="137" t="str">
        <f>IFERROR(INDEX(EQA.Controllab_Dados!F$2:F$5000,MATCH(ROW()-4,EQA.Controllab_Dados!$S$2:$S$5000,0)),"")</f>
        <v/>
      </c>
      <c r="G20" s="138" t="str">
        <f>IFERROR(INDEX(EQA.Controllab_Dados!G$2:G$5000,MATCH(ROW()-4,EQA.Controllab_Dados!$S$2:$S$5000,0)),"")</f>
        <v/>
      </c>
      <c r="H20" s="138" t="str">
        <f>IFERROR(INDEX(EQA.Controllab_Dados!H$2:H$5000,MATCH(ROW()-4,EQA.Controllab_Dados!$S$2:$S$5000,0)),"")</f>
        <v/>
      </c>
      <c r="I20" s="139" t="str">
        <f>IFERROR(INDEX(EQA.Controllab_Dados!I$2:I$5000,MATCH(ROW()-4,EQA.Controllab_Dados!$S$2:$S$5000,0)),"")</f>
        <v/>
      </c>
      <c r="J20" s="137" t="str">
        <f>IFERROR(INDEX(EQA.Controllab_Dados!J$2:J$5000,MATCH(ROW()-4,EQA.Controllab_Dados!$S$2:$S$5000,0)),"")</f>
        <v/>
      </c>
      <c r="K20" s="137" t="str">
        <f>IFERROR(INDEX(EQA.Controllab_Dados!K$2:K$5000,MATCH(ROW()-4,EQA.Controllab_Dados!$S$2:$S$5000,0)),"")</f>
        <v/>
      </c>
      <c r="L20" t="str">
        <f>IFERROR(INDEX(EQA.Controllab_Dados!L$2:L$5000,MATCH(ROW()-4,EQA.Controllab_Dados!$S$2:$S$5000,0)),"")</f>
        <v/>
      </c>
      <c r="M20" s="126" t="str">
        <f>IFERROR(INDEX(EQA.Controllab_Dados!M$2:M$5000,MATCH(ROW()-4,EQA.Controllab_Dados!$S$2:$S$5000,0)),"")</f>
        <v/>
      </c>
      <c r="N20" t="str">
        <f>IFERROR(INDEX(EQA.Controllab_Dados!N$2:N$5000,MATCH(ROW()-4,EQA.Controllab_Dados!$S$2:$S$5000,0)),"")</f>
        <v/>
      </c>
      <c r="O20" s="137" t="str">
        <f>IFERROR(INDEX(EQA.Controllab_Dados!O$2:O$5000,MATCH(ROW()-4,EQA.Controllab_Dados!$S$2:$S$5000,0)),"")</f>
        <v/>
      </c>
      <c r="P20" s="137" t="str">
        <f>IFERROR(INDEX(EQA.Controllab_Dados!P$2:P$5000,MATCH(ROW()-4,EQA.Controllab_Dados!$S$2:$S$5000,0)),"")</f>
        <v/>
      </c>
      <c r="Q20" s="126" t="str">
        <f>IFERROR(INDEX(EQA.Controllab_Dados!Q$2:Q$5000,MATCH(ROW()-4,EQA.Controllab_Dados!$S$2:$S$5000,0)),"")</f>
        <v/>
      </c>
      <c r="R20" t="str">
        <f>IFERROR(INDEX(EQA.Controllab_Dados!R$2:R$5000,MATCH(ROW()-4,EQA.Controllab_Dados!$S$2:$S$5000,0)),"")</f>
        <v/>
      </c>
    </row>
    <row r="21" spans="1:18" x14ac:dyDescent="0.3">
      <c r="A21" t="str">
        <f>IFERROR(INDEX(EQA.Controllab_Dados!A$2:A$5000,MATCH(ROW()-4,EQA.Controllab_Dados!$S$2:$S$5000,0)),"")</f>
        <v/>
      </c>
      <c r="B21" t="str">
        <f>IFERROR(INDEX(EQA.Controllab_Dados!B$2:B$5000,MATCH(ROW()-4,EQA.Controllab_Dados!$S$2:$S$5000,0)),"")</f>
        <v/>
      </c>
      <c r="C21" s="126" t="str">
        <f>IFERROR(INDEX(EQA.Controllab_Dados!C$2:C$5000,MATCH(ROW()-4,EQA.Controllab_Dados!$S$2:$S$5000,0)),"")</f>
        <v/>
      </c>
      <c r="D21" t="str">
        <f>IFERROR(INDEX(EQA.Controllab_Dados!D$2:D$5000,MATCH(ROW()-4,EQA.Controllab_Dados!$S$2:$S$5000,0)),"")</f>
        <v/>
      </c>
      <c r="E21" t="str">
        <f>IFERROR(INDEX(EQA.Controllab_Dados!E$2:E$5000,MATCH(ROW()-4,EQA.Controllab_Dados!$S$2:$S$5000,0)),"")</f>
        <v/>
      </c>
      <c r="F21" s="137" t="str">
        <f>IFERROR(INDEX(EQA.Controllab_Dados!F$2:F$5000,MATCH(ROW()-4,EQA.Controllab_Dados!$S$2:$S$5000,0)),"")</f>
        <v/>
      </c>
      <c r="G21" s="138" t="str">
        <f>IFERROR(INDEX(EQA.Controllab_Dados!G$2:G$5000,MATCH(ROW()-4,EQA.Controllab_Dados!$S$2:$S$5000,0)),"")</f>
        <v/>
      </c>
      <c r="H21" s="138" t="str">
        <f>IFERROR(INDEX(EQA.Controllab_Dados!H$2:H$5000,MATCH(ROW()-4,EQA.Controllab_Dados!$S$2:$S$5000,0)),"")</f>
        <v/>
      </c>
      <c r="I21" s="139" t="str">
        <f>IFERROR(INDEX(EQA.Controllab_Dados!I$2:I$5000,MATCH(ROW()-4,EQA.Controllab_Dados!$S$2:$S$5000,0)),"")</f>
        <v/>
      </c>
      <c r="J21" s="137" t="str">
        <f>IFERROR(INDEX(EQA.Controllab_Dados!J$2:J$5000,MATCH(ROW()-4,EQA.Controllab_Dados!$S$2:$S$5000,0)),"")</f>
        <v/>
      </c>
      <c r="K21" s="137" t="str">
        <f>IFERROR(INDEX(EQA.Controllab_Dados!K$2:K$5000,MATCH(ROW()-4,EQA.Controllab_Dados!$S$2:$S$5000,0)),"")</f>
        <v/>
      </c>
      <c r="L21" t="str">
        <f>IFERROR(INDEX(EQA.Controllab_Dados!L$2:L$5000,MATCH(ROW()-4,EQA.Controllab_Dados!$S$2:$S$5000,0)),"")</f>
        <v/>
      </c>
      <c r="M21" s="126" t="str">
        <f>IFERROR(INDEX(EQA.Controllab_Dados!M$2:M$5000,MATCH(ROW()-4,EQA.Controllab_Dados!$S$2:$S$5000,0)),"")</f>
        <v/>
      </c>
      <c r="N21" t="str">
        <f>IFERROR(INDEX(EQA.Controllab_Dados!N$2:N$5000,MATCH(ROW()-4,EQA.Controllab_Dados!$S$2:$S$5000,0)),"")</f>
        <v/>
      </c>
      <c r="O21" s="137" t="str">
        <f>IFERROR(INDEX(EQA.Controllab_Dados!O$2:O$5000,MATCH(ROW()-4,EQA.Controllab_Dados!$S$2:$S$5000,0)),"")</f>
        <v/>
      </c>
      <c r="P21" s="137" t="str">
        <f>IFERROR(INDEX(EQA.Controllab_Dados!P$2:P$5000,MATCH(ROW()-4,EQA.Controllab_Dados!$S$2:$S$5000,0)),"")</f>
        <v/>
      </c>
      <c r="Q21" s="126" t="str">
        <f>IFERROR(INDEX(EQA.Controllab_Dados!Q$2:Q$5000,MATCH(ROW()-4,EQA.Controllab_Dados!$S$2:$S$5000,0)),"")</f>
        <v/>
      </c>
      <c r="R21" t="str">
        <f>IFERROR(INDEX(EQA.Controllab_Dados!R$2:R$5000,MATCH(ROW()-4,EQA.Controllab_Dados!$S$2:$S$5000,0)),"")</f>
        <v/>
      </c>
    </row>
    <row r="22" spans="1:18" x14ac:dyDescent="0.3">
      <c r="A22" t="str">
        <f>IFERROR(INDEX(EQA.Controllab_Dados!A$2:A$5000,MATCH(ROW()-4,EQA.Controllab_Dados!$S$2:$S$5000,0)),"")</f>
        <v/>
      </c>
      <c r="B22" t="str">
        <f>IFERROR(INDEX(EQA.Controllab_Dados!B$2:B$5000,MATCH(ROW()-4,EQA.Controllab_Dados!$S$2:$S$5000,0)),"")</f>
        <v/>
      </c>
      <c r="C22" s="126" t="str">
        <f>IFERROR(INDEX(EQA.Controllab_Dados!C$2:C$5000,MATCH(ROW()-4,EQA.Controllab_Dados!$S$2:$S$5000,0)),"")</f>
        <v/>
      </c>
      <c r="D22" t="str">
        <f>IFERROR(INDEX(EQA.Controllab_Dados!D$2:D$5000,MATCH(ROW()-4,EQA.Controllab_Dados!$S$2:$S$5000,0)),"")</f>
        <v/>
      </c>
      <c r="E22" t="str">
        <f>IFERROR(INDEX(EQA.Controllab_Dados!E$2:E$5000,MATCH(ROW()-4,EQA.Controllab_Dados!$S$2:$S$5000,0)),"")</f>
        <v/>
      </c>
      <c r="F22" s="137" t="str">
        <f>IFERROR(INDEX(EQA.Controllab_Dados!F$2:F$5000,MATCH(ROW()-4,EQA.Controllab_Dados!$S$2:$S$5000,0)),"")</f>
        <v/>
      </c>
      <c r="G22" s="138" t="str">
        <f>IFERROR(INDEX(EQA.Controllab_Dados!G$2:G$5000,MATCH(ROW()-4,EQA.Controllab_Dados!$S$2:$S$5000,0)),"")</f>
        <v/>
      </c>
      <c r="H22" s="138" t="str">
        <f>IFERROR(INDEX(EQA.Controllab_Dados!H$2:H$5000,MATCH(ROW()-4,EQA.Controllab_Dados!$S$2:$S$5000,0)),"")</f>
        <v/>
      </c>
      <c r="I22" s="139" t="str">
        <f>IFERROR(INDEX(EQA.Controllab_Dados!I$2:I$5000,MATCH(ROW()-4,EQA.Controllab_Dados!$S$2:$S$5000,0)),"")</f>
        <v/>
      </c>
      <c r="J22" s="137" t="str">
        <f>IFERROR(INDEX(EQA.Controllab_Dados!J$2:J$5000,MATCH(ROW()-4,EQA.Controllab_Dados!$S$2:$S$5000,0)),"")</f>
        <v/>
      </c>
      <c r="K22" s="137" t="str">
        <f>IFERROR(INDEX(EQA.Controllab_Dados!K$2:K$5000,MATCH(ROW()-4,EQA.Controllab_Dados!$S$2:$S$5000,0)),"")</f>
        <v/>
      </c>
      <c r="L22" t="str">
        <f>IFERROR(INDEX(EQA.Controllab_Dados!L$2:L$5000,MATCH(ROW()-4,EQA.Controllab_Dados!$S$2:$S$5000,0)),"")</f>
        <v/>
      </c>
      <c r="M22" s="126" t="str">
        <f>IFERROR(INDEX(EQA.Controllab_Dados!M$2:M$5000,MATCH(ROW()-4,EQA.Controllab_Dados!$S$2:$S$5000,0)),"")</f>
        <v/>
      </c>
      <c r="N22" t="str">
        <f>IFERROR(INDEX(EQA.Controllab_Dados!N$2:N$5000,MATCH(ROW()-4,EQA.Controllab_Dados!$S$2:$S$5000,0)),"")</f>
        <v/>
      </c>
      <c r="O22" s="137" t="str">
        <f>IFERROR(INDEX(EQA.Controllab_Dados!O$2:O$5000,MATCH(ROW()-4,EQA.Controllab_Dados!$S$2:$S$5000,0)),"")</f>
        <v/>
      </c>
      <c r="P22" s="137" t="str">
        <f>IFERROR(INDEX(EQA.Controllab_Dados!P$2:P$5000,MATCH(ROW()-4,EQA.Controllab_Dados!$S$2:$S$5000,0)),"")</f>
        <v/>
      </c>
      <c r="Q22" s="126" t="str">
        <f>IFERROR(INDEX(EQA.Controllab_Dados!Q$2:Q$5000,MATCH(ROW()-4,EQA.Controllab_Dados!$S$2:$S$5000,0)),"")</f>
        <v/>
      </c>
      <c r="R22" t="str">
        <f>IFERROR(INDEX(EQA.Controllab_Dados!R$2:R$5000,MATCH(ROW()-4,EQA.Controllab_Dados!$S$2:$S$5000,0)),"")</f>
        <v/>
      </c>
    </row>
    <row r="23" spans="1:18" x14ac:dyDescent="0.3">
      <c r="A23" t="str">
        <f>IFERROR(INDEX(EQA.Controllab_Dados!A$2:A$5000,MATCH(ROW()-4,EQA.Controllab_Dados!$S$2:$S$5000,0)),"")</f>
        <v/>
      </c>
      <c r="B23" t="str">
        <f>IFERROR(INDEX(EQA.Controllab_Dados!B$2:B$5000,MATCH(ROW()-4,EQA.Controllab_Dados!$S$2:$S$5000,0)),"")</f>
        <v/>
      </c>
      <c r="C23" s="126" t="str">
        <f>IFERROR(INDEX(EQA.Controllab_Dados!C$2:C$5000,MATCH(ROW()-4,EQA.Controllab_Dados!$S$2:$S$5000,0)),"")</f>
        <v/>
      </c>
      <c r="D23" t="str">
        <f>IFERROR(INDEX(EQA.Controllab_Dados!D$2:D$5000,MATCH(ROW()-4,EQA.Controllab_Dados!$S$2:$S$5000,0)),"")</f>
        <v/>
      </c>
      <c r="E23" t="str">
        <f>IFERROR(INDEX(EQA.Controllab_Dados!E$2:E$5000,MATCH(ROW()-4,EQA.Controllab_Dados!$S$2:$S$5000,0)),"")</f>
        <v/>
      </c>
      <c r="F23" s="137" t="str">
        <f>IFERROR(INDEX(EQA.Controllab_Dados!F$2:F$5000,MATCH(ROW()-4,EQA.Controllab_Dados!$S$2:$S$5000,0)),"")</f>
        <v/>
      </c>
      <c r="G23" s="138" t="str">
        <f>IFERROR(INDEX(EQA.Controllab_Dados!G$2:G$5000,MATCH(ROW()-4,EQA.Controllab_Dados!$S$2:$S$5000,0)),"")</f>
        <v/>
      </c>
      <c r="H23" s="138" t="str">
        <f>IFERROR(INDEX(EQA.Controllab_Dados!H$2:H$5000,MATCH(ROW()-4,EQA.Controllab_Dados!$S$2:$S$5000,0)),"")</f>
        <v/>
      </c>
      <c r="I23" s="139" t="str">
        <f>IFERROR(INDEX(EQA.Controllab_Dados!I$2:I$5000,MATCH(ROW()-4,EQA.Controllab_Dados!$S$2:$S$5000,0)),"")</f>
        <v/>
      </c>
      <c r="J23" s="137" t="str">
        <f>IFERROR(INDEX(EQA.Controllab_Dados!J$2:J$5000,MATCH(ROW()-4,EQA.Controllab_Dados!$S$2:$S$5000,0)),"")</f>
        <v/>
      </c>
      <c r="K23" s="137" t="str">
        <f>IFERROR(INDEX(EQA.Controllab_Dados!K$2:K$5000,MATCH(ROW()-4,EQA.Controllab_Dados!$S$2:$S$5000,0)),"")</f>
        <v/>
      </c>
      <c r="L23" t="str">
        <f>IFERROR(INDEX(EQA.Controllab_Dados!L$2:L$5000,MATCH(ROW()-4,EQA.Controllab_Dados!$S$2:$S$5000,0)),"")</f>
        <v/>
      </c>
      <c r="M23" s="126" t="str">
        <f>IFERROR(INDEX(EQA.Controllab_Dados!M$2:M$5000,MATCH(ROW()-4,EQA.Controllab_Dados!$S$2:$S$5000,0)),"")</f>
        <v/>
      </c>
      <c r="N23" t="str">
        <f>IFERROR(INDEX(EQA.Controllab_Dados!N$2:N$5000,MATCH(ROW()-4,EQA.Controllab_Dados!$S$2:$S$5000,0)),"")</f>
        <v/>
      </c>
      <c r="O23" s="137" t="str">
        <f>IFERROR(INDEX(EQA.Controllab_Dados!O$2:O$5000,MATCH(ROW()-4,EQA.Controllab_Dados!$S$2:$S$5000,0)),"")</f>
        <v/>
      </c>
      <c r="P23" s="137" t="str">
        <f>IFERROR(INDEX(EQA.Controllab_Dados!P$2:P$5000,MATCH(ROW()-4,EQA.Controllab_Dados!$S$2:$S$5000,0)),"")</f>
        <v/>
      </c>
      <c r="Q23" s="126" t="str">
        <f>IFERROR(INDEX(EQA.Controllab_Dados!Q$2:Q$5000,MATCH(ROW()-4,EQA.Controllab_Dados!$S$2:$S$5000,0)),"")</f>
        <v/>
      </c>
      <c r="R23" t="str">
        <f>IFERROR(INDEX(EQA.Controllab_Dados!R$2:R$5000,MATCH(ROW()-4,EQA.Controllab_Dados!$S$2:$S$5000,0)),"")</f>
        <v/>
      </c>
    </row>
    <row r="24" spans="1:18" x14ac:dyDescent="0.3">
      <c r="A24" t="str">
        <f>IFERROR(INDEX(EQA.Controllab_Dados!A$2:A$5000,MATCH(ROW()-4,EQA.Controllab_Dados!$S$2:$S$5000,0)),"")</f>
        <v/>
      </c>
      <c r="B24" t="str">
        <f>IFERROR(INDEX(EQA.Controllab_Dados!B$2:B$5000,MATCH(ROW()-4,EQA.Controllab_Dados!$S$2:$S$5000,0)),"")</f>
        <v/>
      </c>
      <c r="C24" s="126" t="str">
        <f>IFERROR(INDEX(EQA.Controllab_Dados!C$2:C$5000,MATCH(ROW()-4,EQA.Controllab_Dados!$S$2:$S$5000,0)),"")</f>
        <v/>
      </c>
      <c r="D24" t="str">
        <f>IFERROR(INDEX(EQA.Controllab_Dados!D$2:D$5000,MATCH(ROW()-4,EQA.Controllab_Dados!$S$2:$S$5000,0)),"")</f>
        <v/>
      </c>
      <c r="E24" t="str">
        <f>IFERROR(INDEX(EQA.Controllab_Dados!E$2:E$5000,MATCH(ROW()-4,EQA.Controllab_Dados!$S$2:$S$5000,0)),"")</f>
        <v/>
      </c>
      <c r="F24" s="137" t="str">
        <f>IFERROR(INDEX(EQA.Controllab_Dados!F$2:F$5000,MATCH(ROW()-4,EQA.Controllab_Dados!$S$2:$S$5000,0)),"")</f>
        <v/>
      </c>
      <c r="G24" s="138" t="str">
        <f>IFERROR(INDEX(EQA.Controllab_Dados!G$2:G$5000,MATCH(ROW()-4,EQA.Controllab_Dados!$S$2:$S$5000,0)),"")</f>
        <v/>
      </c>
      <c r="H24" s="138" t="str">
        <f>IFERROR(INDEX(EQA.Controllab_Dados!H$2:H$5000,MATCH(ROW()-4,EQA.Controllab_Dados!$S$2:$S$5000,0)),"")</f>
        <v/>
      </c>
      <c r="I24" s="139" t="str">
        <f>IFERROR(INDEX(EQA.Controllab_Dados!I$2:I$5000,MATCH(ROW()-4,EQA.Controllab_Dados!$S$2:$S$5000,0)),"")</f>
        <v/>
      </c>
      <c r="J24" s="137" t="str">
        <f>IFERROR(INDEX(EQA.Controllab_Dados!J$2:J$5000,MATCH(ROW()-4,EQA.Controllab_Dados!$S$2:$S$5000,0)),"")</f>
        <v/>
      </c>
      <c r="K24" s="137" t="str">
        <f>IFERROR(INDEX(EQA.Controllab_Dados!K$2:K$5000,MATCH(ROW()-4,EQA.Controllab_Dados!$S$2:$S$5000,0)),"")</f>
        <v/>
      </c>
      <c r="L24" t="str">
        <f>IFERROR(INDEX(EQA.Controllab_Dados!L$2:L$5000,MATCH(ROW()-4,EQA.Controllab_Dados!$S$2:$S$5000,0)),"")</f>
        <v/>
      </c>
      <c r="M24" s="126" t="str">
        <f>IFERROR(INDEX(EQA.Controllab_Dados!M$2:M$5000,MATCH(ROW()-4,EQA.Controllab_Dados!$S$2:$S$5000,0)),"")</f>
        <v/>
      </c>
      <c r="N24" t="str">
        <f>IFERROR(INDEX(EQA.Controllab_Dados!N$2:N$5000,MATCH(ROW()-4,EQA.Controllab_Dados!$S$2:$S$5000,0)),"")</f>
        <v/>
      </c>
      <c r="O24" s="137" t="str">
        <f>IFERROR(INDEX(EQA.Controllab_Dados!O$2:O$5000,MATCH(ROW()-4,EQA.Controllab_Dados!$S$2:$S$5000,0)),"")</f>
        <v/>
      </c>
      <c r="P24" s="137" t="str">
        <f>IFERROR(INDEX(EQA.Controllab_Dados!P$2:P$5000,MATCH(ROW()-4,EQA.Controllab_Dados!$S$2:$S$5000,0)),"")</f>
        <v/>
      </c>
      <c r="Q24" s="126" t="str">
        <f>IFERROR(INDEX(EQA.Controllab_Dados!Q$2:Q$5000,MATCH(ROW()-4,EQA.Controllab_Dados!$S$2:$S$5000,0)),"")</f>
        <v/>
      </c>
      <c r="R24" t="str">
        <f>IFERROR(INDEX(EQA.Controllab_Dados!R$2:R$5000,MATCH(ROW()-4,EQA.Controllab_Dados!$S$2:$S$5000,0)),"")</f>
        <v/>
      </c>
    </row>
    <row r="25" spans="1:18" x14ac:dyDescent="0.3">
      <c r="A25" t="str">
        <f>IFERROR(INDEX(EQA.Controllab_Dados!A$2:A$5000,MATCH(ROW()-4,EQA.Controllab_Dados!$S$2:$S$5000,0)),"")</f>
        <v/>
      </c>
      <c r="B25" t="str">
        <f>IFERROR(INDEX(EQA.Controllab_Dados!B$2:B$5000,MATCH(ROW()-4,EQA.Controllab_Dados!$S$2:$S$5000,0)),"")</f>
        <v/>
      </c>
      <c r="C25" s="126" t="str">
        <f>IFERROR(INDEX(EQA.Controllab_Dados!C$2:C$5000,MATCH(ROW()-4,EQA.Controllab_Dados!$S$2:$S$5000,0)),"")</f>
        <v/>
      </c>
      <c r="D25" t="str">
        <f>IFERROR(INDEX(EQA.Controllab_Dados!D$2:D$5000,MATCH(ROW()-4,EQA.Controllab_Dados!$S$2:$S$5000,0)),"")</f>
        <v/>
      </c>
      <c r="E25" t="str">
        <f>IFERROR(INDEX(EQA.Controllab_Dados!E$2:E$5000,MATCH(ROW()-4,EQA.Controllab_Dados!$S$2:$S$5000,0)),"")</f>
        <v/>
      </c>
      <c r="F25" s="137" t="str">
        <f>IFERROR(INDEX(EQA.Controllab_Dados!F$2:F$5000,MATCH(ROW()-4,EQA.Controllab_Dados!$S$2:$S$5000,0)),"")</f>
        <v/>
      </c>
      <c r="G25" s="138" t="str">
        <f>IFERROR(INDEX(EQA.Controllab_Dados!G$2:G$5000,MATCH(ROW()-4,EQA.Controllab_Dados!$S$2:$S$5000,0)),"")</f>
        <v/>
      </c>
      <c r="H25" s="138" t="str">
        <f>IFERROR(INDEX(EQA.Controllab_Dados!H$2:H$5000,MATCH(ROW()-4,EQA.Controllab_Dados!$S$2:$S$5000,0)),"")</f>
        <v/>
      </c>
      <c r="I25" s="139" t="str">
        <f>IFERROR(INDEX(EQA.Controllab_Dados!I$2:I$5000,MATCH(ROW()-4,EQA.Controllab_Dados!$S$2:$S$5000,0)),"")</f>
        <v/>
      </c>
      <c r="J25" s="137" t="str">
        <f>IFERROR(INDEX(EQA.Controllab_Dados!J$2:J$5000,MATCH(ROW()-4,EQA.Controllab_Dados!$S$2:$S$5000,0)),"")</f>
        <v/>
      </c>
      <c r="K25" s="137" t="str">
        <f>IFERROR(INDEX(EQA.Controllab_Dados!K$2:K$5000,MATCH(ROW()-4,EQA.Controllab_Dados!$S$2:$S$5000,0)),"")</f>
        <v/>
      </c>
      <c r="L25" t="str">
        <f>IFERROR(INDEX(EQA.Controllab_Dados!L$2:L$5000,MATCH(ROW()-4,EQA.Controllab_Dados!$S$2:$S$5000,0)),"")</f>
        <v/>
      </c>
      <c r="M25" s="126" t="str">
        <f>IFERROR(INDEX(EQA.Controllab_Dados!M$2:M$5000,MATCH(ROW()-4,EQA.Controllab_Dados!$S$2:$S$5000,0)),"")</f>
        <v/>
      </c>
      <c r="N25" t="str">
        <f>IFERROR(INDEX(EQA.Controllab_Dados!N$2:N$5000,MATCH(ROW()-4,EQA.Controllab_Dados!$S$2:$S$5000,0)),"")</f>
        <v/>
      </c>
      <c r="O25" s="137" t="str">
        <f>IFERROR(INDEX(EQA.Controllab_Dados!O$2:O$5000,MATCH(ROW()-4,EQA.Controllab_Dados!$S$2:$S$5000,0)),"")</f>
        <v/>
      </c>
      <c r="P25" s="137" t="str">
        <f>IFERROR(INDEX(EQA.Controllab_Dados!P$2:P$5000,MATCH(ROW()-4,EQA.Controllab_Dados!$S$2:$S$5000,0)),"")</f>
        <v/>
      </c>
      <c r="Q25" s="126" t="str">
        <f>IFERROR(INDEX(EQA.Controllab_Dados!Q$2:Q$5000,MATCH(ROW()-4,EQA.Controllab_Dados!$S$2:$S$5000,0)),"")</f>
        <v/>
      </c>
      <c r="R25" t="str">
        <f>IFERROR(INDEX(EQA.Controllab_Dados!R$2:R$5000,MATCH(ROW()-4,EQA.Controllab_Dados!$S$2:$S$5000,0)),"")</f>
        <v/>
      </c>
    </row>
    <row r="26" spans="1:18" x14ac:dyDescent="0.3">
      <c r="A26" t="str">
        <f>IFERROR(INDEX(EQA.Controllab_Dados!A$2:A$5000,MATCH(ROW()-4,EQA.Controllab_Dados!$S$2:$S$5000,0)),"")</f>
        <v/>
      </c>
      <c r="B26" t="str">
        <f>IFERROR(INDEX(EQA.Controllab_Dados!B$2:B$5000,MATCH(ROW()-4,EQA.Controllab_Dados!$S$2:$S$5000,0)),"")</f>
        <v/>
      </c>
      <c r="C26" s="126" t="str">
        <f>IFERROR(INDEX(EQA.Controllab_Dados!C$2:C$5000,MATCH(ROW()-4,EQA.Controllab_Dados!$S$2:$S$5000,0)),"")</f>
        <v/>
      </c>
      <c r="D26" t="str">
        <f>IFERROR(INDEX(EQA.Controllab_Dados!D$2:D$5000,MATCH(ROW()-4,EQA.Controllab_Dados!$S$2:$S$5000,0)),"")</f>
        <v/>
      </c>
      <c r="E26" t="str">
        <f>IFERROR(INDEX(EQA.Controllab_Dados!E$2:E$5000,MATCH(ROW()-4,EQA.Controllab_Dados!$S$2:$S$5000,0)),"")</f>
        <v/>
      </c>
      <c r="F26" s="137" t="str">
        <f>IFERROR(INDEX(EQA.Controllab_Dados!F$2:F$5000,MATCH(ROW()-4,EQA.Controllab_Dados!$S$2:$S$5000,0)),"")</f>
        <v/>
      </c>
      <c r="G26" s="138" t="str">
        <f>IFERROR(INDEX(EQA.Controllab_Dados!G$2:G$5000,MATCH(ROW()-4,EQA.Controllab_Dados!$S$2:$S$5000,0)),"")</f>
        <v/>
      </c>
      <c r="H26" s="138" t="str">
        <f>IFERROR(INDEX(EQA.Controllab_Dados!H$2:H$5000,MATCH(ROW()-4,EQA.Controllab_Dados!$S$2:$S$5000,0)),"")</f>
        <v/>
      </c>
      <c r="I26" s="139" t="str">
        <f>IFERROR(INDEX(EQA.Controllab_Dados!I$2:I$5000,MATCH(ROW()-4,EQA.Controllab_Dados!$S$2:$S$5000,0)),"")</f>
        <v/>
      </c>
      <c r="J26" s="137" t="str">
        <f>IFERROR(INDEX(EQA.Controllab_Dados!J$2:J$5000,MATCH(ROW()-4,EQA.Controllab_Dados!$S$2:$S$5000,0)),"")</f>
        <v/>
      </c>
      <c r="K26" s="137" t="str">
        <f>IFERROR(INDEX(EQA.Controllab_Dados!K$2:K$5000,MATCH(ROW()-4,EQA.Controllab_Dados!$S$2:$S$5000,0)),"")</f>
        <v/>
      </c>
      <c r="L26" t="str">
        <f>IFERROR(INDEX(EQA.Controllab_Dados!L$2:L$5000,MATCH(ROW()-4,EQA.Controllab_Dados!$S$2:$S$5000,0)),"")</f>
        <v/>
      </c>
      <c r="M26" s="126" t="str">
        <f>IFERROR(INDEX(EQA.Controllab_Dados!M$2:M$5000,MATCH(ROW()-4,EQA.Controllab_Dados!$S$2:$S$5000,0)),"")</f>
        <v/>
      </c>
      <c r="N26" t="str">
        <f>IFERROR(INDEX(EQA.Controllab_Dados!N$2:N$5000,MATCH(ROW()-4,EQA.Controllab_Dados!$S$2:$S$5000,0)),"")</f>
        <v/>
      </c>
      <c r="O26" s="137" t="str">
        <f>IFERROR(INDEX(EQA.Controllab_Dados!O$2:O$5000,MATCH(ROW()-4,EQA.Controllab_Dados!$S$2:$S$5000,0)),"")</f>
        <v/>
      </c>
      <c r="P26" s="137" t="str">
        <f>IFERROR(INDEX(EQA.Controllab_Dados!P$2:P$5000,MATCH(ROW()-4,EQA.Controllab_Dados!$S$2:$S$5000,0)),"")</f>
        <v/>
      </c>
      <c r="Q26" s="126" t="str">
        <f>IFERROR(INDEX(EQA.Controllab_Dados!Q$2:Q$5000,MATCH(ROW()-4,EQA.Controllab_Dados!$S$2:$S$5000,0)),"")</f>
        <v/>
      </c>
      <c r="R26" t="str">
        <f>IFERROR(INDEX(EQA.Controllab_Dados!R$2:R$5000,MATCH(ROW()-4,EQA.Controllab_Dados!$S$2:$S$5000,0)),"")</f>
        <v/>
      </c>
    </row>
    <row r="27" spans="1:18" x14ac:dyDescent="0.3">
      <c r="A27" t="str">
        <f>IFERROR(INDEX(EQA.Controllab_Dados!A$2:A$5000,MATCH(ROW()-4,EQA.Controllab_Dados!$S$2:$S$5000,0)),"")</f>
        <v/>
      </c>
      <c r="B27" t="str">
        <f>IFERROR(INDEX(EQA.Controllab_Dados!B$2:B$5000,MATCH(ROW()-4,EQA.Controllab_Dados!$S$2:$S$5000,0)),"")</f>
        <v/>
      </c>
      <c r="C27" s="126" t="str">
        <f>IFERROR(INDEX(EQA.Controllab_Dados!C$2:C$5000,MATCH(ROW()-4,EQA.Controllab_Dados!$S$2:$S$5000,0)),"")</f>
        <v/>
      </c>
      <c r="D27" t="str">
        <f>IFERROR(INDEX(EQA.Controllab_Dados!D$2:D$5000,MATCH(ROW()-4,EQA.Controllab_Dados!$S$2:$S$5000,0)),"")</f>
        <v/>
      </c>
      <c r="E27" t="str">
        <f>IFERROR(INDEX(EQA.Controllab_Dados!E$2:E$5000,MATCH(ROW()-4,EQA.Controllab_Dados!$S$2:$S$5000,0)),"")</f>
        <v/>
      </c>
      <c r="F27" s="137" t="str">
        <f>IFERROR(INDEX(EQA.Controllab_Dados!F$2:F$5000,MATCH(ROW()-4,EQA.Controllab_Dados!$S$2:$S$5000,0)),"")</f>
        <v/>
      </c>
      <c r="G27" s="138" t="str">
        <f>IFERROR(INDEX(EQA.Controllab_Dados!G$2:G$5000,MATCH(ROW()-4,EQA.Controllab_Dados!$S$2:$S$5000,0)),"")</f>
        <v/>
      </c>
      <c r="H27" s="138" t="str">
        <f>IFERROR(INDEX(EQA.Controllab_Dados!H$2:H$5000,MATCH(ROW()-4,EQA.Controllab_Dados!$S$2:$S$5000,0)),"")</f>
        <v/>
      </c>
      <c r="I27" s="139" t="str">
        <f>IFERROR(INDEX(EQA.Controllab_Dados!I$2:I$5000,MATCH(ROW()-4,EQA.Controllab_Dados!$S$2:$S$5000,0)),"")</f>
        <v/>
      </c>
      <c r="J27" s="137" t="str">
        <f>IFERROR(INDEX(EQA.Controllab_Dados!J$2:J$5000,MATCH(ROW()-4,EQA.Controllab_Dados!$S$2:$S$5000,0)),"")</f>
        <v/>
      </c>
      <c r="K27" s="137" t="str">
        <f>IFERROR(INDEX(EQA.Controllab_Dados!K$2:K$5000,MATCH(ROW()-4,EQA.Controllab_Dados!$S$2:$S$5000,0)),"")</f>
        <v/>
      </c>
      <c r="L27" t="str">
        <f>IFERROR(INDEX(EQA.Controllab_Dados!L$2:L$5000,MATCH(ROW()-4,EQA.Controllab_Dados!$S$2:$S$5000,0)),"")</f>
        <v/>
      </c>
      <c r="M27" s="126" t="str">
        <f>IFERROR(INDEX(EQA.Controllab_Dados!M$2:M$5000,MATCH(ROW()-4,EQA.Controllab_Dados!$S$2:$S$5000,0)),"")</f>
        <v/>
      </c>
      <c r="N27" t="str">
        <f>IFERROR(INDEX(EQA.Controllab_Dados!N$2:N$5000,MATCH(ROW()-4,EQA.Controllab_Dados!$S$2:$S$5000,0)),"")</f>
        <v/>
      </c>
      <c r="O27" s="137" t="str">
        <f>IFERROR(INDEX(EQA.Controllab_Dados!O$2:O$5000,MATCH(ROW()-4,EQA.Controllab_Dados!$S$2:$S$5000,0)),"")</f>
        <v/>
      </c>
      <c r="P27" s="137" t="str">
        <f>IFERROR(INDEX(EQA.Controllab_Dados!P$2:P$5000,MATCH(ROW()-4,EQA.Controllab_Dados!$S$2:$S$5000,0)),"")</f>
        <v/>
      </c>
      <c r="Q27" s="126" t="str">
        <f>IFERROR(INDEX(EQA.Controllab_Dados!Q$2:Q$5000,MATCH(ROW()-4,EQA.Controllab_Dados!$S$2:$S$5000,0)),"")</f>
        <v/>
      </c>
      <c r="R27" t="str">
        <f>IFERROR(INDEX(EQA.Controllab_Dados!R$2:R$5000,MATCH(ROW()-4,EQA.Controllab_Dados!$S$2:$S$5000,0)),"")</f>
        <v/>
      </c>
    </row>
    <row r="28" spans="1:18" x14ac:dyDescent="0.3">
      <c r="A28" t="str">
        <f>IFERROR(INDEX(EQA.Controllab_Dados!A$2:A$5000,MATCH(ROW()-4,EQA.Controllab_Dados!$S$2:$S$5000,0)),"")</f>
        <v/>
      </c>
      <c r="B28" t="str">
        <f>IFERROR(INDEX(EQA.Controllab_Dados!B$2:B$5000,MATCH(ROW()-4,EQA.Controllab_Dados!$S$2:$S$5000,0)),"")</f>
        <v/>
      </c>
      <c r="C28" s="126" t="str">
        <f>IFERROR(INDEX(EQA.Controllab_Dados!C$2:C$5000,MATCH(ROW()-4,EQA.Controllab_Dados!$S$2:$S$5000,0)),"")</f>
        <v/>
      </c>
      <c r="D28" t="str">
        <f>IFERROR(INDEX(EQA.Controllab_Dados!D$2:D$5000,MATCH(ROW()-4,EQA.Controllab_Dados!$S$2:$S$5000,0)),"")</f>
        <v/>
      </c>
      <c r="E28" t="str">
        <f>IFERROR(INDEX(EQA.Controllab_Dados!E$2:E$5000,MATCH(ROW()-4,EQA.Controllab_Dados!$S$2:$S$5000,0)),"")</f>
        <v/>
      </c>
      <c r="F28" s="137" t="str">
        <f>IFERROR(INDEX(EQA.Controllab_Dados!F$2:F$5000,MATCH(ROW()-4,EQA.Controllab_Dados!$S$2:$S$5000,0)),"")</f>
        <v/>
      </c>
      <c r="G28" s="138" t="str">
        <f>IFERROR(INDEX(EQA.Controllab_Dados!G$2:G$5000,MATCH(ROW()-4,EQA.Controllab_Dados!$S$2:$S$5000,0)),"")</f>
        <v/>
      </c>
      <c r="H28" s="138" t="str">
        <f>IFERROR(INDEX(EQA.Controllab_Dados!H$2:H$5000,MATCH(ROW()-4,EQA.Controllab_Dados!$S$2:$S$5000,0)),"")</f>
        <v/>
      </c>
      <c r="I28" s="139" t="str">
        <f>IFERROR(INDEX(EQA.Controllab_Dados!I$2:I$5000,MATCH(ROW()-4,EQA.Controllab_Dados!$S$2:$S$5000,0)),"")</f>
        <v/>
      </c>
      <c r="J28" s="137" t="str">
        <f>IFERROR(INDEX(EQA.Controllab_Dados!J$2:J$5000,MATCH(ROW()-4,EQA.Controllab_Dados!$S$2:$S$5000,0)),"")</f>
        <v/>
      </c>
      <c r="K28" s="137" t="str">
        <f>IFERROR(INDEX(EQA.Controllab_Dados!K$2:K$5000,MATCH(ROW()-4,EQA.Controllab_Dados!$S$2:$S$5000,0)),"")</f>
        <v/>
      </c>
      <c r="L28" t="str">
        <f>IFERROR(INDEX(EQA.Controllab_Dados!L$2:L$5000,MATCH(ROW()-4,EQA.Controllab_Dados!$S$2:$S$5000,0)),"")</f>
        <v/>
      </c>
      <c r="M28" s="126" t="str">
        <f>IFERROR(INDEX(EQA.Controllab_Dados!M$2:M$5000,MATCH(ROW()-4,EQA.Controllab_Dados!$S$2:$S$5000,0)),"")</f>
        <v/>
      </c>
      <c r="N28" t="str">
        <f>IFERROR(INDEX(EQA.Controllab_Dados!N$2:N$5000,MATCH(ROW()-4,EQA.Controllab_Dados!$S$2:$S$5000,0)),"")</f>
        <v/>
      </c>
      <c r="O28" s="137" t="str">
        <f>IFERROR(INDEX(EQA.Controllab_Dados!O$2:O$5000,MATCH(ROW()-4,EQA.Controllab_Dados!$S$2:$S$5000,0)),"")</f>
        <v/>
      </c>
      <c r="P28" s="137" t="str">
        <f>IFERROR(INDEX(EQA.Controllab_Dados!P$2:P$5000,MATCH(ROW()-4,EQA.Controllab_Dados!$S$2:$S$5000,0)),"")</f>
        <v/>
      </c>
      <c r="Q28" s="126" t="str">
        <f>IFERROR(INDEX(EQA.Controllab_Dados!Q$2:Q$5000,MATCH(ROW()-4,EQA.Controllab_Dados!$S$2:$S$5000,0)),"")</f>
        <v/>
      </c>
      <c r="R28" t="str">
        <f>IFERROR(INDEX(EQA.Controllab_Dados!R$2:R$5000,MATCH(ROW()-4,EQA.Controllab_Dados!$S$2:$S$5000,0)),"")</f>
        <v/>
      </c>
    </row>
    <row r="29" spans="1:18" x14ac:dyDescent="0.3">
      <c r="A29" t="str">
        <f>IFERROR(INDEX(EQA.Controllab_Dados!A$2:A$5000,MATCH(ROW()-4,EQA.Controllab_Dados!$S$2:$S$5000,0)),"")</f>
        <v/>
      </c>
      <c r="B29" t="str">
        <f>IFERROR(INDEX(EQA.Controllab_Dados!B$2:B$5000,MATCH(ROW()-4,EQA.Controllab_Dados!$S$2:$S$5000,0)),"")</f>
        <v/>
      </c>
      <c r="C29" s="126" t="str">
        <f>IFERROR(INDEX(EQA.Controllab_Dados!C$2:C$5000,MATCH(ROW()-4,EQA.Controllab_Dados!$S$2:$S$5000,0)),"")</f>
        <v/>
      </c>
      <c r="D29" t="str">
        <f>IFERROR(INDEX(EQA.Controllab_Dados!D$2:D$5000,MATCH(ROW()-4,EQA.Controllab_Dados!$S$2:$S$5000,0)),"")</f>
        <v/>
      </c>
      <c r="E29" t="str">
        <f>IFERROR(INDEX(EQA.Controllab_Dados!E$2:E$5000,MATCH(ROW()-4,EQA.Controllab_Dados!$S$2:$S$5000,0)),"")</f>
        <v/>
      </c>
      <c r="F29" s="137" t="str">
        <f>IFERROR(INDEX(EQA.Controllab_Dados!F$2:F$5000,MATCH(ROW()-4,EQA.Controllab_Dados!$S$2:$S$5000,0)),"")</f>
        <v/>
      </c>
      <c r="G29" s="138" t="str">
        <f>IFERROR(INDEX(EQA.Controllab_Dados!G$2:G$5000,MATCH(ROW()-4,EQA.Controllab_Dados!$S$2:$S$5000,0)),"")</f>
        <v/>
      </c>
      <c r="H29" s="138" t="str">
        <f>IFERROR(INDEX(EQA.Controllab_Dados!H$2:H$5000,MATCH(ROW()-4,EQA.Controllab_Dados!$S$2:$S$5000,0)),"")</f>
        <v/>
      </c>
      <c r="I29" s="139" t="str">
        <f>IFERROR(INDEX(EQA.Controllab_Dados!I$2:I$5000,MATCH(ROW()-4,EQA.Controllab_Dados!$S$2:$S$5000,0)),"")</f>
        <v/>
      </c>
      <c r="J29" s="137" t="str">
        <f>IFERROR(INDEX(EQA.Controllab_Dados!J$2:J$5000,MATCH(ROW()-4,EQA.Controllab_Dados!$S$2:$S$5000,0)),"")</f>
        <v/>
      </c>
      <c r="K29" s="137" t="str">
        <f>IFERROR(INDEX(EQA.Controllab_Dados!K$2:K$5000,MATCH(ROW()-4,EQA.Controllab_Dados!$S$2:$S$5000,0)),"")</f>
        <v/>
      </c>
      <c r="L29" t="str">
        <f>IFERROR(INDEX(EQA.Controllab_Dados!L$2:L$5000,MATCH(ROW()-4,EQA.Controllab_Dados!$S$2:$S$5000,0)),"")</f>
        <v/>
      </c>
      <c r="M29" s="126" t="str">
        <f>IFERROR(INDEX(EQA.Controllab_Dados!M$2:M$5000,MATCH(ROW()-4,EQA.Controllab_Dados!$S$2:$S$5000,0)),"")</f>
        <v/>
      </c>
      <c r="N29" t="str">
        <f>IFERROR(INDEX(EQA.Controllab_Dados!N$2:N$5000,MATCH(ROW()-4,EQA.Controllab_Dados!$S$2:$S$5000,0)),"")</f>
        <v/>
      </c>
      <c r="O29" s="137" t="str">
        <f>IFERROR(INDEX(EQA.Controllab_Dados!O$2:O$5000,MATCH(ROW()-4,EQA.Controllab_Dados!$S$2:$S$5000,0)),"")</f>
        <v/>
      </c>
      <c r="P29" s="137" t="str">
        <f>IFERROR(INDEX(EQA.Controllab_Dados!P$2:P$5000,MATCH(ROW()-4,EQA.Controllab_Dados!$S$2:$S$5000,0)),"")</f>
        <v/>
      </c>
      <c r="Q29" s="126" t="str">
        <f>IFERROR(INDEX(EQA.Controllab_Dados!Q$2:Q$5000,MATCH(ROW()-4,EQA.Controllab_Dados!$S$2:$S$5000,0)),"")</f>
        <v/>
      </c>
      <c r="R29" t="str">
        <f>IFERROR(INDEX(EQA.Controllab_Dados!R$2:R$5000,MATCH(ROW()-4,EQA.Controllab_Dados!$S$2:$S$5000,0)),"")</f>
        <v/>
      </c>
    </row>
    <row r="30" spans="1:18" x14ac:dyDescent="0.3">
      <c r="A30" t="str">
        <f>IFERROR(INDEX(EQA.Controllab_Dados!A$2:A$5000,MATCH(ROW()-4,EQA.Controllab_Dados!$S$2:$S$5000,0)),"")</f>
        <v/>
      </c>
      <c r="B30" t="str">
        <f>IFERROR(INDEX(EQA.Controllab_Dados!B$2:B$5000,MATCH(ROW()-4,EQA.Controllab_Dados!$S$2:$S$5000,0)),"")</f>
        <v/>
      </c>
      <c r="C30" s="126" t="str">
        <f>IFERROR(INDEX(EQA.Controllab_Dados!C$2:C$5000,MATCH(ROW()-4,EQA.Controllab_Dados!$S$2:$S$5000,0)),"")</f>
        <v/>
      </c>
      <c r="D30" t="str">
        <f>IFERROR(INDEX(EQA.Controllab_Dados!D$2:D$5000,MATCH(ROW()-4,EQA.Controllab_Dados!$S$2:$S$5000,0)),"")</f>
        <v/>
      </c>
      <c r="E30" t="str">
        <f>IFERROR(INDEX(EQA.Controllab_Dados!E$2:E$5000,MATCH(ROW()-4,EQA.Controllab_Dados!$S$2:$S$5000,0)),"")</f>
        <v/>
      </c>
      <c r="F30" s="137" t="str">
        <f>IFERROR(INDEX(EQA.Controllab_Dados!F$2:F$5000,MATCH(ROW()-4,EQA.Controllab_Dados!$S$2:$S$5000,0)),"")</f>
        <v/>
      </c>
      <c r="G30" s="138" t="str">
        <f>IFERROR(INDEX(EQA.Controllab_Dados!G$2:G$5000,MATCH(ROW()-4,EQA.Controllab_Dados!$S$2:$S$5000,0)),"")</f>
        <v/>
      </c>
      <c r="H30" s="138" t="str">
        <f>IFERROR(INDEX(EQA.Controllab_Dados!H$2:H$5000,MATCH(ROW()-4,EQA.Controllab_Dados!$S$2:$S$5000,0)),"")</f>
        <v/>
      </c>
      <c r="I30" s="139" t="str">
        <f>IFERROR(INDEX(EQA.Controllab_Dados!I$2:I$5000,MATCH(ROW()-4,EQA.Controllab_Dados!$S$2:$S$5000,0)),"")</f>
        <v/>
      </c>
      <c r="J30" s="137" t="str">
        <f>IFERROR(INDEX(EQA.Controllab_Dados!J$2:J$5000,MATCH(ROW()-4,EQA.Controllab_Dados!$S$2:$S$5000,0)),"")</f>
        <v/>
      </c>
      <c r="K30" s="137" t="str">
        <f>IFERROR(INDEX(EQA.Controllab_Dados!K$2:K$5000,MATCH(ROW()-4,EQA.Controllab_Dados!$S$2:$S$5000,0)),"")</f>
        <v/>
      </c>
      <c r="L30" t="str">
        <f>IFERROR(INDEX(EQA.Controllab_Dados!L$2:L$5000,MATCH(ROW()-4,EQA.Controllab_Dados!$S$2:$S$5000,0)),"")</f>
        <v/>
      </c>
      <c r="M30" s="126" t="str">
        <f>IFERROR(INDEX(EQA.Controllab_Dados!M$2:M$5000,MATCH(ROW()-4,EQA.Controllab_Dados!$S$2:$S$5000,0)),"")</f>
        <v/>
      </c>
      <c r="N30" t="str">
        <f>IFERROR(INDEX(EQA.Controllab_Dados!N$2:N$5000,MATCH(ROW()-4,EQA.Controllab_Dados!$S$2:$S$5000,0)),"")</f>
        <v/>
      </c>
      <c r="O30" s="137" t="str">
        <f>IFERROR(INDEX(EQA.Controllab_Dados!O$2:O$5000,MATCH(ROW()-4,EQA.Controllab_Dados!$S$2:$S$5000,0)),"")</f>
        <v/>
      </c>
      <c r="P30" s="137" t="str">
        <f>IFERROR(INDEX(EQA.Controllab_Dados!P$2:P$5000,MATCH(ROW()-4,EQA.Controllab_Dados!$S$2:$S$5000,0)),"")</f>
        <v/>
      </c>
      <c r="Q30" s="126" t="str">
        <f>IFERROR(INDEX(EQA.Controllab_Dados!Q$2:Q$5000,MATCH(ROW()-4,EQA.Controllab_Dados!$S$2:$S$5000,0)),"")</f>
        <v/>
      </c>
      <c r="R30" t="str">
        <f>IFERROR(INDEX(EQA.Controllab_Dados!R$2:R$5000,MATCH(ROW()-4,EQA.Controllab_Dados!$S$2:$S$5000,0)),"")</f>
        <v/>
      </c>
    </row>
    <row r="31" spans="1:18" x14ac:dyDescent="0.3">
      <c r="A31" t="str">
        <f>IFERROR(INDEX(EQA.Controllab_Dados!A$2:A$5000,MATCH(ROW()-4,EQA.Controllab_Dados!$S$2:$S$5000,0)),"")</f>
        <v/>
      </c>
      <c r="B31" t="str">
        <f>IFERROR(INDEX(EQA.Controllab_Dados!B$2:B$5000,MATCH(ROW()-4,EQA.Controllab_Dados!$S$2:$S$5000,0)),"")</f>
        <v/>
      </c>
      <c r="C31" s="126" t="str">
        <f>IFERROR(INDEX(EQA.Controllab_Dados!C$2:C$5000,MATCH(ROW()-4,EQA.Controllab_Dados!$S$2:$S$5000,0)),"")</f>
        <v/>
      </c>
      <c r="D31" t="str">
        <f>IFERROR(INDEX(EQA.Controllab_Dados!D$2:D$5000,MATCH(ROW()-4,EQA.Controllab_Dados!$S$2:$S$5000,0)),"")</f>
        <v/>
      </c>
      <c r="E31" t="str">
        <f>IFERROR(INDEX(EQA.Controllab_Dados!E$2:E$5000,MATCH(ROW()-4,EQA.Controllab_Dados!$S$2:$S$5000,0)),"")</f>
        <v/>
      </c>
      <c r="F31" s="137" t="str">
        <f>IFERROR(INDEX(EQA.Controllab_Dados!F$2:F$5000,MATCH(ROW()-4,EQA.Controllab_Dados!$S$2:$S$5000,0)),"")</f>
        <v/>
      </c>
      <c r="G31" s="138" t="str">
        <f>IFERROR(INDEX(EQA.Controllab_Dados!G$2:G$5000,MATCH(ROW()-4,EQA.Controllab_Dados!$S$2:$S$5000,0)),"")</f>
        <v/>
      </c>
      <c r="H31" s="138" t="str">
        <f>IFERROR(INDEX(EQA.Controllab_Dados!H$2:H$5000,MATCH(ROW()-4,EQA.Controllab_Dados!$S$2:$S$5000,0)),"")</f>
        <v/>
      </c>
      <c r="I31" s="139" t="str">
        <f>IFERROR(INDEX(EQA.Controllab_Dados!I$2:I$5000,MATCH(ROW()-4,EQA.Controllab_Dados!$S$2:$S$5000,0)),"")</f>
        <v/>
      </c>
      <c r="J31" s="137" t="str">
        <f>IFERROR(INDEX(EQA.Controllab_Dados!J$2:J$5000,MATCH(ROW()-4,EQA.Controllab_Dados!$S$2:$S$5000,0)),"")</f>
        <v/>
      </c>
      <c r="K31" s="137" t="str">
        <f>IFERROR(INDEX(EQA.Controllab_Dados!K$2:K$5000,MATCH(ROW()-4,EQA.Controllab_Dados!$S$2:$S$5000,0)),"")</f>
        <v/>
      </c>
      <c r="L31" t="str">
        <f>IFERROR(INDEX(EQA.Controllab_Dados!L$2:L$5000,MATCH(ROW()-4,EQA.Controllab_Dados!$S$2:$S$5000,0)),"")</f>
        <v/>
      </c>
      <c r="M31" s="126" t="str">
        <f>IFERROR(INDEX(EQA.Controllab_Dados!M$2:M$5000,MATCH(ROW()-4,EQA.Controllab_Dados!$S$2:$S$5000,0)),"")</f>
        <v/>
      </c>
      <c r="N31" t="str">
        <f>IFERROR(INDEX(EQA.Controllab_Dados!N$2:N$5000,MATCH(ROW()-4,EQA.Controllab_Dados!$S$2:$S$5000,0)),"")</f>
        <v/>
      </c>
      <c r="O31" s="137" t="str">
        <f>IFERROR(INDEX(EQA.Controllab_Dados!O$2:O$5000,MATCH(ROW()-4,EQA.Controllab_Dados!$S$2:$S$5000,0)),"")</f>
        <v/>
      </c>
      <c r="P31" s="137" t="str">
        <f>IFERROR(INDEX(EQA.Controllab_Dados!P$2:P$5000,MATCH(ROW()-4,EQA.Controllab_Dados!$S$2:$S$5000,0)),"")</f>
        <v/>
      </c>
      <c r="Q31" s="126" t="str">
        <f>IFERROR(INDEX(EQA.Controllab_Dados!Q$2:Q$5000,MATCH(ROW()-4,EQA.Controllab_Dados!$S$2:$S$5000,0)),"")</f>
        <v/>
      </c>
      <c r="R31" t="str">
        <f>IFERROR(INDEX(EQA.Controllab_Dados!R$2:R$5000,MATCH(ROW()-4,EQA.Controllab_Dados!$S$2:$S$5000,0)),"")</f>
        <v/>
      </c>
    </row>
    <row r="32" spans="1:18" x14ac:dyDescent="0.3">
      <c r="A32" t="str">
        <f>IFERROR(INDEX(EQA.Controllab_Dados!A$2:A$5000,MATCH(ROW()-4,EQA.Controllab_Dados!$S$2:$S$5000,0)),"")</f>
        <v/>
      </c>
      <c r="B32" t="str">
        <f>IFERROR(INDEX(EQA.Controllab_Dados!B$2:B$5000,MATCH(ROW()-4,EQA.Controllab_Dados!$S$2:$S$5000,0)),"")</f>
        <v/>
      </c>
      <c r="C32" s="126" t="str">
        <f>IFERROR(INDEX(EQA.Controllab_Dados!C$2:C$5000,MATCH(ROW()-4,EQA.Controllab_Dados!$S$2:$S$5000,0)),"")</f>
        <v/>
      </c>
      <c r="D32" t="str">
        <f>IFERROR(INDEX(EQA.Controllab_Dados!D$2:D$5000,MATCH(ROW()-4,EQA.Controllab_Dados!$S$2:$S$5000,0)),"")</f>
        <v/>
      </c>
      <c r="E32" t="str">
        <f>IFERROR(INDEX(EQA.Controllab_Dados!E$2:E$5000,MATCH(ROW()-4,EQA.Controllab_Dados!$S$2:$S$5000,0)),"")</f>
        <v/>
      </c>
      <c r="F32" s="137" t="str">
        <f>IFERROR(INDEX(EQA.Controllab_Dados!F$2:F$5000,MATCH(ROW()-4,EQA.Controllab_Dados!$S$2:$S$5000,0)),"")</f>
        <v/>
      </c>
      <c r="G32" s="138" t="str">
        <f>IFERROR(INDEX(EQA.Controllab_Dados!G$2:G$5000,MATCH(ROW()-4,EQA.Controllab_Dados!$S$2:$S$5000,0)),"")</f>
        <v/>
      </c>
      <c r="H32" s="138" t="str">
        <f>IFERROR(INDEX(EQA.Controllab_Dados!H$2:H$5000,MATCH(ROW()-4,EQA.Controllab_Dados!$S$2:$S$5000,0)),"")</f>
        <v/>
      </c>
      <c r="I32" s="139" t="str">
        <f>IFERROR(INDEX(EQA.Controllab_Dados!I$2:I$5000,MATCH(ROW()-4,EQA.Controllab_Dados!$S$2:$S$5000,0)),"")</f>
        <v/>
      </c>
      <c r="J32" s="137" t="str">
        <f>IFERROR(INDEX(EQA.Controllab_Dados!J$2:J$5000,MATCH(ROW()-4,EQA.Controllab_Dados!$S$2:$S$5000,0)),"")</f>
        <v/>
      </c>
      <c r="K32" s="137" t="str">
        <f>IFERROR(INDEX(EQA.Controllab_Dados!K$2:K$5000,MATCH(ROW()-4,EQA.Controllab_Dados!$S$2:$S$5000,0)),"")</f>
        <v/>
      </c>
      <c r="L32" t="str">
        <f>IFERROR(INDEX(EQA.Controllab_Dados!L$2:L$5000,MATCH(ROW()-4,EQA.Controllab_Dados!$S$2:$S$5000,0)),"")</f>
        <v/>
      </c>
      <c r="M32" s="126" t="str">
        <f>IFERROR(INDEX(EQA.Controllab_Dados!M$2:M$5000,MATCH(ROW()-4,EQA.Controllab_Dados!$S$2:$S$5000,0)),"")</f>
        <v/>
      </c>
      <c r="N32" t="str">
        <f>IFERROR(INDEX(EQA.Controllab_Dados!N$2:N$5000,MATCH(ROW()-4,EQA.Controllab_Dados!$S$2:$S$5000,0)),"")</f>
        <v/>
      </c>
      <c r="O32" s="137" t="str">
        <f>IFERROR(INDEX(EQA.Controllab_Dados!O$2:O$5000,MATCH(ROW()-4,EQA.Controllab_Dados!$S$2:$S$5000,0)),"")</f>
        <v/>
      </c>
      <c r="P32" s="137" t="str">
        <f>IFERROR(INDEX(EQA.Controllab_Dados!P$2:P$5000,MATCH(ROW()-4,EQA.Controllab_Dados!$S$2:$S$5000,0)),"")</f>
        <v/>
      </c>
      <c r="Q32" s="126" t="str">
        <f>IFERROR(INDEX(EQA.Controllab_Dados!Q$2:Q$5000,MATCH(ROW()-4,EQA.Controllab_Dados!$S$2:$S$5000,0)),"")</f>
        <v/>
      </c>
      <c r="R32" t="str">
        <f>IFERROR(INDEX(EQA.Controllab_Dados!R$2:R$5000,MATCH(ROW()-4,EQA.Controllab_Dados!$S$2:$S$5000,0)),"")</f>
        <v/>
      </c>
    </row>
    <row r="33" spans="1:18" x14ac:dyDescent="0.3">
      <c r="A33" t="str">
        <f>IFERROR(INDEX(EQA.Controllab_Dados!A$2:A$5000,MATCH(ROW()-4,EQA.Controllab_Dados!$S$2:$S$5000,0)),"")</f>
        <v/>
      </c>
      <c r="B33" t="str">
        <f>IFERROR(INDEX(EQA.Controllab_Dados!B$2:B$5000,MATCH(ROW()-4,EQA.Controllab_Dados!$S$2:$S$5000,0)),"")</f>
        <v/>
      </c>
      <c r="C33" s="126" t="str">
        <f>IFERROR(INDEX(EQA.Controllab_Dados!C$2:C$5000,MATCH(ROW()-4,EQA.Controllab_Dados!$S$2:$S$5000,0)),"")</f>
        <v/>
      </c>
      <c r="D33" t="str">
        <f>IFERROR(INDEX(EQA.Controllab_Dados!D$2:D$5000,MATCH(ROW()-4,EQA.Controllab_Dados!$S$2:$S$5000,0)),"")</f>
        <v/>
      </c>
      <c r="E33" t="str">
        <f>IFERROR(INDEX(EQA.Controllab_Dados!E$2:E$5000,MATCH(ROW()-4,EQA.Controllab_Dados!$S$2:$S$5000,0)),"")</f>
        <v/>
      </c>
      <c r="F33" s="137" t="str">
        <f>IFERROR(INDEX(EQA.Controllab_Dados!F$2:F$5000,MATCH(ROW()-4,EQA.Controllab_Dados!$S$2:$S$5000,0)),"")</f>
        <v/>
      </c>
      <c r="G33" s="138" t="str">
        <f>IFERROR(INDEX(EQA.Controllab_Dados!G$2:G$5000,MATCH(ROW()-4,EQA.Controllab_Dados!$S$2:$S$5000,0)),"")</f>
        <v/>
      </c>
      <c r="H33" s="138" t="str">
        <f>IFERROR(INDEX(EQA.Controllab_Dados!H$2:H$5000,MATCH(ROW()-4,EQA.Controllab_Dados!$S$2:$S$5000,0)),"")</f>
        <v/>
      </c>
      <c r="I33" s="139" t="str">
        <f>IFERROR(INDEX(EQA.Controllab_Dados!I$2:I$5000,MATCH(ROW()-4,EQA.Controllab_Dados!$S$2:$S$5000,0)),"")</f>
        <v/>
      </c>
      <c r="J33" s="137" t="str">
        <f>IFERROR(INDEX(EQA.Controllab_Dados!J$2:J$5000,MATCH(ROW()-4,EQA.Controllab_Dados!$S$2:$S$5000,0)),"")</f>
        <v/>
      </c>
      <c r="K33" s="137" t="str">
        <f>IFERROR(INDEX(EQA.Controllab_Dados!K$2:K$5000,MATCH(ROW()-4,EQA.Controllab_Dados!$S$2:$S$5000,0)),"")</f>
        <v/>
      </c>
      <c r="L33" t="str">
        <f>IFERROR(INDEX(EQA.Controllab_Dados!L$2:L$5000,MATCH(ROW()-4,EQA.Controllab_Dados!$S$2:$S$5000,0)),"")</f>
        <v/>
      </c>
      <c r="M33" s="126" t="str">
        <f>IFERROR(INDEX(EQA.Controllab_Dados!M$2:M$5000,MATCH(ROW()-4,EQA.Controllab_Dados!$S$2:$S$5000,0)),"")</f>
        <v/>
      </c>
      <c r="N33" t="str">
        <f>IFERROR(INDEX(EQA.Controllab_Dados!N$2:N$5000,MATCH(ROW()-4,EQA.Controllab_Dados!$S$2:$S$5000,0)),"")</f>
        <v/>
      </c>
      <c r="O33" s="137" t="str">
        <f>IFERROR(INDEX(EQA.Controllab_Dados!O$2:O$5000,MATCH(ROW()-4,EQA.Controllab_Dados!$S$2:$S$5000,0)),"")</f>
        <v/>
      </c>
      <c r="P33" s="137" t="str">
        <f>IFERROR(INDEX(EQA.Controllab_Dados!P$2:P$5000,MATCH(ROW()-4,EQA.Controllab_Dados!$S$2:$S$5000,0)),"")</f>
        <v/>
      </c>
      <c r="Q33" s="126" t="str">
        <f>IFERROR(INDEX(EQA.Controllab_Dados!Q$2:Q$5000,MATCH(ROW()-4,EQA.Controllab_Dados!$S$2:$S$5000,0)),"")</f>
        <v/>
      </c>
      <c r="R33" t="str">
        <f>IFERROR(INDEX(EQA.Controllab_Dados!R$2:R$5000,MATCH(ROW()-4,EQA.Controllab_Dados!$S$2:$S$5000,0)),"")</f>
        <v/>
      </c>
    </row>
    <row r="34" spans="1:18" x14ac:dyDescent="0.3">
      <c r="A34" t="str">
        <f>IFERROR(INDEX(EQA.Controllab_Dados!A$2:A$5000,MATCH(ROW()-4,EQA.Controllab_Dados!$S$2:$S$5000,0)),"")</f>
        <v/>
      </c>
      <c r="B34" t="str">
        <f>IFERROR(INDEX(EQA.Controllab_Dados!B$2:B$5000,MATCH(ROW()-4,EQA.Controllab_Dados!$S$2:$S$5000,0)),"")</f>
        <v/>
      </c>
      <c r="C34" s="126" t="str">
        <f>IFERROR(INDEX(EQA.Controllab_Dados!C$2:C$5000,MATCH(ROW()-4,EQA.Controllab_Dados!$S$2:$S$5000,0)),"")</f>
        <v/>
      </c>
      <c r="D34" t="str">
        <f>IFERROR(INDEX(EQA.Controllab_Dados!D$2:D$5000,MATCH(ROW()-4,EQA.Controllab_Dados!$S$2:$S$5000,0)),"")</f>
        <v/>
      </c>
      <c r="E34" t="str">
        <f>IFERROR(INDEX(EQA.Controllab_Dados!E$2:E$5000,MATCH(ROW()-4,EQA.Controllab_Dados!$S$2:$S$5000,0)),"")</f>
        <v/>
      </c>
      <c r="F34" s="137" t="str">
        <f>IFERROR(INDEX(EQA.Controllab_Dados!F$2:F$5000,MATCH(ROW()-4,EQA.Controllab_Dados!$S$2:$S$5000,0)),"")</f>
        <v/>
      </c>
      <c r="G34" s="138" t="str">
        <f>IFERROR(INDEX(EQA.Controllab_Dados!G$2:G$5000,MATCH(ROW()-4,EQA.Controllab_Dados!$S$2:$S$5000,0)),"")</f>
        <v/>
      </c>
      <c r="H34" s="138" t="str">
        <f>IFERROR(INDEX(EQA.Controllab_Dados!H$2:H$5000,MATCH(ROW()-4,EQA.Controllab_Dados!$S$2:$S$5000,0)),"")</f>
        <v/>
      </c>
      <c r="I34" s="139" t="str">
        <f>IFERROR(INDEX(EQA.Controllab_Dados!I$2:I$5000,MATCH(ROW()-4,EQA.Controllab_Dados!$S$2:$S$5000,0)),"")</f>
        <v/>
      </c>
      <c r="J34" s="137" t="str">
        <f>IFERROR(INDEX(EQA.Controllab_Dados!J$2:J$5000,MATCH(ROW()-4,EQA.Controllab_Dados!$S$2:$S$5000,0)),"")</f>
        <v/>
      </c>
      <c r="K34" s="137" t="str">
        <f>IFERROR(INDEX(EQA.Controllab_Dados!K$2:K$5000,MATCH(ROW()-4,EQA.Controllab_Dados!$S$2:$S$5000,0)),"")</f>
        <v/>
      </c>
      <c r="L34" t="str">
        <f>IFERROR(INDEX(EQA.Controllab_Dados!L$2:L$5000,MATCH(ROW()-4,EQA.Controllab_Dados!$S$2:$S$5000,0)),"")</f>
        <v/>
      </c>
      <c r="M34" s="126" t="str">
        <f>IFERROR(INDEX(EQA.Controllab_Dados!M$2:M$5000,MATCH(ROW()-4,EQA.Controllab_Dados!$S$2:$S$5000,0)),"")</f>
        <v/>
      </c>
      <c r="N34" t="str">
        <f>IFERROR(INDEX(EQA.Controllab_Dados!N$2:N$5000,MATCH(ROW()-4,EQA.Controllab_Dados!$S$2:$S$5000,0)),"")</f>
        <v/>
      </c>
      <c r="O34" s="137" t="str">
        <f>IFERROR(INDEX(EQA.Controllab_Dados!O$2:O$5000,MATCH(ROW()-4,EQA.Controllab_Dados!$S$2:$S$5000,0)),"")</f>
        <v/>
      </c>
      <c r="P34" s="137" t="str">
        <f>IFERROR(INDEX(EQA.Controllab_Dados!P$2:P$5000,MATCH(ROW()-4,EQA.Controllab_Dados!$S$2:$S$5000,0)),"")</f>
        <v/>
      </c>
      <c r="Q34" s="126" t="str">
        <f>IFERROR(INDEX(EQA.Controllab_Dados!Q$2:Q$5000,MATCH(ROW()-4,EQA.Controllab_Dados!$S$2:$S$5000,0)),"")</f>
        <v/>
      </c>
      <c r="R34" t="str">
        <f>IFERROR(INDEX(EQA.Controllab_Dados!R$2:R$5000,MATCH(ROW()-4,EQA.Controllab_Dados!$S$2:$S$5000,0)),"")</f>
        <v/>
      </c>
    </row>
    <row r="35" spans="1:18" x14ac:dyDescent="0.3">
      <c r="A35" t="str">
        <f>IFERROR(INDEX(EQA.Controllab_Dados!A$2:A$5000,MATCH(ROW()-4,EQA.Controllab_Dados!$S$2:$S$5000,0)),"")</f>
        <v/>
      </c>
      <c r="B35" t="str">
        <f>IFERROR(INDEX(EQA.Controllab_Dados!B$2:B$5000,MATCH(ROW()-4,EQA.Controllab_Dados!$S$2:$S$5000,0)),"")</f>
        <v/>
      </c>
      <c r="C35" s="126" t="str">
        <f>IFERROR(INDEX(EQA.Controllab_Dados!C$2:C$5000,MATCH(ROW()-4,EQA.Controllab_Dados!$S$2:$S$5000,0)),"")</f>
        <v/>
      </c>
      <c r="D35" t="str">
        <f>IFERROR(INDEX(EQA.Controllab_Dados!D$2:D$5000,MATCH(ROW()-4,EQA.Controllab_Dados!$S$2:$S$5000,0)),"")</f>
        <v/>
      </c>
      <c r="E35" t="str">
        <f>IFERROR(INDEX(EQA.Controllab_Dados!E$2:E$5000,MATCH(ROW()-4,EQA.Controllab_Dados!$S$2:$S$5000,0)),"")</f>
        <v/>
      </c>
      <c r="F35" s="137" t="str">
        <f>IFERROR(INDEX(EQA.Controllab_Dados!F$2:F$5000,MATCH(ROW()-4,EQA.Controllab_Dados!$S$2:$S$5000,0)),"")</f>
        <v/>
      </c>
      <c r="G35" s="138" t="str">
        <f>IFERROR(INDEX(EQA.Controllab_Dados!G$2:G$5000,MATCH(ROW()-4,EQA.Controllab_Dados!$S$2:$S$5000,0)),"")</f>
        <v/>
      </c>
      <c r="H35" s="138" t="str">
        <f>IFERROR(INDEX(EQA.Controllab_Dados!H$2:H$5000,MATCH(ROW()-4,EQA.Controllab_Dados!$S$2:$S$5000,0)),"")</f>
        <v/>
      </c>
      <c r="I35" s="139" t="str">
        <f>IFERROR(INDEX(EQA.Controllab_Dados!I$2:I$5000,MATCH(ROW()-4,EQA.Controllab_Dados!$S$2:$S$5000,0)),"")</f>
        <v/>
      </c>
      <c r="J35" s="137" t="str">
        <f>IFERROR(INDEX(EQA.Controllab_Dados!J$2:J$5000,MATCH(ROW()-4,EQA.Controllab_Dados!$S$2:$S$5000,0)),"")</f>
        <v/>
      </c>
      <c r="K35" s="137" t="str">
        <f>IFERROR(INDEX(EQA.Controllab_Dados!K$2:K$5000,MATCH(ROW()-4,EQA.Controllab_Dados!$S$2:$S$5000,0)),"")</f>
        <v/>
      </c>
      <c r="L35" t="str">
        <f>IFERROR(INDEX(EQA.Controllab_Dados!L$2:L$5000,MATCH(ROW()-4,EQA.Controllab_Dados!$S$2:$S$5000,0)),"")</f>
        <v/>
      </c>
      <c r="M35" s="126" t="str">
        <f>IFERROR(INDEX(EQA.Controllab_Dados!M$2:M$5000,MATCH(ROW()-4,EQA.Controllab_Dados!$S$2:$S$5000,0)),"")</f>
        <v/>
      </c>
      <c r="N35" t="str">
        <f>IFERROR(INDEX(EQA.Controllab_Dados!N$2:N$5000,MATCH(ROW()-4,EQA.Controllab_Dados!$S$2:$S$5000,0)),"")</f>
        <v/>
      </c>
      <c r="O35" s="137" t="str">
        <f>IFERROR(INDEX(EQA.Controllab_Dados!O$2:O$5000,MATCH(ROW()-4,EQA.Controllab_Dados!$S$2:$S$5000,0)),"")</f>
        <v/>
      </c>
      <c r="P35" s="137" t="str">
        <f>IFERROR(INDEX(EQA.Controllab_Dados!P$2:P$5000,MATCH(ROW()-4,EQA.Controllab_Dados!$S$2:$S$5000,0)),"")</f>
        <v/>
      </c>
      <c r="Q35" s="126" t="str">
        <f>IFERROR(INDEX(EQA.Controllab_Dados!Q$2:Q$5000,MATCH(ROW()-4,EQA.Controllab_Dados!$S$2:$S$5000,0)),"")</f>
        <v/>
      </c>
      <c r="R35" t="str">
        <f>IFERROR(INDEX(EQA.Controllab_Dados!R$2:R$5000,MATCH(ROW()-4,EQA.Controllab_Dados!$S$2:$S$5000,0)),"")</f>
        <v/>
      </c>
    </row>
    <row r="36" spans="1:18" x14ac:dyDescent="0.3">
      <c r="A36" t="str">
        <f>IFERROR(INDEX(EQA.Controllab_Dados!A$2:A$5000,MATCH(ROW()-4,EQA.Controllab_Dados!$S$2:$S$5000,0)),"")</f>
        <v/>
      </c>
      <c r="B36" t="str">
        <f>IFERROR(INDEX(EQA.Controllab_Dados!B$2:B$5000,MATCH(ROW()-4,EQA.Controllab_Dados!$S$2:$S$5000,0)),"")</f>
        <v/>
      </c>
      <c r="C36" s="126" t="str">
        <f>IFERROR(INDEX(EQA.Controllab_Dados!C$2:C$5000,MATCH(ROW()-4,EQA.Controllab_Dados!$S$2:$S$5000,0)),"")</f>
        <v/>
      </c>
      <c r="D36" t="str">
        <f>IFERROR(INDEX(EQA.Controllab_Dados!D$2:D$5000,MATCH(ROW()-4,EQA.Controllab_Dados!$S$2:$S$5000,0)),"")</f>
        <v/>
      </c>
      <c r="E36" t="str">
        <f>IFERROR(INDEX(EQA.Controllab_Dados!E$2:E$5000,MATCH(ROW()-4,EQA.Controllab_Dados!$S$2:$S$5000,0)),"")</f>
        <v/>
      </c>
      <c r="F36" s="137" t="str">
        <f>IFERROR(INDEX(EQA.Controllab_Dados!F$2:F$5000,MATCH(ROW()-4,EQA.Controllab_Dados!$S$2:$S$5000,0)),"")</f>
        <v/>
      </c>
      <c r="G36" s="138" t="str">
        <f>IFERROR(INDEX(EQA.Controllab_Dados!G$2:G$5000,MATCH(ROW()-4,EQA.Controllab_Dados!$S$2:$S$5000,0)),"")</f>
        <v/>
      </c>
      <c r="H36" s="138" t="str">
        <f>IFERROR(INDEX(EQA.Controllab_Dados!H$2:H$5000,MATCH(ROW()-4,EQA.Controllab_Dados!$S$2:$S$5000,0)),"")</f>
        <v/>
      </c>
      <c r="I36" s="139" t="str">
        <f>IFERROR(INDEX(EQA.Controllab_Dados!I$2:I$5000,MATCH(ROW()-4,EQA.Controllab_Dados!$S$2:$S$5000,0)),"")</f>
        <v/>
      </c>
      <c r="J36" s="137" t="str">
        <f>IFERROR(INDEX(EQA.Controllab_Dados!J$2:J$5000,MATCH(ROW()-4,EQA.Controllab_Dados!$S$2:$S$5000,0)),"")</f>
        <v/>
      </c>
      <c r="K36" s="137" t="str">
        <f>IFERROR(INDEX(EQA.Controllab_Dados!K$2:K$5000,MATCH(ROW()-4,EQA.Controllab_Dados!$S$2:$S$5000,0)),"")</f>
        <v/>
      </c>
      <c r="L36" t="str">
        <f>IFERROR(INDEX(EQA.Controllab_Dados!L$2:L$5000,MATCH(ROW()-4,EQA.Controllab_Dados!$S$2:$S$5000,0)),"")</f>
        <v/>
      </c>
      <c r="M36" s="126" t="str">
        <f>IFERROR(INDEX(EQA.Controllab_Dados!M$2:M$5000,MATCH(ROW()-4,EQA.Controllab_Dados!$S$2:$S$5000,0)),"")</f>
        <v/>
      </c>
      <c r="N36" t="str">
        <f>IFERROR(INDEX(EQA.Controllab_Dados!N$2:N$5000,MATCH(ROW()-4,EQA.Controllab_Dados!$S$2:$S$5000,0)),"")</f>
        <v/>
      </c>
      <c r="O36" s="137" t="str">
        <f>IFERROR(INDEX(EQA.Controllab_Dados!O$2:O$5000,MATCH(ROW()-4,EQA.Controllab_Dados!$S$2:$S$5000,0)),"")</f>
        <v/>
      </c>
      <c r="P36" s="137" t="str">
        <f>IFERROR(INDEX(EQA.Controllab_Dados!P$2:P$5000,MATCH(ROW()-4,EQA.Controllab_Dados!$S$2:$S$5000,0)),"")</f>
        <v/>
      </c>
      <c r="Q36" s="126" t="str">
        <f>IFERROR(INDEX(EQA.Controllab_Dados!Q$2:Q$5000,MATCH(ROW()-4,EQA.Controllab_Dados!$S$2:$S$5000,0)),"")</f>
        <v/>
      </c>
      <c r="R36" t="str">
        <f>IFERROR(INDEX(EQA.Controllab_Dados!R$2:R$5000,MATCH(ROW()-4,EQA.Controllab_Dados!$S$2:$S$5000,0)),"")</f>
        <v/>
      </c>
    </row>
    <row r="37" spans="1:18" x14ac:dyDescent="0.3">
      <c r="A37" t="str">
        <f>IFERROR(INDEX(EQA.Controllab_Dados!A$2:A$5000,MATCH(ROW()-4,EQA.Controllab_Dados!$S$2:$S$5000,0)),"")</f>
        <v/>
      </c>
      <c r="B37" t="str">
        <f>IFERROR(INDEX(EQA.Controllab_Dados!B$2:B$5000,MATCH(ROW()-4,EQA.Controllab_Dados!$S$2:$S$5000,0)),"")</f>
        <v/>
      </c>
      <c r="C37" s="126" t="str">
        <f>IFERROR(INDEX(EQA.Controllab_Dados!C$2:C$5000,MATCH(ROW()-4,EQA.Controllab_Dados!$S$2:$S$5000,0)),"")</f>
        <v/>
      </c>
      <c r="D37" t="str">
        <f>IFERROR(INDEX(EQA.Controllab_Dados!D$2:D$5000,MATCH(ROW()-4,EQA.Controllab_Dados!$S$2:$S$5000,0)),"")</f>
        <v/>
      </c>
      <c r="E37" t="str">
        <f>IFERROR(INDEX(EQA.Controllab_Dados!E$2:E$5000,MATCH(ROW()-4,EQA.Controllab_Dados!$S$2:$S$5000,0)),"")</f>
        <v/>
      </c>
      <c r="F37" s="137" t="str">
        <f>IFERROR(INDEX(EQA.Controllab_Dados!F$2:F$5000,MATCH(ROW()-4,EQA.Controllab_Dados!$S$2:$S$5000,0)),"")</f>
        <v/>
      </c>
      <c r="G37" s="138" t="str">
        <f>IFERROR(INDEX(EQA.Controllab_Dados!G$2:G$5000,MATCH(ROW()-4,EQA.Controllab_Dados!$S$2:$S$5000,0)),"")</f>
        <v/>
      </c>
      <c r="H37" s="138" t="str">
        <f>IFERROR(INDEX(EQA.Controllab_Dados!H$2:H$5000,MATCH(ROW()-4,EQA.Controllab_Dados!$S$2:$S$5000,0)),"")</f>
        <v/>
      </c>
      <c r="I37" s="139" t="str">
        <f>IFERROR(INDEX(EQA.Controllab_Dados!I$2:I$5000,MATCH(ROW()-4,EQA.Controllab_Dados!$S$2:$S$5000,0)),"")</f>
        <v/>
      </c>
      <c r="J37" s="137" t="str">
        <f>IFERROR(INDEX(EQA.Controllab_Dados!J$2:J$5000,MATCH(ROW()-4,EQA.Controllab_Dados!$S$2:$S$5000,0)),"")</f>
        <v/>
      </c>
      <c r="K37" s="137" t="str">
        <f>IFERROR(INDEX(EQA.Controllab_Dados!K$2:K$5000,MATCH(ROW()-4,EQA.Controllab_Dados!$S$2:$S$5000,0)),"")</f>
        <v/>
      </c>
      <c r="L37" t="str">
        <f>IFERROR(INDEX(EQA.Controllab_Dados!L$2:L$5000,MATCH(ROW()-4,EQA.Controllab_Dados!$S$2:$S$5000,0)),"")</f>
        <v/>
      </c>
      <c r="M37" s="126" t="str">
        <f>IFERROR(INDEX(EQA.Controllab_Dados!M$2:M$5000,MATCH(ROW()-4,EQA.Controllab_Dados!$S$2:$S$5000,0)),"")</f>
        <v/>
      </c>
      <c r="N37" t="str">
        <f>IFERROR(INDEX(EQA.Controllab_Dados!N$2:N$5000,MATCH(ROW()-4,EQA.Controllab_Dados!$S$2:$S$5000,0)),"")</f>
        <v/>
      </c>
      <c r="O37" s="137" t="str">
        <f>IFERROR(INDEX(EQA.Controllab_Dados!O$2:O$5000,MATCH(ROW()-4,EQA.Controllab_Dados!$S$2:$S$5000,0)),"")</f>
        <v/>
      </c>
      <c r="P37" s="137" t="str">
        <f>IFERROR(INDEX(EQA.Controllab_Dados!P$2:P$5000,MATCH(ROW()-4,EQA.Controllab_Dados!$S$2:$S$5000,0)),"")</f>
        <v/>
      </c>
      <c r="Q37" s="126" t="str">
        <f>IFERROR(INDEX(EQA.Controllab_Dados!Q$2:Q$5000,MATCH(ROW()-4,EQA.Controllab_Dados!$S$2:$S$5000,0)),"")</f>
        <v/>
      </c>
      <c r="R37" t="str">
        <f>IFERROR(INDEX(EQA.Controllab_Dados!R$2:R$5000,MATCH(ROW()-4,EQA.Controllab_Dados!$S$2:$S$5000,0)),"")</f>
        <v/>
      </c>
    </row>
    <row r="38" spans="1:18" x14ac:dyDescent="0.3">
      <c r="A38" t="str">
        <f>IFERROR(INDEX(EQA.Controllab_Dados!A$2:A$5000,MATCH(ROW()-4,EQA.Controllab_Dados!$S$2:$S$5000,0)),"")</f>
        <v/>
      </c>
      <c r="B38" t="str">
        <f>IFERROR(INDEX(EQA.Controllab_Dados!B$2:B$5000,MATCH(ROW()-4,EQA.Controllab_Dados!$S$2:$S$5000,0)),"")</f>
        <v/>
      </c>
      <c r="C38" s="126" t="str">
        <f>IFERROR(INDEX(EQA.Controllab_Dados!C$2:C$5000,MATCH(ROW()-4,EQA.Controllab_Dados!$S$2:$S$5000,0)),"")</f>
        <v/>
      </c>
      <c r="D38" t="str">
        <f>IFERROR(INDEX(EQA.Controllab_Dados!D$2:D$5000,MATCH(ROW()-4,EQA.Controllab_Dados!$S$2:$S$5000,0)),"")</f>
        <v/>
      </c>
      <c r="E38" t="str">
        <f>IFERROR(INDEX(EQA.Controllab_Dados!E$2:E$5000,MATCH(ROW()-4,EQA.Controllab_Dados!$S$2:$S$5000,0)),"")</f>
        <v/>
      </c>
      <c r="F38" s="137" t="str">
        <f>IFERROR(INDEX(EQA.Controllab_Dados!F$2:F$5000,MATCH(ROW()-4,EQA.Controllab_Dados!$S$2:$S$5000,0)),"")</f>
        <v/>
      </c>
      <c r="G38" s="138" t="str">
        <f>IFERROR(INDEX(EQA.Controllab_Dados!G$2:G$5000,MATCH(ROW()-4,EQA.Controllab_Dados!$S$2:$S$5000,0)),"")</f>
        <v/>
      </c>
      <c r="H38" s="138" t="str">
        <f>IFERROR(INDEX(EQA.Controllab_Dados!H$2:H$5000,MATCH(ROW()-4,EQA.Controllab_Dados!$S$2:$S$5000,0)),"")</f>
        <v/>
      </c>
      <c r="I38" s="139" t="str">
        <f>IFERROR(INDEX(EQA.Controllab_Dados!I$2:I$5000,MATCH(ROW()-4,EQA.Controllab_Dados!$S$2:$S$5000,0)),"")</f>
        <v/>
      </c>
      <c r="J38" s="137" t="str">
        <f>IFERROR(INDEX(EQA.Controllab_Dados!J$2:J$5000,MATCH(ROW()-4,EQA.Controllab_Dados!$S$2:$S$5000,0)),"")</f>
        <v/>
      </c>
      <c r="K38" s="137" t="str">
        <f>IFERROR(INDEX(EQA.Controllab_Dados!K$2:K$5000,MATCH(ROW()-4,EQA.Controllab_Dados!$S$2:$S$5000,0)),"")</f>
        <v/>
      </c>
      <c r="L38" t="str">
        <f>IFERROR(INDEX(EQA.Controllab_Dados!L$2:L$5000,MATCH(ROW()-4,EQA.Controllab_Dados!$S$2:$S$5000,0)),"")</f>
        <v/>
      </c>
      <c r="M38" s="126" t="str">
        <f>IFERROR(INDEX(EQA.Controllab_Dados!M$2:M$5000,MATCH(ROW()-4,EQA.Controllab_Dados!$S$2:$S$5000,0)),"")</f>
        <v/>
      </c>
      <c r="N38" t="str">
        <f>IFERROR(INDEX(EQA.Controllab_Dados!N$2:N$5000,MATCH(ROW()-4,EQA.Controllab_Dados!$S$2:$S$5000,0)),"")</f>
        <v/>
      </c>
      <c r="O38" s="137" t="str">
        <f>IFERROR(INDEX(EQA.Controllab_Dados!O$2:O$5000,MATCH(ROW()-4,EQA.Controllab_Dados!$S$2:$S$5000,0)),"")</f>
        <v/>
      </c>
      <c r="P38" s="137" t="str">
        <f>IFERROR(INDEX(EQA.Controllab_Dados!P$2:P$5000,MATCH(ROW()-4,EQA.Controllab_Dados!$S$2:$S$5000,0)),"")</f>
        <v/>
      </c>
      <c r="Q38" s="126" t="str">
        <f>IFERROR(INDEX(EQA.Controllab_Dados!Q$2:Q$5000,MATCH(ROW()-4,EQA.Controllab_Dados!$S$2:$S$5000,0)),"")</f>
        <v/>
      </c>
      <c r="R38" t="str">
        <f>IFERROR(INDEX(EQA.Controllab_Dados!R$2:R$5000,MATCH(ROW()-4,EQA.Controllab_Dados!$S$2:$S$5000,0)),"")</f>
        <v/>
      </c>
    </row>
    <row r="39" spans="1:18" x14ac:dyDescent="0.3">
      <c r="A39" t="str">
        <f>IFERROR(INDEX(EQA.Controllab_Dados!A$2:A$5000,MATCH(ROW()-4,EQA.Controllab_Dados!$S$2:$S$5000,0)),"")</f>
        <v/>
      </c>
      <c r="B39" t="str">
        <f>IFERROR(INDEX(EQA.Controllab_Dados!B$2:B$5000,MATCH(ROW()-4,EQA.Controllab_Dados!$S$2:$S$5000,0)),"")</f>
        <v/>
      </c>
      <c r="C39" s="126" t="str">
        <f>IFERROR(INDEX(EQA.Controllab_Dados!C$2:C$5000,MATCH(ROW()-4,EQA.Controllab_Dados!$S$2:$S$5000,0)),"")</f>
        <v/>
      </c>
      <c r="D39" t="str">
        <f>IFERROR(INDEX(EQA.Controllab_Dados!D$2:D$5000,MATCH(ROW()-4,EQA.Controllab_Dados!$S$2:$S$5000,0)),"")</f>
        <v/>
      </c>
      <c r="E39" t="str">
        <f>IFERROR(INDEX(EQA.Controllab_Dados!E$2:E$5000,MATCH(ROW()-4,EQA.Controllab_Dados!$S$2:$S$5000,0)),"")</f>
        <v/>
      </c>
      <c r="F39" s="137" t="str">
        <f>IFERROR(INDEX(EQA.Controllab_Dados!F$2:F$5000,MATCH(ROW()-4,EQA.Controllab_Dados!$S$2:$S$5000,0)),"")</f>
        <v/>
      </c>
      <c r="G39" s="138" t="str">
        <f>IFERROR(INDEX(EQA.Controllab_Dados!G$2:G$5000,MATCH(ROW()-4,EQA.Controllab_Dados!$S$2:$S$5000,0)),"")</f>
        <v/>
      </c>
      <c r="H39" s="138" t="str">
        <f>IFERROR(INDEX(EQA.Controllab_Dados!H$2:H$5000,MATCH(ROW()-4,EQA.Controllab_Dados!$S$2:$S$5000,0)),"")</f>
        <v/>
      </c>
      <c r="I39" s="139" t="str">
        <f>IFERROR(INDEX(EQA.Controllab_Dados!I$2:I$5000,MATCH(ROW()-4,EQA.Controllab_Dados!$S$2:$S$5000,0)),"")</f>
        <v/>
      </c>
      <c r="J39" s="137" t="str">
        <f>IFERROR(INDEX(EQA.Controllab_Dados!J$2:J$5000,MATCH(ROW()-4,EQA.Controllab_Dados!$S$2:$S$5000,0)),"")</f>
        <v/>
      </c>
      <c r="K39" s="137" t="str">
        <f>IFERROR(INDEX(EQA.Controllab_Dados!K$2:K$5000,MATCH(ROW()-4,EQA.Controllab_Dados!$S$2:$S$5000,0)),"")</f>
        <v/>
      </c>
      <c r="L39" t="str">
        <f>IFERROR(INDEX(EQA.Controllab_Dados!L$2:L$5000,MATCH(ROW()-4,EQA.Controllab_Dados!$S$2:$S$5000,0)),"")</f>
        <v/>
      </c>
      <c r="M39" s="126" t="str">
        <f>IFERROR(INDEX(EQA.Controllab_Dados!M$2:M$5000,MATCH(ROW()-4,EQA.Controllab_Dados!$S$2:$S$5000,0)),"")</f>
        <v/>
      </c>
      <c r="N39" t="str">
        <f>IFERROR(INDEX(EQA.Controllab_Dados!N$2:N$5000,MATCH(ROW()-4,EQA.Controllab_Dados!$S$2:$S$5000,0)),"")</f>
        <v/>
      </c>
      <c r="O39" s="137" t="str">
        <f>IFERROR(INDEX(EQA.Controllab_Dados!O$2:O$5000,MATCH(ROW()-4,EQA.Controllab_Dados!$S$2:$S$5000,0)),"")</f>
        <v/>
      </c>
      <c r="P39" s="137" t="str">
        <f>IFERROR(INDEX(EQA.Controllab_Dados!P$2:P$5000,MATCH(ROW()-4,EQA.Controllab_Dados!$S$2:$S$5000,0)),"")</f>
        <v/>
      </c>
      <c r="Q39" s="126" t="str">
        <f>IFERROR(INDEX(EQA.Controllab_Dados!Q$2:Q$5000,MATCH(ROW()-4,EQA.Controllab_Dados!$S$2:$S$5000,0)),"")</f>
        <v/>
      </c>
      <c r="R39" t="str">
        <f>IFERROR(INDEX(EQA.Controllab_Dados!R$2:R$5000,MATCH(ROW()-4,EQA.Controllab_Dados!$S$2:$S$5000,0)),"")</f>
        <v/>
      </c>
    </row>
    <row r="40" spans="1:18" x14ac:dyDescent="0.3">
      <c r="A40" t="str">
        <f>IFERROR(INDEX(EQA.Controllab_Dados!A$2:A$5000,MATCH(ROW()-4,EQA.Controllab_Dados!$S$2:$S$5000,0)),"")</f>
        <v/>
      </c>
      <c r="B40" t="str">
        <f>IFERROR(INDEX(EQA.Controllab_Dados!B$2:B$5000,MATCH(ROW()-4,EQA.Controllab_Dados!$S$2:$S$5000,0)),"")</f>
        <v/>
      </c>
      <c r="C40" s="126" t="str">
        <f>IFERROR(INDEX(EQA.Controllab_Dados!C$2:C$5000,MATCH(ROW()-4,EQA.Controllab_Dados!$S$2:$S$5000,0)),"")</f>
        <v/>
      </c>
      <c r="D40" t="str">
        <f>IFERROR(INDEX(EQA.Controllab_Dados!D$2:D$5000,MATCH(ROW()-4,EQA.Controllab_Dados!$S$2:$S$5000,0)),"")</f>
        <v/>
      </c>
      <c r="E40" t="str">
        <f>IFERROR(INDEX(EQA.Controllab_Dados!E$2:E$5000,MATCH(ROW()-4,EQA.Controllab_Dados!$S$2:$S$5000,0)),"")</f>
        <v/>
      </c>
      <c r="F40" s="137" t="str">
        <f>IFERROR(INDEX(EQA.Controllab_Dados!F$2:F$5000,MATCH(ROW()-4,EQA.Controllab_Dados!$S$2:$S$5000,0)),"")</f>
        <v/>
      </c>
      <c r="G40" s="138" t="str">
        <f>IFERROR(INDEX(EQA.Controllab_Dados!G$2:G$5000,MATCH(ROW()-4,EQA.Controllab_Dados!$S$2:$S$5000,0)),"")</f>
        <v/>
      </c>
      <c r="H40" s="138" t="str">
        <f>IFERROR(INDEX(EQA.Controllab_Dados!H$2:H$5000,MATCH(ROW()-4,EQA.Controllab_Dados!$S$2:$S$5000,0)),"")</f>
        <v/>
      </c>
      <c r="I40" s="139" t="str">
        <f>IFERROR(INDEX(EQA.Controllab_Dados!I$2:I$5000,MATCH(ROW()-4,EQA.Controllab_Dados!$S$2:$S$5000,0)),"")</f>
        <v/>
      </c>
      <c r="J40" s="137" t="str">
        <f>IFERROR(INDEX(EQA.Controllab_Dados!J$2:J$5000,MATCH(ROW()-4,EQA.Controllab_Dados!$S$2:$S$5000,0)),"")</f>
        <v/>
      </c>
      <c r="K40" s="137" t="str">
        <f>IFERROR(INDEX(EQA.Controllab_Dados!K$2:K$5000,MATCH(ROW()-4,EQA.Controllab_Dados!$S$2:$S$5000,0)),"")</f>
        <v/>
      </c>
      <c r="L40" t="str">
        <f>IFERROR(INDEX(EQA.Controllab_Dados!L$2:L$5000,MATCH(ROW()-4,EQA.Controllab_Dados!$S$2:$S$5000,0)),"")</f>
        <v/>
      </c>
      <c r="M40" s="126" t="str">
        <f>IFERROR(INDEX(EQA.Controllab_Dados!M$2:M$5000,MATCH(ROW()-4,EQA.Controllab_Dados!$S$2:$S$5000,0)),"")</f>
        <v/>
      </c>
      <c r="N40" t="str">
        <f>IFERROR(INDEX(EQA.Controllab_Dados!N$2:N$5000,MATCH(ROW()-4,EQA.Controllab_Dados!$S$2:$S$5000,0)),"")</f>
        <v/>
      </c>
      <c r="O40" s="137" t="str">
        <f>IFERROR(INDEX(EQA.Controllab_Dados!O$2:O$5000,MATCH(ROW()-4,EQA.Controllab_Dados!$S$2:$S$5000,0)),"")</f>
        <v/>
      </c>
      <c r="P40" s="137" t="str">
        <f>IFERROR(INDEX(EQA.Controllab_Dados!P$2:P$5000,MATCH(ROW()-4,EQA.Controllab_Dados!$S$2:$S$5000,0)),"")</f>
        <v/>
      </c>
      <c r="Q40" s="126" t="str">
        <f>IFERROR(INDEX(EQA.Controllab_Dados!Q$2:Q$5000,MATCH(ROW()-4,EQA.Controllab_Dados!$S$2:$S$5000,0)),"")</f>
        <v/>
      </c>
      <c r="R40" t="str">
        <f>IFERROR(INDEX(EQA.Controllab_Dados!R$2:R$5000,MATCH(ROW()-4,EQA.Controllab_Dados!$S$2:$S$5000,0)),"")</f>
        <v/>
      </c>
    </row>
    <row r="41" spans="1:18" x14ac:dyDescent="0.3">
      <c r="A41" t="str">
        <f>IFERROR(INDEX(EQA.Controllab_Dados!A$2:A$5000,MATCH(ROW()-4,EQA.Controllab_Dados!$S$2:$S$5000,0)),"")</f>
        <v/>
      </c>
      <c r="B41" t="str">
        <f>IFERROR(INDEX(EQA.Controllab_Dados!B$2:B$5000,MATCH(ROW()-4,EQA.Controllab_Dados!$S$2:$S$5000,0)),"")</f>
        <v/>
      </c>
      <c r="C41" s="126" t="str">
        <f>IFERROR(INDEX(EQA.Controllab_Dados!C$2:C$5000,MATCH(ROW()-4,EQA.Controllab_Dados!$S$2:$S$5000,0)),"")</f>
        <v/>
      </c>
      <c r="D41" t="str">
        <f>IFERROR(INDEX(EQA.Controllab_Dados!D$2:D$5000,MATCH(ROW()-4,EQA.Controllab_Dados!$S$2:$S$5000,0)),"")</f>
        <v/>
      </c>
      <c r="E41" t="str">
        <f>IFERROR(INDEX(EQA.Controllab_Dados!E$2:E$5000,MATCH(ROW()-4,EQA.Controllab_Dados!$S$2:$S$5000,0)),"")</f>
        <v/>
      </c>
      <c r="F41" s="137" t="str">
        <f>IFERROR(INDEX(EQA.Controllab_Dados!F$2:F$5000,MATCH(ROW()-4,EQA.Controllab_Dados!$S$2:$S$5000,0)),"")</f>
        <v/>
      </c>
      <c r="G41" s="138" t="str">
        <f>IFERROR(INDEX(EQA.Controllab_Dados!G$2:G$5000,MATCH(ROW()-4,EQA.Controllab_Dados!$S$2:$S$5000,0)),"")</f>
        <v/>
      </c>
      <c r="H41" s="138" t="str">
        <f>IFERROR(INDEX(EQA.Controllab_Dados!H$2:H$5000,MATCH(ROW()-4,EQA.Controllab_Dados!$S$2:$S$5000,0)),"")</f>
        <v/>
      </c>
      <c r="I41" s="139" t="str">
        <f>IFERROR(INDEX(EQA.Controllab_Dados!I$2:I$5000,MATCH(ROW()-4,EQA.Controllab_Dados!$S$2:$S$5000,0)),"")</f>
        <v/>
      </c>
      <c r="J41" s="137" t="str">
        <f>IFERROR(INDEX(EQA.Controllab_Dados!J$2:J$5000,MATCH(ROW()-4,EQA.Controllab_Dados!$S$2:$S$5000,0)),"")</f>
        <v/>
      </c>
      <c r="K41" s="137" t="str">
        <f>IFERROR(INDEX(EQA.Controllab_Dados!K$2:K$5000,MATCH(ROW()-4,EQA.Controllab_Dados!$S$2:$S$5000,0)),"")</f>
        <v/>
      </c>
      <c r="L41" t="str">
        <f>IFERROR(INDEX(EQA.Controllab_Dados!L$2:L$5000,MATCH(ROW()-4,EQA.Controllab_Dados!$S$2:$S$5000,0)),"")</f>
        <v/>
      </c>
      <c r="M41" s="126" t="str">
        <f>IFERROR(INDEX(EQA.Controllab_Dados!M$2:M$5000,MATCH(ROW()-4,EQA.Controllab_Dados!$S$2:$S$5000,0)),"")</f>
        <v/>
      </c>
      <c r="N41" t="str">
        <f>IFERROR(INDEX(EQA.Controllab_Dados!N$2:N$5000,MATCH(ROW()-4,EQA.Controllab_Dados!$S$2:$S$5000,0)),"")</f>
        <v/>
      </c>
      <c r="O41" s="137" t="str">
        <f>IFERROR(INDEX(EQA.Controllab_Dados!O$2:O$5000,MATCH(ROW()-4,EQA.Controllab_Dados!$S$2:$S$5000,0)),"")</f>
        <v/>
      </c>
      <c r="P41" s="137" t="str">
        <f>IFERROR(INDEX(EQA.Controllab_Dados!P$2:P$5000,MATCH(ROW()-4,EQA.Controllab_Dados!$S$2:$S$5000,0)),"")</f>
        <v/>
      </c>
      <c r="Q41" s="126" t="str">
        <f>IFERROR(INDEX(EQA.Controllab_Dados!Q$2:Q$5000,MATCH(ROW()-4,EQA.Controllab_Dados!$S$2:$S$5000,0)),"")</f>
        <v/>
      </c>
      <c r="R41" t="str">
        <f>IFERROR(INDEX(EQA.Controllab_Dados!R$2:R$5000,MATCH(ROW()-4,EQA.Controllab_Dados!$S$2:$S$5000,0)),"")</f>
        <v/>
      </c>
    </row>
    <row r="42" spans="1:18" x14ac:dyDescent="0.3">
      <c r="A42" t="str">
        <f>IFERROR(INDEX(EQA.Controllab_Dados!A$2:A$5000,MATCH(ROW()-4,EQA.Controllab_Dados!$S$2:$S$5000,0)),"")</f>
        <v/>
      </c>
      <c r="B42" t="str">
        <f>IFERROR(INDEX(EQA.Controllab_Dados!B$2:B$5000,MATCH(ROW()-4,EQA.Controllab_Dados!$S$2:$S$5000,0)),"")</f>
        <v/>
      </c>
      <c r="C42" s="126" t="str">
        <f>IFERROR(INDEX(EQA.Controllab_Dados!C$2:C$5000,MATCH(ROW()-4,EQA.Controllab_Dados!$S$2:$S$5000,0)),"")</f>
        <v/>
      </c>
      <c r="D42" t="str">
        <f>IFERROR(INDEX(EQA.Controllab_Dados!D$2:D$5000,MATCH(ROW()-4,EQA.Controllab_Dados!$S$2:$S$5000,0)),"")</f>
        <v/>
      </c>
      <c r="E42" t="str">
        <f>IFERROR(INDEX(EQA.Controllab_Dados!E$2:E$5000,MATCH(ROW()-4,EQA.Controllab_Dados!$S$2:$S$5000,0)),"")</f>
        <v/>
      </c>
      <c r="F42" s="137" t="str">
        <f>IFERROR(INDEX(EQA.Controllab_Dados!F$2:F$5000,MATCH(ROW()-4,EQA.Controllab_Dados!$S$2:$S$5000,0)),"")</f>
        <v/>
      </c>
      <c r="G42" s="138" t="str">
        <f>IFERROR(INDEX(EQA.Controllab_Dados!G$2:G$5000,MATCH(ROW()-4,EQA.Controllab_Dados!$S$2:$S$5000,0)),"")</f>
        <v/>
      </c>
      <c r="H42" s="138" t="str">
        <f>IFERROR(INDEX(EQA.Controllab_Dados!H$2:H$5000,MATCH(ROW()-4,EQA.Controllab_Dados!$S$2:$S$5000,0)),"")</f>
        <v/>
      </c>
      <c r="I42" s="139" t="str">
        <f>IFERROR(INDEX(EQA.Controllab_Dados!I$2:I$5000,MATCH(ROW()-4,EQA.Controllab_Dados!$S$2:$S$5000,0)),"")</f>
        <v/>
      </c>
      <c r="J42" s="137" t="str">
        <f>IFERROR(INDEX(EQA.Controllab_Dados!J$2:J$5000,MATCH(ROW()-4,EQA.Controllab_Dados!$S$2:$S$5000,0)),"")</f>
        <v/>
      </c>
      <c r="K42" s="137" t="str">
        <f>IFERROR(INDEX(EQA.Controllab_Dados!K$2:K$5000,MATCH(ROW()-4,EQA.Controllab_Dados!$S$2:$S$5000,0)),"")</f>
        <v/>
      </c>
      <c r="L42" t="str">
        <f>IFERROR(INDEX(EQA.Controllab_Dados!L$2:L$5000,MATCH(ROW()-4,EQA.Controllab_Dados!$S$2:$S$5000,0)),"")</f>
        <v/>
      </c>
      <c r="M42" s="126" t="str">
        <f>IFERROR(INDEX(EQA.Controllab_Dados!M$2:M$5000,MATCH(ROW()-4,EQA.Controllab_Dados!$S$2:$S$5000,0)),"")</f>
        <v/>
      </c>
      <c r="N42" t="str">
        <f>IFERROR(INDEX(EQA.Controllab_Dados!N$2:N$5000,MATCH(ROW()-4,EQA.Controllab_Dados!$S$2:$S$5000,0)),"")</f>
        <v/>
      </c>
      <c r="O42" s="137" t="str">
        <f>IFERROR(INDEX(EQA.Controllab_Dados!O$2:O$5000,MATCH(ROW()-4,EQA.Controllab_Dados!$S$2:$S$5000,0)),"")</f>
        <v/>
      </c>
      <c r="P42" s="137" t="str">
        <f>IFERROR(INDEX(EQA.Controllab_Dados!P$2:P$5000,MATCH(ROW()-4,EQA.Controllab_Dados!$S$2:$S$5000,0)),"")</f>
        <v/>
      </c>
      <c r="Q42" s="126" t="str">
        <f>IFERROR(INDEX(EQA.Controllab_Dados!Q$2:Q$5000,MATCH(ROW()-4,EQA.Controllab_Dados!$S$2:$S$5000,0)),"")</f>
        <v/>
      </c>
      <c r="R42" t="str">
        <f>IFERROR(INDEX(EQA.Controllab_Dados!R$2:R$5000,MATCH(ROW()-4,EQA.Controllab_Dados!$S$2:$S$5000,0)),"")</f>
        <v/>
      </c>
    </row>
    <row r="43" spans="1:18" x14ac:dyDescent="0.3">
      <c r="A43" t="str">
        <f>IFERROR(INDEX(EQA.Controllab_Dados!A$2:A$5000,MATCH(ROW()-4,EQA.Controllab_Dados!$S$2:$S$5000,0)),"")</f>
        <v/>
      </c>
      <c r="B43" t="str">
        <f>IFERROR(INDEX(EQA.Controllab_Dados!B$2:B$5000,MATCH(ROW()-4,EQA.Controllab_Dados!$S$2:$S$5000,0)),"")</f>
        <v/>
      </c>
      <c r="C43" s="126" t="str">
        <f>IFERROR(INDEX(EQA.Controllab_Dados!C$2:C$5000,MATCH(ROW()-4,EQA.Controllab_Dados!$S$2:$S$5000,0)),"")</f>
        <v/>
      </c>
      <c r="D43" t="str">
        <f>IFERROR(INDEX(EQA.Controllab_Dados!D$2:D$5000,MATCH(ROW()-4,EQA.Controllab_Dados!$S$2:$S$5000,0)),"")</f>
        <v/>
      </c>
      <c r="E43" t="str">
        <f>IFERROR(INDEX(EQA.Controllab_Dados!E$2:E$5000,MATCH(ROW()-4,EQA.Controllab_Dados!$S$2:$S$5000,0)),"")</f>
        <v/>
      </c>
      <c r="F43" s="137" t="str">
        <f>IFERROR(INDEX(EQA.Controllab_Dados!F$2:F$5000,MATCH(ROW()-4,EQA.Controllab_Dados!$S$2:$S$5000,0)),"")</f>
        <v/>
      </c>
      <c r="G43" s="138" t="str">
        <f>IFERROR(INDEX(EQA.Controllab_Dados!G$2:G$5000,MATCH(ROW()-4,EQA.Controllab_Dados!$S$2:$S$5000,0)),"")</f>
        <v/>
      </c>
      <c r="H43" s="138" t="str">
        <f>IFERROR(INDEX(EQA.Controllab_Dados!H$2:H$5000,MATCH(ROW()-4,EQA.Controllab_Dados!$S$2:$S$5000,0)),"")</f>
        <v/>
      </c>
      <c r="I43" s="139" t="str">
        <f>IFERROR(INDEX(EQA.Controllab_Dados!I$2:I$5000,MATCH(ROW()-4,EQA.Controllab_Dados!$S$2:$S$5000,0)),"")</f>
        <v/>
      </c>
      <c r="J43" s="137" t="str">
        <f>IFERROR(INDEX(EQA.Controllab_Dados!J$2:J$5000,MATCH(ROW()-4,EQA.Controllab_Dados!$S$2:$S$5000,0)),"")</f>
        <v/>
      </c>
      <c r="K43" s="137" t="str">
        <f>IFERROR(INDEX(EQA.Controllab_Dados!K$2:K$5000,MATCH(ROW()-4,EQA.Controllab_Dados!$S$2:$S$5000,0)),"")</f>
        <v/>
      </c>
      <c r="L43" t="str">
        <f>IFERROR(INDEX(EQA.Controllab_Dados!L$2:L$5000,MATCH(ROW()-4,EQA.Controllab_Dados!$S$2:$S$5000,0)),"")</f>
        <v/>
      </c>
      <c r="M43" s="126" t="str">
        <f>IFERROR(INDEX(EQA.Controllab_Dados!M$2:M$5000,MATCH(ROW()-4,EQA.Controllab_Dados!$S$2:$S$5000,0)),"")</f>
        <v/>
      </c>
      <c r="N43" t="str">
        <f>IFERROR(INDEX(EQA.Controllab_Dados!N$2:N$5000,MATCH(ROW()-4,EQA.Controllab_Dados!$S$2:$S$5000,0)),"")</f>
        <v/>
      </c>
      <c r="O43" s="137" t="str">
        <f>IFERROR(INDEX(EQA.Controllab_Dados!O$2:O$5000,MATCH(ROW()-4,EQA.Controllab_Dados!$S$2:$S$5000,0)),"")</f>
        <v/>
      </c>
      <c r="P43" s="137" t="str">
        <f>IFERROR(INDEX(EQA.Controllab_Dados!P$2:P$5000,MATCH(ROW()-4,EQA.Controllab_Dados!$S$2:$S$5000,0)),"")</f>
        <v/>
      </c>
      <c r="Q43" s="126" t="str">
        <f>IFERROR(INDEX(EQA.Controllab_Dados!Q$2:Q$5000,MATCH(ROW()-4,EQA.Controllab_Dados!$S$2:$S$5000,0)),"")</f>
        <v/>
      </c>
      <c r="R43" t="str">
        <f>IFERROR(INDEX(EQA.Controllab_Dados!R$2:R$5000,MATCH(ROW()-4,EQA.Controllab_Dados!$S$2:$S$5000,0)),"")</f>
        <v/>
      </c>
    </row>
    <row r="44" spans="1:18" x14ac:dyDescent="0.3">
      <c r="A44" t="str">
        <f>IFERROR(INDEX(EQA.Controllab_Dados!A$2:A$5000,MATCH(ROW()-4,EQA.Controllab_Dados!$S$2:$S$5000,0)),"")</f>
        <v/>
      </c>
      <c r="B44" t="str">
        <f>IFERROR(INDEX(EQA.Controllab_Dados!B$2:B$5000,MATCH(ROW()-4,EQA.Controllab_Dados!$S$2:$S$5000,0)),"")</f>
        <v/>
      </c>
      <c r="C44" s="126" t="str">
        <f>IFERROR(INDEX(EQA.Controllab_Dados!C$2:C$5000,MATCH(ROW()-4,EQA.Controllab_Dados!$S$2:$S$5000,0)),"")</f>
        <v/>
      </c>
      <c r="D44" t="str">
        <f>IFERROR(INDEX(EQA.Controllab_Dados!D$2:D$5000,MATCH(ROW()-4,EQA.Controllab_Dados!$S$2:$S$5000,0)),"")</f>
        <v/>
      </c>
      <c r="E44" t="str">
        <f>IFERROR(INDEX(EQA.Controllab_Dados!E$2:E$5000,MATCH(ROW()-4,EQA.Controllab_Dados!$S$2:$S$5000,0)),"")</f>
        <v/>
      </c>
      <c r="F44" s="137" t="str">
        <f>IFERROR(INDEX(EQA.Controllab_Dados!F$2:F$5000,MATCH(ROW()-4,EQA.Controllab_Dados!$S$2:$S$5000,0)),"")</f>
        <v/>
      </c>
      <c r="G44" s="138" t="str">
        <f>IFERROR(INDEX(EQA.Controllab_Dados!G$2:G$5000,MATCH(ROW()-4,EQA.Controllab_Dados!$S$2:$S$5000,0)),"")</f>
        <v/>
      </c>
      <c r="H44" s="138" t="str">
        <f>IFERROR(INDEX(EQA.Controllab_Dados!H$2:H$5000,MATCH(ROW()-4,EQA.Controllab_Dados!$S$2:$S$5000,0)),"")</f>
        <v/>
      </c>
      <c r="I44" s="139" t="str">
        <f>IFERROR(INDEX(EQA.Controllab_Dados!I$2:I$5000,MATCH(ROW()-4,EQA.Controllab_Dados!$S$2:$S$5000,0)),"")</f>
        <v/>
      </c>
      <c r="J44" s="137" t="str">
        <f>IFERROR(INDEX(EQA.Controllab_Dados!J$2:J$5000,MATCH(ROW()-4,EQA.Controllab_Dados!$S$2:$S$5000,0)),"")</f>
        <v/>
      </c>
      <c r="K44" s="137" t="str">
        <f>IFERROR(INDEX(EQA.Controllab_Dados!K$2:K$5000,MATCH(ROW()-4,EQA.Controllab_Dados!$S$2:$S$5000,0)),"")</f>
        <v/>
      </c>
      <c r="L44" t="str">
        <f>IFERROR(INDEX(EQA.Controllab_Dados!L$2:L$5000,MATCH(ROW()-4,EQA.Controllab_Dados!$S$2:$S$5000,0)),"")</f>
        <v/>
      </c>
      <c r="M44" s="126" t="str">
        <f>IFERROR(INDEX(EQA.Controllab_Dados!M$2:M$5000,MATCH(ROW()-4,EQA.Controllab_Dados!$S$2:$S$5000,0)),"")</f>
        <v/>
      </c>
      <c r="N44" t="str">
        <f>IFERROR(INDEX(EQA.Controllab_Dados!N$2:N$5000,MATCH(ROW()-4,EQA.Controllab_Dados!$S$2:$S$5000,0)),"")</f>
        <v/>
      </c>
      <c r="O44" s="137" t="str">
        <f>IFERROR(INDEX(EQA.Controllab_Dados!O$2:O$5000,MATCH(ROW()-4,EQA.Controllab_Dados!$S$2:$S$5000,0)),"")</f>
        <v/>
      </c>
      <c r="P44" s="137" t="str">
        <f>IFERROR(INDEX(EQA.Controllab_Dados!P$2:P$5000,MATCH(ROW()-4,EQA.Controllab_Dados!$S$2:$S$5000,0)),"")</f>
        <v/>
      </c>
      <c r="Q44" s="126" t="str">
        <f>IFERROR(INDEX(EQA.Controllab_Dados!Q$2:Q$5000,MATCH(ROW()-4,EQA.Controllab_Dados!$S$2:$S$5000,0)),"")</f>
        <v/>
      </c>
      <c r="R44" t="str">
        <f>IFERROR(INDEX(EQA.Controllab_Dados!R$2:R$5000,MATCH(ROW()-4,EQA.Controllab_Dados!$S$2:$S$5000,0)),"")</f>
        <v/>
      </c>
    </row>
    <row r="45" spans="1:18" x14ac:dyDescent="0.3">
      <c r="A45" t="str">
        <f>IFERROR(INDEX(EQA.Controllab_Dados!A$2:A$5000,MATCH(ROW()-4,EQA.Controllab_Dados!$S$2:$S$5000,0)),"")</f>
        <v/>
      </c>
      <c r="B45" t="str">
        <f>IFERROR(INDEX(EQA.Controllab_Dados!B$2:B$5000,MATCH(ROW()-4,EQA.Controllab_Dados!$S$2:$S$5000,0)),"")</f>
        <v/>
      </c>
      <c r="C45" s="126" t="str">
        <f>IFERROR(INDEX(EQA.Controllab_Dados!C$2:C$5000,MATCH(ROW()-4,EQA.Controllab_Dados!$S$2:$S$5000,0)),"")</f>
        <v/>
      </c>
      <c r="D45" t="str">
        <f>IFERROR(INDEX(EQA.Controllab_Dados!D$2:D$5000,MATCH(ROW()-4,EQA.Controllab_Dados!$S$2:$S$5000,0)),"")</f>
        <v/>
      </c>
      <c r="E45" t="str">
        <f>IFERROR(INDEX(EQA.Controllab_Dados!E$2:E$5000,MATCH(ROW()-4,EQA.Controllab_Dados!$S$2:$S$5000,0)),"")</f>
        <v/>
      </c>
      <c r="F45" s="137" t="str">
        <f>IFERROR(INDEX(EQA.Controllab_Dados!F$2:F$5000,MATCH(ROW()-4,EQA.Controllab_Dados!$S$2:$S$5000,0)),"")</f>
        <v/>
      </c>
      <c r="G45" s="138" t="str">
        <f>IFERROR(INDEX(EQA.Controllab_Dados!G$2:G$5000,MATCH(ROW()-4,EQA.Controllab_Dados!$S$2:$S$5000,0)),"")</f>
        <v/>
      </c>
      <c r="H45" s="138" t="str">
        <f>IFERROR(INDEX(EQA.Controllab_Dados!H$2:H$5000,MATCH(ROW()-4,EQA.Controllab_Dados!$S$2:$S$5000,0)),"")</f>
        <v/>
      </c>
      <c r="I45" s="139" t="str">
        <f>IFERROR(INDEX(EQA.Controllab_Dados!I$2:I$5000,MATCH(ROW()-4,EQA.Controllab_Dados!$S$2:$S$5000,0)),"")</f>
        <v/>
      </c>
      <c r="J45" s="137" t="str">
        <f>IFERROR(INDEX(EQA.Controllab_Dados!J$2:J$5000,MATCH(ROW()-4,EQA.Controllab_Dados!$S$2:$S$5000,0)),"")</f>
        <v/>
      </c>
      <c r="K45" s="137" t="str">
        <f>IFERROR(INDEX(EQA.Controllab_Dados!K$2:K$5000,MATCH(ROW()-4,EQA.Controllab_Dados!$S$2:$S$5000,0)),"")</f>
        <v/>
      </c>
      <c r="L45" t="str">
        <f>IFERROR(INDEX(EQA.Controllab_Dados!L$2:L$5000,MATCH(ROW()-4,EQA.Controllab_Dados!$S$2:$S$5000,0)),"")</f>
        <v/>
      </c>
      <c r="M45" s="126" t="str">
        <f>IFERROR(INDEX(EQA.Controllab_Dados!M$2:M$5000,MATCH(ROW()-4,EQA.Controllab_Dados!$S$2:$S$5000,0)),"")</f>
        <v/>
      </c>
      <c r="N45" t="str">
        <f>IFERROR(INDEX(EQA.Controllab_Dados!N$2:N$5000,MATCH(ROW()-4,EQA.Controllab_Dados!$S$2:$S$5000,0)),"")</f>
        <v/>
      </c>
      <c r="O45" s="137" t="str">
        <f>IFERROR(INDEX(EQA.Controllab_Dados!O$2:O$5000,MATCH(ROW()-4,EQA.Controllab_Dados!$S$2:$S$5000,0)),"")</f>
        <v/>
      </c>
      <c r="P45" s="137" t="str">
        <f>IFERROR(INDEX(EQA.Controllab_Dados!P$2:P$5000,MATCH(ROW()-4,EQA.Controllab_Dados!$S$2:$S$5000,0)),"")</f>
        <v/>
      </c>
      <c r="Q45" s="126" t="str">
        <f>IFERROR(INDEX(EQA.Controllab_Dados!Q$2:Q$5000,MATCH(ROW()-4,EQA.Controllab_Dados!$S$2:$S$5000,0)),"")</f>
        <v/>
      </c>
      <c r="R45" t="str">
        <f>IFERROR(INDEX(EQA.Controllab_Dados!R$2:R$5000,MATCH(ROW()-4,EQA.Controllab_Dados!$S$2:$S$5000,0)),"")</f>
        <v/>
      </c>
    </row>
    <row r="46" spans="1:18" x14ac:dyDescent="0.3">
      <c r="A46" t="str">
        <f>IFERROR(INDEX(EQA.Controllab_Dados!A$2:A$5000,MATCH(ROW()-4,EQA.Controllab_Dados!$S$2:$S$5000,0)),"")</f>
        <v/>
      </c>
      <c r="B46" t="str">
        <f>IFERROR(INDEX(EQA.Controllab_Dados!B$2:B$5000,MATCH(ROW()-4,EQA.Controllab_Dados!$S$2:$S$5000,0)),"")</f>
        <v/>
      </c>
      <c r="C46" s="126" t="str">
        <f>IFERROR(INDEX(EQA.Controllab_Dados!C$2:C$5000,MATCH(ROW()-4,EQA.Controllab_Dados!$S$2:$S$5000,0)),"")</f>
        <v/>
      </c>
      <c r="D46" t="str">
        <f>IFERROR(INDEX(EQA.Controllab_Dados!D$2:D$5000,MATCH(ROW()-4,EQA.Controllab_Dados!$S$2:$S$5000,0)),"")</f>
        <v/>
      </c>
      <c r="E46" t="str">
        <f>IFERROR(INDEX(EQA.Controllab_Dados!E$2:E$5000,MATCH(ROW()-4,EQA.Controllab_Dados!$S$2:$S$5000,0)),"")</f>
        <v/>
      </c>
      <c r="F46" s="137" t="str">
        <f>IFERROR(INDEX(EQA.Controllab_Dados!F$2:F$5000,MATCH(ROW()-4,EQA.Controllab_Dados!$S$2:$S$5000,0)),"")</f>
        <v/>
      </c>
      <c r="G46" s="138" t="str">
        <f>IFERROR(INDEX(EQA.Controllab_Dados!G$2:G$5000,MATCH(ROW()-4,EQA.Controllab_Dados!$S$2:$S$5000,0)),"")</f>
        <v/>
      </c>
      <c r="H46" s="138" t="str">
        <f>IFERROR(INDEX(EQA.Controllab_Dados!H$2:H$5000,MATCH(ROW()-4,EQA.Controllab_Dados!$S$2:$S$5000,0)),"")</f>
        <v/>
      </c>
      <c r="I46" s="139" t="str">
        <f>IFERROR(INDEX(EQA.Controllab_Dados!I$2:I$5000,MATCH(ROW()-4,EQA.Controllab_Dados!$S$2:$S$5000,0)),"")</f>
        <v/>
      </c>
      <c r="J46" s="137" t="str">
        <f>IFERROR(INDEX(EQA.Controllab_Dados!J$2:J$5000,MATCH(ROW()-4,EQA.Controllab_Dados!$S$2:$S$5000,0)),"")</f>
        <v/>
      </c>
      <c r="K46" s="137" t="str">
        <f>IFERROR(INDEX(EQA.Controllab_Dados!K$2:K$5000,MATCH(ROW()-4,EQA.Controllab_Dados!$S$2:$S$5000,0)),"")</f>
        <v/>
      </c>
      <c r="L46" t="str">
        <f>IFERROR(INDEX(EQA.Controllab_Dados!L$2:L$5000,MATCH(ROW()-4,EQA.Controllab_Dados!$S$2:$S$5000,0)),"")</f>
        <v/>
      </c>
      <c r="M46" s="126" t="str">
        <f>IFERROR(INDEX(EQA.Controllab_Dados!M$2:M$5000,MATCH(ROW()-4,EQA.Controllab_Dados!$S$2:$S$5000,0)),"")</f>
        <v/>
      </c>
      <c r="N46" t="str">
        <f>IFERROR(INDEX(EQA.Controllab_Dados!N$2:N$5000,MATCH(ROW()-4,EQA.Controllab_Dados!$S$2:$S$5000,0)),"")</f>
        <v/>
      </c>
      <c r="O46" s="137" t="str">
        <f>IFERROR(INDEX(EQA.Controllab_Dados!O$2:O$5000,MATCH(ROW()-4,EQA.Controllab_Dados!$S$2:$S$5000,0)),"")</f>
        <v/>
      </c>
      <c r="P46" s="137" t="str">
        <f>IFERROR(INDEX(EQA.Controllab_Dados!P$2:P$5000,MATCH(ROW()-4,EQA.Controllab_Dados!$S$2:$S$5000,0)),"")</f>
        <v/>
      </c>
      <c r="Q46" s="126" t="str">
        <f>IFERROR(INDEX(EQA.Controllab_Dados!Q$2:Q$5000,MATCH(ROW()-4,EQA.Controllab_Dados!$S$2:$S$5000,0)),"")</f>
        <v/>
      </c>
      <c r="R46" t="str">
        <f>IFERROR(INDEX(EQA.Controllab_Dados!R$2:R$5000,MATCH(ROW()-4,EQA.Controllab_Dados!$S$2:$S$5000,0)),"")</f>
        <v/>
      </c>
    </row>
    <row r="47" spans="1:18" x14ac:dyDescent="0.3">
      <c r="A47" t="str">
        <f>IFERROR(INDEX(EQA.Controllab_Dados!A$2:A$5000,MATCH(ROW()-4,EQA.Controllab_Dados!$S$2:$S$5000,0)),"")</f>
        <v/>
      </c>
      <c r="B47" t="str">
        <f>IFERROR(INDEX(EQA.Controllab_Dados!B$2:B$5000,MATCH(ROW()-4,EQA.Controllab_Dados!$S$2:$S$5000,0)),"")</f>
        <v/>
      </c>
      <c r="C47" s="126" t="str">
        <f>IFERROR(INDEX(EQA.Controllab_Dados!C$2:C$5000,MATCH(ROW()-4,EQA.Controllab_Dados!$S$2:$S$5000,0)),"")</f>
        <v/>
      </c>
      <c r="D47" t="str">
        <f>IFERROR(INDEX(EQA.Controllab_Dados!D$2:D$5000,MATCH(ROW()-4,EQA.Controllab_Dados!$S$2:$S$5000,0)),"")</f>
        <v/>
      </c>
      <c r="E47" t="str">
        <f>IFERROR(INDEX(EQA.Controllab_Dados!E$2:E$5000,MATCH(ROW()-4,EQA.Controllab_Dados!$S$2:$S$5000,0)),"")</f>
        <v/>
      </c>
      <c r="F47" s="137" t="str">
        <f>IFERROR(INDEX(EQA.Controllab_Dados!F$2:F$5000,MATCH(ROW()-4,EQA.Controllab_Dados!$S$2:$S$5000,0)),"")</f>
        <v/>
      </c>
      <c r="G47" s="138" t="str">
        <f>IFERROR(INDEX(EQA.Controllab_Dados!G$2:G$5000,MATCH(ROW()-4,EQA.Controllab_Dados!$S$2:$S$5000,0)),"")</f>
        <v/>
      </c>
      <c r="H47" s="138" t="str">
        <f>IFERROR(INDEX(EQA.Controllab_Dados!H$2:H$5000,MATCH(ROW()-4,EQA.Controllab_Dados!$S$2:$S$5000,0)),"")</f>
        <v/>
      </c>
      <c r="I47" s="139" t="str">
        <f>IFERROR(INDEX(EQA.Controllab_Dados!I$2:I$5000,MATCH(ROW()-4,EQA.Controllab_Dados!$S$2:$S$5000,0)),"")</f>
        <v/>
      </c>
      <c r="J47" s="137" t="str">
        <f>IFERROR(INDEX(EQA.Controllab_Dados!J$2:J$5000,MATCH(ROW()-4,EQA.Controllab_Dados!$S$2:$S$5000,0)),"")</f>
        <v/>
      </c>
      <c r="K47" s="137" t="str">
        <f>IFERROR(INDEX(EQA.Controllab_Dados!K$2:K$5000,MATCH(ROW()-4,EQA.Controllab_Dados!$S$2:$S$5000,0)),"")</f>
        <v/>
      </c>
      <c r="L47" t="str">
        <f>IFERROR(INDEX(EQA.Controllab_Dados!L$2:L$5000,MATCH(ROW()-4,EQA.Controllab_Dados!$S$2:$S$5000,0)),"")</f>
        <v/>
      </c>
      <c r="M47" s="126" t="str">
        <f>IFERROR(INDEX(EQA.Controllab_Dados!M$2:M$5000,MATCH(ROW()-4,EQA.Controllab_Dados!$S$2:$S$5000,0)),"")</f>
        <v/>
      </c>
      <c r="N47" t="str">
        <f>IFERROR(INDEX(EQA.Controllab_Dados!N$2:N$5000,MATCH(ROW()-4,EQA.Controllab_Dados!$S$2:$S$5000,0)),"")</f>
        <v/>
      </c>
      <c r="O47" s="137" t="str">
        <f>IFERROR(INDEX(EQA.Controllab_Dados!O$2:O$5000,MATCH(ROW()-4,EQA.Controllab_Dados!$S$2:$S$5000,0)),"")</f>
        <v/>
      </c>
      <c r="P47" s="137" t="str">
        <f>IFERROR(INDEX(EQA.Controllab_Dados!P$2:P$5000,MATCH(ROW()-4,EQA.Controllab_Dados!$S$2:$S$5000,0)),"")</f>
        <v/>
      </c>
      <c r="Q47" s="126" t="str">
        <f>IFERROR(INDEX(EQA.Controllab_Dados!Q$2:Q$5000,MATCH(ROW()-4,EQA.Controllab_Dados!$S$2:$S$5000,0)),"")</f>
        <v/>
      </c>
      <c r="R47" t="str">
        <f>IFERROR(INDEX(EQA.Controllab_Dados!R$2:R$5000,MATCH(ROW()-4,EQA.Controllab_Dados!$S$2:$S$5000,0)),"")</f>
        <v/>
      </c>
    </row>
    <row r="48" spans="1:18" x14ac:dyDescent="0.3">
      <c r="A48" t="str">
        <f>IFERROR(INDEX(EQA.Controllab_Dados!A$2:A$5000,MATCH(ROW()-4,EQA.Controllab_Dados!$S$2:$S$5000,0)),"")</f>
        <v/>
      </c>
      <c r="B48" t="str">
        <f>IFERROR(INDEX(EQA.Controllab_Dados!B$2:B$5000,MATCH(ROW()-4,EQA.Controllab_Dados!$S$2:$S$5000,0)),"")</f>
        <v/>
      </c>
      <c r="C48" s="126" t="str">
        <f>IFERROR(INDEX(EQA.Controllab_Dados!C$2:C$5000,MATCH(ROW()-4,EQA.Controllab_Dados!$S$2:$S$5000,0)),"")</f>
        <v/>
      </c>
      <c r="D48" t="str">
        <f>IFERROR(INDEX(EQA.Controllab_Dados!D$2:D$5000,MATCH(ROW()-4,EQA.Controllab_Dados!$S$2:$S$5000,0)),"")</f>
        <v/>
      </c>
      <c r="E48" t="str">
        <f>IFERROR(INDEX(EQA.Controllab_Dados!E$2:E$5000,MATCH(ROW()-4,EQA.Controllab_Dados!$S$2:$S$5000,0)),"")</f>
        <v/>
      </c>
      <c r="F48" s="137" t="str">
        <f>IFERROR(INDEX(EQA.Controllab_Dados!F$2:F$5000,MATCH(ROW()-4,EQA.Controllab_Dados!$S$2:$S$5000,0)),"")</f>
        <v/>
      </c>
      <c r="G48" s="138" t="str">
        <f>IFERROR(INDEX(EQA.Controllab_Dados!G$2:G$5000,MATCH(ROW()-4,EQA.Controllab_Dados!$S$2:$S$5000,0)),"")</f>
        <v/>
      </c>
      <c r="H48" s="138" t="str">
        <f>IFERROR(INDEX(EQA.Controllab_Dados!H$2:H$5000,MATCH(ROW()-4,EQA.Controllab_Dados!$S$2:$S$5000,0)),"")</f>
        <v/>
      </c>
      <c r="I48" s="139" t="str">
        <f>IFERROR(INDEX(EQA.Controllab_Dados!I$2:I$5000,MATCH(ROW()-4,EQA.Controllab_Dados!$S$2:$S$5000,0)),"")</f>
        <v/>
      </c>
      <c r="J48" s="137" t="str">
        <f>IFERROR(INDEX(EQA.Controllab_Dados!J$2:J$5000,MATCH(ROW()-4,EQA.Controllab_Dados!$S$2:$S$5000,0)),"")</f>
        <v/>
      </c>
      <c r="K48" s="137" t="str">
        <f>IFERROR(INDEX(EQA.Controllab_Dados!K$2:K$5000,MATCH(ROW()-4,EQA.Controllab_Dados!$S$2:$S$5000,0)),"")</f>
        <v/>
      </c>
      <c r="L48" t="str">
        <f>IFERROR(INDEX(EQA.Controllab_Dados!L$2:L$5000,MATCH(ROW()-4,EQA.Controllab_Dados!$S$2:$S$5000,0)),"")</f>
        <v/>
      </c>
      <c r="M48" s="126" t="str">
        <f>IFERROR(INDEX(EQA.Controllab_Dados!M$2:M$5000,MATCH(ROW()-4,EQA.Controllab_Dados!$S$2:$S$5000,0)),"")</f>
        <v/>
      </c>
      <c r="N48" t="str">
        <f>IFERROR(INDEX(EQA.Controllab_Dados!N$2:N$5000,MATCH(ROW()-4,EQA.Controllab_Dados!$S$2:$S$5000,0)),"")</f>
        <v/>
      </c>
      <c r="O48" s="137" t="str">
        <f>IFERROR(INDEX(EQA.Controllab_Dados!O$2:O$5000,MATCH(ROW()-4,EQA.Controllab_Dados!$S$2:$S$5000,0)),"")</f>
        <v/>
      </c>
      <c r="P48" s="137" t="str">
        <f>IFERROR(INDEX(EQA.Controllab_Dados!P$2:P$5000,MATCH(ROW()-4,EQA.Controllab_Dados!$S$2:$S$5000,0)),"")</f>
        <v/>
      </c>
      <c r="Q48" s="126" t="str">
        <f>IFERROR(INDEX(EQA.Controllab_Dados!Q$2:Q$5000,MATCH(ROW()-4,EQA.Controllab_Dados!$S$2:$S$5000,0)),"")</f>
        <v/>
      </c>
      <c r="R48" t="str">
        <f>IFERROR(INDEX(EQA.Controllab_Dados!R$2:R$5000,MATCH(ROW()-4,EQA.Controllab_Dados!$S$2:$S$5000,0)),"")</f>
        <v/>
      </c>
    </row>
    <row r="49" spans="1:18" x14ac:dyDescent="0.3">
      <c r="A49" t="str">
        <f>IFERROR(INDEX(EQA.Controllab_Dados!A$2:A$5000,MATCH(ROW()-4,EQA.Controllab_Dados!$S$2:$S$5000,0)),"")</f>
        <v/>
      </c>
      <c r="B49" t="str">
        <f>IFERROR(INDEX(EQA.Controllab_Dados!B$2:B$5000,MATCH(ROW()-4,EQA.Controllab_Dados!$S$2:$S$5000,0)),"")</f>
        <v/>
      </c>
      <c r="C49" s="126" t="str">
        <f>IFERROR(INDEX(EQA.Controllab_Dados!C$2:C$5000,MATCH(ROW()-4,EQA.Controllab_Dados!$S$2:$S$5000,0)),"")</f>
        <v/>
      </c>
      <c r="D49" t="str">
        <f>IFERROR(INDEX(EQA.Controllab_Dados!D$2:D$5000,MATCH(ROW()-4,EQA.Controllab_Dados!$S$2:$S$5000,0)),"")</f>
        <v/>
      </c>
      <c r="E49" t="str">
        <f>IFERROR(INDEX(EQA.Controllab_Dados!E$2:E$5000,MATCH(ROW()-4,EQA.Controllab_Dados!$S$2:$S$5000,0)),"")</f>
        <v/>
      </c>
      <c r="F49" s="137" t="str">
        <f>IFERROR(INDEX(EQA.Controllab_Dados!F$2:F$5000,MATCH(ROW()-4,EQA.Controllab_Dados!$S$2:$S$5000,0)),"")</f>
        <v/>
      </c>
      <c r="G49" s="138" t="str">
        <f>IFERROR(INDEX(EQA.Controllab_Dados!G$2:G$5000,MATCH(ROW()-4,EQA.Controllab_Dados!$S$2:$S$5000,0)),"")</f>
        <v/>
      </c>
      <c r="H49" s="138" t="str">
        <f>IFERROR(INDEX(EQA.Controllab_Dados!H$2:H$5000,MATCH(ROW()-4,EQA.Controllab_Dados!$S$2:$S$5000,0)),"")</f>
        <v/>
      </c>
      <c r="I49" s="139" t="str">
        <f>IFERROR(INDEX(EQA.Controllab_Dados!I$2:I$5000,MATCH(ROW()-4,EQA.Controllab_Dados!$S$2:$S$5000,0)),"")</f>
        <v/>
      </c>
      <c r="J49" s="137" t="str">
        <f>IFERROR(INDEX(EQA.Controllab_Dados!J$2:J$5000,MATCH(ROW()-4,EQA.Controllab_Dados!$S$2:$S$5000,0)),"")</f>
        <v/>
      </c>
      <c r="K49" s="137" t="str">
        <f>IFERROR(INDEX(EQA.Controllab_Dados!K$2:K$5000,MATCH(ROW()-4,EQA.Controllab_Dados!$S$2:$S$5000,0)),"")</f>
        <v/>
      </c>
      <c r="L49" t="str">
        <f>IFERROR(INDEX(EQA.Controllab_Dados!L$2:L$5000,MATCH(ROW()-4,EQA.Controllab_Dados!$S$2:$S$5000,0)),"")</f>
        <v/>
      </c>
      <c r="M49" s="126" t="str">
        <f>IFERROR(INDEX(EQA.Controllab_Dados!M$2:M$5000,MATCH(ROW()-4,EQA.Controllab_Dados!$S$2:$S$5000,0)),"")</f>
        <v/>
      </c>
      <c r="N49" t="str">
        <f>IFERROR(INDEX(EQA.Controllab_Dados!N$2:N$5000,MATCH(ROW()-4,EQA.Controllab_Dados!$S$2:$S$5000,0)),"")</f>
        <v/>
      </c>
      <c r="O49" s="137" t="str">
        <f>IFERROR(INDEX(EQA.Controllab_Dados!O$2:O$5000,MATCH(ROW()-4,EQA.Controllab_Dados!$S$2:$S$5000,0)),"")</f>
        <v/>
      </c>
      <c r="P49" s="137" t="str">
        <f>IFERROR(INDEX(EQA.Controllab_Dados!P$2:P$5000,MATCH(ROW()-4,EQA.Controllab_Dados!$S$2:$S$5000,0)),"")</f>
        <v/>
      </c>
      <c r="Q49" s="126" t="str">
        <f>IFERROR(INDEX(EQA.Controllab_Dados!Q$2:Q$5000,MATCH(ROW()-4,EQA.Controllab_Dados!$S$2:$S$5000,0)),"")</f>
        <v/>
      </c>
      <c r="R49" t="str">
        <f>IFERROR(INDEX(EQA.Controllab_Dados!R$2:R$5000,MATCH(ROW()-4,EQA.Controllab_Dados!$S$2:$S$5000,0)),"")</f>
        <v/>
      </c>
    </row>
    <row r="50" spans="1:18" x14ac:dyDescent="0.3">
      <c r="A50" t="str">
        <f>IFERROR(INDEX(EQA.Controllab_Dados!A$2:A$5000,MATCH(ROW()-4,EQA.Controllab_Dados!$S$2:$S$5000,0)),"")</f>
        <v/>
      </c>
      <c r="B50" t="str">
        <f>IFERROR(INDEX(EQA.Controllab_Dados!B$2:B$5000,MATCH(ROW()-4,EQA.Controllab_Dados!$S$2:$S$5000,0)),"")</f>
        <v/>
      </c>
      <c r="C50" s="126" t="str">
        <f>IFERROR(INDEX(EQA.Controllab_Dados!C$2:C$5000,MATCH(ROW()-4,EQA.Controllab_Dados!$S$2:$S$5000,0)),"")</f>
        <v/>
      </c>
      <c r="D50" t="str">
        <f>IFERROR(INDEX(EQA.Controllab_Dados!D$2:D$5000,MATCH(ROW()-4,EQA.Controllab_Dados!$S$2:$S$5000,0)),"")</f>
        <v/>
      </c>
      <c r="E50" t="str">
        <f>IFERROR(INDEX(EQA.Controllab_Dados!E$2:E$5000,MATCH(ROW()-4,EQA.Controllab_Dados!$S$2:$S$5000,0)),"")</f>
        <v/>
      </c>
      <c r="F50" s="137" t="str">
        <f>IFERROR(INDEX(EQA.Controllab_Dados!F$2:F$5000,MATCH(ROW()-4,EQA.Controllab_Dados!$S$2:$S$5000,0)),"")</f>
        <v/>
      </c>
      <c r="G50" s="138" t="str">
        <f>IFERROR(INDEX(EQA.Controllab_Dados!G$2:G$5000,MATCH(ROW()-4,EQA.Controllab_Dados!$S$2:$S$5000,0)),"")</f>
        <v/>
      </c>
      <c r="H50" s="138" t="str">
        <f>IFERROR(INDEX(EQA.Controllab_Dados!H$2:H$5000,MATCH(ROW()-4,EQA.Controllab_Dados!$S$2:$S$5000,0)),"")</f>
        <v/>
      </c>
      <c r="I50" s="139" t="str">
        <f>IFERROR(INDEX(EQA.Controllab_Dados!I$2:I$5000,MATCH(ROW()-4,EQA.Controllab_Dados!$S$2:$S$5000,0)),"")</f>
        <v/>
      </c>
      <c r="J50" s="137" t="str">
        <f>IFERROR(INDEX(EQA.Controllab_Dados!J$2:J$5000,MATCH(ROW()-4,EQA.Controllab_Dados!$S$2:$S$5000,0)),"")</f>
        <v/>
      </c>
      <c r="K50" s="137" t="str">
        <f>IFERROR(INDEX(EQA.Controllab_Dados!K$2:K$5000,MATCH(ROW()-4,EQA.Controllab_Dados!$S$2:$S$5000,0)),"")</f>
        <v/>
      </c>
      <c r="L50" t="str">
        <f>IFERROR(INDEX(EQA.Controllab_Dados!L$2:L$5000,MATCH(ROW()-4,EQA.Controllab_Dados!$S$2:$S$5000,0)),"")</f>
        <v/>
      </c>
      <c r="M50" s="126" t="str">
        <f>IFERROR(INDEX(EQA.Controllab_Dados!M$2:M$5000,MATCH(ROW()-4,EQA.Controllab_Dados!$S$2:$S$5000,0)),"")</f>
        <v/>
      </c>
      <c r="N50" t="str">
        <f>IFERROR(INDEX(EQA.Controllab_Dados!N$2:N$5000,MATCH(ROW()-4,EQA.Controllab_Dados!$S$2:$S$5000,0)),"")</f>
        <v/>
      </c>
      <c r="O50" s="137" t="str">
        <f>IFERROR(INDEX(EQA.Controllab_Dados!O$2:O$5000,MATCH(ROW()-4,EQA.Controllab_Dados!$S$2:$S$5000,0)),"")</f>
        <v/>
      </c>
      <c r="P50" s="137" t="str">
        <f>IFERROR(INDEX(EQA.Controllab_Dados!P$2:P$5000,MATCH(ROW()-4,EQA.Controllab_Dados!$S$2:$S$5000,0)),"")</f>
        <v/>
      </c>
      <c r="Q50" s="126" t="str">
        <f>IFERROR(INDEX(EQA.Controllab_Dados!Q$2:Q$5000,MATCH(ROW()-4,EQA.Controllab_Dados!$S$2:$S$5000,0)),"")</f>
        <v/>
      </c>
      <c r="R50" t="str">
        <f>IFERROR(INDEX(EQA.Controllab_Dados!R$2:R$5000,MATCH(ROW()-4,EQA.Controllab_Dados!$S$2:$S$5000,0)),"")</f>
        <v/>
      </c>
    </row>
    <row r="51" spans="1:18" x14ac:dyDescent="0.3">
      <c r="A51" t="str">
        <f>IFERROR(INDEX(EQA.Controllab_Dados!A$2:A$5000,MATCH(ROW()-4,EQA.Controllab_Dados!$S$2:$S$5000,0)),"")</f>
        <v/>
      </c>
      <c r="B51" t="str">
        <f>IFERROR(INDEX(EQA.Controllab_Dados!B$2:B$5000,MATCH(ROW()-4,EQA.Controllab_Dados!$S$2:$S$5000,0)),"")</f>
        <v/>
      </c>
      <c r="C51" s="126" t="str">
        <f>IFERROR(INDEX(EQA.Controllab_Dados!C$2:C$5000,MATCH(ROW()-4,EQA.Controllab_Dados!$S$2:$S$5000,0)),"")</f>
        <v/>
      </c>
      <c r="D51" t="str">
        <f>IFERROR(INDEX(EQA.Controllab_Dados!D$2:D$5000,MATCH(ROW()-4,EQA.Controllab_Dados!$S$2:$S$5000,0)),"")</f>
        <v/>
      </c>
      <c r="E51" t="str">
        <f>IFERROR(INDEX(EQA.Controllab_Dados!E$2:E$5000,MATCH(ROW()-4,EQA.Controllab_Dados!$S$2:$S$5000,0)),"")</f>
        <v/>
      </c>
      <c r="F51" s="137" t="str">
        <f>IFERROR(INDEX(EQA.Controllab_Dados!F$2:F$5000,MATCH(ROW()-4,EQA.Controllab_Dados!$S$2:$S$5000,0)),"")</f>
        <v/>
      </c>
      <c r="G51" s="138" t="str">
        <f>IFERROR(INDEX(EQA.Controllab_Dados!G$2:G$5000,MATCH(ROW()-4,EQA.Controllab_Dados!$S$2:$S$5000,0)),"")</f>
        <v/>
      </c>
      <c r="H51" s="138" t="str">
        <f>IFERROR(INDEX(EQA.Controllab_Dados!H$2:H$5000,MATCH(ROW()-4,EQA.Controllab_Dados!$S$2:$S$5000,0)),"")</f>
        <v/>
      </c>
      <c r="I51" s="139" t="str">
        <f>IFERROR(INDEX(EQA.Controllab_Dados!I$2:I$5000,MATCH(ROW()-4,EQA.Controllab_Dados!$S$2:$S$5000,0)),"")</f>
        <v/>
      </c>
      <c r="J51" s="137" t="str">
        <f>IFERROR(INDEX(EQA.Controllab_Dados!J$2:J$5000,MATCH(ROW()-4,EQA.Controllab_Dados!$S$2:$S$5000,0)),"")</f>
        <v/>
      </c>
      <c r="K51" s="137" t="str">
        <f>IFERROR(INDEX(EQA.Controllab_Dados!K$2:K$5000,MATCH(ROW()-4,EQA.Controllab_Dados!$S$2:$S$5000,0)),"")</f>
        <v/>
      </c>
      <c r="L51" t="str">
        <f>IFERROR(INDEX(EQA.Controllab_Dados!L$2:L$5000,MATCH(ROW()-4,EQA.Controllab_Dados!$S$2:$S$5000,0)),"")</f>
        <v/>
      </c>
      <c r="M51" s="126" t="str">
        <f>IFERROR(INDEX(EQA.Controllab_Dados!M$2:M$5000,MATCH(ROW()-4,EQA.Controllab_Dados!$S$2:$S$5000,0)),"")</f>
        <v/>
      </c>
      <c r="N51" t="str">
        <f>IFERROR(INDEX(EQA.Controllab_Dados!N$2:N$5000,MATCH(ROW()-4,EQA.Controllab_Dados!$S$2:$S$5000,0)),"")</f>
        <v/>
      </c>
      <c r="O51" s="137" t="str">
        <f>IFERROR(INDEX(EQA.Controllab_Dados!O$2:O$5000,MATCH(ROW()-4,EQA.Controllab_Dados!$S$2:$S$5000,0)),"")</f>
        <v/>
      </c>
      <c r="P51" s="137" t="str">
        <f>IFERROR(INDEX(EQA.Controllab_Dados!P$2:P$5000,MATCH(ROW()-4,EQA.Controllab_Dados!$S$2:$S$5000,0)),"")</f>
        <v/>
      </c>
      <c r="Q51" s="126" t="str">
        <f>IFERROR(INDEX(EQA.Controllab_Dados!Q$2:Q$5000,MATCH(ROW()-4,EQA.Controllab_Dados!$S$2:$S$5000,0)),"")</f>
        <v/>
      </c>
      <c r="R51" t="str">
        <f>IFERROR(INDEX(EQA.Controllab_Dados!R$2:R$5000,MATCH(ROW()-4,EQA.Controllab_Dados!$S$2:$S$5000,0)),"")</f>
        <v/>
      </c>
    </row>
    <row r="52" spans="1:18" x14ac:dyDescent="0.3">
      <c r="A52" t="str">
        <f>IFERROR(INDEX(EQA.Controllab_Dados!A$2:A$5000,MATCH(ROW()-4,EQA.Controllab_Dados!$S$2:$S$5000,0)),"")</f>
        <v/>
      </c>
      <c r="B52" t="str">
        <f>IFERROR(INDEX(EQA.Controllab_Dados!B$2:B$5000,MATCH(ROW()-4,EQA.Controllab_Dados!$S$2:$S$5000,0)),"")</f>
        <v/>
      </c>
      <c r="C52" s="126" t="str">
        <f>IFERROR(INDEX(EQA.Controllab_Dados!C$2:C$5000,MATCH(ROW()-4,EQA.Controllab_Dados!$S$2:$S$5000,0)),"")</f>
        <v/>
      </c>
      <c r="D52" t="str">
        <f>IFERROR(INDEX(EQA.Controllab_Dados!D$2:D$5000,MATCH(ROW()-4,EQA.Controllab_Dados!$S$2:$S$5000,0)),"")</f>
        <v/>
      </c>
      <c r="E52" t="str">
        <f>IFERROR(INDEX(EQA.Controllab_Dados!E$2:E$5000,MATCH(ROW()-4,EQA.Controllab_Dados!$S$2:$S$5000,0)),"")</f>
        <v/>
      </c>
      <c r="F52" s="137" t="str">
        <f>IFERROR(INDEX(EQA.Controllab_Dados!F$2:F$5000,MATCH(ROW()-4,EQA.Controllab_Dados!$S$2:$S$5000,0)),"")</f>
        <v/>
      </c>
      <c r="G52" s="138" t="str">
        <f>IFERROR(INDEX(EQA.Controllab_Dados!G$2:G$5000,MATCH(ROW()-4,EQA.Controllab_Dados!$S$2:$S$5000,0)),"")</f>
        <v/>
      </c>
      <c r="H52" s="138" t="str">
        <f>IFERROR(INDEX(EQA.Controllab_Dados!H$2:H$5000,MATCH(ROW()-4,EQA.Controllab_Dados!$S$2:$S$5000,0)),"")</f>
        <v/>
      </c>
      <c r="I52" s="139" t="str">
        <f>IFERROR(INDEX(EQA.Controllab_Dados!I$2:I$5000,MATCH(ROW()-4,EQA.Controllab_Dados!$S$2:$S$5000,0)),"")</f>
        <v/>
      </c>
      <c r="J52" s="137" t="str">
        <f>IFERROR(INDEX(EQA.Controllab_Dados!J$2:J$5000,MATCH(ROW()-4,EQA.Controllab_Dados!$S$2:$S$5000,0)),"")</f>
        <v/>
      </c>
      <c r="K52" s="137" t="str">
        <f>IFERROR(INDEX(EQA.Controllab_Dados!K$2:K$5000,MATCH(ROW()-4,EQA.Controllab_Dados!$S$2:$S$5000,0)),"")</f>
        <v/>
      </c>
      <c r="L52" t="str">
        <f>IFERROR(INDEX(EQA.Controllab_Dados!L$2:L$5000,MATCH(ROW()-4,EQA.Controllab_Dados!$S$2:$S$5000,0)),"")</f>
        <v/>
      </c>
      <c r="M52" s="126" t="str">
        <f>IFERROR(INDEX(EQA.Controllab_Dados!M$2:M$5000,MATCH(ROW()-4,EQA.Controllab_Dados!$S$2:$S$5000,0)),"")</f>
        <v/>
      </c>
      <c r="N52" t="str">
        <f>IFERROR(INDEX(EQA.Controllab_Dados!N$2:N$5000,MATCH(ROW()-4,EQA.Controllab_Dados!$S$2:$S$5000,0)),"")</f>
        <v/>
      </c>
      <c r="O52" s="137" t="str">
        <f>IFERROR(INDEX(EQA.Controllab_Dados!O$2:O$5000,MATCH(ROW()-4,EQA.Controllab_Dados!$S$2:$S$5000,0)),"")</f>
        <v/>
      </c>
      <c r="P52" s="137" t="str">
        <f>IFERROR(INDEX(EQA.Controllab_Dados!P$2:P$5000,MATCH(ROW()-4,EQA.Controllab_Dados!$S$2:$S$5000,0)),"")</f>
        <v/>
      </c>
      <c r="Q52" s="126" t="str">
        <f>IFERROR(INDEX(EQA.Controllab_Dados!Q$2:Q$5000,MATCH(ROW()-4,EQA.Controllab_Dados!$S$2:$S$5000,0)),"")</f>
        <v/>
      </c>
      <c r="R52" t="str">
        <f>IFERROR(INDEX(EQA.Controllab_Dados!R$2:R$5000,MATCH(ROW()-4,EQA.Controllab_Dados!$S$2:$S$5000,0)),"")</f>
        <v/>
      </c>
    </row>
    <row r="53" spans="1:18" x14ac:dyDescent="0.3">
      <c r="A53" t="str">
        <f>IFERROR(INDEX(EQA.Controllab_Dados!A$2:A$5000,MATCH(ROW()-4,EQA.Controllab_Dados!$S$2:$S$5000,0)),"")</f>
        <v/>
      </c>
      <c r="B53" t="str">
        <f>IFERROR(INDEX(EQA.Controllab_Dados!B$2:B$5000,MATCH(ROW()-4,EQA.Controllab_Dados!$S$2:$S$5000,0)),"")</f>
        <v/>
      </c>
      <c r="C53" s="126" t="str">
        <f>IFERROR(INDEX(EQA.Controllab_Dados!C$2:C$5000,MATCH(ROW()-4,EQA.Controllab_Dados!$S$2:$S$5000,0)),"")</f>
        <v/>
      </c>
      <c r="D53" t="str">
        <f>IFERROR(INDEX(EQA.Controllab_Dados!D$2:D$5000,MATCH(ROW()-4,EQA.Controllab_Dados!$S$2:$S$5000,0)),"")</f>
        <v/>
      </c>
      <c r="E53" t="str">
        <f>IFERROR(INDEX(EQA.Controllab_Dados!E$2:E$5000,MATCH(ROW()-4,EQA.Controllab_Dados!$S$2:$S$5000,0)),"")</f>
        <v/>
      </c>
      <c r="F53" s="137" t="str">
        <f>IFERROR(INDEX(EQA.Controllab_Dados!F$2:F$5000,MATCH(ROW()-4,EQA.Controllab_Dados!$S$2:$S$5000,0)),"")</f>
        <v/>
      </c>
      <c r="G53" s="138" t="str">
        <f>IFERROR(INDEX(EQA.Controllab_Dados!G$2:G$5000,MATCH(ROW()-4,EQA.Controllab_Dados!$S$2:$S$5000,0)),"")</f>
        <v/>
      </c>
      <c r="H53" s="138" t="str">
        <f>IFERROR(INDEX(EQA.Controllab_Dados!H$2:H$5000,MATCH(ROW()-4,EQA.Controllab_Dados!$S$2:$S$5000,0)),"")</f>
        <v/>
      </c>
      <c r="I53" s="139" t="str">
        <f>IFERROR(INDEX(EQA.Controllab_Dados!I$2:I$5000,MATCH(ROW()-4,EQA.Controllab_Dados!$S$2:$S$5000,0)),"")</f>
        <v/>
      </c>
      <c r="J53" s="137" t="str">
        <f>IFERROR(INDEX(EQA.Controllab_Dados!J$2:J$5000,MATCH(ROW()-4,EQA.Controllab_Dados!$S$2:$S$5000,0)),"")</f>
        <v/>
      </c>
      <c r="K53" s="137" t="str">
        <f>IFERROR(INDEX(EQA.Controllab_Dados!K$2:K$5000,MATCH(ROW()-4,EQA.Controllab_Dados!$S$2:$S$5000,0)),"")</f>
        <v/>
      </c>
      <c r="L53" t="str">
        <f>IFERROR(INDEX(EQA.Controllab_Dados!L$2:L$5000,MATCH(ROW()-4,EQA.Controllab_Dados!$S$2:$S$5000,0)),"")</f>
        <v/>
      </c>
      <c r="M53" s="126" t="str">
        <f>IFERROR(INDEX(EQA.Controllab_Dados!M$2:M$5000,MATCH(ROW()-4,EQA.Controllab_Dados!$S$2:$S$5000,0)),"")</f>
        <v/>
      </c>
      <c r="N53" t="str">
        <f>IFERROR(INDEX(EQA.Controllab_Dados!N$2:N$5000,MATCH(ROW()-4,EQA.Controllab_Dados!$S$2:$S$5000,0)),"")</f>
        <v/>
      </c>
      <c r="O53" s="137" t="str">
        <f>IFERROR(INDEX(EQA.Controllab_Dados!O$2:O$5000,MATCH(ROW()-4,EQA.Controllab_Dados!$S$2:$S$5000,0)),"")</f>
        <v/>
      </c>
      <c r="P53" s="137" t="str">
        <f>IFERROR(INDEX(EQA.Controllab_Dados!P$2:P$5000,MATCH(ROW()-4,EQA.Controllab_Dados!$S$2:$S$5000,0)),"")</f>
        <v/>
      </c>
      <c r="Q53" s="126" t="str">
        <f>IFERROR(INDEX(EQA.Controllab_Dados!Q$2:Q$5000,MATCH(ROW()-4,EQA.Controllab_Dados!$S$2:$S$5000,0)),"")</f>
        <v/>
      </c>
      <c r="R53" t="str">
        <f>IFERROR(INDEX(EQA.Controllab_Dados!R$2:R$5000,MATCH(ROW()-4,EQA.Controllab_Dados!$S$2:$S$5000,0)),"")</f>
        <v/>
      </c>
    </row>
    <row r="54" spans="1:18" x14ac:dyDescent="0.3">
      <c r="A54" t="str">
        <f>IFERROR(INDEX(EQA.Controllab_Dados!A$2:A$5000,MATCH(ROW()-4,EQA.Controllab_Dados!$S$2:$S$5000,0)),"")</f>
        <v/>
      </c>
      <c r="B54" t="str">
        <f>IFERROR(INDEX(EQA.Controllab_Dados!B$2:B$5000,MATCH(ROW()-4,EQA.Controllab_Dados!$S$2:$S$5000,0)),"")</f>
        <v/>
      </c>
      <c r="C54" s="126" t="str">
        <f>IFERROR(INDEX(EQA.Controllab_Dados!C$2:C$5000,MATCH(ROW()-4,EQA.Controllab_Dados!$S$2:$S$5000,0)),"")</f>
        <v/>
      </c>
      <c r="D54" t="str">
        <f>IFERROR(INDEX(EQA.Controllab_Dados!D$2:D$5000,MATCH(ROW()-4,EQA.Controllab_Dados!$S$2:$S$5000,0)),"")</f>
        <v/>
      </c>
      <c r="E54" t="str">
        <f>IFERROR(INDEX(EQA.Controllab_Dados!E$2:E$5000,MATCH(ROW()-4,EQA.Controllab_Dados!$S$2:$S$5000,0)),"")</f>
        <v/>
      </c>
      <c r="F54" s="137" t="str">
        <f>IFERROR(INDEX(EQA.Controllab_Dados!F$2:F$5000,MATCH(ROW()-4,EQA.Controllab_Dados!$S$2:$S$5000,0)),"")</f>
        <v/>
      </c>
      <c r="G54" s="138" t="str">
        <f>IFERROR(INDEX(EQA.Controllab_Dados!G$2:G$5000,MATCH(ROW()-4,EQA.Controllab_Dados!$S$2:$S$5000,0)),"")</f>
        <v/>
      </c>
      <c r="H54" s="138" t="str">
        <f>IFERROR(INDEX(EQA.Controllab_Dados!H$2:H$5000,MATCH(ROW()-4,EQA.Controllab_Dados!$S$2:$S$5000,0)),"")</f>
        <v/>
      </c>
      <c r="I54" s="139" t="str">
        <f>IFERROR(INDEX(EQA.Controllab_Dados!I$2:I$5000,MATCH(ROW()-4,EQA.Controllab_Dados!$S$2:$S$5000,0)),"")</f>
        <v/>
      </c>
      <c r="J54" s="137" t="str">
        <f>IFERROR(INDEX(EQA.Controllab_Dados!J$2:J$5000,MATCH(ROW()-4,EQA.Controllab_Dados!$S$2:$S$5000,0)),"")</f>
        <v/>
      </c>
      <c r="K54" s="137" t="str">
        <f>IFERROR(INDEX(EQA.Controllab_Dados!K$2:K$5000,MATCH(ROW()-4,EQA.Controllab_Dados!$S$2:$S$5000,0)),"")</f>
        <v/>
      </c>
      <c r="L54" t="str">
        <f>IFERROR(INDEX(EQA.Controllab_Dados!L$2:L$5000,MATCH(ROW()-4,EQA.Controllab_Dados!$S$2:$S$5000,0)),"")</f>
        <v/>
      </c>
      <c r="M54" s="126" t="str">
        <f>IFERROR(INDEX(EQA.Controllab_Dados!M$2:M$5000,MATCH(ROW()-4,EQA.Controllab_Dados!$S$2:$S$5000,0)),"")</f>
        <v/>
      </c>
      <c r="N54" t="str">
        <f>IFERROR(INDEX(EQA.Controllab_Dados!N$2:N$5000,MATCH(ROW()-4,EQA.Controllab_Dados!$S$2:$S$5000,0)),"")</f>
        <v/>
      </c>
      <c r="O54" s="137" t="str">
        <f>IFERROR(INDEX(EQA.Controllab_Dados!O$2:O$5000,MATCH(ROW()-4,EQA.Controllab_Dados!$S$2:$S$5000,0)),"")</f>
        <v/>
      </c>
      <c r="P54" s="137" t="str">
        <f>IFERROR(INDEX(EQA.Controllab_Dados!P$2:P$5000,MATCH(ROW()-4,EQA.Controllab_Dados!$S$2:$S$5000,0)),"")</f>
        <v/>
      </c>
      <c r="Q54" s="126" t="str">
        <f>IFERROR(INDEX(EQA.Controllab_Dados!Q$2:Q$5000,MATCH(ROW()-4,EQA.Controllab_Dados!$S$2:$S$5000,0)),"")</f>
        <v/>
      </c>
      <c r="R54" t="str">
        <f>IFERROR(INDEX(EQA.Controllab_Dados!R$2:R$5000,MATCH(ROW()-4,EQA.Controllab_Dados!$S$2:$S$5000,0)),"")</f>
        <v/>
      </c>
    </row>
    <row r="55" spans="1:18" x14ac:dyDescent="0.3">
      <c r="A55" t="str">
        <f>IFERROR(INDEX(EQA.Controllab_Dados!A$2:A$5000,MATCH(ROW()-4,EQA.Controllab_Dados!$S$2:$S$5000,0)),"")</f>
        <v/>
      </c>
      <c r="B55" t="str">
        <f>IFERROR(INDEX(EQA.Controllab_Dados!B$2:B$5000,MATCH(ROW()-4,EQA.Controllab_Dados!$S$2:$S$5000,0)),"")</f>
        <v/>
      </c>
      <c r="C55" s="126" t="str">
        <f>IFERROR(INDEX(EQA.Controllab_Dados!C$2:C$5000,MATCH(ROW()-4,EQA.Controllab_Dados!$S$2:$S$5000,0)),"")</f>
        <v/>
      </c>
      <c r="D55" t="str">
        <f>IFERROR(INDEX(EQA.Controllab_Dados!D$2:D$5000,MATCH(ROW()-4,EQA.Controllab_Dados!$S$2:$S$5000,0)),"")</f>
        <v/>
      </c>
      <c r="E55" t="str">
        <f>IFERROR(INDEX(EQA.Controllab_Dados!E$2:E$5000,MATCH(ROW()-4,EQA.Controllab_Dados!$S$2:$S$5000,0)),"")</f>
        <v/>
      </c>
      <c r="F55" s="137" t="str">
        <f>IFERROR(INDEX(EQA.Controllab_Dados!F$2:F$5000,MATCH(ROW()-4,EQA.Controllab_Dados!$S$2:$S$5000,0)),"")</f>
        <v/>
      </c>
      <c r="G55" s="138" t="str">
        <f>IFERROR(INDEX(EQA.Controllab_Dados!G$2:G$5000,MATCH(ROW()-4,EQA.Controllab_Dados!$S$2:$S$5000,0)),"")</f>
        <v/>
      </c>
      <c r="H55" s="138" t="str">
        <f>IFERROR(INDEX(EQA.Controllab_Dados!H$2:H$5000,MATCH(ROW()-4,EQA.Controllab_Dados!$S$2:$S$5000,0)),"")</f>
        <v/>
      </c>
      <c r="I55" s="139" t="str">
        <f>IFERROR(INDEX(EQA.Controllab_Dados!I$2:I$5000,MATCH(ROW()-4,EQA.Controllab_Dados!$S$2:$S$5000,0)),"")</f>
        <v/>
      </c>
      <c r="J55" s="137" t="str">
        <f>IFERROR(INDEX(EQA.Controllab_Dados!J$2:J$5000,MATCH(ROW()-4,EQA.Controllab_Dados!$S$2:$S$5000,0)),"")</f>
        <v/>
      </c>
      <c r="K55" s="137" t="str">
        <f>IFERROR(INDEX(EQA.Controllab_Dados!K$2:K$5000,MATCH(ROW()-4,EQA.Controllab_Dados!$S$2:$S$5000,0)),"")</f>
        <v/>
      </c>
      <c r="L55" t="str">
        <f>IFERROR(INDEX(EQA.Controllab_Dados!L$2:L$5000,MATCH(ROW()-4,EQA.Controllab_Dados!$S$2:$S$5000,0)),"")</f>
        <v/>
      </c>
      <c r="M55" s="126" t="str">
        <f>IFERROR(INDEX(EQA.Controllab_Dados!M$2:M$5000,MATCH(ROW()-4,EQA.Controllab_Dados!$S$2:$S$5000,0)),"")</f>
        <v/>
      </c>
      <c r="N55" t="str">
        <f>IFERROR(INDEX(EQA.Controllab_Dados!N$2:N$5000,MATCH(ROW()-4,EQA.Controllab_Dados!$S$2:$S$5000,0)),"")</f>
        <v/>
      </c>
      <c r="O55" s="137" t="str">
        <f>IFERROR(INDEX(EQA.Controllab_Dados!O$2:O$5000,MATCH(ROW()-4,EQA.Controllab_Dados!$S$2:$S$5000,0)),"")</f>
        <v/>
      </c>
      <c r="P55" s="137" t="str">
        <f>IFERROR(INDEX(EQA.Controllab_Dados!P$2:P$5000,MATCH(ROW()-4,EQA.Controllab_Dados!$S$2:$S$5000,0)),"")</f>
        <v/>
      </c>
      <c r="Q55" s="126" t="str">
        <f>IFERROR(INDEX(EQA.Controllab_Dados!Q$2:Q$5000,MATCH(ROW()-4,EQA.Controllab_Dados!$S$2:$S$5000,0)),"")</f>
        <v/>
      </c>
      <c r="R55" t="str">
        <f>IFERROR(INDEX(EQA.Controllab_Dados!R$2:R$5000,MATCH(ROW()-4,EQA.Controllab_Dados!$S$2:$S$5000,0)),"")</f>
        <v/>
      </c>
    </row>
    <row r="56" spans="1:18" x14ac:dyDescent="0.3">
      <c r="A56" t="str">
        <f>IFERROR(INDEX(EQA.Controllab_Dados!A$2:A$5000,MATCH(ROW()-4,EQA.Controllab_Dados!$S$2:$S$5000,0)),"")</f>
        <v/>
      </c>
      <c r="B56" t="str">
        <f>IFERROR(INDEX(EQA.Controllab_Dados!B$2:B$5000,MATCH(ROW()-4,EQA.Controllab_Dados!$S$2:$S$5000,0)),"")</f>
        <v/>
      </c>
      <c r="C56" s="126" t="str">
        <f>IFERROR(INDEX(EQA.Controllab_Dados!C$2:C$5000,MATCH(ROW()-4,EQA.Controllab_Dados!$S$2:$S$5000,0)),"")</f>
        <v/>
      </c>
      <c r="D56" t="str">
        <f>IFERROR(INDEX(EQA.Controllab_Dados!D$2:D$5000,MATCH(ROW()-4,EQA.Controllab_Dados!$S$2:$S$5000,0)),"")</f>
        <v/>
      </c>
      <c r="E56" t="str">
        <f>IFERROR(INDEX(EQA.Controllab_Dados!E$2:E$5000,MATCH(ROW()-4,EQA.Controllab_Dados!$S$2:$S$5000,0)),"")</f>
        <v/>
      </c>
      <c r="F56" s="137" t="str">
        <f>IFERROR(INDEX(EQA.Controllab_Dados!F$2:F$5000,MATCH(ROW()-4,EQA.Controllab_Dados!$S$2:$S$5000,0)),"")</f>
        <v/>
      </c>
      <c r="G56" s="138" t="str">
        <f>IFERROR(INDEX(EQA.Controllab_Dados!G$2:G$5000,MATCH(ROW()-4,EQA.Controllab_Dados!$S$2:$S$5000,0)),"")</f>
        <v/>
      </c>
      <c r="H56" s="138" t="str">
        <f>IFERROR(INDEX(EQA.Controllab_Dados!H$2:H$5000,MATCH(ROW()-4,EQA.Controllab_Dados!$S$2:$S$5000,0)),"")</f>
        <v/>
      </c>
      <c r="I56" s="139" t="str">
        <f>IFERROR(INDEX(EQA.Controllab_Dados!I$2:I$5000,MATCH(ROW()-4,EQA.Controllab_Dados!$S$2:$S$5000,0)),"")</f>
        <v/>
      </c>
      <c r="J56" s="137" t="str">
        <f>IFERROR(INDEX(EQA.Controllab_Dados!J$2:J$5000,MATCH(ROW()-4,EQA.Controllab_Dados!$S$2:$S$5000,0)),"")</f>
        <v/>
      </c>
      <c r="K56" s="137" t="str">
        <f>IFERROR(INDEX(EQA.Controllab_Dados!K$2:K$5000,MATCH(ROW()-4,EQA.Controllab_Dados!$S$2:$S$5000,0)),"")</f>
        <v/>
      </c>
      <c r="L56" t="str">
        <f>IFERROR(INDEX(EQA.Controllab_Dados!L$2:L$5000,MATCH(ROW()-4,EQA.Controllab_Dados!$S$2:$S$5000,0)),"")</f>
        <v/>
      </c>
      <c r="M56" s="126" t="str">
        <f>IFERROR(INDEX(EQA.Controllab_Dados!M$2:M$5000,MATCH(ROW()-4,EQA.Controllab_Dados!$S$2:$S$5000,0)),"")</f>
        <v/>
      </c>
      <c r="N56" t="str">
        <f>IFERROR(INDEX(EQA.Controllab_Dados!N$2:N$5000,MATCH(ROW()-4,EQA.Controllab_Dados!$S$2:$S$5000,0)),"")</f>
        <v/>
      </c>
      <c r="O56" s="137" t="str">
        <f>IFERROR(INDEX(EQA.Controllab_Dados!O$2:O$5000,MATCH(ROW()-4,EQA.Controllab_Dados!$S$2:$S$5000,0)),"")</f>
        <v/>
      </c>
      <c r="P56" s="137" t="str">
        <f>IFERROR(INDEX(EQA.Controllab_Dados!P$2:P$5000,MATCH(ROW()-4,EQA.Controllab_Dados!$S$2:$S$5000,0)),"")</f>
        <v/>
      </c>
      <c r="Q56" s="126" t="str">
        <f>IFERROR(INDEX(EQA.Controllab_Dados!Q$2:Q$5000,MATCH(ROW()-4,EQA.Controllab_Dados!$S$2:$S$5000,0)),"")</f>
        <v/>
      </c>
      <c r="R56" t="str">
        <f>IFERROR(INDEX(EQA.Controllab_Dados!R$2:R$5000,MATCH(ROW()-4,EQA.Controllab_Dados!$S$2:$S$5000,0)),"")</f>
        <v/>
      </c>
    </row>
    <row r="57" spans="1:18" x14ac:dyDescent="0.3">
      <c r="A57" t="str">
        <f>IFERROR(INDEX(EQA.Controllab_Dados!A$2:A$5000,MATCH(ROW()-4,EQA.Controllab_Dados!$S$2:$S$5000,0)),"")</f>
        <v/>
      </c>
      <c r="B57" t="str">
        <f>IFERROR(INDEX(EQA.Controllab_Dados!B$2:B$5000,MATCH(ROW()-4,EQA.Controllab_Dados!$S$2:$S$5000,0)),"")</f>
        <v/>
      </c>
      <c r="C57" s="126" t="str">
        <f>IFERROR(INDEX(EQA.Controllab_Dados!C$2:C$5000,MATCH(ROW()-4,EQA.Controllab_Dados!$S$2:$S$5000,0)),"")</f>
        <v/>
      </c>
      <c r="D57" t="str">
        <f>IFERROR(INDEX(EQA.Controllab_Dados!D$2:D$5000,MATCH(ROW()-4,EQA.Controllab_Dados!$S$2:$S$5000,0)),"")</f>
        <v/>
      </c>
      <c r="E57" t="str">
        <f>IFERROR(INDEX(EQA.Controllab_Dados!E$2:E$5000,MATCH(ROW()-4,EQA.Controllab_Dados!$S$2:$S$5000,0)),"")</f>
        <v/>
      </c>
      <c r="F57" s="137" t="str">
        <f>IFERROR(INDEX(EQA.Controllab_Dados!F$2:F$5000,MATCH(ROW()-4,EQA.Controllab_Dados!$S$2:$S$5000,0)),"")</f>
        <v/>
      </c>
      <c r="G57" s="138" t="str">
        <f>IFERROR(INDEX(EQA.Controllab_Dados!G$2:G$5000,MATCH(ROW()-4,EQA.Controllab_Dados!$S$2:$S$5000,0)),"")</f>
        <v/>
      </c>
      <c r="H57" s="138" t="str">
        <f>IFERROR(INDEX(EQA.Controllab_Dados!H$2:H$5000,MATCH(ROW()-4,EQA.Controllab_Dados!$S$2:$S$5000,0)),"")</f>
        <v/>
      </c>
      <c r="I57" s="139" t="str">
        <f>IFERROR(INDEX(EQA.Controllab_Dados!I$2:I$5000,MATCH(ROW()-4,EQA.Controllab_Dados!$S$2:$S$5000,0)),"")</f>
        <v/>
      </c>
      <c r="J57" s="137" t="str">
        <f>IFERROR(INDEX(EQA.Controllab_Dados!J$2:J$5000,MATCH(ROW()-4,EQA.Controllab_Dados!$S$2:$S$5000,0)),"")</f>
        <v/>
      </c>
      <c r="K57" s="137" t="str">
        <f>IFERROR(INDEX(EQA.Controllab_Dados!K$2:K$5000,MATCH(ROW()-4,EQA.Controllab_Dados!$S$2:$S$5000,0)),"")</f>
        <v/>
      </c>
      <c r="L57" t="str">
        <f>IFERROR(INDEX(EQA.Controllab_Dados!L$2:L$5000,MATCH(ROW()-4,EQA.Controllab_Dados!$S$2:$S$5000,0)),"")</f>
        <v/>
      </c>
      <c r="M57" s="126" t="str">
        <f>IFERROR(INDEX(EQA.Controllab_Dados!M$2:M$5000,MATCH(ROW()-4,EQA.Controllab_Dados!$S$2:$S$5000,0)),"")</f>
        <v/>
      </c>
      <c r="N57" t="str">
        <f>IFERROR(INDEX(EQA.Controllab_Dados!N$2:N$5000,MATCH(ROW()-4,EQA.Controllab_Dados!$S$2:$S$5000,0)),"")</f>
        <v/>
      </c>
      <c r="O57" s="137" t="str">
        <f>IFERROR(INDEX(EQA.Controllab_Dados!O$2:O$5000,MATCH(ROW()-4,EQA.Controllab_Dados!$S$2:$S$5000,0)),"")</f>
        <v/>
      </c>
      <c r="P57" s="137" t="str">
        <f>IFERROR(INDEX(EQA.Controllab_Dados!P$2:P$5000,MATCH(ROW()-4,EQA.Controllab_Dados!$S$2:$S$5000,0)),"")</f>
        <v/>
      </c>
      <c r="Q57" s="126" t="str">
        <f>IFERROR(INDEX(EQA.Controllab_Dados!Q$2:Q$5000,MATCH(ROW()-4,EQA.Controllab_Dados!$S$2:$S$5000,0)),"")</f>
        <v/>
      </c>
      <c r="R57" t="str">
        <f>IFERROR(INDEX(EQA.Controllab_Dados!R$2:R$5000,MATCH(ROW()-4,EQA.Controllab_Dados!$S$2:$S$5000,0)),"")</f>
        <v/>
      </c>
    </row>
    <row r="58" spans="1:18" x14ac:dyDescent="0.3">
      <c r="A58" t="str">
        <f>IFERROR(INDEX(EQA.Controllab_Dados!A$2:A$5000,MATCH(ROW()-4,EQA.Controllab_Dados!$S$2:$S$5000,0)),"")</f>
        <v/>
      </c>
      <c r="B58" t="str">
        <f>IFERROR(INDEX(EQA.Controllab_Dados!B$2:B$5000,MATCH(ROW()-4,EQA.Controllab_Dados!$S$2:$S$5000,0)),"")</f>
        <v/>
      </c>
      <c r="C58" s="126" t="str">
        <f>IFERROR(INDEX(EQA.Controllab_Dados!C$2:C$5000,MATCH(ROW()-4,EQA.Controllab_Dados!$S$2:$S$5000,0)),"")</f>
        <v/>
      </c>
      <c r="D58" t="str">
        <f>IFERROR(INDEX(EQA.Controllab_Dados!D$2:D$5000,MATCH(ROW()-4,EQA.Controllab_Dados!$S$2:$S$5000,0)),"")</f>
        <v/>
      </c>
      <c r="E58" t="str">
        <f>IFERROR(INDEX(EQA.Controllab_Dados!E$2:E$5000,MATCH(ROW()-4,EQA.Controllab_Dados!$S$2:$S$5000,0)),"")</f>
        <v/>
      </c>
      <c r="F58" s="137" t="str">
        <f>IFERROR(INDEX(EQA.Controllab_Dados!F$2:F$5000,MATCH(ROW()-4,EQA.Controllab_Dados!$S$2:$S$5000,0)),"")</f>
        <v/>
      </c>
      <c r="G58" s="138" t="str">
        <f>IFERROR(INDEX(EQA.Controllab_Dados!G$2:G$5000,MATCH(ROW()-4,EQA.Controllab_Dados!$S$2:$S$5000,0)),"")</f>
        <v/>
      </c>
      <c r="H58" s="138" t="str">
        <f>IFERROR(INDEX(EQA.Controllab_Dados!H$2:H$5000,MATCH(ROW()-4,EQA.Controllab_Dados!$S$2:$S$5000,0)),"")</f>
        <v/>
      </c>
      <c r="I58" s="139" t="str">
        <f>IFERROR(INDEX(EQA.Controllab_Dados!I$2:I$5000,MATCH(ROW()-4,EQA.Controllab_Dados!$S$2:$S$5000,0)),"")</f>
        <v/>
      </c>
      <c r="J58" s="137" t="str">
        <f>IFERROR(INDEX(EQA.Controllab_Dados!J$2:J$5000,MATCH(ROW()-4,EQA.Controllab_Dados!$S$2:$S$5000,0)),"")</f>
        <v/>
      </c>
      <c r="K58" s="137" t="str">
        <f>IFERROR(INDEX(EQA.Controllab_Dados!K$2:K$5000,MATCH(ROW()-4,EQA.Controllab_Dados!$S$2:$S$5000,0)),"")</f>
        <v/>
      </c>
      <c r="L58" t="str">
        <f>IFERROR(INDEX(EQA.Controllab_Dados!L$2:L$5000,MATCH(ROW()-4,EQA.Controllab_Dados!$S$2:$S$5000,0)),"")</f>
        <v/>
      </c>
      <c r="M58" s="126" t="str">
        <f>IFERROR(INDEX(EQA.Controllab_Dados!M$2:M$5000,MATCH(ROW()-4,EQA.Controllab_Dados!$S$2:$S$5000,0)),"")</f>
        <v/>
      </c>
      <c r="N58" t="str">
        <f>IFERROR(INDEX(EQA.Controllab_Dados!N$2:N$5000,MATCH(ROW()-4,EQA.Controllab_Dados!$S$2:$S$5000,0)),"")</f>
        <v/>
      </c>
      <c r="O58" s="137" t="str">
        <f>IFERROR(INDEX(EQA.Controllab_Dados!O$2:O$5000,MATCH(ROW()-4,EQA.Controllab_Dados!$S$2:$S$5000,0)),"")</f>
        <v/>
      </c>
      <c r="P58" s="137" t="str">
        <f>IFERROR(INDEX(EQA.Controllab_Dados!P$2:P$5000,MATCH(ROW()-4,EQA.Controllab_Dados!$S$2:$S$5000,0)),"")</f>
        <v/>
      </c>
      <c r="Q58" s="126" t="str">
        <f>IFERROR(INDEX(EQA.Controllab_Dados!Q$2:Q$5000,MATCH(ROW()-4,EQA.Controllab_Dados!$S$2:$S$5000,0)),"")</f>
        <v/>
      </c>
      <c r="R58" t="str">
        <f>IFERROR(INDEX(EQA.Controllab_Dados!R$2:R$5000,MATCH(ROW()-4,EQA.Controllab_Dados!$S$2:$S$5000,0)),"")</f>
        <v/>
      </c>
    </row>
    <row r="59" spans="1:18" x14ac:dyDescent="0.3">
      <c r="A59" t="str">
        <f>IFERROR(INDEX(EQA.Controllab_Dados!A$2:A$5000,MATCH(ROW()-4,EQA.Controllab_Dados!$S$2:$S$5000,0)),"")</f>
        <v/>
      </c>
      <c r="B59" t="str">
        <f>IFERROR(INDEX(EQA.Controllab_Dados!B$2:B$5000,MATCH(ROW()-4,EQA.Controllab_Dados!$S$2:$S$5000,0)),"")</f>
        <v/>
      </c>
      <c r="C59" s="126" t="str">
        <f>IFERROR(INDEX(EQA.Controllab_Dados!C$2:C$5000,MATCH(ROW()-4,EQA.Controllab_Dados!$S$2:$S$5000,0)),"")</f>
        <v/>
      </c>
      <c r="D59" t="str">
        <f>IFERROR(INDEX(EQA.Controllab_Dados!D$2:D$5000,MATCH(ROW()-4,EQA.Controllab_Dados!$S$2:$S$5000,0)),"")</f>
        <v/>
      </c>
      <c r="E59" t="str">
        <f>IFERROR(INDEX(EQA.Controllab_Dados!E$2:E$5000,MATCH(ROW()-4,EQA.Controllab_Dados!$S$2:$S$5000,0)),"")</f>
        <v/>
      </c>
      <c r="F59" s="137" t="str">
        <f>IFERROR(INDEX(EQA.Controllab_Dados!F$2:F$5000,MATCH(ROW()-4,EQA.Controllab_Dados!$S$2:$S$5000,0)),"")</f>
        <v/>
      </c>
      <c r="G59" s="138" t="str">
        <f>IFERROR(INDEX(EQA.Controllab_Dados!G$2:G$5000,MATCH(ROW()-4,EQA.Controllab_Dados!$S$2:$S$5000,0)),"")</f>
        <v/>
      </c>
      <c r="H59" s="138" t="str">
        <f>IFERROR(INDEX(EQA.Controllab_Dados!H$2:H$5000,MATCH(ROW()-4,EQA.Controllab_Dados!$S$2:$S$5000,0)),"")</f>
        <v/>
      </c>
      <c r="I59" s="139" t="str">
        <f>IFERROR(INDEX(EQA.Controllab_Dados!I$2:I$5000,MATCH(ROW()-4,EQA.Controllab_Dados!$S$2:$S$5000,0)),"")</f>
        <v/>
      </c>
      <c r="J59" s="137" t="str">
        <f>IFERROR(INDEX(EQA.Controllab_Dados!J$2:J$5000,MATCH(ROW()-4,EQA.Controllab_Dados!$S$2:$S$5000,0)),"")</f>
        <v/>
      </c>
      <c r="K59" s="137" t="str">
        <f>IFERROR(INDEX(EQA.Controllab_Dados!K$2:K$5000,MATCH(ROW()-4,EQA.Controllab_Dados!$S$2:$S$5000,0)),"")</f>
        <v/>
      </c>
      <c r="L59" t="str">
        <f>IFERROR(INDEX(EQA.Controllab_Dados!L$2:L$5000,MATCH(ROW()-4,EQA.Controllab_Dados!$S$2:$S$5000,0)),"")</f>
        <v/>
      </c>
      <c r="M59" s="126" t="str">
        <f>IFERROR(INDEX(EQA.Controllab_Dados!M$2:M$5000,MATCH(ROW()-4,EQA.Controllab_Dados!$S$2:$S$5000,0)),"")</f>
        <v/>
      </c>
      <c r="N59" t="str">
        <f>IFERROR(INDEX(EQA.Controllab_Dados!N$2:N$5000,MATCH(ROW()-4,EQA.Controllab_Dados!$S$2:$S$5000,0)),"")</f>
        <v/>
      </c>
      <c r="O59" s="137" t="str">
        <f>IFERROR(INDEX(EQA.Controllab_Dados!O$2:O$5000,MATCH(ROW()-4,EQA.Controllab_Dados!$S$2:$S$5000,0)),"")</f>
        <v/>
      </c>
      <c r="P59" s="137" t="str">
        <f>IFERROR(INDEX(EQA.Controllab_Dados!P$2:P$5000,MATCH(ROW()-4,EQA.Controllab_Dados!$S$2:$S$5000,0)),"")</f>
        <v/>
      </c>
      <c r="Q59" s="126" t="str">
        <f>IFERROR(INDEX(EQA.Controllab_Dados!Q$2:Q$5000,MATCH(ROW()-4,EQA.Controllab_Dados!$S$2:$S$5000,0)),"")</f>
        <v/>
      </c>
      <c r="R59" t="str">
        <f>IFERROR(INDEX(EQA.Controllab_Dados!R$2:R$5000,MATCH(ROW()-4,EQA.Controllab_Dados!$S$2:$S$5000,0)),"")</f>
        <v/>
      </c>
    </row>
    <row r="60" spans="1:18" x14ac:dyDescent="0.3">
      <c r="A60" t="str">
        <f>IFERROR(INDEX(EQA.Controllab_Dados!A$2:A$5000,MATCH(ROW()-4,EQA.Controllab_Dados!$S$2:$S$5000,0)),"")</f>
        <v/>
      </c>
      <c r="B60" t="str">
        <f>IFERROR(INDEX(EQA.Controllab_Dados!B$2:B$5000,MATCH(ROW()-4,EQA.Controllab_Dados!$S$2:$S$5000,0)),"")</f>
        <v/>
      </c>
      <c r="C60" s="126" t="str">
        <f>IFERROR(INDEX(EQA.Controllab_Dados!C$2:C$5000,MATCH(ROW()-4,EQA.Controllab_Dados!$S$2:$S$5000,0)),"")</f>
        <v/>
      </c>
      <c r="D60" t="str">
        <f>IFERROR(INDEX(EQA.Controllab_Dados!D$2:D$5000,MATCH(ROW()-4,EQA.Controllab_Dados!$S$2:$S$5000,0)),"")</f>
        <v/>
      </c>
      <c r="E60" t="str">
        <f>IFERROR(INDEX(EQA.Controllab_Dados!E$2:E$5000,MATCH(ROW()-4,EQA.Controllab_Dados!$S$2:$S$5000,0)),"")</f>
        <v/>
      </c>
      <c r="F60" s="137" t="str">
        <f>IFERROR(INDEX(EQA.Controllab_Dados!F$2:F$5000,MATCH(ROW()-4,EQA.Controllab_Dados!$S$2:$S$5000,0)),"")</f>
        <v/>
      </c>
      <c r="G60" s="138" t="str">
        <f>IFERROR(INDEX(EQA.Controllab_Dados!G$2:G$5000,MATCH(ROW()-4,EQA.Controllab_Dados!$S$2:$S$5000,0)),"")</f>
        <v/>
      </c>
      <c r="H60" s="138" t="str">
        <f>IFERROR(INDEX(EQA.Controllab_Dados!H$2:H$5000,MATCH(ROW()-4,EQA.Controllab_Dados!$S$2:$S$5000,0)),"")</f>
        <v/>
      </c>
      <c r="I60" s="139" t="str">
        <f>IFERROR(INDEX(EQA.Controllab_Dados!I$2:I$5000,MATCH(ROW()-4,EQA.Controllab_Dados!$S$2:$S$5000,0)),"")</f>
        <v/>
      </c>
      <c r="J60" s="137" t="str">
        <f>IFERROR(INDEX(EQA.Controllab_Dados!J$2:J$5000,MATCH(ROW()-4,EQA.Controllab_Dados!$S$2:$S$5000,0)),"")</f>
        <v/>
      </c>
      <c r="K60" s="137" t="str">
        <f>IFERROR(INDEX(EQA.Controllab_Dados!K$2:K$5000,MATCH(ROW()-4,EQA.Controllab_Dados!$S$2:$S$5000,0)),"")</f>
        <v/>
      </c>
      <c r="L60" t="str">
        <f>IFERROR(INDEX(EQA.Controllab_Dados!L$2:L$5000,MATCH(ROW()-4,EQA.Controllab_Dados!$S$2:$S$5000,0)),"")</f>
        <v/>
      </c>
      <c r="M60" s="126" t="str">
        <f>IFERROR(INDEX(EQA.Controllab_Dados!M$2:M$5000,MATCH(ROW()-4,EQA.Controllab_Dados!$S$2:$S$5000,0)),"")</f>
        <v/>
      </c>
      <c r="N60" t="str">
        <f>IFERROR(INDEX(EQA.Controllab_Dados!N$2:N$5000,MATCH(ROW()-4,EQA.Controllab_Dados!$S$2:$S$5000,0)),"")</f>
        <v/>
      </c>
      <c r="O60" s="137" t="str">
        <f>IFERROR(INDEX(EQA.Controllab_Dados!O$2:O$5000,MATCH(ROW()-4,EQA.Controllab_Dados!$S$2:$S$5000,0)),"")</f>
        <v/>
      </c>
      <c r="P60" s="137" t="str">
        <f>IFERROR(INDEX(EQA.Controllab_Dados!P$2:P$5000,MATCH(ROW()-4,EQA.Controllab_Dados!$S$2:$S$5000,0)),"")</f>
        <v/>
      </c>
      <c r="Q60" s="126" t="str">
        <f>IFERROR(INDEX(EQA.Controllab_Dados!Q$2:Q$5000,MATCH(ROW()-4,EQA.Controllab_Dados!$S$2:$S$5000,0)),"")</f>
        <v/>
      </c>
      <c r="R60" t="str">
        <f>IFERROR(INDEX(EQA.Controllab_Dados!R$2:R$5000,MATCH(ROW()-4,EQA.Controllab_Dados!$S$2:$S$5000,0)),"")</f>
        <v/>
      </c>
    </row>
    <row r="61" spans="1:18" x14ac:dyDescent="0.3">
      <c r="A61" t="str">
        <f>IFERROR(INDEX(EQA.Controllab_Dados!A$2:A$5000,MATCH(ROW()-4,EQA.Controllab_Dados!$S$2:$S$5000,0)),"")</f>
        <v/>
      </c>
      <c r="B61" t="str">
        <f>IFERROR(INDEX(EQA.Controllab_Dados!B$2:B$5000,MATCH(ROW()-4,EQA.Controllab_Dados!$S$2:$S$5000,0)),"")</f>
        <v/>
      </c>
      <c r="C61" s="126" t="str">
        <f>IFERROR(INDEX(EQA.Controllab_Dados!C$2:C$5000,MATCH(ROW()-4,EQA.Controllab_Dados!$S$2:$S$5000,0)),"")</f>
        <v/>
      </c>
      <c r="D61" t="str">
        <f>IFERROR(INDEX(EQA.Controllab_Dados!D$2:D$5000,MATCH(ROW()-4,EQA.Controllab_Dados!$S$2:$S$5000,0)),"")</f>
        <v/>
      </c>
      <c r="E61" t="str">
        <f>IFERROR(INDEX(EQA.Controllab_Dados!E$2:E$5000,MATCH(ROW()-4,EQA.Controllab_Dados!$S$2:$S$5000,0)),"")</f>
        <v/>
      </c>
      <c r="F61" s="137" t="str">
        <f>IFERROR(INDEX(EQA.Controllab_Dados!F$2:F$5000,MATCH(ROW()-4,EQA.Controllab_Dados!$S$2:$S$5000,0)),"")</f>
        <v/>
      </c>
      <c r="G61" s="138" t="str">
        <f>IFERROR(INDEX(EQA.Controllab_Dados!G$2:G$5000,MATCH(ROW()-4,EQA.Controllab_Dados!$S$2:$S$5000,0)),"")</f>
        <v/>
      </c>
      <c r="H61" s="138" t="str">
        <f>IFERROR(INDEX(EQA.Controllab_Dados!H$2:H$5000,MATCH(ROW()-4,EQA.Controllab_Dados!$S$2:$S$5000,0)),"")</f>
        <v/>
      </c>
      <c r="I61" s="139" t="str">
        <f>IFERROR(INDEX(EQA.Controllab_Dados!I$2:I$5000,MATCH(ROW()-4,EQA.Controllab_Dados!$S$2:$S$5000,0)),"")</f>
        <v/>
      </c>
      <c r="J61" s="137" t="str">
        <f>IFERROR(INDEX(EQA.Controllab_Dados!J$2:J$5000,MATCH(ROW()-4,EQA.Controllab_Dados!$S$2:$S$5000,0)),"")</f>
        <v/>
      </c>
      <c r="K61" s="137" t="str">
        <f>IFERROR(INDEX(EQA.Controllab_Dados!K$2:K$5000,MATCH(ROW()-4,EQA.Controllab_Dados!$S$2:$S$5000,0)),"")</f>
        <v/>
      </c>
      <c r="L61" t="str">
        <f>IFERROR(INDEX(EQA.Controllab_Dados!L$2:L$5000,MATCH(ROW()-4,EQA.Controllab_Dados!$S$2:$S$5000,0)),"")</f>
        <v/>
      </c>
      <c r="M61" s="126" t="str">
        <f>IFERROR(INDEX(EQA.Controllab_Dados!M$2:M$5000,MATCH(ROW()-4,EQA.Controllab_Dados!$S$2:$S$5000,0)),"")</f>
        <v/>
      </c>
      <c r="N61" t="str">
        <f>IFERROR(INDEX(EQA.Controllab_Dados!N$2:N$5000,MATCH(ROW()-4,EQA.Controllab_Dados!$S$2:$S$5000,0)),"")</f>
        <v/>
      </c>
      <c r="O61" s="137" t="str">
        <f>IFERROR(INDEX(EQA.Controllab_Dados!O$2:O$5000,MATCH(ROW()-4,EQA.Controllab_Dados!$S$2:$S$5000,0)),"")</f>
        <v/>
      </c>
      <c r="P61" s="137" t="str">
        <f>IFERROR(INDEX(EQA.Controllab_Dados!P$2:P$5000,MATCH(ROW()-4,EQA.Controllab_Dados!$S$2:$S$5000,0)),"")</f>
        <v/>
      </c>
      <c r="Q61" s="126" t="str">
        <f>IFERROR(INDEX(EQA.Controllab_Dados!Q$2:Q$5000,MATCH(ROW()-4,EQA.Controllab_Dados!$S$2:$S$5000,0)),"")</f>
        <v/>
      </c>
      <c r="R61" t="str">
        <f>IFERROR(INDEX(EQA.Controllab_Dados!R$2:R$5000,MATCH(ROW()-4,EQA.Controllab_Dados!$S$2:$S$5000,0)),"")</f>
        <v/>
      </c>
    </row>
    <row r="62" spans="1:18" x14ac:dyDescent="0.3">
      <c r="A62" t="str">
        <f>IFERROR(INDEX(EQA.Controllab_Dados!A$2:A$5000,MATCH(ROW()-4,EQA.Controllab_Dados!$S$2:$S$5000,0)),"")</f>
        <v/>
      </c>
      <c r="B62" t="str">
        <f>IFERROR(INDEX(EQA.Controllab_Dados!B$2:B$5000,MATCH(ROW()-4,EQA.Controllab_Dados!$S$2:$S$5000,0)),"")</f>
        <v/>
      </c>
      <c r="C62" s="126" t="str">
        <f>IFERROR(INDEX(EQA.Controllab_Dados!C$2:C$5000,MATCH(ROW()-4,EQA.Controllab_Dados!$S$2:$S$5000,0)),"")</f>
        <v/>
      </c>
      <c r="D62" t="str">
        <f>IFERROR(INDEX(EQA.Controllab_Dados!D$2:D$5000,MATCH(ROW()-4,EQA.Controllab_Dados!$S$2:$S$5000,0)),"")</f>
        <v/>
      </c>
      <c r="E62" t="str">
        <f>IFERROR(INDEX(EQA.Controllab_Dados!E$2:E$5000,MATCH(ROW()-4,EQA.Controllab_Dados!$S$2:$S$5000,0)),"")</f>
        <v/>
      </c>
      <c r="F62" s="137" t="str">
        <f>IFERROR(INDEX(EQA.Controllab_Dados!F$2:F$5000,MATCH(ROW()-4,EQA.Controllab_Dados!$S$2:$S$5000,0)),"")</f>
        <v/>
      </c>
      <c r="G62" s="138" t="str">
        <f>IFERROR(INDEX(EQA.Controllab_Dados!G$2:G$5000,MATCH(ROW()-4,EQA.Controllab_Dados!$S$2:$S$5000,0)),"")</f>
        <v/>
      </c>
      <c r="H62" s="138" t="str">
        <f>IFERROR(INDEX(EQA.Controllab_Dados!H$2:H$5000,MATCH(ROW()-4,EQA.Controllab_Dados!$S$2:$S$5000,0)),"")</f>
        <v/>
      </c>
      <c r="I62" s="139" t="str">
        <f>IFERROR(INDEX(EQA.Controllab_Dados!I$2:I$5000,MATCH(ROW()-4,EQA.Controllab_Dados!$S$2:$S$5000,0)),"")</f>
        <v/>
      </c>
      <c r="J62" s="137" t="str">
        <f>IFERROR(INDEX(EQA.Controllab_Dados!J$2:J$5000,MATCH(ROW()-4,EQA.Controllab_Dados!$S$2:$S$5000,0)),"")</f>
        <v/>
      </c>
      <c r="K62" s="137" t="str">
        <f>IFERROR(INDEX(EQA.Controllab_Dados!K$2:K$5000,MATCH(ROW()-4,EQA.Controllab_Dados!$S$2:$S$5000,0)),"")</f>
        <v/>
      </c>
      <c r="L62" t="str">
        <f>IFERROR(INDEX(EQA.Controllab_Dados!L$2:L$5000,MATCH(ROW()-4,EQA.Controllab_Dados!$S$2:$S$5000,0)),"")</f>
        <v/>
      </c>
      <c r="M62" s="126" t="str">
        <f>IFERROR(INDEX(EQA.Controllab_Dados!M$2:M$5000,MATCH(ROW()-4,EQA.Controllab_Dados!$S$2:$S$5000,0)),"")</f>
        <v/>
      </c>
      <c r="N62" t="str">
        <f>IFERROR(INDEX(EQA.Controllab_Dados!N$2:N$5000,MATCH(ROW()-4,EQA.Controllab_Dados!$S$2:$S$5000,0)),"")</f>
        <v/>
      </c>
      <c r="O62" s="137" t="str">
        <f>IFERROR(INDEX(EQA.Controllab_Dados!O$2:O$5000,MATCH(ROW()-4,EQA.Controllab_Dados!$S$2:$S$5000,0)),"")</f>
        <v/>
      </c>
      <c r="P62" s="137" t="str">
        <f>IFERROR(INDEX(EQA.Controllab_Dados!P$2:P$5000,MATCH(ROW()-4,EQA.Controllab_Dados!$S$2:$S$5000,0)),"")</f>
        <v/>
      </c>
      <c r="Q62" s="126" t="str">
        <f>IFERROR(INDEX(EQA.Controllab_Dados!Q$2:Q$5000,MATCH(ROW()-4,EQA.Controllab_Dados!$S$2:$S$5000,0)),"")</f>
        <v/>
      </c>
      <c r="R62" t="str">
        <f>IFERROR(INDEX(EQA.Controllab_Dados!R$2:R$5000,MATCH(ROW()-4,EQA.Controllab_Dados!$S$2:$S$5000,0)),"")</f>
        <v/>
      </c>
    </row>
    <row r="63" spans="1:18" x14ac:dyDescent="0.3">
      <c r="A63" t="str">
        <f>IFERROR(INDEX(EQA.Controllab_Dados!A$2:A$5000,MATCH(ROW()-4,EQA.Controllab_Dados!$S$2:$S$5000,0)),"")</f>
        <v/>
      </c>
      <c r="B63" t="str">
        <f>IFERROR(INDEX(EQA.Controllab_Dados!B$2:B$5000,MATCH(ROW()-4,EQA.Controllab_Dados!$S$2:$S$5000,0)),"")</f>
        <v/>
      </c>
      <c r="C63" s="126" t="str">
        <f>IFERROR(INDEX(EQA.Controllab_Dados!C$2:C$5000,MATCH(ROW()-4,EQA.Controllab_Dados!$S$2:$S$5000,0)),"")</f>
        <v/>
      </c>
      <c r="D63" t="str">
        <f>IFERROR(INDEX(EQA.Controllab_Dados!D$2:D$5000,MATCH(ROW()-4,EQA.Controllab_Dados!$S$2:$S$5000,0)),"")</f>
        <v/>
      </c>
      <c r="E63" t="str">
        <f>IFERROR(INDEX(EQA.Controllab_Dados!E$2:E$5000,MATCH(ROW()-4,EQA.Controllab_Dados!$S$2:$S$5000,0)),"")</f>
        <v/>
      </c>
      <c r="F63" s="137" t="str">
        <f>IFERROR(INDEX(EQA.Controllab_Dados!F$2:F$5000,MATCH(ROW()-4,EQA.Controllab_Dados!$S$2:$S$5000,0)),"")</f>
        <v/>
      </c>
      <c r="G63" s="138" t="str">
        <f>IFERROR(INDEX(EQA.Controllab_Dados!G$2:G$5000,MATCH(ROW()-4,EQA.Controllab_Dados!$S$2:$S$5000,0)),"")</f>
        <v/>
      </c>
      <c r="H63" s="138" t="str">
        <f>IFERROR(INDEX(EQA.Controllab_Dados!H$2:H$5000,MATCH(ROW()-4,EQA.Controllab_Dados!$S$2:$S$5000,0)),"")</f>
        <v/>
      </c>
      <c r="I63" s="139" t="str">
        <f>IFERROR(INDEX(EQA.Controllab_Dados!I$2:I$5000,MATCH(ROW()-4,EQA.Controllab_Dados!$S$2:$S$5000,0)),"")</f>
        <v/>
      </c>
      <c r="J63" s="137" t="str">
        <f>IFERROR(INDEX(EQA.Controllab_Dados!J$2:J$5000,MATCH(ROW()-4,EQA.Controllab_Dados!$S$2:$S$5000,0)),"")</f>
        <v/>
      </c>
      <c r="K63" s="137" t="str">
        <f>IFERROR(INDEX(EQA.Controllab_Dados!K$2:K$5000,MATCH(ROW()-4,EQA.Controllab_Dados!$S$2:$S$5000,0)),"")</f>
        <v/>
      </c>
      <c r="L63" t="str">
        <f>IFERROR(INDEX(EQA.Controllab_Dados!L$2:L$5000,MATCH(ROW()-4,EQA.Controllab_Dados!$S$2:$S$5000,0)),"")</f>
        <v/>
      </c>
      <c r="M63" s="126" t="str">
        <f>IFERROR(INDEX(EQA.Controllab_Dados!M$2:M$5000,MATCH(ROW()-4,EQA.Controllab_Dados!$S$2:$S$5000,0)),"")</f>
        <v/>
      </c>
      <c r="N63" t="str">
        <f>IFERROR(INDEX(EQA.Controllab_Dados!N$2:N$5000,MATCH(ROW()-4,EQA.Controllab_Dados!$S$2:$S$5000,0)),"")</f>
        <v/>
      </c>
      <c r="O63" s="137" t="str">
        <f>IFERROR(INDEX(EQA.Controllab_Dados!O$2:O$5000,MATCH(ROW()-4,EQA.Controllab_Dados!$S$2:$S$5000,0)),"")</f>
        <v/>
      </c>
      <c r="P63" s="137" t="str">
        <f>IFERROR(INDEX(EQA.Controllab_Dados!P$2:P$5000,MATCH(ROW()-4,EQA.Controllab_Dados!$S$2:$S$5000,0)),"")</f>
        <v/>
      </c>
      <c r="Q63" s="126" t="str">
        <f>IFERROR(INDEX(EQA.Controllab_Dados!Q$2:Q$5000,MATCH(ROW()-4,EQA.Controllab_Dados!$S$2:$S$5000,0)),"")</f>
        <v/>
      </c>
      <c r="R63" t="str">
        <f>IFERROR(INDEX(EQA.Controllab_Dados!R$2:R$5000,MATCH(ROW()-4,EQA.Controllab_Dados!$S$2:$S$5000,0)),"")</f>
        <v/>
      </c>
    </row>
    <row r="64" spans="1:18" x14ac:dyDescent="0.3">
      <c r="A64" t="str">
        <f>IFERROR(INDEX(EQA.Controllab_Dados!A$2:A$5000,MATCH(ROW()-4,EQA.Controllab_Dados!$S$2:$S$5000,0)),"")</f>
        <v/>
      </c>
      <c r="B64" t="str">
        <f>IFERROR(INDEX(EQA.Controllab_Dados!B$2:B$5000,MATCH(ROW()-4,EQA.Controllab_Dados!$S$2:$S$5000,0)),"")</f>
        <v/>
      </c>
      <c r="C64" s="126" t="str">
        <f>IFERROR(INDEX(EQA.Controllab_Dados!C$2:C$5000,MATCH(ROW()-4,EQA.Controllab_Dados!$S$2:$S$5000,0)),"")</f>
        <v/>
      </c>
      <c r="D64" t="str">
        <f>IFERROR(INDEX(EQA.Controllab_Dados!D$2:D$5000,MATCH(ROW()-4,EQA.Controllab_Dados!$S$2:$S$5000,0)),"")</f>
        <v/>
      </c>
      <c r="E64" t="str">
        <f>IFERROR(INDEX(EQA.Controllab_Dados!E$2:E$5000,MATCH(ROW()-4,EQA.Controllab_Dados!$S$2:$S$5000,0)),"")</f>
        <v/>
      </c>
      <c r="F64" s="137" t="str">
        <f>IFERROR(INDEX(EQA.Controllab_Dados!F$2:F$5000,MATCH(ROW()-4,EQA.Controllab_Dados!$S$2:$S$5000,0)),"")</f>
        <v/>
      </c>
      <c r="G64" s="138" t="str">
        <f>IFERROR(INDEX(EQA.Controllab_Dados!G$2:G$5000,MATCH(ROW()-4,EQA.Controllab_Dados!$S$2:$S$5000,0)),"")</f>
        <v/>
      </c>
      <c r="H64" s="138" t="str">
        <f>IFERROR(INDEX(EQA.Controllab_Dados!H$2:H$5000,MATCH(ROW()-4,EQA.Controllab_Dados!$S$2:$S$5000,0)),"")</f>
        <v/>
      </c>
      <c r="I64" s="139" t="str">
        <f>IFERROR(INDEX(EQA.Controllab_Dados!I$2:I$5000,MATCH(ROW()-4,EQA.Controllab_Dados!$S$2:$S$5000,0)),"")</f>
        <v/>
      </c>
      <c r="J64" s="137" t="str">
        <f>IFERROR(INDEX(EQA.Controllab_Dados!J$2:J$5000,MATCH(ROW()-4,EQA.Controllab_Dados!$S$2:$S$5000,0)),"")</f>
        <v/>
      </c>
      <c r="K64" s="137" t="str">
        <f>IFERROR(INDEX(EQA.Controllab_Dados!K$2:K$5000,MATCH(ROW()-4,EQA.Controllab_Dados!$S$2:$S$5000,0)),"")</f>
        <v/>
      </c>
      <c r="L64" t="str">
        <f>IFERROR(INDEX(EQA.Controllab_Dados!L$2:L$5000,MATCH(ROW()-4,EQA.Controllab_Dados!$S$2:$S$5000,0)),"")</f>
        <v/>
      </c>
      <c r="M64" s="126" t="str">
        <f>IFERROR(INDEX(EQA.Controllab_Dados!M$2:M$5000,MATCH(ROW()-4,EQA.Controllab_Dados!$S$2:$S$5000,0)),"")</f>
        <v/>
      </c>
      <c r="N64" t="str">
        <f>IFERROR(INDEX(EQA.Controllab_Dados!N$2:N$5000,MATCH(ROW()-4,EQA.Controllab_Dados!$S$2:$S$5000,0)),"")</f>
        <v/>
      </c>
      <c r="O64" s="137" t="str">
        <f>IFERROR(INDEX(EQA.Controllab_Dados!O$2:O$5000,MATCH(ROW()-4,EQA.Controllab_Dados!$S$2:$S$5000,0)),"")</f>
        <v/>
      </c>
      <c r="P64" s="137" t="str">
        <f>IFERROR(INDEX(EQA.Controllab_Dados!P$2:P$5000,MATCH(ROW()-4,EQA.Controllab_Dados!$S$2:$S$5000,0)),"")</f>
        <v/>
      </c>
      <c r="Q64" s="126" t="str">
        <f>IFERROR(INDEX(EQA.Controllab_Dados!Q$2:Q$5000,MATCH(ROW()-4,EQA.Controllab_Dados!$S$2:$S$5000,0)),"")</f>
        <v/>
      </c>
      <c r="R64" t="str">
        <f>IFERROR(INDEX(EQA.Controllab_Dados!R$2:R$5000,MATCH(ROW()-4,EQA.Controllab_Dados!$S$2:$S$5000,0)),"")</f>
        <v/>
      </c>
    </row>
    <row r="65" spans="1:18" x14ac:dyDescent="0.3">
      <c r="A65" t="str">
        <f>IFERROR(INDEX(EQA.Controllab_Dados!A$2:A$5000,MATCH(ROW()-4,EQA.Controllab_Dados!$S$2:$S$5000,0)),"")</f>
        <v/>
      </c>
      <c r="B65" t="str">
        <f>IFERROR(INDEX(EQA.Controllab_Dados!B$2:B$5000,MATCH(ROW()-4,EQA.Controllab_Dados!$S$2:$S$5000,0)),"")</f>
        <v/>
      </c>
      <c r="C65" s="126" t="str">
        <f>IFERROR(INDEX(EQA.Controllab_Dados!C$2:C$5000,MATCH(ROW()-4,EQA.Controllab_Dados!$S$2:$S$5000,0)),"")</f>
        <v/>
      </c>
      <c r="D65" t="str">
        <f>IFERROR(INDEX(EQA.Controllab_Dados!D$2:D$5000,MATCH(ROW()-4,EQA.Controllab_Dados!$S$2:$S$5000,0)),"")</f>
        <v/>
      </c>
      <c r="E65" t="str">
        <f>IFERROR(INDEX(EQA.Controllab_Dados!E$2:E$5000,MATCH(ROW()-4,EQA.Controllab_Dados!$S$2:$S$5000,0)),"")</f>
        <v/>
      </c>
      <c r="F65" s="137" t="str">
        <f>IFERROR(INDEX(EQA.Controllab_Dados!F$2:F$5000,MATCH(ROW()-4,EQA.Controllab_Dados!$S$2:$S$5000,0)),"")</f>
        <v/>
      </c>
      <c r="G65" s="138" t="str">
        <f>IFERROR(INDEX(EQA.Controllab_Dados!G$2:G$5000,MATCH(ROW()-4,EQA.Controllab_Dados!$S$2:$S$5000,0)),"")</f>
        <v/>
      </c>
      <c r="H65" s="138" t="str">
        <f>IFERROR(INDEX(EQA.Controllab_Dados!H$2:H$5000,MATCH(ROW()-4,EQA.Controllab_Dados!$S$2:$S$5000,0)),"")</f>
        <v/>
      </c>
      <c r="I65" s="139" t="str">
        <f>IFERROR(INDEX(EQA.Controllab_Dados!I$2:I$5000,MATCH(ROW()-4,EQA.Controllab_Dados!$S$2:$S$5000,0)),"")</f>
        <v/>
      </c>
      <c r="J65" s="137" t="str">
        <f>IFERROR(INDEX(EQA.Controllab_Dados!J$2:J$5000,MATCH(ROW()-4,EQA.Controllab_Dados!$S$2:$S$5000,0)),"")</f>
        <v/>
      </c>
      <c r="K65" s="137" t="str">
        <f>IFERROR(INDEX(EQA.Controllab_Dados!K$2:K$5000,MATCH(ROW()-4,EQA.Controllab_Dados!$S$2:$S$5000,0)),"")</f>
        <v/>
      </c>
      <c r="L65" t="str">
        <f>IFERROR(INDEX(EQA.Controllab_Dados!L$2:L$5000,MATCH(ROW()-4,EQA.Controllab_Dados!$S$2:$S$5000,0)),"")</f>
        <v/>
      </c>
      <c r="M65" s="126" t="str">
        <f>IFERROR(INDEX(EQA.Controllab_Dados!M$2:M$5000,MATCH(ROW()-4,EQA.Controllab_Dados!$S$2:$S$5000,0)),"")</f>
        <v/>
      </c>
      <c r="N65" t="str">
        <f>IFERROR(INDEX(EQA.Controllab_Dados!N$2:N$5000,MATCH(ROW()-4,EQA.Controllab_Dados!$S$2:$S$5000,0)),"")</f>
        <v/>
      </c>
      <c r="O65" s="137" t="str">
        <f>IFERROR(INDEX(EQA.Controllab_Dados!O$2:O$5000,MATCH(ROW()-4,EQA.Controllab_Dados!$S$2:$S$5000,0)),"")</f>
        <v/>
      </c>
      <c r="P65" s="137" t="str">
        <f>IFERROR(INDEX(EQA.Controllab_Dados!P$2:P$5000,MATCH(ROW()-4,EQA.Controllab_Dados!$S$2:$S$5000,0)),"")</f>
        <v/>
      </c>
      <c r="Q65" s="126" t="str">
        <f>IFERROR(INDEX(EQA.Controllab_Dados!Q$2:Q$5000,MATCH(ROW()-4,EQA.Controllab_Dados!$S$2:$S$5000,0)),"")</f>
        <v/>
      </c>
      <c r="R65" t="str">
        <f>IFERROR(INDEX(EQA.Controllab_Dados!R$2:R$5000,MATCH(ROW()-4,EQA.Controllab_Dados!$S$2:$S$5000,0)),"")</f>
        <v/>
      </c>
    </row>
    <row r="66" spans="1:18" x14ac:dyDescent="0.3">
      <c r="A66" t="str">
        <f>IFERROR(INDEX(EQA.Controllab_Dados!A$2:A$5000,MATCH(ROW()-4,EQA.Controllab_Dados!$S$2:$S$5000,0)),"")</f>
        <v/>
      </c>
      <c r="B66" t="str">
        <f>IFERROR(INDEX(EQA.Controllab_Dados!B$2:B$5000,MATCH(ROW()-4,EQA.Controllab_Dados!$S$2:$S$5000,0)),"")</f>
        <v/>
      </c>
      <c r="C66" s="126" t="str">
        <f>IFERROR(INDEX(EQA.Controllab_Dados!C$2:C$5000,MATCH(ROW()-4,EQA.Controllab_Dados!$S$2:$S$5000,0)),"")</f>
        <v/>
      </c>
      <c r="D66" t="str">
        <f>IFERROR(INDEX(EQA.Controllab_Dados!D$2:D$5000,MATCH(ROW()-4,EQA.Controllab_Dados!$S$2:$S$5000,0)),"")</f>
        <v/>
      </c>
      <c r="E66" t="str">
        <f>IFERROR(INDEX(EQA.Controllab_Dados!E$2:E$5000,MATCH(ROW()-4,EQA.Controllab_Dados!$S$2:$S$5000,0)),"")</f>
        <v/>
      </c>
      <c r="F66" s="137" t="str">
        <f>IFERROR(INDEX(EQA.Controllab_Dados!F$2:F$5000,MATCH(ROW()-4,EQA.Controllab_Dados!$S$2:$S$5000,0)),"")</f>
        <v/>
      </c>
      <c r="G66" s="138" t="str">
        <f>IFERROR(INDEX(EQA.Controllab_Dados!G$2:G$5000,MATCH(ROW()-4,EQA.Controllab_Dados!$S$2:$S$5000,0)),"")</f>
        <v/>
      </c>
      <c r="H66" s="138" t="str">
        <f>IFERROR(INDEX(EQA.Controllab_Dados!H$2:H$5000,MATCH(ROW()-4,EQA.Controllab_Dados!$S$2:$S$5000,0)),"")</f>
        <v/>
      </c>
      <c r="I66" s="139" t="str">
        <f>IFERROR(INDEX(EQA.Controllab_Dados!I$2:I$5000,MATCH(ROW()-4,EQA.Controllab_Dados!$S$2:$S$5000,0)),"")</f>
        <v/>
      </c>
      <c r="J66" s="137" t="str">
        <f>IFERROR(INDEX(EQA.Controllab_Dados!J$2:J$5000,MATCH(ROW()-4,EQA.Controllab_Dados!$S$2:$S$5000,0)),"")</f>
        <v/>
      </c>
      <c r="K66" s="137" t="str">
        <f>IFERROR(INDEX(EQA.Controllab_Dados!K$2:K$5000,MATCH(ROW()-4,EQA.Controllab_Dados!$S$2:$S$5000,0)),"")</f>
        <v/>
      </c>
      <c r="L66" t="str">
        <f>IFERROR(INDEX(EQA.Controllab_Dados!L$2:L$5000,MATCH(ROW()-4,EQA.Controllab_Dados!$S$2:$S$5000,0)),"")</f>
        <v/>
      </c>
      <c r="M66" s="126" t="str">
        <f>IFERROR(INDEX(EQA.Controllab_Dados!M$2:M$5000,MATCH(ROW()-4,EQA.Controllab_Dados!$S$2:$S$5000,0)),"")</f>
        <v/>
      </c>
      <c r="N66" t="str">
        <f>IFERROR(INDEX(EQA.Controllab_Dados!N$2:N$5000,MATCH(ROW()-4,EQA.Controllab_Dados!$S$2:$S$5000,0)),"")</f>
        <v/>
      </c>
      <c r="O66" s="137" t="str">
        <f>IFERROR(INDEX(EQA.Controllab_Dados!O$2:O$5000,MATCH(ROW()-4,EQA.Controllab_Dados!$S$2:$S$5000,0)),"")</f>
        <v/>
      </c>
      <c r="P66" s="137" t="str">
        <f>IFERROR(INDEX(EQA.Controllab_Dados!P$2:P$5000,MATCH(ROW()-4,EQA.Controllab_Dados!$S$2:$S$5000,0)),"")</f>
        <v/>
      </c>
      <c r="Q66" s="126" t="str">
        <f>IFERROR(INDEX(EQA.Controllab_Dados!Q$2:Q$5000,MATCH(ROW()-4,EQA.Controllab_Dados!$S$2:$S$5000,0)),"")</f>
        <v/>
      </c>
      <c r="R66" t="str">
        <f>IFERROR(INDEX(EQA.Controllab_Dados!R$2:R$5000,MATCH(ROW()-4,EQA.Controllab_Dados!$S$2:$S$5000,0)),"")</f>
        <v/>
      </c>
    </row>
    <row r="67" spans="1:18" x14ac:dyDescent="0.3">
      <c r="A67" t="str">
        <f>IFERROR(INDEX(EQA.Controllab_Dados!A$2:A$5000,MATCH(ROW()-4,EQA.Controllab_Dados!$S$2:$S$5000,0)),"")</f>
        <v/>
      </c>
      <c r="B67" t="str">
        <f>IFERROR(INDEX(EQA.Controllab_Dados!B$2:B$5000,MATCH(ROW()-4,EQA.Controllab_Dados!$S$2:$S$5000,0)),"")</f>
        <v/>
      </c>
      <c r="C67" s="126" t="str">
        <f>IFERROR(INDEX(EQA.Controllab_Dados!C$2:C$5000,MATCH(ROW()-4,EQA.Controllab_Dados!$S$2:$S$5000,0)),"")</f>
        <v/>
      </c>
      <c r="D67" t="str">
        <f>IFERROR(INDEX(EQA.Controllab_Dados!D$2:D$5000,MATCH(ROW()-4,EQA.Controllab_Dados!$S$2:$S$5000,0)),"")</f>
        <v/>
      </c>
      <c r="E67" t="str">
        <f>IFERROR(INDEX(EQA.Controllab_Dados!E$2:E$5000,MATCH(ROW()-4,EQA.Controllab_Dados!$S$2:$S$5000,0)),"")</f>
        <v/>
      </c>
      <c r="F67" s="137" t="str">
        <f>IFERROR(INDEX(EQA.Controllab_Dados!F$2:F$5000,MATCH(ROW()-4,EQA.Controllab_Dados!$S$2:$S$5000,0)),"")</f>
        <v/>
      </c>
      <c r="G67" s="138" t="str">
        <f>IFERROR(INDEX(EQA.Controllab_Dados!G$2:G$5000,MATCH(ROW()-4,EQA.Controllab_Dados!$S$2:$S$5000,0)),"")</f>
        <v/>
      </c>
      <c r="H67" s="138" t="str">
        <f>IFERROR(INDEX(EQA.Controllab_Dados!H$2:H$5000,MATCH(ROW()-4,EQA.Controllab_Dados!$S$2:$S$5000,0)),"")</f>
        <v/>
      </c>
      <c r="I67" s="139" t="str">
        <f>IFERROR(INDEX(EQA.Controllab_Dados!I$2:I$5000,MATCH(ROW()-4,EQA.Controllab_Dados!$S$2:$S$5000,0)),"")</f>
        <v/>
      </c>
      <c r="J67" s="137" t="str">
        <f>IFERROR(INDEX(EQA.Controllab_Dados!J$2:J$5000,MATCH(ROW()-4,EQA.Controllab_Dados!$S$2:$S$5000,0)),"")</f>
        <v/>
      </c>
      <c r="K67" s="137" t="str">
        <f>IFERROR(INDEX(EQA.Controllab_Dados!K$2:K$5000,MATCH(ROW()-4,EQA.Controllab_Dados!$S$2:$S$5000,0)),"")</f>
        <v/>
      </c>
      <c r="L67" t="str">
        <f>IFERROR(INDEX(EQA.Controllab_Dados!L$2:L$5000,MATCH(ROW()-4,EQA.Controllab_Dados!$S$2:$S$5000,0)),"")</f>
        <v/>
      </c>
      <c r="M67" s="126" t="str">
        <f>IFERROR(INDEX(EQA.Controllab_Dados!M$2:M$5000,MATCH(ROW()-4,EQA.Controllab_Dados!$S$2:$S$5000,0)),"")</f>
        <v/>
      </c>
      <c r="N67" t="str">
        <f>IFERROR(INDEX(EQA.Controllab_Dados!N$2:N$5000,MATCH(ROW()-4,EQA.Controllab_Dados!$S$2:$S$5000,0)),"")</f>
        <v/>
      </c>
      <c r="O67" s="137" t="str">
        <f>IFERROR(INDEX(EQA.Controllab_Dados!O$2:O$5000,MATCH(ROW()-4,EQA.Controllab_Dados!$S$2:$S$5000,0)),"")</f>
        <v/>
      </c>
      <c r="P67" s="137" t="str">
        <f>IFERROR(INDEX(EQA.Controllab_Dados!P$2:P$5000,MATCH(ROW()-4,EQA.Controllab_Dados!$S$2:$S$5000,0)),"")</f>
        <v/>
      </c>
      <c r="Q67" s="126" t="str">
        <f>IFERROR(INDEX(EQA.Controllab_Dados!Q$2:Q$5000,MATCH(ROW()-4,EQA.Controllab_Dados!$S$2:$S$5000,0)),"")</f>
        <v/>
      </c>
      <c r="R67" t="str">
        <f>IFERROR(INDEX(EQA.Controllab_Dados!R$2:R$5000,MATCH(ROW()-4,EQA.Controllab_Dados!$S$2:$S$5000,0)),"")</f>
        <v/>
      </c>
    </row>
    <row r="68" spans="1:18" x14ac:dyDescent="0.3">
      <c r="A68" t="str">
        <f>IFERROR(INDEX(EQA.Controllab_Dados!A$2:A$5000,MATCH(ROW()-4,EQA.Controllab_Dados!$S$2:$S$5000,0)),"")</f>
        <v/>
      </c>
      <c r="B68" t="str">
        <f>IFERROR(INDEX(EQA.Controllab_Dados!B$2:B$5000,MATCH(ROW()-4,EQA.Controllab_Dados!$S$2:$S$5000,0)),"")</f>
        <v/>
      </c>
      <c r="C68" s="126" t="str">
        <f>IFERROR(INDEX(EQA.Controllab_Dados!C$2:C$5000,MATCH(ROW()-4,EQA.Controllab_Dados!$S$2:$S$5000,0)),"")</f>
        <v/>
      </c>
      <c r="D68" t="str">
        <f>IFERROR(INDEX(EQA.Controllab_Dados!D$2:D$5000,MATCH(ROW()-4,EQA.Controllab_Dados!$S$2:$S$5000,0)),"")</f>
        <v/>
      </c>
      <c r="E68" t="str">
        <f>IFERROR(INDEX(EQA.Controllab_Dados!E$2:E$5000,MATCH(ROW()-4,EQA.Controllab_Dados!$S$2:$S$5000,0)),"")</f>
        <v/>
      </c>
      <c r="F68" s="137" t="str">
        <f>IFERROR(INDEX(EQA.Controllab_Dados!F$2:F$5000,MATCH(ROW()-4,EQA.Controllab_Dados!$S$2:$S$5000,0)),"")</f>
        <v/>
      </c>
      <c r="G68" s="138" t="str">
        <f>IFERROR(INDEX(EQA.Controllab_Dados!G$2:G$5000,MATCH(ROW()-4,EQA.Controllab_Dados!$S$2:$S$5000,0)),"")</f>
        <v/>
      </c>
      <c r="H68" s="138" t="str">
        <f>IFERROR(INDEX(EQA.Controllab_Dados!H$2:H$5000,MATCH(ROW()-4,EQA.Controllab_Dados!$S$2:$S$5000,0)),"")</f>
        <v/>
      </c>
      <c r="I68" s="139" t="str">
        <f>IFERROR(INDEX(EQA.Controllab_Dados!I$2:I$5000,MATCH(ROW()-4,EQA.Controllab_Dados!$S$2:$S$5000,0)),"")</f>
        <v/>
      </c>
      <c r="J68" s="137" t="str">
        <f>IFERROR(INDEX(EQA.Controllab_Dados!J$2:J$5000,MATCH(ROW()-4,EQA.Controllab_Dados!$S$2:$S$5000,0)),"")</f>
        <v/>
      </c>
      <c r="K68" s="137" t="str">
        <f>IFERROR(INDEX(EQA.Controllab_Dados!K$2:K$5000,MATCH(ROW()-4,EQA.Controllab_Dados!$S$2:$S$5000,0)),"")</f>
        <v/>
      </c>
      <c r="L68" t="str">
        <f>IFERROR(INDEX(EQA.Controllab_Dados!L$2:L$5000,MATCH(ROW()-4,EQA.Controllab_Dados!$S$2:$S$5000,0)),"")</f>
        <v/>
      </c>
      <c r="M68" s="126" t="str">
        <f>IFERROR(INDEX(EQA.Controllab_Dados!M$2:M$5000,MATCH(ROW()-4,EQA.Controllab_Dados!$S$2:$S$5000,0)),"")</f>
        <v/>
      </c>
      <c r="N68" t="str">
        <f>IFERROR(INDEX(EQA.Controllab_Dados!N$2:N$5000,MATCH(ROW()-4,EQA.Controllab_Dados!$S$2:$S$5000,0)),"")</f>
        <v/>
      </c>
      <c r="O68" s="137" t="str">
        <f>IFERROR(INDEX(EQA.Controllab_Dados!O$2:O$5000,MATCH(ROW()-4,EQA.Controllab_Dados!$S$2:$S$5000,0)),"")</f>
        <v/>
      </c>
      <c r="P68" s="137" t="str">
        <f>IFERROR(INDEX(EQA.Controllab_Dados!P$2:P$5000,MATCH(ROW()-4,EQA.Controllab_Dados!$S$2:$S$5000,0)),"")</f>
        <v/>
      </c>
      <c r="Q68" s="126" t="str">
        <f>IFERROR(INDEX(EQA.Controllab_Dados!Q$2:Q$5000,MATCH(ROW()-4,EQA.Controllab_Dados!$S$2:$S$5000,0)),"")</f>
        <v/>
      </c>
      <c r="R68" t="str">
        <f>IFERROR(INDEX(EQA.Controllab_Dados!R$2:R$5000,MATCH(ROW()-4,EQA.Controllab_Dados!$S$2:$S$5000,0)),"")</f>
        <v/>
      </c>
    </row>
    <row r="69" spans="1:18" x14ac:dyDescent="0.3">
      <c r="A69" t="str">
        <f>IFERROR(INDEX(EQA.Controllab_Dados!A$2:A$5000,MATCH(ROW()-4,EQA.Controllab_Dados!$S$2:$S$5000,0)),"")</f>
        <v/>
      </c>
      <c r="B69" t="str">
        <f>IFERROR(INDEX(EQA.Controllab_Dados!B$2:B$5000,MATCH(ROW()-4,EQA.Controllab_Dados!$S$2:$S$5000,0)),"")</f>
        <v/>
      </c>
      <c r="C69" s="126" t="str">
        <f>IFERROR(INDEX(EQA.Controllab_Dados!C$2:C$5000,MATCH(ROW()-4,EQA.Controllab_Dados!$S$2:$S$5000,0)),"")</f>
        <v/>
      </c>
      <c r="D69" t="str">
        <f>IFERROR(INDEX(EQA.Controllab_Dados!D$2:D$5000,MATCH(ROW()-4,EQA.Controllab_Dados!$S$2:$S$5000,0)),"")</f>
        <v/>
      </c>
      <c r="E69" t="str">
        <f>IFERROR(INDEX(EQA.Controllab_Dados!E$2:E$5000,MATCH(ROW()-4,EQA.Controllab_Dados!$S$2:$S$5000,0)),"")</f>
        <v/>
      </c>
      <c r="F69" s="137" t="str">
        <f>IFERROR(INDEX(EQA.Controllab_Dados!F$2:F$5000,MATCH(ROW()-4,EQA.Controllab_Dados!$S$2:$S$5000,0)),"")</f>
        <v/>
      </c>
      <c r="G69" s="138" t="str">
        <f>IFERROR(INDEX(EQA.Controllab_Dados!G$2:G$5000,MATCH(ROW()-4,EQA.Controllab_Dados!$S$2:$S$5000,0)),"")</f>
        <v/>
      </c>
      <c r="H69" s="138" t="str">
        <f>IFERROR(INDEX(EQA.Controllab_Dados!H$2:H$5000,MATCH(ROW()-4,EQA.Controllab_Dados!$S$2:$S$5000,0)),"")</f>
        <v/>
      </c>
      <c r="I69" s="139" t="str">
        <f>IFERROR(INDEX(EQA.Controllab_Dados!I$2:I$5000,MATCH(ROW()-4,EQA.Controllab_Dados!$S$2:$S$5000,0)),"")</f>
        <v/>
      </c>
      <c r="J69" s="137" t="str">
        <f>IFERROR(INDEX(EQA.Controllab_Dados!J$2:J$5000,MATCH(ROW()-4,EQA.Controllab_Dados!$S$2:$S$5000,0)),"")</f>
        <v/>
      </c>
      <c r="K69" s="137" t="str">
        <f>IFERROR(INDEX(EQA.Controllab_Dados!K$2:K$5000,MATCH(ROW()-4,EQA.Controllab_Dados!$S$2:$S$5000,0)),"")</f>
        <v/>
      </c>
      <c r="L69" t="str">
        <f>IFERROR(INDEX(EQA.Controllab_Dados!L$2:L$5000,MATCH(ROW()-4,EQA.Controllab_Dados!$S$2:$S$5000,0)),"")</f>
        <v/>
      </c>
      <c r="M69" s="126" t="str">
        <f>IFERROR(INDEX(EQA.Controllab_Dados!M$2:M$5000,MATCH(ROW()-4,EQA.Controllab_Dados!$S$2:$S$5000,0)),"")</f>
        <v/>
      </c>
      <c r="N69" t="str">
        <f>IFERROR(INDEX(EQA.Controllab_Dados!N$2:N$5000,MATCH(ROW()-4,EQA.Controllab_Dados!$S$2:$S$5000,0)),"")</f>
        <v/>
      </c>
      <c r="O69" s="137" t="str">
        <f>IFERROR(INDEX(EQA.Controllab_Dados!O$2:O$5000,MATCH(ROW()-4,EQA.Controllab_Dados!$S$2:$S$5000,0)),"")</f>
        <v/>
      </c>
      <c r="P69" s="137" t="str">
        <f>IFERROR(INDEX(EQA.Controllab_Dados!P$2:P$5000,MATCH(ROW()-4,EQA.Controllab_Dados!$S$2:$S$5000,0)),"")</f>
        <v/>
      </c>
      <c r="Q69" s="126" t="str">
        <f>IFERROR(INDEX(EQA.Controllab_Dados!Q$2:Q$5000,MATCH(ROW()-4,EQA.Controllab_Dados!$S$2:$S$5000,0)),"")</f>
        <v/>
      </c>
      <c r="R69" t="str">
        <f>IFERROR(INDEX(EQA.Controllab_Dados!R$2:R$5000,MATCH(ROW()-4,EQA.Controllab_Dados!$S$2:$S$5000,0)),"")</f>
        <v/>
      </c>
    </row>
    <row r="70" spans="1:18" x14ac:dyDescent="0.3">
      <c r="A70" t="str">
        <f>IFERROR(INDEX(EQA.Controllab_Dados!A$2:A$5000,MATCH(ROW()-4,EQA.Controllab_Dados!$S$2:$S$5000,0)),"")</f>
        <v/>
      </c>
      <c r="B70" t="str">
        <f>IFERROR(INDEX(EQA.Controllab_Dados!B$2:B$5000,MATCH(ROW()-4,EQA.Controllab_Dados!$S$2:$S$5000,0)),"")</f>
        <v/>
      </c>
      <c r="C70" s="126" t="str">
        <f>IFERROR(INDEX(EQA.Controllab_Dados!C$2:C$5000,MATCH(ROW()-4,EQA.Controllab_Dados!$S$2:$S$5000,0)),"")</f>
        <v/>
      </c>
      <c r="D70" t="str">
        <f>IFERROR(INDEX(EQA.Controllab_Dados!D$2:D$5000,MATCH(ROW()-4,EQA.Controllab_Dados!$S$2:$S$5000,0)),"")</f>
        <v/>
      </c>
      <c r="E70" t="str">
        <f>IFERROR(INDEX(EQA.Controllab_Dados!E$2:E$5000,MATCH(ROW()-4,EQA.Controllab_Dados!$S$2:$S$5000,0)),"")</f>
        <v/>
      </c>
      <c r="F70" s="137" t="str">
        <f>IFERROR(INDEX(EQA.Controllab_Dados!F$2:F$5000,MATCH(ROW()-4,EQA.Controllab_Dados!$S$2:$S$5000,0)),"")</f>
        <v/>
      </c>
      <c r="G70" s="138" t="str">
        <f>IFERROR(INDEX(EQA.Controllab_Dados!G$2:G$5000,MATCH(ROW()-4,EQA.Controllab_Dados!$S$2:$S$5000,0)),"")</f>
        <v/>
      </c>
      <c r="H70" s="138" t="str">
        <f>IFERROR(INDEX(EQA.Controllab_Dados!H$2:H$5000,MATCH(ROW()-4,EQA.Controllab_Dados!$S$2:$S$5000,0)),"")</f>
        <v/>
      </c>
      <c r="I70" s="139" t="str">
        <f>IFERROR(INDEX(EQA.Controllab_Dados!I$2:I$5000,MATCH(ROW()-4,EQA.Controllab_Dados!$S$2:$S$5000,0)),"")</f>
        <v/>
      </c>
      <c r="J70" s="137" t="str">
        <f>IFERROR(INDEX(EQA.Controllab_Dados!J$2:J$5000,MATCH(ROW()-4,EQA.Controllab_Dados!$S$2:$S$5000,0)),"")</f>
        <v/>
      </c>
      <c r="K70" s="137" t="str">
        <f>IFERROR(INDEX(EQA.Controllab_Dados!K$2:K$5000,MATCH(ROW()-4,EQA.Controllab_Dados!$S$2:$S$5000,0)),"")</f>
        <v/>
      </c>
      <c r="L70" t="str">
        <f>IFERROR(INDEX(EQA.Controllab_Dados!L$2:L$5000,MATCH(ROW()-4,EQA.Controllab_Dados!$S$2:$S$5000,0)),"")</f>
        <v/>
      </c>
      <c r="M70" s="126" t="str">
        <f>IFERROR(INDEX(EQA.Controllab_Dados!M$2:M$5000,MATCH(ROW()-4,EQA.Controllab_Dados!$S$2:$S$5000,0)),"")</f>
        <v/>
      </c>
      <c r="N70" t="str">
        <f>IFERROR(INDEX(EQA.Controllab_Dados!N$2:N$5000,MATCH(ROW()-4,EQA.Controllab_Dados!$S$2:$S$5000,0)),"")</f>
        <v/>
      </c>
      <c r="O70" s="137" t="str">
        <f>IFERROR(INDEX(EQA.Controllab_Dados!O$2:O$5000,MATCH(ROW()-4,EQA.Controllab_Dados!$S$2:$S$5000,0)),"")</f>
        <v/>
      </c>
      <c r="P70" s="137" t="str">
        <f>IFERROR(INDEX(EQA.Controllab_Dados!P$2:P$5000,MATCH(ROW()-4,EQA.Controllab_Dados!$S$2:$S$5000,0)),"")</f>
        <v/>
      </c>
      <c r="Q70" s="126" t="str">
        <f>IFERROR(INDEX(EQA.Controllab_Dados!Q$2:Q$5000,MATCH(ROW()-4,EQA.Controllab_Dados!$S$2:$S$5000,0)),"")</f>
        <v/>
      </c>
      <c r="R70" t="str">
        <f>IFERROR(INDEX(EQA.Controllab_Dados!R$2:R$5000,MATCH(ROW()-4,EQA.Controllab_Dados!$S$2:$S$5000,0)),"")</f>
        <v/>
      </c>
    </row>
    <row r="71" spans="1:18" x14ac:dyDescent="0.3">
      <c r="A71" t="str">
        <f>IFERROR(INDEX(EQA.Controllab_Dados!A$2:A$5000,MATCH(ROW()-4,EQA.Controllab_Dados!$S$2:$S$5000,0)),"")</f>
        <v/>
      </c>
      <c r="B71" t="str">
        <f>IFERROR(INDEX(EQA.Controllab_Dados!B$2:B$5000,MATCH(ROW()-4,EQA.Controllab_Dados!$S$2:$S$5000,0)),"")</f>
        <v/>
      </c>
      <c r="C71" s="126" t="str">
        <f>IFERROR(INDEX(EQA.Controllab_Dados!C$2:C$5000,MATCH(ROW()-4,EQA.Controllab_Dados!$S$2:$S$5000,0)),"")</f>
        <v/>
      </c>
      <c r="D71" t="str">
        <f>IFERROR(INDEX(EQA.Controllab_Dados!D$2:D$5000,MATCH(ROW()-4,EQA.Controllab_Dados!$S$2:$S$5000,0)),"")</f>
        <v/>
      </c>
      <c r="E71" t="str">
        <f>IFERROR(INDEX(EQA.Controllab_Dados!E$2:E$5000,MATCH(ROW()-4,EQA.Controllab_Dados!$S$2:$S$5000,0)),"")</f>
        <v/>
      </c>
      <c r="F71" s="137" t="str">
        <f>IFERROR(INDEX(EQA.Controllab_Dados!F$2:F$5000,MATCH(ROW()-4,EQA.Controllab_Dados!$S$2:$S$5000,0)),"")</f>
        <v/>
      </c>
      <c r="G71" s="138" t="str">
        <f>IFERROR(INDEX(EQA.Controllab_Dados!G$2:G$5000,MATCH(ROW()-4,EQA.Controllab_Dados!$S$2:$S$5000,0)),"")</f>
        <v/>
      </c>
      <c r="H71" s="138" t="str">
        <f>IFERROR(INDEX(EQA.Controllab_Dados!H$2:H$5000,MATCH(ROW()-4,EQA.Controllab_Dados!$S$2:$S$5000,0)),"")</f>
        <v/>
      </c>
      <c r="I71" s="139" t="str">
        <f>IFERROR(INDEX(EQA.Controllab_Dados!I$2:I$5000,MATCH(ROW()-4,EQA.Controllab_Dados!$S$2:$S$5000,0)),"")</f>
        <v/>
      </c>
      <c r="J71" s="137" t="str">
        <f>IFERROR(INDEX(EQA.Controllab_Dados!J$2:J$5000,MATCH(ROW()-4,EQA.Controllab_Dados!$S$2:$S$5000,0)),"")</f>
        <v/>
      </c>
      <c r="K71" s="137" t="str">
        <f>IFERROR(INDEX(EQA.Controllab_Dados!K$2:K$5000,MATCH(ROW()-4,EQA.Controllab_Dados!$S$2:$S$5000,0)),"")</f>
        <v/>
      </c>
      <c r="L71" t="str">
        <f>IFERROR(INDEX(EQA.Controllab_Dados!L$2:L$5000,MATCH(ROW()-4,EQA.Controllab_Dados!$S$2:$S$5000,0)),"")</f>
        <v/>
      </c>
      <c r="M71" s="126" t="str">
        <f>IFERROR(INDEX(EQA.Controllab_Dados!M$2:M$5000,MATCH(ROW()-4,EQA.Controllab_Dados!$S$2:$S$5000,0)),"")</f>
        <v/>
      </c>
      <c r="N71" t="str">
        <f>IFERROR(INDEX(EQA.Controllab_Dados!N$2:N$5000,MATCH(ROW()-4,EQA.Controllab_Dados!$S$2:$S$5000,0)),"")</f>
        <v/>
      </c>
      <c r="O71" s="137" t="str">
        <f>IFERROR(INDEX(EQA.Controllab_Dados!O$2:O$5000,MATCH(ROW()-4,EQA.Controllab_Dados!$S$2:$S$5000,0)),"")</f>
        <v/>
      </c>
      <c r="P71" s="137" t="str">
        <f>IFERROR(INDEX(EQA.Controllab_Dados!P$2:P$5000,MATCH(ROW()-4,EQA.Controllab_Dados!$S$2:$S$5000,0)),"")</f>
        <v/>
      </c>
      <c r="Q71" s="126" t="str">
        <f>IFERROR(INDEX(EQA.Controllab_Dados!Q$2:Q$5000,MATCH(ROW()-4,EQA.Controllab_Dados!$S$2:$S$5000,0)),"")</f>
        <v/>
      </c>
      <c r="R71" t="str">
        <f>IFERROR(INDEX(EQA.Controllab_Dados!R$2:R$5000,MATCH(ROW()-4,EQA.Controllab_Dados!$S$2:$S$5000,0)),"")</f>
        <v/>
      </c>
    </row>
    <row r="72" spans="1:18" x14ac:dyDescent="0.3">
      <c r="A72" t="str">
        <f>IFERROR(INDEX(EQA.Controllab_Dados!A$2:A$5000,MATCH(ROW()-4,EQA.Controllab_Dados!$S$2:$S$5000,0)),"")</f>
        <v/>
      </c>
      <c r="B72" t="str">
        <f>IFERROR(INDEX(EQA.Controllab_Dados!B$2:B$5000,MATCH(ROW()-4,EQA.Controllab_Dados!$S$2:$S$5000,0)),"")</f>
        <v/>
      </c>
      <c r="C72" s="126" t="str">
        <f>IFERROR(INDEX(EQA.Controllab_Dados!C$2:C$5000,MATCH(ROW()-4,EQA.Controllab_Dados!$S$2:$S$5000,0)),"")</f>
        <v/>
      </c>
      <c r="D72" t="str">
        <f>IFERROR(INDEX(EQA.Controllab_Dados!D$2:D$5000,MATCH(ROW()-4,EQA.Controllab_Dados!$S$2:$S$5000,0)),"")</f>
        <v/>
      </c>
      <c r="E72" t="str">
        <f>IFERROR(INDEX(EQA.Controllab_Dados!E$2:E$5000,MATCH(ROW()-4,EQA.Controllab_Dados!$S$2:$S$5000,0)),"")</f>
        <v/>
      </c>
      <c r="F72" s="137" t="str">
        <f>IFERROR(INDEX(EQA.Controllab_Dados!F$2:F$5000,MATCH(ROW()-4,EQA.Controllab_Dados!$S$2:$S$5000,0)),"")</f>
        <v/>
      </c>
      <c r="G72" s="138" t="str">
        <f>IFERROR(INDEX(EQA.Controllab_Dados!G$2:G$5000,MATCH(ROW()-4,EQA.Controllab_Dados!$S$2:$S$5000,0)),"")</f>
        <v/>
      </c>
      <c r="H72" s="138" t="str">
        <f>IFERROR(INDEX(EQA.Controllab_Dados!H$2:H$5000,MATCH(ROW()-4,EQA.Controllab_Dados!$S$2:$S$5000,0)),"")</f>
        <v/>
      </c>
      <c r="I72" s="139" t="str">
        <f>IFERROR(INDEX(EQA.Controllab_Dados!I$2:I$5000,MATCH(ROW()-4,EQA.Controllab_Dados!$S$2:$S$5000,0)),"")</f>
        <v/>
      </c>
      <c r="J72" s="137" t="str">
        <f>IFERROR(INDEX(EQA.Controllab_Dados!J$2:J$5000,MATCH(ROW()-4,EQA.Controllab_Dados!$S$2:$S$5000,0)),"")</f>
        <v/>
      </c>
      <c r="K72" s="137" t="str">
        <f>IFERROR(INDEX(EQA.Controllab_Dados!K$2:K$5000,MATCH(ROW()-4,EQA.Controllab_Dados!$S$2:$S$5000,0)),"")</f>
        <v/>
      </c>
      <c r="L72" t="str">
        <f>IFERROR(INDEX(EQA.Controllab_Dados!L$2:L$5000,MATCH(ROW()-4,EQA.Controllab_Dados!$S$2:$S$5000,0)),"")</f>
        <v/>
      </c>
      <c r="M72" s="126" t="str">
        <f>IFERROR(INDEX(EQA.Controllab_Dados!M$2:M$5000,MATCH(ROW()-4,EQA.Controllab_Dados!$S$2:$S$5000,0)),"")</f>
        <v/>
      </c>
      <c r="N72" t="str">
        <f>IFERROR(INDEX(EQA.Controllab_Dados!N$2:N$5000,MATCH(ROW()-4,EQA.Controllab_Dados!$S$2:$S$5000,0)),"")</f>
        <v/>
      </c>
      <c r="O72" s="137" t="str">
        <f>IFERROR(INDEX(EQA.Controllab_Dados!O$2:O$5000,MATCH(ROW()-4,EQA.Controllab_Dados!$S$2:$S$5000,0)),"")</f>
        <v/>
      </c>
      <c r="P72" s="137" t="str">
        <f>IFERROR(INDEX(EQA.Controllab_Dados!P$2:P$5000,MATCH(ROW()-4,EQA.Controllab_Dados!$S$2:$S$5000,0)),"")</f>
        <v/>
      </c>
      <c r="Q72" s="126" t="str">
        <f>IFERROR(INDEX(EQA.Controllab_Dados!Q$2:Q$5000,MATCH(ROW()-4,EQA.Controllab_Dados!$S$2:$S$5000,0)),"")</f>
        <v/>
      </c>
      <c r="R72" t="str">
        <f>IFERROR(INDEX(EQA.Controllab_Dados!R$2:R$5000,MATCH(ROW()-4,EQA.Controllab_Dados!$S$2:$S$5000,0)),"")</f>
        <v/>
      </c>
    </row>
    <row r="73" spans="1:18" x14ac:dyDescent="0.3">
      <c r="A73" t="str">
        <f>IFERROR(INDEX(EQA.Controllab_Dados!A$2:A$5000,MATCH(ROW()-4,EQA.Controllab_Dados!$S$2:$S$5000,0)),"")</f>
        <v/>
      </c>
      <c r="B73" t="str">
        <f>IFERROR(INDEX(EQA.Controllab_Dados!B$2:B$5000,MATCH(ROW()-4,EQA.Controllab_Dados!$S$2:$S$5000,0)),"")</f>
        <v/>
      </c>
      <c r="C73" s="126" t="str">
        <f>IFERROR(INDEX(EQA.Controllab_Dados!C$2:C$5000,MATCH(ROW()-4,EQA.Controllab_Dados!$S$2:$S$5000,0)),"")</f>
        <v/>
      </c>
      <c r="D73" t="str">
        <f>IFERROR(INDEX(EQA.Controllab_Dados!D$2:D$5000,MATCH(ROW()-4,EQA.Controllab_Dados!$S$2:$S$5000,0)),"")</f>
        <v/>
      </c>
      <c r="E73" t="str">
        <f>IFERROR(INDEX(EQA.Controllab_Dados!E$2:E$5000,MATCH(ROW()-4,EQA.Controllab_Dados!$S$2:$S$5000,0)),"")</f>
        <v/>
      </c>
      <c r="F73" s="137" t="str">
        <f>IFERROR(INDEX(EQA.Controllab_Dados!F$2:F$5000,MATCH(ROW()-4,EQA.Controllab_Dados!$S$2:$S$5000,0)),"")</f>
        <v/>
      </c>
      <c r="G73" s="138" t="str">
        <f>IFERROR(INDEX(EQA.Controllab_Dados!G$2:G$5000,MATCH(ROW()-4,EQA.Controllab_Dados!$S$2:$S$5000,0)),"")</f>
        <v/>
      </c>
      <c r="H73" s="138" t="str">
        <f>IFERROR(INDEX(EQA.Controllab_Dados!H$2:H$5000,MATCH(ROW()-4,EQA.Controllab_Dados!$S$2:$S$5000,0)),"")</f>
        <v/>
      </c>
      <c r="I73" s="139" t="str">
        <f>IFERROR(INDEX(EQA.Controllab_Dados!I$2:I$5000,MATCH(ROW()-4,EQA.Controllab_Dados!$S$2:$S$5000,0)),"")</f>
        <v/>
      </c>
      <c r="J73" s="137" t="str">
        <f>IFERROR(INDEX(EQA.Controllab_Dados!J$2:J$5000,MATCH(ROW()-4,EQA.Controllab_Dados!$S$2:$S$5000,0)),"")</f>
        <v/>
      </c>
      <c r="K73" s="137" t="str">
        <f>IFERROR(INDEX(EQA.Controllab_Dados!K$2:K$5000,MATCH(ROW()-4,EQA.Controllab_Dados!$S$2:$S$5000,0)),"")</f>
        <v/>
      </c>
      <c r="L73" t="str">
        <f>IFERROR(INDEX(EQA.Controllab_Dados!L$2:L$5000,MATCH(ROW()-4,EQA.Controllab_Dados!$S$2:$S$5000,0)),"")</f>
        <v/>
      </c>
      <c r="M73" s="126" t="str">
        <f>IFERROR(INDEX(EQA.Controllab_Dados!M$2:M$5000,MATCH(ROW()-4,EQA.Controllab_Dados!$S$2:$S$5000,0)),"")</f>
        <v/>
      </c>
      <c r="N73" t="str">
        <f>IFERROR(INDEX(EQA.Controllab_Dados!N$2:N$5000,MATCH(ROW()-4,EQA.Controllab_Dados!$S$2:$S$5000,0)),"")</f>
        <v/>
      </c>
      <c r="O73" s="137" t="str">
        <f>IFERROR(INDEX(EQA.Controllab_Dados!O$2:O$5000,MATCH(ROW()-4,EQA.Controllab_Dados!$S$2:$S$5000,0)),"")</f>
        <v/>
      </c>
      <c r="P73" s="137" t="str">
        <f>IFERROR(INDEX(EQA.Controllab_Dados!P$2:P$5000,MATCH(ROW()-4,EQA.Controllab_Dados!$S$2:$S$5000,0)),"")</f>
        <v/>
      </c>
      <c r="Q73" s="126" t="str">
        <f>IFERROR(INDEX(EQA.Controllab_Dados!Q$2:Q$5000,MATCH(ROW()-4,EQA.Controllab_Dados!$S$2:$S$5000,0)),"")</f>
        <v/>
      </c>
      <c r="R73" t="str">
        <f>IFERROR(INDEX(EQA.Controllab_Dados!R$2:R$5000,MATCH(ROW()-4,EQA.Controllab_Dados!$S$2:$S$5000,0)),"")</f>
        <v/>
      </c>
    </row>
    <row r="74" spans="1:18" x14ac:dyDescent="0.3">
      <c r="A74" t="str">
        <f>IFERROR(INDEX(EQA.Controllab_Dados!A$2:A$5000,MATCH(ROW()-4,EQA.Controllab_Dados!$S$2:$S$5000,0)),"")</f>
        <v/>
      </c>
      <c r="B74" t="str">
        <f>IFERROR(INDEX(EQA.Controllab_Dados!B$2:B$5000,MATCH(ROW()-4,EQA.Controllab_Dados!$S$2:$S$5000,0)),"")</f>
        <v/>
      </c>
      <c r="C74" s="126" t="str">
        <f>IFERROR(INDEX(EQA.Controllab_Dados!C$2:C$5000,MATCH(ROW()-4,EQA.Controllab_Dados!$S$2:$S$5000,0)),"")</f>
        <v/>
      </c>
      <c r="D74" t="str">
        <f>IFERROR(INDEX(EQA.Controllab_Dados!D$2:D$5000,MATCH(ROW()-4,EQA.Controllab_Dados!$S$2:$S$5000,0)),"")</f>
        <v/>
      </c>
      <c r="E74" t="str">
        <f>IFERROR(INDEX(EQA.Controllab_Dados!E$2:E$5000,MATCH(ROW()-4,EQA.Controllab_Dados!$S$2:$S$5000,0)),"")</f>
        <v/>
      </c>
      <c r="F74" s="137" t="str">
        <f>IFERROR(INDEX(EQA.Controllab_Dados!F$2:F$5000,MATCH(ROW()-4,EQA.Controllab_Dados!$S$2:$S$5000,0)),"")</f>
        <v/>
      </c>
      <c r="G74" s="138" t="str">
        <f>IFERROR(INDEX(EQA.Controllab_Dados!G$2:G$5000,MATCH(ROW()-4,EQA.Controllab_Dados!$S$2:$S$5000,0)),"")</f>
        <v/>
      </c>
      <c r="H74" s="138" t="str">
        <f>IFERROR(INDEX(EQA.Controllab_Dados!H$2:H$5000,MATCH(ROW()-4,EQA.Controllab_Dados!$S$2:$S$5000,0)),"")</f>
        <v/>
      </c>
      <c r="I74" s="139" t="str">
        <f>IFERROR(INDEX(EQA.Controllab_Dados!I$2:I$5000,MATCH(ROW()-4,EQA.Controllab_Dados!$S$2:$S$5000,0)),"")</f>
        <v/>
      </c>
      <c r="J74" s="137" t="str">
        <f>IFERROR(INDEX(EQA.Controllab_Dados!J$2:J$5000,MATCH(ROW()-4,EQA.Controllab_Dados!$S$2:$S$5000,0)),"")</f>
        <v/>
      </c>
      <c r="K74" s="137" t="str">
        <f>IFERROR(INDEX(EQA.Controllab_Dados!K$2:K$5000,MATCH(ROW()-4,EQA.Controllab_Dados!$S$2:$S$5000,0)),"")</f>
        <v/>
      </c>
      <c r="L74" t="str">
        <f>IFERROR(INDEX(EQA.Controllab_Dados!L$2:L$5000,MATCH(ROW()-4,EQA.Controllab_Dados!$S$2:$S$5000,0)),"")</f>
        <v/>
      </c>
      <c r="M74" s="126" t="str">
        <f>IFERROR(INDEX(EQA.Controllab_Dados!M$2:M$5000,MATCH(ROW()-4,EQA.Controllab_Dados!$S$2:$S$5000,0)),"")</f>
        <v/>
      </c>
      <c r="N74" t="str">
        <f>IFERROR(INDEX(EQA.Controllab_Dados!N$2:N$5000,MATCH(ROW()-4,EQA.Controllab_Dados!$S$2:$S$5000,0)),"")</f>
        <v/>
      </c>
      <c r="O74" s="137" t="str">
        <f>IFERROR(INDEX(EQA.Controllab_Dados!O$2:O$5000,MATCH(ROW()-4,EQA.Controllab_Dados!$S$2:$S$5000,0)),"")</f>
        <v/>
      </c>
      <c r="P74" s="137" t="str">
        <f>IFERROR(INDEX(EQA.Controllab_Dados!P$2:P$5000,MATCH(ROW()-4,EQA.Controllab_Dados!$S$2:$S$5000,0)),"")</f>
        <v/>
      </c>
      <c r="Q74" s="126" t="str">
        <f>IFERROR(INDEX(EQA.Controllab_Dados!Q$2:Q$5000,MATCH(ROW()-4,EQA.Controllab_Dados!$S$2:$S$5000,0)),"")</f>
        <v/>
      </c>
      <c r="R74" t="str">
        <f>IFERROR(INDEX(EQA.Controllab_Dados!R$2:R$5000,MATCH(ROW()-4,EQA.Controllab_Dados!$S$2:$S$5000,0)),"")</f>
        <v/>
      </c>
    </row>
    <row r="75" spans="1:18" x14ac:dyDescent="0.3">
      <c r="A75" t="str">
        <f>IFERROR(INDEX(EQA.Controllab_Dados!A$2:A$5000,MATCH(ROW()-4,EQA.Controllab_Dados!$S$2:$S$5000,0)),"")</f>
        <v/>
      </c>
      <c r="B75" t="str">
        <f>IFERROR(INDEX(EQA.Controllab_Dados!B$2:B$5000,MATCH(ROW()-4,EQA.Controllab_Dados!$S$2:$S$5000,0)),"")</f>
        <v/>
      </c>
      <c r="C75" s="126" t="str">
        <f>IFERROR(INDEX(EQA.Controllab_Dados!C$2:C$5000,MATCH(ROW()-4,EQA.Controllab_Dados!$S$2:$S$5000,0)),"")</f>
        <v/>
      </c>
      <c r="D75" t="str">
        <f>IFERROR(INDEX(EQA.Controllab_Dados!D$2:D$5000,MATCH(ROW()-4,EQA.Controllab_Dados!$S$2:$S$5000,0)),"")</f>
        <v/>
      </c>
      <c r="E75" t="str">
        <f>IFERROR(INDEX(EQA.Controllab_Dados!E$2:E$5000,MATCH(ROW()-4,EQA.Controllab_Dados!$S$2:$S$5000,0)),"")</f>
        <v/>
      </c>
      <c r="F75" s="137" t="str">
        <f>IFERROR(INDEX(EQA.Controllab_Dados!F$2:F$5000,MATCH(ROW()-4,EQA.Controllab_Dados!$S$2:$S$5000,0)),"")</f>
        <v/>
      </c>
      <c r="G75" s="138" t="str">
        <f>IFERROR(INDEX(EQA.Controllab_Dados!G$2:G$5000,MATCH(ROW()-4,EQA.Controllab_Dados!$S$2:$S$5000,0)),"")</f>
        <v/>
      </c>
      <c r="H75" s="138" t="str">
        <f>IFERROR(INDEX(EQA.Controllab_Dados!H$2:H$5000,MATCH(ROW()-4,EQA.Controllab_Dados!$S$2:$S$5000,0)),"")</f>
        <v/>
      </c>
      <c r="I75" s="139" t="str">
        <f>IFERROR(INDEX(EQA.Controllab_Dados!I$2:I$5000,MATCH(ROW()-4,EQA.Controllab_Dados!$S$2:$S$5000,0)),"")</f>
        <v/>
      </c>
      <c r="J75" s="137" t="str">
        <f>IFERROR(INDEX(EQA.Controllab_Dados!J$2:J$5000,MATCH(ROW()-4,EQA.Controllab_Dados!$S$2:$S$5000,0)),"")</f>
        <v/>
      </c>
      <c r="K75" s="137" t="str">
        <f>IFERROR(INDEX(EQA.Controllab_Dados!K$2:K$5000,MATCH(ROW()-4,EQA.Controllab_Dados!$S$2:$S$5000,0)),"")</f>
        <v/>
      </c>
      <c r="L75" t="str">
        <f>IFERROR(INDEX(EQA.Controllab_Dados!L$2:L$5000,MATCH(ROW()-4,EQA.Controllab_Dados!$S$2:$S$5000,0)),"")</f>
        <v/>
      </c>
      <c r="M75" s="126" t="str">
        <f>IFERROR(INDEX(EQA.Controllab_Dados!M$2:M$5000,MATCH(ROW()-4,EQA.Controllab_Dados!$S$2:$S$5000,0)),"")</f>
        <v/>
      </c>
      <c r="N75" t="str">
        <f>IFERROR(INDEX(EQA.Controllab_Dados!N$2:N$5000,MATCH(ROW()-4,EQA.Controllab_Dados!$S$2:$S$5000,0)),"")</f>
        <v/>
      </c>
      <c r="O75" s="137" t="str">
        <f>IFERROR(INDEX(EQA.Controllab_Dados!O$2:O$5000,MATCH(ROW()-4,EQA.Controllab_Dados!$S$2:$S$5000,0)),"")</f>
        <v/>
      </c>
      <c r="P75" s="137" t="str">
        <f>IFERROR(INDEX(EQA.Controllab_Dados!P$2:P$5000,MATCH(ROW()-4,EQA.Controllab_Dados!$S$2:$S$5000,0)),"")</f>
        <v/>
      </c>
      <c r="Q75" s="126" t="str">
        <f>IFERROR(INDEX(EQA.Controllab_Dados!Q$2:Q$5000,MATCH(ROW()-4,EQA.Controllab_Dados!$S$2:$S$5000,0)),"")</f>
        <v/>
      </c>
      <c r="R75" t="str">
        <f>IFERROR(INDEX(EQA.Controllab_Dados!R$2:R$5000,MATCH(ROW()-4,EQA.Controllab_Dados!$S$2:$S$5000,0)),"")</f>
        <v/>
      </c>
    </row>
    <row r="76" spans="1:18" x14ac:dyDescent="0.3">
      <c r="A76" t="str">
        <f>IFERROR(INDEX(EQA.Controllab_Dados!A$2:A$5000,MATCH(ROW()-4,EQA.Controllab_Dados!$S$2:$S$5000,0)),"")</f>
        <v/>
      </c>
      <c r="B76" t="str">
        <f>IFERROR(INDEX(EQA.Controllab_Dados!B$2:B$5000,MATCH(ROW()-4,EQA.Controllab_Dados!$S$2:$S$5000,0)),"")</f>
        <v/>
      </c>
      <c r="C76" s="126" t="str">
        <f>IFERROR(INDEX(EQA.Controllab_Dados!C$2:C$5000,MATCH(ROW()-4,EQA.Controllab_Dados!$S$2:$S$5000,0)),"")</f>
        <v/>
      </c>
      <c r="D76" t="str">
        <f>IFERROR(INDEX(EQA.Controllab_Dados!D$2:D$5000,MATCH(ROW()-4,EQA.Controllab_Dados!$S$2:$S$5000,0)),"")</f>
        <v/>
      </c>
      <c r="E76" t="str">
        <f>IFERROR(INDEX(EQA.Controllab_Dados!E$2:E$5000,MATCH(ROW()-4,EQA.Controllab_Dados!$S$2:$S$5000,0)),"")</f>
        <v/>
      </c>
      <c r="F76" s="137" t="str">
        <f>IFERROR(INDEX(EQA.Controllab_Dados!F$2:F$5000,MATCH(ROW()-4,EQA.Controllab_Dados!$S$2:$S$5000,0)),"")</f>
        <v/>
      </c>
      <c r="G76" s="138" t="str">
        <f>IFERROR(INDEX(EQA.Controllab_Dados!G$2:G$5000,MATCH(ROW()-4,EQA.Controllab_Dados!$S$2:$S$5000,0)),"")</f>
        <v/>
      </c>
      <c r="H76" s="138" t="str">
        <f>IFERROR(INDEX(EQA.Controllab_Dados!H$2:H$5000,MATCH(ROW()-4,EQA.Controllab_Dados!$S$2:$S$5000,0)),"")</f>
        <v/>
      </c>
      <c r="I76" s="139" t="str">
        <f>IFERROR(INDEX(EQA.Controllab_Dados!I$2:I$5000,MATCH(ROW()-4,EQA.Controllab_Dados!$S$2:$S$5000,0)),"")</f>
        <v/>
      </c>
      <c r="J76" s="137" t="str">
        <f>IFERROR(INDEX(EQA.Controllab_Dados!J$2:J$5000,MATCH(ROW()-4,EQA.Controllab_Dados!$S$2:$S$5000,0)),"")</f>
        <v/>
      </c>
      <c r="K76" s="137" t="str">
        <f>IFERROR(INDEX(EQA.Controllab_Dados!K$2:K$5000,MATCH(ROW()-4,EQA.Controllab_Dados!$S$2:$S$5000,0)),"")</f>
        <v/>
      </c>
      <c r="L76" t="str">
        <f>IFERROR(INDEX(EQA.Controllab_Dados!L$2:L$5000,MATCH(ROW()-4,EQA.Controllab_Dados!$S$2:$S$5000,0)),"")</f>
        <v/>
      </c>
      <c r="M76" s="126" t="str">
        <f>IFERROR(INDEX(EQA.Controllab_Dados!M$2:M$5000,MATCH(ROW()-4,EQA.Controllab_Dados!$S$2:$S$5000,0)),"")</f>
        <v/>
      </c>
      <c r="N76" t="str">
        <f>IFERROR(INDEX(EQA.Controllab_Dados!N$2:N$5000,MATCH(ROW()-4,EQA.Controllab_Dados!$S$2:$S$5000,0)),"")</f>
        <v/>
      </c>
      <c r="O76" s="137" t="str">
        <f>IFERROR(INDEX(EQA.Controllab_Dados!O$2:O$5000,MATCH(ROW()-4,EQA.Controllab_Dados!$S$2:$S$5000,0)),"")</f>
        <v/>
      </c>
      <c r="P76" s="137" t="str">
        <f>IFERROR(INDEX(EQA.Controllab_Dados!P$2:P$5000,MATCH(ROW()-4,EQA.Controllab_Dados!$S$2:$S$5000,0)),"")</f>
        <v/>
      </c>
      <c r="Q76" s="126" t="str">
        <f>IFERROR(INDEX(EQA.Controllab_Dados!Q$2:Q$5000,MATCH(ROW()-4,EQA.Controllab_Dados!$S$2:$S$5000,0)),"")</f>
        <v/>
      </c>
      <c r="R76" t="str">
        <f>IFERROR(INDEX(EQA.Controllab_Dados!R$2:R$5000,MATCH(ROW()-4,EQA.Controllab_Dados!$S$2:$S$5000,0)),"")</f>
        <v/>
      </c>
    </row>
    <row r="77" spans="1:18" x14ac:dyDescent="0.3">
      <c r="A77" t="str">
        <f>IFERROR(INDEX(EQA.Controllab_Dados!A$2:A$5000,MATCH(ROW()-4,EQA.Controllab_Dados!$S$2:$S$5000,0)),"")</f>
        <v/>
      </c>
      <c r="B77" t="str">
        <f>IFERROR(INDEX(EQA.Controllab_Dados!B$2:B$5000,MATCH(ROW()-4,EQA.Controllab_Dados!$S$2:$S$5000,0)),"")</f>
        <v/>
      </c>
      <c r="C77" s="126" t="str">
        <f>IFERROR(INDEX(EQA.Controllab_Dados!C$2:C$5000,MATCH(ROW()-4,EQA.Controllab_Dados!$S$2:$S$5000,0)),"")</f>
        <v/>
      </c>
      <c r="D77" t="str">
        <f>IFERROR(INDEX(EQA.Controllab_Dados!D$2:D$5000,MATCH(ROW()-4,EQA.Controllab_Dados!$S$2:$S$5000,0)),"")</f>
        <v/>
      </c>
      <c r="E77" t="str">
        <f>IFERROR(INDEX(EQA.Controllab_Dados!E$2:E$5000,MATCH(ROW()-4,EQA.Controllab_Dados!$S$2:$S$5000,0)),"")</f>
        <v/>
      </c>
      <c r="F77" s="137" t="str">
        <f>IFERROR(INDEX(EQA.Controllab_Dados!F$2:F$5000,MATCH(ROW()-4,EQA.Controllab_Dados!$S$2:$S$5000,0)),"")</f>
        <v/>
      </c>
      <c r="G77" s="138" t="str">
        <f>IFERROR(INDEX(EQA.Controllab_Dados!G$2:G$5000,MATCH(ROW()-4,EQA.Controllab_Dados!$S$2:$S$5000,0)),"")</f>
        <v/>
      </c>
      <c r="H77" s="138" t="str">
        <f>IFERROR(INDEX(EQA.Controllab_Dados!H$2:H$5000,MATCH(ROW()-4,EQA.Controllab_Dados!$S$2:$S$5000,0)),"")</f>
        <v/>
      </c>
      <c r="I77" s="139" t="str">
        <f>IFERROR(INDEX(EQA.Controllab_Dados!I$2:I$5000,MATCH(ROW()-4,EQA.Controllab_Dados!$S$2:$S$5000,0)),"")</f>
        <v/>
      </c>
      <c r="J77" s="137" t="str">
        <f>IFERROR(INDEX(EQA.Controllab_Dados!J$2:J$5000,MATCH(ROW()-4,EQA.Controllab_Dados!$S$2:$S$5000,0)),"")</f>
        <v/>
      </c>
      <c r="K77" s="137" t="str">
        <f>IFERROR(INDEX(EQA.Controllab_Dados!K$2:K$5000,MATCH(ROW()-4,EQA.Controllab_Dados!$S$2:$S$5000,0)),"")</f>
        <v/>
      </c>
      <c r="L77" t="str">
        <f>IFERROR(INDEX(EQA.Controllab_Dados!L$2:L$5000,MATCH(ROW()-4,EQA.Controllab_Dados!$S$2:$S$5000,0)),"")</f>
        <v/>
      </c>
      <c r="M77" s="126" t="str">
        <f>IFERROR(INDEX(EQA.Controllab_Dados!M$2:M$5000,MATCH(ROW()-4,EQA.Controllab_Dados!$S$2:$S$5000,0)),"")</f>
        <v/>
      </c>
      <c r="N77" t="str">
        <f>IFERROR(INDEX(EQA.Controllab_Dados!N$2:N$5000,MATCH(ROW()-4,EQA.Controllab_Dados!$S$2:$S$5000,0)),"")</f>
        <v/>
      </c>
      <c r="O77" s="137" t="str">
        <f>IFERROR(INDEX(EQA.Controllab_Dados!O$2:O$5000,MATCH(ROW()-4,EQA.Controllab_Dados!$S$2:$S$5000,0)),"")</f>
        <v/>
      </c>
      <c r="P77" s="137" t="str">
        <f>IFERROR(INDEX(EQA.Controllab_Dados!P$2:P$5000,MATCH(ROW()-4,EQA.Controllab_Dados!$S$2:$S$5000,0)),"")</f>
        <v/>
      </c>
      <c r="Q77" s="126" t="str">
        <f>IFERROR(INDEX(EQA.Controllab_Dados!Q$2:Q$5000,MATCH(ROW()-4,EQA.Controllab_Dados!$S$2:$S$5000,0)),"")</f>
        <v/>
      </c>
      <c r="R77" t="str">
        <f>IFERROR(INDEX(EQA.Controllab_Dados!R$2:R$5000,MATCH(ROW()-4,EQA.Controllab_Dados!$S$2:$S$5000,0)),"")</f>
        <v/>
      </c>
    </row>
    <row r="78" spans="1:18" x14ac:dyDescent="0.3">
      <c r="A78" t="str">
        <f>IFERROR(INDEX(EQA.Controllab_Dados!A$2:A$5000,MATCH(ROW()-4,EQA.Controllab_Dados!$S$2:$S$5000,0)),"")</f>
        <v/>
      </c>
      <c r="B78" t="str">
        <f>IFERROR(INDEX(EQA.Controllab_Dados!B$2:B$5000,MATCH(ROW()-4,EQA.Controllab_Dados!$S$2:$S$5000,0)),"")</f>
        <v/>
      </c>
      <c r="C78" s="126" t="str">
        <f>IFERROR(INDEX(EQA.Controllab_Dados!C$2:C$5000,MATCH(ROW()-4,EQA.Controllab_Dados!$S$2:$S$5000,0)),"")</f>
        <v/>
      </c>
      <c r="D78" t="str">
        <f>IFERROR(INDEX(EQA.Controllab_Dados!D$2:D$5000,MATCH(ROW()-4,EQA.Controllab_Dados!$S$2:$S$5000,0)),"")</f>
        <v/>
      </c>
      <c r="E78" t="str">
        <f>IFERROR(INDEX(EQA.Controllab_Dados!E$2:E$5000,MATCH(ROW()-4,EQA.Controllab_Dados!$S$2:$S$5000,0)),"")</f>
        <v/>
      </c>
      <c r="F78" s="137" t="str">
        <f>IFERROR(INDEX(EQA.Controllab_Dados!F$2:F$5000,MATCH(ROW()-4,EQA.Controllab_Dados!$S$2:$S$5000,0)),"")</f>
        <v/>
      </c>
      <c r="G78" s="138" t="str">
        <f>IFERROR(INDEX(EQA.Controllab_Dados!G$2:G$5000,MATCH(ROW()-4,EQA.Controllab_Dados!$S$2:$S$5000,0)),"")</f>
        <v/>
      </c>
      <c r="H78" s="138" t="str">
        <f>IFERROR(INDEX(EQA.Controllab_Dados!H$2:H$5000,MATCH(ROW()-4,EQA.Controllab_Dados!$S$2:$S$5000,0)),"")</f>
        <v/>
      </c>
      <c r="I78" s="139" t="str">
        <f>IFERROR(INDEX(EQA.Controllab_Dados!I$2:I$5000,MATCH(ROW()-4,EQA.Controllab_Dados!$S$2:$S$5000,0)),"")</f>
        <v/>
      </c>
      <c r="J78" s="137" t="str">
        <f>IFERROR(INDEX(EQA.Controllab_Dados!J$2:J$5000,MATCH(ROW()-4,EQA.Controllab_Dados!$S$2:$S$5000,0)),"")</f>
        <v/>
      </c>
      <c r="K78" s="137" t="str">
        <f>IFERROR(INDEX(EQA.Controllab_Dados!K$2:K$5000,MATCH(ROW()-4,EQA.Controllab_Dados!$S$2:$S$5000,0)),"")</f>
        <v/>
      </c>
      <c r="L78" t="str">
        <f>IFERROR(INDEX(EQA.Controllab_Dados!L$2:L$5000,MATCH(ROW()-4,EQA.Controllab_Dados!$S$2:$S$5000,0)),"")</f>
        <v/>
      </c>
      <c r="M78" s="126" t="str">
        <f>IFERROR(INDEX(EQA.Controllab_Dados!M$2:M$5000,MATCH(ROW()-4,EQA.Controllab_Dados!$S$2:$S$5000,0)),"")</f>
        <v/>
      </c>
      <c r="N78" t="str">
        <f>IFERROR(INDEX(EQA.Controllab_Dados!N$2:N$5000,MATCH(ROW()-4,EQA.Controllab_Dados!$S$2:$S$5000,0)),"")</f>
        <v/>
      </c>
      <c r="O78" s="137" t="str">
        <f>IFERROR(INDEX(EQA.Controllab_Dados!O$2:O$5000,MATCH(ROW()-4,EQA.Controllab_Dados!$S$2:$S$5000,0)),"")</f>
        <v/>
      </c>
      <c r="P78" s="137" t="str">
        <f>IFERROR(INDEX(EQA.Controllab_Dados!P$2:P$5000,MATCH(ROW()-4,EQA.Controllab_Dados!$S$2:$S$5000,0)),"")</f>
        <v/>
      </c>
      <c r="Q78" s="126" t="str">
        <f>IFERROR(INDEX(EQA.Controllab_Dados!Q$2:Q$5000,MATCH(ROW()-4,EQA.Controllab_Dados!$S$2:$S$5000,0)),"")</f>
        <v/>
      </c>
      <c r="R78" t="str">
        <f>IFERROR(INDEX(EQA.Controllab_Dados!R$2:R$5000,MATCH(ROW()-4,EQA.Controllab_Dados!$S$2:$S$5000,0)),"")</f>
        <v/>
      </c>
    </row>
    <row r="79" spans="1:18" x14ac:dyDescent="0.3">
      <c r="A79" t="str">
        <f>IFERROR(INDEX(EQA.Controllab_Dados!A$2:A$5000,MATCH(ROW()-4,EQA.Controllab_Dados!$S$2:$S$5000,0)),"")</f>
        <v/>
      </c>
      <c r="B79" t="str">
        <f>IFERROR(INDEX(EQA.Controllab_Dados!B$2:B$5000,MATCH(ROW()-4,EQA.Controllab_Dados!$S$2:$S$5000,0)),"")</f>
        <v/>
      </c>
      <c r="C79" s="126" t="str">
        <f>IFERROR(INDEX(EQA.Controllab_Dados!C$2:C$5000,MATCH(ROW()-4,EQA.Controllab_Dados!$S$2:$S$5000,0)),"")</f>
        <v/>
      </c>
      <c r="D79" t="str">
        <f>IFERROR(INDEX(EQA.Controllab_Dados!D$2:D$5000,MATCH(ROW()-4,EQA.Controllab_Dados!$S$2:$S$5000,0)),"")</f>
        <v/>
      </c>
      <c r="E79" t="str">
        <f>IFERROR(INDEX(EQA.Controllab_Dados!E$2:E$5000,MATCH(ROW()-4,EQA.Controllab_Dados!$S$2:$S$5000,0)),"")</f>
        <v/>
      </c>
      <c r="F79" s="137" t="str">
        <f>IFERROR(INDEX(EQA.Controllab_Dados!F$2:F$5000,MATCH(ROW()-4,EQA.Controllab_Dados!$S$2:$S$5000,0)),"")</f>
        <v/>
      </c>
      <c r="G79" s="138" t="str">
        <f>IFERROR(INDEX(EQA.Controllab_Dados!G$2:G$5000,MATCH(ROW()-4,EQA.Controllab_Dados!$S$2:$S$5000,0)),"")</f>
        <v/>
      </c>
      <c r="H79" s="138" t="str">
        <f>IFERROR(INDEX(EQA.Controllab_Dados!H$2:H$5000,MATCH(ROW()-4,EQA.Controllab_Dados!$S$2:$S$5000,0)),"")</f>
        <v/>
      </c>
      <c r="I79" s="139" t="str">
        <f>IFERROR(INDEX(EQA.Controllab_Dados!I$2:I$5000,MATCH(ROW()-4,EQA.Controllab_Dados!$S$2:$S$5000,0)),"")</f>
        <v/>
      </c>
      <c r="J79" s="137" t="str">
        <f>IFERROR(INDEX(EQA.Controllab_Dados!J$2:J$5000,MATCH(ROW()-4,EQA.Controllab_Dados!$S$2:$S$5000,0)),"")</f>
        <v/>
      </c>
      <c r="K79" s="137" t="str">
        <f>IFERROR(INDEX(EQA.Controllab_Dados!K$2:K$5000,MATCH(ROW()-4,EQA.Controllab_Dados!$S$2:$S$5000,0)),"")</f>
        <v/>
      </c>
      <c r="L79" t="str">
        <f>IFERROR(INDEX(EQA.Controllab_Dados!L$2:L$5000,MATCH(ROW()-4,EQA.Controllab_Dados!$S$2:$S$5000,0)),"")</f>
        <v/>
      </c>
      <c r="M79" s="126" t="str">
        <f>IFERROR(INDEX(EQA.Controllab_Dados!M$2:M$5000,MATCH(ROW()-4,EQA.Controllab_Dados!$S$2:$S$5000,0)),"")</f>
        <v/>
      </c>
      <c r="N79" t="str">
        <f>IFERROR(INDEX(EQA.Controllab_Dados!N$2:N$5000,MATCH(ROW()-4,EQA.Controllab_Dados!$S$2:$S$5000,0)),"")</f>
        <v/>
      </c>
      <c r="O79" s="137" t="str">
        <f>IFERROR(INDEX(EQA.Controllab_Dados!O$2:O$5000,MATCH(ROW()-4,EQA.Controllab_Dados!$S$2:$S$5000,0)),"")</f>
        <v/>
      </c>
      <c r="P79" s="137" t="str">
        <f>IFERROR(INDEX(EQA.Controllab_Dados!P$2:P$5000,MATCH(ROW()-4,EQA.Controllab_Dados!$S$2:$S$5000,0)),"")</f>
        <v/>
      </c>
      <c r="Q79" s="126" t="str">
        <f>IFERROR(INDEX(EQA.Controllab_Dados!Q$2:Q$5000,MATCH(ROW()-4,EQA.Controllab_Dados!$S$2:$S$5000,0)),"")</f>
        <v/>
      </c>
      <c r="R79" t="str">
        <f>IFERROR(INDEX(EQA.Controllab_Dados!R$2:R$5000,MATCH(ROW()-4,EQA.Controllab_Dados!$S$2:$S$5000,0)),"")</f>
        <v/>
      </c>
    </row>
    <row r="80" spans="1:18" x14ac:dyDescent="0.3">
      <c r="A80" t="str">
        <f>IFERROR(INDEX(EQA.Controllab_Dados!A$2:A$5000,MATCH(ROW()-4,EQA.Controllab_Dados!$S$2:$S$5000,0)),"")</f>
        <v/>
      </c>
      <c r="B80" t="str">
        <f>IFERROR(INDEX(EQA.Controllab_Dados!B$2:B$5000,MATCH(ROW()-4,EQA.Controllab_Dados!$S$2:$S$5000,0)),"")</f>
        <v/>
      </c>
      <c r="C80" s="126" t="str">
        <f>IFERROR(INDEX(EQA.Controllab_Dados!C$2:C$5000,MATCH(ROW()-4,EQA.Controllab_Dados!$S$2:$S$5000,0)),"")</f>
        <v/>
      </c>
      <c r="D80" t="str">
        <f>IFERROR(INDEX(EQA.Controllab_Dados!D$2:D$5000,MATCH(ROW()-4,EQA.Controllab_Dados!$S$2:$S$5000,0)),"")</f>
        <v/>
      </c>
      <c r="E80" t="str">
        <f>IFERROR(INDEX(EQA.Controllab_Dados!E$2:E$5000,MATCH(ROW()-4,EQA.Controllab_Dados!$S$2:$S$5000,0)),"")</f>
        <v/>
      </c>
      <c r="F80" s="137" t="str">
        <f>IFERROR(INDEX(EQA.Controllab_Dados!F$2:F$5000,MATCH(ROW()-4,EQA.Controllab_Dados!$S$2:$S$5000,0)),"")</f>
        <v/>
      </c>
      <c r="G80" s="138" t="str">
        <f>IFERROR(INDEX(EQA.Controllab_Dados!G$2:G$5000,MATCH(ROW()-4,EQA.Controllab_Dados!$S$2:$S$5000,0)),"")</f>
        <v/>
      </c>
      <c r="H80" s="138" t="str">
        <f>IFERROR(INDEX(EQA.Controllab_Dados!H$2:H$5000,MATCH(ROW()-4,EQA.Controllab_Dados!$S$2:$S$5000,0)),"")</f>
        <v/>
      </c>
      <c r="I80" s="139" t="str">
        <f>IFERROR(INDEX(EQA.Controllab_Dados!I$2:I$5000,MATCH(ROW()-4,EQA.Controllab_Dados!$S$2:$S$5000,0)),"")</f>
        <v/>
      </c>
      <c r="J80" s="137" t="str">
        <f>IFERROR(INDEX(EQA.Controllab_Dados!J$2:J$5000,MATCH(ROW()-4,EQA.Controllab_Dados!$S$2:$S$5000,0)),"")</f>
        <v/>
      </c>
      <c r="K80" s="137" t="str">
        <f>IFERROR(INDEX(EQA.Controllab_Dados!K$2:K$5000,MATCH(ROW()-4,EQA.Controllab_Dados!$S$2:$S$5000,0)),"")</f>
        <v/>
      </c>
      <c r="L80" t="str">
        <f>IFERROR(INDEX(EQA.Controllab_Dados!L$2:L$5000,MATCH(ROW()-4,EQA.Controllab_Dados!$S$2:$S$5000,0)),"")</f>
        <v/>
      </c>
      <c r="M80" s="126" t="str">
        <f>IFERROR(INDEX(EQA.Controllab_Dados!M$2:M$5000,MATCH(ROW()-4,EQA.Controllab_Dados!$S$2:$S$5000,0)),"")</f>
        <v/>
      </c>
      <c r="N80" t="str">
        <f>IFERROR(INDEX(EQA.Controllab_Dados!N$2:N$5000,MATCH(ROW()-4,EQA.Controllab_Dados!$S$2:$S$5000,0)),"")</f>
        <v/>
      </c>
      <c r="O80" s="137" t="str">
        <f>IFERROR(INDEX(EQA.Controllab_Dados!O$2:O$5000,MATCH(ROW()-4,EQA.Controllab_Dados!$S$2:$S$5000,0)),"")</f>
        <v/>
      </c>
      <c r="P80" s="137" t="str">
        <f>IFERROR(INDEX(EQA.Controllab_Dados!P$2:P$5000,MATCH(ROW()-4,EQA.Controllab_Dados!$S$2:$S$5000,0)),"")</f>
        <v/>
      </c>
      <c r="Q80" s="126" t="str">
        <f>IFERROR(INDEX(EQA.Controllab_Dados!Q$2:Q$5000,MATCH(ROW()-4,EQA.Controllab_Dados!$S$2:$S$5000,0)),"")</f>
        <v/>
      </c>
      <c r="R80" t="str">
        <f>IFERROR(INDEX(EQA.Controllab_Dados!R$2:R$5000,MATCH(ROW()-4,EQA.Controllab_Dados!$S$2:$S$5000,0)),"")</f>
        <v/>
      </c>
    </row>
    <row r="81" spans="1:18" x14ac:dyDescent="0.3">
      <c r="A81" t="str">
        <f>IFERROR(INDEX(EQA.Controllab_Dados!A$2:A$5000,MATCH(ROW()-4,EQA.Controllab_Dados!$S$2:$S$5000,0)),"")</f>
        <v/>
      </c>
      <c r="B81" t="str">
        <f>IFERROR(INDEX(EQA.Controllab_Dados!B$2:B$5000,MATCH(ROW()-4,EQA.Controllab_Dados!$S$2:$S$5000,0)),"")</f>
        <v/>
      </c>
      <c r="C81" s="126" t="str">
        <f>IFERROR(INDEX(EQA.Controllab_Dados!C$2:C$5000,MATCH(ROW()-4,EQA.Controllab_Dados!$S$2:$S$5000,0)),"")</f>
        <v/>
      </c>
      <c r="D81" t="str">
        <f>IFERROR(INDEX(EQA.Controllab_Dados!D$2:D$5000,MATCH(ROW()-4,EQA.Controllab_Dados!$S$2:$S$5000,0)),"")</f>
        <v/>
      </c>
      <c r="E81" t="str">
        <f>IFERROR(INDEX(EQA.Controllab_Dados!E$2:E$5000,MATCH(ROW()-4,EQA.Controllab_Dados!$S$2:$S$5000,0)),"")</f>
        <v/>
      </c>
      <c r="F81" s="137" t="str">
        <f>IFERROR(INDEX(EQA.Controllab_Dados!F$2:F$5000,MATCH(ROW()-4,EQA.Controllab_Dados!$S$2:$S$5000,0)),"")</f>
        <v/>
      </c>
      <c r="G81" s="138" t="str">
        <f>IFERROR(INDEX(EQA.Controllab_Dados!G$2:G$5000,MATCH(ROW()-4,EQA.Controllab_Dados!$S$2:$S$5000,0)),"")</f>
        <v/>
      </c>
      <c r="H81" s="138" t="str">
        <f>IFERROR(INDEX(EQA.Controllab_Dados!H$2:H$5000,MATCH(ROW()-4,EQA.Controllab_Dados!$S$2:$S$5000,0)),"")</f>
        <v/>
      </c>
      <c r="I81" s="139" t="str">
        <f>IFERROR(INDEX(EQA.Controllab_Dados!I$2:I$5000,MATCH(ROW()-4,EQA.Controllab_Dados!$S$2:$S$5000,0)),"")</f>
        <v/>
      </c>
      <c r="J81" s="137" t="str">
        <f>IFERROR(INDEX(EQA.Controllab_Dados!J$2:J$5000,MATCH(ROW()-4,EQA.Controllab_Dados!$S$2:$S$5000,0)),"")</f>
        <v/>
      </c>
      <c r="K81" s="137" t="str">
        <f>IFERROR(INDEX(EQA.Controllab_Dados!K$2:K$5000,MATCH(ROW()-4,EQA.Controllab_Dados!$S$2:$S$5000,0)),"")</f>
        <v/>
      </c>
      <c r="L81" t="str">
        <f>IFERROR(INDEX(EQA.Controllab_Dados!L$2:L$5000,MATCH(ROW()-4,EQA.Controllab_Dados!$S$2:$S$5000,0)),"")</f>
        <v/>
      </c>
      <c r="M81" s="126" t="str">
        <f>IFERROR(INDEX(EQA.Controllab_Dados!M$2:M$5000,MATCH(ROW()-4,EQA.Controllab_Dados!$S$2:$S$5000,0)),"")</f>
        <v/>
      </c>
      <c r="N81" t="str">
        <f>IFERROR(INDEX(EQA.Controllab_Dados!N$2:N$5000,MATCH(ROW()-4,EQA.Controllab_Dados!$S$2:$S$5000,0)),"")</f>
        <v/>
      </c>
      <c r="O81" s="137" t="str">
        <f>IFERROR(INDEX(EQA.Controllab_Dados!O$2:O$5000,MATCH(ROW()-4,EQA.Controllab_Dados!$S$2:$S$5000,0)),"")</f>
        <v/>
      </c>
      <c r="P81" s="137" t="str">
        <f>IFERROR(INDEX(EQA.Controllab_Dados!P$2:P$5000,MATCH(ROW()-4,EQA.Controllab_Dados!$S$2:$S$5000,0)),"")</f>
        <v/>
      </c>
      <c r="Q81" s="126" t="str">
        <f>IFERROR(INDEX(EQA.Controllab_Dados!Q$2:Q$5000,MATCH(ROW()-4,EQA.Controllab_Dados!$S$2:$S$5000,0)),"")</f>
        <v/>
      </c>
      <c r="R81" t="str">
        <f>IFERROR(INDEX(EQA.Controllab_Dados!R$2:R$5000,MATCH(ROW()-4,EQA.Controllab_Dados!$S$2:$S$5000,0)),"")</f>
        <v/>
      </c>
    </row>
    <row r="82" spans="1:18" x14ac:dyDescent="0.3">
      <c r="A82" t="str">
        <f>IFERROR(INDEX(EQA.Controllab_Dados!A$2:A$5000,MATCH(ROW()-4,EQA.Controllab_Dados!$S$2:$S$5000,0)),"")</f>
        <v/>
      </c>
      <c r="B82" t="str">
        <f>IFERROR(INDEX(EQA.Controllab_Dados!B$2:B$5000,MATCH(ROW()-4,EQA.Controllab_Dados!$S$2:$S$5000,0)),"")</f>
        <v/>
      </c>
      <c r="C82" s="126" t="str">
        <f>IFERROR(INDEX(EQA.Controllab_Dados!C$2:C$5000,MATCH(ROW()-4,EQA.Controllab_Dados!$S$2:$S$5000,0)),"")</f>
        <v/>
      </c>
      <c r="D82" t="str">
        <f>IFERROR(INDEX(EQA.Controllab_Dados!D$2:D$5000,MATCH(ROW()-4,EQA.Controllab_Dados!$S$2:$S$5000,0)),"")</f>
        <v/>
      </c>
      <c r="E82" t="str">
        <f>IFERROR(INDEX(EQA.Controllab_Dados!E$2:E$5000,MATCH(ROW()-4,EQA.Controllab_Dados!$S$2:$S$5000,0)),"")</f>
        <v/>
      </c>
      <c r="F82" s="137" t="str">
        <f>IFERROR(INDEX(EQA.Controllab_Dados!F$2:F$5000,MATCH(ROW()-4,EQA.Controllab_Dados!$S$2:$S$5000,0)),"")</f>
        <v/>
      </c>
      <c r="G82" s="138" t="str">
        <f>IFERROR(INDEX(EQA.Controllab_Dados!G$2:G$5000,MATCH(ROW()-4,EQA.Controllab_Dados!$S$2:$S$5000,0)),"")</f>
        <v/>
      </c>
      <c r="H82" s="138" t="str">
        <f>IFERROR(INDEX(EQA.Controllab_Dados!H$2:H$5000,MATCH(ROW()-4,EQA.Controllab_Dados!$S$2:$S$5000,0)),"")</f>
        <v/>
      </c>
      <c r="I82" s="139" t="str">
        <f>IFERROR(INDEX(EQA.Controllab_Dados!I$2:I$5000,MATCH(ROW()-4,EQA.Controllab_Dados!$S$2:$S$5000,0)),"")</f>
        <v/>
      </c>
      <c r="J82" s="137" t="str">
        <f>IFERROR(INDEX(EQA.Controllab_Dados!J$2:J$5000,MATCH(ROW()-4,EQA.Controllab_Dados!$S$2:$S$5000,0)),"")</f>
        <v/>
      </c>
      <c r="K82" s="137" t="str">
        <f>IFERROR(INDEX(EQA.Controllab_Dados!K$2:K$5000,MATCH(ROW()-4,EQA.Controllab_Dados!$S$2:$S$5000,0)),"")</f>
        <v/>
      </c>
      <c r="L82" t="str">
        <f>IFERROR(INDEX(EQA.Controllab_Dados!L$2:L$5000,MATCH(ROW()-4,EQA.Controllab_Dados!$S$2:$S$5000,0)),"")</f>
        <v/>
      </c>
      <c r="M82" s="126" t="str">
        <f>IFERROR(INDEX(EQA.Controllab_Dados!M$2:M$5000,MATCH(ROW()-4,EQA.Controllab_Dados!$S$2:$S$5000,0)),"")</f>
        <v/>
      </c>
      <c r="N82" t="str">
        <f>IFERROR(INDEX(EQA.Controllab_Dados!N$2:N$5000,MATCH(ROW()-4,EQA.Controllab_Dados!$S$2:$S$5000,0)),"")</f>
        <v/>
      </c>
      <c r="O82" s="137" t="str">
        <f>IFERROR(INDEX(EQA.Controllab_Dados!O$2:O$5000,MATCH(ROW()-4,EQA.Controllab_Dados!$S$2:$S$5000,0)),"")</f>
        <v/>
      </c>
      <c r="P82" s="137" t="str">
        <f>IFERROR(INDEX(EQA.Controllab_Dados!P$2:P$5000,MATCH(ROW()-4,EQA.Controllab_Dados!$S$2:$S$5000,0)),"")</f>
        <v/>
      </c>
      <c r="Q82" s="126" t="str">
        <f>IFERROR(INDEX(EQA.Controllab_Dados!Q$2:Q$5000,MATCH(ROW()-4,EQA.Controllab_Dados!$S$2:$S$5000,0)),"")</f>
        <v/>
      </c>
      <c r="R82" t="str">
        <f>IFERROR(INDEX(EQA.Controllab_Dados!R$2:R$5000,MATCH(ROW()-4,EQA.Controllab_Dados!$S$2:$S$5000,0)),"")</f>
        <v/>
      </c>
    </row>
    <row r="83" spans="1:18" x14ac:dyDescent="0.3">
      <c r="A83" t="str">
        <f>IFERROR(INDEX(EQA.Controllab_Dados!A$2:A$5000,MATCH(ROW()-4,EQA.Controllab_Dados!$S$2:$S$5000,0)),"")</f>
        <v/>
      </c>
      <c r="B83" t="str">
        <f>IFERROR(INDEX(EQA.Controllab_Dados!B$2:B$5000,MATCH(ROW()-4,EQA.Controllab_Dados!$S$2:$S$5000,0)),"")</f>
        <v/>
      </c>
      <c r="C83" s="126" t="str">
        <f>IFERROR(INDEX(EQA.Controllab_Dados!C$2:C$5000,MATCH(ROW()-4,EQA.Controllab_Dados!$S$2:$S$5000,0)),"")</f>
        <v/>
      </c>
      <c r="D83" t="str">
        <f>IFERROR(INDEX(EQA.Controllab_Dados!D$2:D$5000,MATCH(ROW()-4,EQA.Controllab_Dados!$S$2:$S$5000,0)),"")</f>
        <v/>
      </c>
      <c r="E83" t="str">
        <f>IFERROR(INDEX(EQA.Controllab_Dados!E$2:E$5000,MATCH(ROW()-4,EQA.Controllab_Dados!$S$2:$S$5000,0)),"")</f>
        <v/>
      </c>
      <c r="F83" s="137" t="str">
        <f>IFERROR(INDEX(EQA.Controllab_Dados!F$2:F$5000,MATCH(ROW()-4,EQA.Controllab_Dados!$S$2:$S$5000,0)),"")</f>
        <v/>
      </c>
      <c r="G83" s="138" t="str">
        <f>IFERROR(INDEX(EQA.Controllab_Dados!G$2:G$5000,MATCH(ROW()-4,EQA.Controllab_Dados!$S$2:$S$5000,0)),"")</f>
        <v/>
      </c>
      <c r="H83" s="138" t="str">
        <f>IFERROR(INDEX(EQA.Controllab_Dados!H$2:H$5000,MATCH(ROW()-4,EQA.Controllab_Dados!$S$2:$S$5000,0)),"")</f>
        <v/>
      </c>
      <c r="I83" s="139" t="str">
        <f>IFERROR(INDEX(EQA.Controllab_Dados!I$2:I$5000,MATCH(ROW()-4,EQA.Controllab_Dados!$S$2:$S$5000,0)),"")</f>
        <v/>
      </c>
      <c r="J83" s="137" t="str">
        <f>IFERROR(INDEX(EQA.Controllab_Dados!J$2:J$5000,MATCH(ROW()-4,EQA.Controllab_Dados!$S$2:$S$5000,0)),"")</f>
        <v/>
      </c>
      <c r="K83" s="137" t="str">
        <f>IFERROR(INDEX(EQA.Controllab_Dados!K$2:K$5000,MATCH(ROW()-4,EQA.Controllab_Dados!$S$2:$S$5000,0)),"")</f>
        <v/>
      </c>
      <c r="L83" t="str">
        <f>IFERROR(INDEX(EQA.Controllab_Dados!L$2:L$5000,MATCH(ROW()-4,EQA.Controllab_Dados!$S$2:$S$5000,0)),"")</f>
        <v/>
      </c>
      <c r="M83" s="126" t="str">
        <f>IFERROR(INDEX(EQA.Controllab_Dados!M$2:M$5000,MATCH(ROW()-4,EQA.Controllab_Dados!$S$2:$S$5000,0)),"")</f>
        <v/>
      </c>
      <c r="N83" t="str">
        <f>IFERROR(INDEX(EQA.Controllab_Dados!N$2:N$5000,MATCH(ROW()-4,EQA.Controllab_Dados!$S$2:$S$5000,0)),"")</f>
        <v/>
      </c>
      <c r="O83" s="137" t="str">
        <f>IFERROR(INDEX(EQA.Controllab_Dados!O$2:O$5000,MATCH(ROW()-4,EQA.Controllab_Dados!$S$2:$S$5000,0)),"")</f>
        <v/>
      </c>
      <c r="P83" s="137" t="str">
        <f>IFERROR(INDEX(EQA.Controllab_Dados!P$2:P$5000,MATCH(ROW()-4,EQA.Controllab_Dados!$S$2:$S$5000,0)),"")</f>
        <v/>
      </c>
      <c r="Q83" s="126" t="str">
        <f>IFERROR(INDEX(EQA.Controllab_Dados!Q$2:Q$5000,MATCH(ROW()-4,EQA.Controllab_Dados!$S$2:$S$5000,0)),"")</f>
        <v/>
      </c>
      <c r="R83" t="str">
        <f>IFERROR(INDEX(EQA.Controllab_Dados!R$2:R$5000,MATCH(ROW()-4,EQA.Controllab_Dados!$S$2:$S$5000,0)),"")</f>
        <v/>
      </c>
    </row>
    <row r="84" spans="1:18" x14ac:dyDescent="0.3">
      <c r="A84" t="str">
        <f>IFERROR(INDEX(EQA.Controllab_Dados!A$2:A$5000,MATCH(ROW()-4,EQA.Controllab_Dados!$S$2:$S$5000,0)),"")</f>
        <v/>
      </c>
      <c r="B84" t="str">
        <f>IFERROR(INDEX(EQA.Controllab_Dados!B$2:B$5000,MATCH(ROW()-4,EQA.Controllab_Dados!$S$2:$S$5000,0)),"")</f>
        <v/>
      </c>
      <c r="C84" s="126" t="str">
        <f>IFERROR(INDEX(EQA.Controllab_Dados!C$2:C$5000,MATCH(ROW()-4,EQA.Controllab_Dados!$S$2:$S$5000,0)),"")</f>
        <v/>
      </c>
      <c r="D84" t="str">
        <f>IFERROR(INDEX(EQA.Controllab_Dados!D$2:D$5000,MATCH(ROW()-4,EQA.Controllab_Dados!$S$2:$S$5000,0)),"")</f>
        <v/>
      </c>
      <c r="E84" t="str">
        <f>IFERROR(INDEX(EQA.Controllab_Dados!E$2:E$5000,MATCH(ROW()-4,EQA.Controllab_Dados!$S$2:$S$5000,0)),"")</f>
        <v/>
      </c>
      <c r="F84" s="137" t="str">
        <f>IFERROR(INDEX(EQA.Controllab_Dados!F$2:F$5000,MATCH(ROW()-4,EQA.Controllab_Dados!$S$2:$S$5000,0)),"")</f>
        <v/>
      </c>
      <c r="G84" s="138" t="str">
        <f>IFERROR(INDEX(EQA.Controllab_Dados!G$2:G$5000,MATCH(ROW()-4,EQA.Controllab_Dados!$S$2:$S$5000,0)),"")</f>
        <v/>
      </c>
      <c r="H84" s="138" t="str">
        <f>IFERROR(INDEX(EQA.Controllab_Dados!H$2:H$5000,MATCH(ROW()-4,EQA.Controllab_Dados!$S$2:$S$5000,0)),"")</f>
        <v/>
      </c>
      <c r="I84" s="139" t="str">
        <f>IFERROR(INDEX(EQA.Controllab_Dados!I$2:I$5000,MATCH(ROW()-4,EQA.Controllab_Dados!$S$2:$S$5000,0)),"")</f>
        <v/>
      </c>
      <c r="J84" s="137" t="str">
        <f>IFERROR(INDEX(EQA.Controllab_Dados!J$2:J$5000,MATCH(ROW()-4,EQA.Controllab_Dados!$S$2:$S$5000,0)),"")</f>
        <v/>
      </c>
      <c r="K84" s="137" t="str">
        <f>IFERROR(INDEX(EQA.Controllab_Dados!K$2:K$5000,MATCH(ROW()-4,EQA.Controllab_Dados!$S$2:$S$5000,0)),"")</f>
        <v/>
      </c>
      <c r="L84" t="str">
        <f>IFERROR(INDEX(EQA.Controllab_Dados!L$2:L$5000,MATCH(ROW()-4,EQA.Controllab_Dados!$S$2:$S$5000,0)),"")</f>
        <v/>
      </c>
      <c r="M84" s="126" t="str">
        <f>IFERROR(INDEX(EQA.Controllab_Dados!M$2:M$5000,MATCH(ROW()-4,EQA.Controllab_Dados!$S$2:$S$5000,0)),"")</f>
        <v/>
      </c>
      <c r="N84" t="str">
        <f>IFERROR(INDEX(EQA.Controllab_Dados!N$2:N$5000,MATCH(ROW()-4,EQA.Controllab_Dados!$S$2:$S$5000,0)),"")</f>
        <v/>
      </c>
      <c r="O84" s="137" t="str">
        <f>IFERROR(INDEX(EQA.Controllab_Dados!O$2:O$5000,MATCH(ROW()-4,EQA.Controllab_Dados!$S$2:$S$5000,0)),"")</f>
        <v/>
      </c>
      <c r="P84" s="137" t="str">
        <f>IFERROR(INDEX(EQA.Controllab_Dados!P$2:P$5000,MATCH(ROW()-4,EQA.Controllab_Dados!$S$2:$S$5000,0)),"")</f>
        <v/>
      </c>
      <c r="Q84" s="126" t="str">
        <f>IFERROR(INDEX(EQA.Controllab_Dados!Q$2:Q$5000,MATCH(ROW()-4,EQA.Controllab_Dados!$S$2:$S$5000,0)),"")</f>
        <v/>
      </c>
      <c r="R84" t="str">
        <f>IFERROR(INDEX(EQA.Controllab_Dados!R$2:R$5000,MATCH(ROW()-4,EQA.Controllab_Dados!$S$2:$S$5000,0)),"")</f>
        <v/>
      </c>
    </row>
    <row r="85" spans="1:18" x14ac:dyDescent="0.3">
      <c r="A85" t="str">
        <f>IFERROR(INDEX(EQA.Controllab_Dados!A$2:A$5000,MATCH(ROW()-4,EQA.Controllab_Dados!$S$2:$S$5000,0)),"")</f>
        <v/>
      </c>
      <c r="B85" t="str">
        <f>IFERROR(INDEX(EQA.Controllab_Dados!B$2:B$5000,MATCH(ROW()-4,EQA.Controllab_Dados!$S$2:$S$5000,0)),"")</f>
        <v/>
      </c>
      <c r="C85" s="126" t="str">
        <f>IFERROR(INDEX(EQA.Controllab_Dados!C$2:C$5000,MATCH(ROW()-4,EQA.Controllab_Dados!$S$2:$S$5000,0)),"")</f>
        <v/>
      </c>
      <c r="D85" t="str">
        <f>IFERROR(INDEX(EQA.Controllab_Dados!D$2:D$5000,MATCH(ROW()-4,EQA.Controllab_Dados!$S$2:$S$5000,0)),"")</f>
        <v/>
      </c>
      <c r="E85" t="str">
        <f>IFERROR(INDEX(EQA.Controllab_Dados!E$2:E$5000,MATCH(ROW()-4,EQA.Controllab_Dados!$S$2:$S$5000,0)),"")</f>
        <v/>
      </c>
      <c r="F85" s="137" t="str">
        <f>IFERROR(INDEX(EQA.Controllab_Dados!F$2:F$5000,MATCH(ROW()-4,EQA.Controllab_Dados!$S$2:$S$5000,0)),"")</f>
        <v/>
      </c>
      <c r="G85" s="138" t="str">
        <f>IFERROR(INDEX(EQA.Controllab_Dados!G$2:G$5000,MATCH(ROW()-4,EQA.Controllab_Dados!$S$2:$S$5000,0)),"")</f>
        <v/>
      </c>
      <c r="H85" s="138" t="str">
        <f>IFERROR(INDEX(EQA.Controllab_Dados!H$2:H$5000,MATCH(ROW()-4,EQA.Controllab_Dados!$S$2:$S$5000,0)),"")</f>
        <v/>
      </c>
      <c r="I85" s="139" t="str">
        <f>IFERROR(INDEX(EQA.Controllab_Dados!I$2:I$5000,MATCH(ROW()-4,EQA.Controllab_Dados!$S$2:$S$5000,0)),"")</f>
        <v/>
      </c>
      <c r="J85" s="137" t="str">
        <f>IFERROR(INDEX(EQA.Controllab_Dados!J$2:J$5000,MATCH(ROW()-4,EQA.Controllab_Dados!$S$2:$S$5000,0)),"")</f>
        <v/>
      </c>
      <c r="K85" s="137" t="str">
        <f>IFERROR(INDEX(EQA.Controllab_Dados!K$2:K$5000,MATCH(ROW()-4,EQA.Controllab_Dados!$S$2:$S$5000,0)),"")</f>
        <v/>
      </c>
      <c r="L85" t="str">
        <f>IFERROR(INDEX(EQA.Controllab_Dados!L$2:L$5000,MATCH(ROW()-4,EQA.Controllab_Dados!$S$2:$S$5000,0)),"")</f>
        <v/>
      </c>
      <c r="M85" s="126" t="str">
        <f>IFERROR(INDEX(EQA.Controllab_Dados!M$2:M$5000,MATCH(ROW()-4,EQA.Controllab_Dados!$S$2:$S$5000,0)),"")</f>
        <v/>
      </c>
      <c r="N85" t="str">
        <f>IFERROR(INDEX(EQA.Controllab_Dados!N$2:N$5000,MATCH(ROW()-4,EQA.Controllab_Dados!$S$2:$S$5000,0)),"")</f>
        <v/>
      </c>
      <c r="O85" s="137" t="str">
        <f>IFERROR(INDEX(EQA.Controllab_Dados!O$2:O$5000,MATCH(ROW()-4,EQA.Controllab_Dados!$S$2:$S$5000,0)),"")</f>
        <v/>
      </c>
      <c r="P85" s="137" t="str">
        <f>IFERROR(INDEX(EQA.Controllab_Dados!P$2:P$5000,MATCH(ROW()-4,EQA.Controllab_Dados!$S$2:$S$5000,0)),"")</f>
        <v/>
      </c>
      <c r="Q85" s="126" t="str">
        <f>IFERROR(INDEX(EQA.Controllab_Dados!Q$2:Q$5000,MATCH(ROW()-4,EQA.Controllab_Dados!$S$2:$S$5000,0)),"")</f>
        <v/>
      </c>
      <c r="R85" t="str">
        <f>IFERROR(INDEX(EQA.Controllab_Dados!R$2:R$5000,MATCH(ROW()-4,EQA.Controllab_Dados!$S$2:$S$5000,0)),"")</f>
        <v/>
      </c>
    </row>
    <row r="86" spans="1:18" x14ac:dyDescent="0.3">
      <c r="A86" t="str">
        <f>IFERROR(INDEX(EQA.Controllab_Dados!A$2:A$5000,MATCH(ROW()-4,EQA.Controllab_Dados!$S$2:$S$5000,0)),"")</f>
        <v/>
      </c>
      <c r="B86" t="str">
        <f>IFERROR(INDEX(EQA.Controllab_Dados!B$2:B$5000,MATCH(ROW()-4,EQA.Controllab_Dados!$S$2:$S$5000,0)),"")</f>
        <v/>
      </c>
      <c r="C86" s="126" t="str">
        <f>IFERROR(INDEX(EQA.Controllab_Dados!C$2:C$5000,MATCH(ROW()-4,EQA.Controllab_Dados!$S$2:$S$5000,0)),"")</f>
        <v/>
      </c>
      <c r="D86" t="str">
        <f>IFERROR(INDEX(EQA.Controllab_Dados!D$2:D$5000,MATCH(ROW()-4,EQA.Controllab_Dados!$S$2:$S$5000,0)),"")</f>
        <v/>
      </c>
      <c r="E86" t="str">
        <f>IFERROR(INDEX(EQA.Controllab_Dados!E$2:E$5000,MATCH(ROW()-4,EQA.Controllab_Dados!$S$2:$S$5000,0)),"")</f>
        <v/>
      </c>
      <c r="F86" s="137" t="str">
        <f>IFERROR(INDEX(EQA.Controllab_Dados!F$2:F$5000,MATCH(ROW()-4,EQA.Controllab_Dados!$S$2:$S$5000,0)),"")</f>
        <v/>
      </c>
      <c r="G86" s="138" t="str">
        <f>IFERROR(INDEX(EQA.Controllab_Dados!G$2:G$5000,MATCH(ROW()-4,EQA.Controllab_Dados!$S$2:$S$5000,0)),"")</f>
        <v/>
      </c>
      <c r="H86" s="138" t="str">
        <f>IFERROR(INDEX(EQA.Controllab_Dados!H$2:H$5000,MATCH(ROW()-4,EQA.Controllab_Dados!$S$2:$S$5000,0)),"")</f>
        <v/>
      </c>
      <c r="I86" s="139" t="str">
        <f>IFERROR(INDEX(EQA.Controllab_Dados!I$2:I$5000,MATCH(ROW()-4,EQA.Controllab_Dados!$S$2:$S$5000,0)),"")</f>
        <v/>
      </c>
      <c r="J86" s="137" t="str">
        <f>IFERROR(INDEX(EQA.Controllab_Dados!J$2:J$5000,MATCH(ROW()-4,EQA.Controllab_Dados!$S$2:$S$5000,0)),"")</f>
        <v/>
      </c>
      <c r="K86" s="137" t="str">
        <f>IFERROR(INDEX(EQA.Controllab_Dados!K$2:K$5000,MATCH(ROW()-4,EQA.Controllab_Dados!$S$2:$S$5000,0)),"")</f>
        <v/>
      </c>
      <c r="L86" t="str">
        <f>IFERROR(INDEX(EQA.Controllab_Dados!L$2:L$5000,MATCH(ROW()-4,EQA.Controllab_Dados!$S$2:$S$5000,0)),"")</f>
        <v/>
      </c>
      <c r="M86" s="126" t="str">
        <f>IFERROR(INDEX(EQA.Controllab_Dados!M$2:M$5000,MATCH(ROW()-4,EQA.Controllab_Dados!$S$2:$S$5000,0)),"")</f>
        <v/>
      </c>
      <c r="N86" t="str">
        <f>IFERROR(INDEX(EQA.Controllab_Dados!N$2:N$5000,MATCH(ROW()-4,EQA.Controllab_Dados!$S$2:$S$5000,0)),"")</f>
        <v/>
      </c>
      <c r="O86" s="137" t="str">
        <f>IFERROR(INDEX(EQA.Controllab_Dados!O$2:O$5000,MATCH(ROW()-4,EQA.Controllab_Dados!$S$2:$S$5000,0)),"")</f>
        <v/>
      </c>
      <c r="P86" s="137" t="str">
        <f>IFERROR(INDEX(EQA.Controllab_Dados!P$2:P$5000,MATCH(ROW()-4,EQA.Controllab_Dados!$S$2:$S$5000,0)),"")</f>
        <v/>
      </c>
      <c r="Q86" s="126" t="str">
        <f>IFERROR(INDEX(EQA.Controllab_Dados!Q$2:Q$5000,MATCH(ROW()-4,EQA.Controllab_Dados!$S$2:$S$5000,0)),"")</f>
        <v/>
      </c>
      <c r="R86" t="str">
        <f>IFERROR(INDEX(EQA.Controllab_Dados!R$2:R$5000,MATCH(ROW()-4,EQA.Controllab_Dados!$S$2:$S$5000,0)),"")</f>
        <v/>
      </c>
    </row>
    <row r="87" spans="1:18" x14ac:dyDescent="0.3">
      <c r="A87" t="str">
        <f>IFERROR(INDEX(EQA.Controllab_Dados!A$2:A$5000,MATCH(ROW()-4,EQA.Controllab_Dados!$S$2:$S$5000,0)),"")</f>
        <v/>
      </c>
      <c r="B87" t="str">
        <f>IFERROR(INDEX(EQA.Controllab_Dados!B$2:B$5000,MATCH(ROW()-4,EQA.Controllab_Dados!$S$2:$S$5000,0)),"")</f>
        <v/>
      </c>
      <c r="C87" s="126" t="str">
        <f>IFERROR(INDEX(EQA.Controllab_Dados!C$2:C$5000,MATCH(ROW()-4,EQA.Controllab_Dados!$S$2:$S$5000,0)),"")</f>
        <v/>
      </c>
      <c r="D87" t="str">
        <f>IFERROR(INDEX(EQA.Controllab_Dados!D$2:D$5000,MATCH(ROW()-4,EQA.Controllab_Dados!$S$2:$S$5000,0)),"")</f>
        <v/>
      </c>
      <c r="E87" t="str">
        <f>IFERROR(INDEX(EQA.Controllab_Dados!E$2:E$5000,MATCH(ROW()-4,EQA.Controllab_Dados!$S$2:$S$5000,0)),"")</f>
        <v/>
      </c>
      <c r="F87" s="137" t="str">
        <f>IFERROR(INDEX(EQA.Controllab_Dados!F$2:F$5000,MATCH(ROW()-4,EQA.Controllab_Dados!$S$2:$S$5000,0)),"")</f>
        <v/>
      </c>
      <c r="G87" s="138" t="str">
        <f>IFERROR(INDEX(EQA.Controllab_Dados!G$2:G$5000,MATCH(ROW()-4,EQA.Controllab_Dados!$S$2:$S$5000,0)),"")</f>
        <v/>
      </c>
      <c r="H87" s="138" t="str">
        <f>IFERROR(INDEX(EQA.Controllab_Dados!H$2:H$5000,MATCH(ROW()-4,EQA.Controllab_Dados!$S$2:$S$5000,0)),"")</f>
        <v/>
      </c>
      <c r="I87" s="139" t="str">
        <f>IFERROR(INDEX(EQA.Controllab_Dados!I$2:I$5000,MATCH(ROW()-4,EQA.Controllab_Dados!$S$2:$S$5000,0)),"")</f>
        <v/>
      </c>
      <c r="J87" s="137" t="str">
        <f>IFERROR(INDEX(EQA.Controllab_Dados!J$2:J$5000,MATCH(ROW()-4,EQA.Controllab_Dados!$S$2:$S$5000,0)),"")</f>
        <v/>
      </c>
      <c r="K87" s="137" t="str">
        <f>IFERROR(INDEX(EQA.Controllab_Dados!K$2:K$5000,MATCH(ROW()-4,EQA.Controllab_Dados!$S$2:$S$5000,0)),"")</f>
        <v/>
      </c>
      <c r="L87" t="str">
        <f>IFERROR(INDEX(EQA.Controllab_Dados!L$2:L$5000,MATCH(ROW()-4,EQA.Controllab_Dados!$S$2:$S$5000,0)),"")</f>
        <v/>
      </c>
      <c r="M87" s="126" t="str">
        <f>IFERROR(INDEX(EQA.Controllab_Dados!M$2:M$5000,MATCH(ROW()-4,EQA.Controllab_Dados!$S$2:$S$5000,0)),"")</f>
        <v/>
      </c>
      <c r="N87" t="str">
        <f>IFERROR(INDEX(EQA.Controllab_Dados!N$2:N$5000,MATCH(ROW()-4,EQA.Controllab_Dados!$S$2:$S$5000,0)),"")</f>
        <v/>
      </c>
      <c r="O87" s="137" t="str">
        <f>IFERROR(INDEX(EQA.Controllab_Dados!O$2:O$5000,MATCH(ROW()-4,EQA.Controllab_Dados!$S$2:$S$5000,0)),"")</f>
        <v/>
      </c>
      <c r="P87" s="137" t="str">
        <f>IFERROR(INDEX(EQA.Controllab_Dados!P$2:P$5000,MATCH(ROW()-4,EQA.Controllab_Dados!$S$2:$S$5000,0)),"")</f>
        <v/>
      </c>
      <c r="Q87" s="126" t="str">
        <f>IFERROR(INDEX(EQA.Controllab_Dados!Q$2:Q$5000,MATCH(ROW()-4,EQA.Controllab_Dados!$S$2:$S$5000,0)),"")</f>
        <v/>
      </c>
      <c r="R87" t="str">
        <f>IFERROR(INDEX(EQA.Controllab_Dados!R$2:R$5000,MATCH(ROW()-4,EQA.Controllab_Dados!$S$2:$S$5000,0)),"")</f>
        <v/>
      </c>
    </row>
    <row r="88" spans="1:18" x14ac:dyDescent="0.3">
      <c r="A88" t="str">
        <f>IFERROR(INDEX(EQA.Controllab_Dados!A$2:A$5000,MATCH(ROW()-4,EQA.Controllab_Dados!$S$2:$S$5000,0)),"")</f>
        <v/>
      </c>
      <c r="B88" t="str">
        <f>IFERROR(INDEX(EQA.Controllab_Dados!B$2:B$5000,MATCH(ROW()-4,EQA.Controllab_Dados!$S$2:$S$5000,0)),"")</f>
        <v/>
      </c>
      <c r="C88" s="126" t="str">
        <f>IFERROR(INDEX(EQA.Controllab_Dados!C$2:C$5000,MATCH(ROW()-4,EQA.Controllab_Dados!$S$2:$S$5000,0)),"")</f>
        <v/>
      </c>
      <c r="D88" t="str">
        <f>IFERROR(INDEX(EQA.Controllab_Dados!D$2:D$5000,MATCH(ROW()-4,EQA.Controllab_Dados!$S$2:$S$5000,0)),"")</f>
        <v/>
      </c>
      <c r="E88" t="str">
        <f>IFERROR(INDEX(EQA.Controllab_Dados!E$2:E$5000,MATCH(ROW()-4,EQA.Controllab_Dados!$S$2:$S$5000,0)),"")</f>
        <v/>
      </c>
      <c r="F88" s="137" t="str">
        <f>IFERROR(INDEX(EQA.Controllab_Dados!F$2:F$5000,MATCH(ROW()-4,EQA.Controllab_Dados!$S$2:$S$5000,0)),"")</f>
        <v/>
      </c>
      <c r="G88" s="138" t="str">
        <f>IFERROR(INDEX(EQA.Controllab_Dados!G$2:G$5000,MATCH(ROW()-4,EQA.Controllab_Dados!$S$2:$S$5000,0)),"")</f>
        <v/>
      </c>
      <c r="H88" s="138" t="str">
        <f>IFERROR(INDEX(EQA.Controllab_Dados!H$2:H$5000,MATCH(ROW()-4,EQA.Controllab_Dados!$S$2:$S$5000,0)),"")</f>
        <v/>
      </c>
      <c r="I88" s="139" t="str">
        <f>IFERROR(INDEX(EQA.Controllab_Dados!I$2:I$5000,MATCH(ROW()-4,EQA.Controllab_Dados!$S$2:$S$5000,0)),"")</f>
        <v/>
      </c>
      <c r="J88" s="137" t="str">
        <f>IFERROR(INDEX(EQA.Controllab_Dados!J$2:J$5000,MATCH(ROW()-4,EQA.Controllab_Dados!$S$2:$S$5000,0)),"")</f>
        <v/>
      </c>
      <c r="K88" s="137" t="str">
        <f>IFERROR(INDEX(EQA.Controllab_Dados!K$2:K$5000,MATCH(ROW()-4,EQA.Controllab_Dados!$S$2:$S$5000,0)),"")</f>
        <v/>
      </c>
      <c r="L88" t="str">
        <f>IFERROR(INDEX(EQA.Controllab_Dados!L$2:L$5000,MATCH(ROW()-4,EQA.Controllab_Dados!$S$2:$S$5000,0)),"")</f>
        <v/>
      </c>
      <c r="M88" s="126" t="str">
        <f>IFERROR(INDEX(EQA.Controllab_Dados!M$2:M$5000,MATCH(ROW()-4,EQA.Controllab_Dados!$S$2:$S$5000,0)),"")</f>
        <v/>
      </c>
      <c r="N88" t="str">
        <f>IFERROR(INDEX(EQA.Controllab_Dados!N$2:N$5000,MATCH(ROW()-4,EQA.Controllab_Dados!$S$2:$S$5000,0)),"")</f>
        <v/>
      </c>
      <c r="O88" s="137" t="str">
        <f>IFERROR(INDEX(EQA.Controllab_Dados!O$2:O$5000,MATCH(ROW()-4,EQA.Controllab_Dados!$S$2:$S$5000,0)),"")</f>
        <v/>
      </c>
      <c r="P88" s="137" t="str">
        <f>IFERROR(INDEX(EQA.Controllab_Dados!P$2:P$5000,MATCH(ROW()-4,EQA.Controllab_Dados!$S$2:$S$5000,0)),"")</f>
        <v/>
      </c>
      <c r="Q88" s="126" t="str">
        <f>IFERROR(INDEX(EQA.Controllab_Dados!Q$2:Q$5000,MATCH(ROW()-4,EQA.Controllab_Dados!$S$2:$S$5000,0)),"")</f>
        <v/>
      </c>
      <c r="R88" t="str">
        <f>IFERROR(INDEX(EQA.Controllab_Dados!R$2:R$5000,MATCH(ROW()-4,EQA.Controllab_Dados!$S$2:$S$5000,0)),"")</f>
        <v/>
      </c>
    </row>
    <row r="89" spans="1:18" x14ac:dyDescent="0.3">
      <c r="A89" t="str">
        <f>IFERROR(INDEX(EQA.Controllab_Dados!A$2:A$5000,MATCH(ROW()-4,EQA.Controllab_Dados!$S$2:$S$5000,0)),"")</f>
        <v/>
      </c>
      <c r="B89" t="str">
        <f>IFERROR(INDEX(EQA.Controllab_Dados!B$2:B$5000,MATCH(ROW()-4,EQA.Controllab_Dados!$S$2:$S$5000,0)),"")</f>
        <v/>
      </c>
      <c r="C89" s="126" t="str">
        <f>IFERROR(INDEX(EQA.Controllab_Dados!C$2:C$5000,MATCH(ROW()-4,EQA.Controllab_Dados!$S$2:$S$5000,0)),"")</f>
        <v/>
      </c>
      <c r="D89" t="str">
        <f>IFERROR(INDEX(EQA.Controllab_Dados!D$2:D$5000,MATCH(ROW()-4,EQA.Controllab_Dados!$S$2:$S$5000,0)),"")</f>
        <v/>
      </c>
      <c r="E89" t="str">
        <f>IFERROR(INDEX(EQA.Controllab_Dados!E$2:E$5000,MATCH(ROW()-4,EQA.Controllab_Dados!$S$2:$S$5000,0)),"")</f>
        <v/>
      </c>
      <c r="F89" s="137" t="str">
        <f>IFERROR(INDEX(EQA.Controllab_Dados!F$2:F$5000,MATCH(ROW()-4,EQA.Controllab_Dados!$S$2:$S$5000,0)),"")</f>
        <v/>
      </c>
      <c r="G89" s="138" t="str">
        <f>IFERROR(INDEX(EQA.Controllab_Dados!G$2:G$5000,MATCH(ROW()-4,EQA.Controllab_Dados!$S$2:$S$5000,0)),"")</f>
        <v/>
      </c>
      <c r="H89" s="138" t="str">
        <f>IFERROR(INDEX(EQA.Controllab_Dados!H$2:H$5000,MATCH(ROW()-4,EQA.Controllab_Dados!$S$2:$S$5000,0)),"")</f>
        <v/>
      </c>
      <c r="I89" s="139" t="str">
        <f>IFERROR(INDEX(EQA.Controllab_Dados!I$2:I$5000,MATCH(ROW()-4,EQA.Controllab_Dados!$S$2:$S$5000,0)),"")</f>
        <v/>
      </c>
      <c r="J89" s="137" t="str">
        <f>IFERROR(INDEX(EQA.Controllab_Dados!J$2:J$5000,MATCH(ROW()-4,EQA.Controllab_Dados!$S$2:$S$5000,0)),"")</f>
        <v/>
      </c>
      <c r="K89" s="137" t="str">
        <f>IFERROR(INDEX(EQA.Controllab_Dados!K$2:K$5000,MATCH(ROW()-4,EQA.Controllab_Dados!$S$2:$S$5000,0)),"")</f>
        <v/>
      </c>
      <c r="L89" t="str">
        <f>IFERROR(INDEX(EQA.Controllab_Dados!L$2:L$5000,MATCH(ROW()-4,EQA.Controllab_Dados!$S$2:$S$5000,0)),"")</f>
        <v/>
      </c>
      <c r="M89" s="126" t="str">
        <f>IFERROR(INDEX(EQA.Controllab_Dados!M$2:M$5000,MATCH(ROW()-4,EQA.Controllab_Dados!$S$2:$S$5000,0)),"")</f>
        <v/>
      </c>
      <c r="N89" t="str">
        <f>IFERROR(INDEX(EQA.Controllab_Dados!N$2:N$5000,MATCH(ROW()-4,EQA.Controllab_Dados!$S$2:$S$5000,0)),"")</f>
        <v/>
      </c>
      <c r="O89" s="137" t="str">
        <f>IFERROR(INDEX(EQA.Controllab_Dados!O$2:O$5000,MATCH(ROW()-4,EQA.Controllab_Dados!$S$2:$S$5000,0)),"")</f>
        <v/>
      </c>
      <c r="P89" s="137" t="str">
        <f>IFERROR(INDEX(EQA.Controllab_Dados!P$2:P$5000,MATCH(ROW()-4,EQA.Controllab_Dados!$S$2:$S$5000,0)),"")</f>
        <v/>
      </c>
      <c r="Q89" s="126" t="str">
        <f>IFERROR(INDEX(EQA.Controllab_Dados!Q$2:Q$5000,MATCH(ROW()-4,EQA.Controllab_Dados!$S$2:$S$5000,0)),"")</f>
        <v/>
      </c>
      <c r="R89" t="str">
        <f>IFERROR(INDEX(EQA.Controllab_Dados!R$2:R$5000,MATCH(ROW()-4,EQA.Controllab_Dados!$S$2:$S$5000,0)),"")</f>
        <v/>
      </c>
    </row>
    <row r="90" spans="1:18" x14ac:dyDescent="0.3">
      <c r="A90" t="str">
        <f>IFERROR(INDEX(EQA.Controllab_Dados!A$2:A$5000,MATCH(ROW()-4,EQA.Controllab_Dados!$S$2:$S$5000,0)),"")</f>
        <v/>
      </c>
      <c r="B90" t="str">
        <f>IFERROR(INDEX(EQA.Controllab_Dados!B$2:B$5000,MATCH(ROW()-4,EQA.Controllab_Dados!$S$2:$S$5000,0)),"")</f>
        <v/>
      </c>
      <c r="C90" s="126" t="str">
        <f>IFERROR(INDEX(EQA.Controllab_Dados!C$2:C$5000,MATCH(ROW()-4,EQA.Controllab_Dados!$S$2:$S$5000,0)),"")</f>
        <v/>
      </c>
      <c r="D90" t="str">
        <f>IFERROR(INDEX(EQA.Controllab_Dados!D$2:D$5000,MATCH(ROW()-4,EQA.Controllab_Dados!$S$2:$S$5000,0)),"")</f>
        <v/>
      </c>
      <c r="E90" t="str">
        <f>IFERROR(INDEX(EQA.Controllab_Dados!E$2:E$5000,MATCH(ROW()-4,EQA.Controllab_Dados!$S$2:$S$5000,0)),"")</f>
        <v/>
      </c>
      <c r="F90" s="137" t="str">
        <f>IFERROR(INDEX(EQA.Controllab_Dados!F$2:F$5000,MATCH(ROW()-4,EQA.Controllab_Dados!$S$2:$S$5000,0)),"")</f>
        <v/>
      </c>
      <c r="G90" s="138" t="str">
        <f>IFERROR(INDEX(EQA.Controllab_Dados!G$2:G$5000,MATCH(ROW()-4,EQA.Controllab_Dados!$S$2:$S$5000,0)),"")</f>
        <v/>
      </c>
      <c r="H90" s="138" t="str">
        <f>IFERROR(INDEX(EQA.Controllab_Dados!H$2:H$5000,MATCH(ROW()-4,EQA.Controllab_Dados!$S$2:$S$5000,0)),"")</f>
        <v/>
      </c>
      <c r="I90" s="139" t="str">
        <f>IFERROR(INDEX(EQA.Controllab_Dados!I$2:I$5000,MATCH(ROW()-4,EQA.Controllab_Dados!$S$2:$S$5000,0)),"")</f>
        <v/>
      </c>
      <c r="J90" s="137" t="str">
        <f>IFERROR(INDEX(EQA.Controllab_Dados!J$2:J$5000,MATCH(ROW()-4,EQA.Controllab_Dados!$S$2:$S$5000,0)),"")</f>
        <v/>
      </c>
      <c r="K90" s="137" t="str">
        <f>IFERROR(INDEX(EQA.Controllab_Dados!K$2:K$5000,MATCH(ROW()-4,EQA.Controllab_Dados!$S$2:$S$5000,0)),"")</f>
        <v/>
      </c>
      <c r="L90" t="str">
        <f>IFERROR(INDEX(EQA.Controllab_Dados!L$2:L$5000,MATCH(ROW()-4,EQA.Controllab_Dados!$S$2:$S$5000,0)),"")</f>
        <v/>
      </c>
      <c r="M90" s="126" t="str">
        <f>IFERROR(INDEX(EQA.Controllab_Dados!M$2:M$5000,MATCH(ROW()-4,EQA.Controllab_Dados!$S$2:$S$5000,0)),"")</f>
        <v/>
      </c>
      <c r="N90" t="str">
        <f>IFERROR(INDEX(EQA.Controllab_Dados!N$2:N$5000,MATCH(ROW()-4,EQA.Controllab_Dados!$S$2:$S$5000,0)),"")</f>
        <v/>
      </c>
      <c r="O90" s="137" t="str">
        <f>IFERROR(INDEX(EQA.Controllab_Dados!O$2:O$5000,MATCH(ROW()-4,EQA.Controllab_Dados!$S$2:$S$5000,0)),"")</f>
        <v/>
      </c>
      <c r="P90" s="137" t="str">
        <f>IFERROR(INDEX(EQA.Controllab_Dados!P$2:P$5000,MATCH(ROW()-4,EQA.Controllab_Dados!$S$2:$S$5000,0)),"")</f>
        <v/>
      </c>
      <c r="Q90" s="126" t="str">
        <f>IFERROR(INDEX(EQA.Controllab_Dados!Q$2:Q$5000,MATCH(ROW()-4,EQA.Controllab_Dados!$S$2:$S$5000,0)),"")</f>
        <v/>
      </c>
      <c r="R90" t="str">
        <f>IFERROR(INDEX(EQA.Controllab_Dados!R$2:R$5000,MATCH(ROW()-4,EQA.Controllab_Dados!$S$2:$S$5000,0)),"")</f>
        <v/>
      </c>
    </row>
    <row r="91" spans="1:18" x14ac:dyDescent="0.3">
      <c r="A91" t="str">
        <f>IFERROR(INDEX(EQA.Controllab_Dados!A$2:A$5000,MATCH(ROW()-4,EQA.Controllab_Dados!$S$2:$S$5000,0)),"")</f>
        <v/>
      </c>
      <c r="B91" t="str">
        <f>IFERROR(INDEX(EQA.Controllab_Dados!B$2:B$5000,MATCH(ROW()-4,EQA.Controllab_Dados!$S$2:$S$5000,0)),"")</f>
        <v/>
      </c>
      <c r="C91" s="126" t="str">
        <f>IFERROR(INDEX(EQA.Controllab_Dados!C$2:C$5000,MATCH(ROW()-4,EQA.Controllab_Dados!$S$2:$S$5000,0)),"")</f>
        <v/>
      </c>
      <c r="D91" t="str">
        <f>IFERROR(INDEX(EQA.Controllab_Dados!D$2:D$5000,MATCH(ROW()-4,EQA.Controllab_Dados!$S$2:$S$5000,0)),"")</f>
        <v/>
      </c>
      <c r="E91" t="str">
        <f>IFERROR(INDEX(EQA.Controllab_Dados!E$2:E$5000,MATCH(ROW()-4,EQA.Controllab_Dados!$S$2:$S$5000,0)),"")</f>
        <v/>
      </c>
      <c r="F91" s="137" t="str">
        <f>IFERROR(INDEX(EQA.Controllab_Dados!F$2:F$5000,MATCH(ROW()-4,EQA.Controllab_Dados!$S$2:$S$5000,0)),"")</f>
        <v/>
      </c>
      <c r="G91" s="138" t="str">
        <f>IFERROR(INDEX(EQA.Controllab_Dados!G$2:G$5000,MATCH(ROW()-4,EQA.Controllab_Dados!$S$2:$S$5000,0)),"")</f>
        <v/>
      </c>
      <c r="H91" s="138" t="str">
        <f>IFERROR(INDEX(EQA.Controllab_Dados!H$2:H$5000,MATCH(ROW()-4,EQA.Controllab_Dados!$S$2:$S$5000,0)),"")</f>
        <v/>
      </c>
      <c r="I91" s="139" t="str">
        <f>IFERROR(INDEX(EQA.Controllab_Dados!I$2:I$5000,MATCH(ROW()-4,EQA.Controllab_Dados!$S$2:$S$5000,0)),"")</f>
        <v/>
      </c>
      <c r="J91" s="137" t="str">
        <f>IFERROR(INDEX(EQA.Controllab_Dados!J$2:J$5000,MATCH(ROW()-4,EQA.Controllab_Dados!$S$2:$S$5000,0)),"")</f>
        <v/>
      </c>
      <c r="K91" s="137" t="str">
        <f>IFERROR(INDEX(EQA.Controllab_Dados!K$2:K$5000,MATCH(ROW()-4,EQA.Controllab_Dados!$S$2:$S$5000,0)),"")</f>
        <v/>
      </c>
      <c r="L91" t="str">
        <f>IFERROR(INDEX(EQA.Controllab_Dados!L$2:L$5000,MATCH(ROW()-4,EQA.Controllab_Dados!$S$2:$S$5000,0)),"")</f>
        <v/>
      </c>
      <c r="M91" s="126" t="str">
        <f>IFERROR(INDEX(EQA.Controllab_Dados!M$2:M$5000,MATCH(ROW()-4,EQA.Controllab_Dados!$S$2:$S$5000,0)),"")</f>
        <v/>
      </c>
      <c r="N91" t="str">
        <f>IFERROR(INDEX(EQA.Controllab_Dados!N$2:N$5000,MATCH(ROW()-4,EQA.Controllab_Dados!$S$2:$S$5000,0)),"")</f>
        <v/>
      </c>
      <c r="O91" s="137" t="str">
        <f>IFERROR(INDEX(EQA.Controllab_Dados!O$2:O$5000,MATCH(ROW()-4,EQA.Controllab_Dados!$S$2:$S$5000,0)),"")</f>
        <v/>
      </c>
      <c r="P91" s="137" t="str">
        <f>IFERROR(INDEX(EQA.Controllab_Dados!P$2:P$5000,MATCH(ROW()-4,EQA.Controllab_Dados!$S$2:$S$5000,0)),"")</f>
        <v/>
      </c>
      <c r="Q91" s="126" t="str">
        <f>IFERROR(INDEX(EQA.Controllab_Dados!Q$2:Q$5000,MATCH(ROW()-4,EQA.Controllab_Dados!$S$2:$S$5000,0)),"")</f>
        <v/>
      </c>
      <c r="R91" t="str">
        <f>IFERROR(INDEX(EQA.Controllab_Dados!R$2:R$5000,MATCH(ROW()-4,EQA.Controllab_Dados!$S$2:$S$5000,0)),"")</f>
        <v/>
      </c>
    </row>
    <row r="92" spans="1:18" x14ac:dyDescent="0.3">
      <c r="A92" t="str">
        <f>IFERROR(INDEX(EQA.Controllab_Dados!A$2:A$5000,MATCH(ROW()-4,EQA.Controllab_Dados!$S$2:$S$5000,0)),"")</f>
        <v/>
      </c>
      <c r="B92" t="str">
        <f>IFERROR(INDEX(EQA.Controllab_Dados!B$2:B$5000,MATCH(ROW()-4,EQA.Controllab_Dados!$S$2:$S$5000,0)),"")</f>
        <v/>
      </c>
      <c r="C92" s="126" t="str">
        <f>IFERROR(INDEX(EQA.Controllab_Dados!C$2:C$5000,MATCH(ROW()-4,EQA.Controllab_Dados!$S$2:$S$5000,0)),"")</f>
        <v/>
      </c>
      <c r="D92" t="str">
        <f>IFERROR(INDEX(EQA.Controllab_Dados!D$2:D$5000,MATCH(ROW()-4,EQA.Controllab_Dados!$S$2:$S$5000,0)),"")</f>
        <v/>
      </c>
      <c r="E92" t="str">
        <f>IFERROR(INDEX(EQA.Controllab_Dados!E$2:E$5000,MATCH(ROW()-4,EQA.Controllab_Dados!$S$2:$S$5000,0)),"")</f>
        <v/>
      </c>
      <c r="F92" s="137" t="str">
        <f>IFERROR(INDEX(EQA.Controllab_Dados!F$2:F$5000,MATCH(ROW()-4,EQA.Controllab_Dados!$S$2:$S$5000,0)),"")</f>
        <v/>
      </c>
      <c r="G92" s="138" t="str">
        <f>IFERROR(INDEX(EQA.Controllab_Dados!G$2:G$5000,MATCH(ROW()-4,EQA.Controllab_Dados!$S$2:$S$5000,0)),"")</f>
        <v/>
      </c>
      <c r="H92" s="138" t="str">
        <f>IFERROR(INDEX(EQA.Controllab_Dados!H$2:H$5000,MATCH(ROW()-4,EQA.Controllab_Dados!$S$2:$S$5000,0)),"")</f>
        <v/>
      </c>
      <c r="I92" s="139" t="str">
        <f>IFERROR(INDEX(EQA.Controllab_Dados!I$2:I$5000,MATCH(ROW()-4,EQA.Controllab_Dados!$S$2:$S$5000,0)),"")</f>
        <v/>
      </c>
      <c r="J92" s="137" t="str">
        <f>IFERROR(INDEX(EQA.Controllab_Dados!J$2:J$5000,MATCH(ROW()-4,EQA.Controllab_Dados!$S$2:$S$5000,0)),"")</f>
        <v/>
      </c>
      <c r="K92" s="137" t="str">
        <f>IFERROR(INDEX(EQA.Controllab_Dados!K$2:K$5000,MATCH(ROW()-4,EQA.Controllab_Dados!$S$2:$S$5000,0)),"")</f>
        <v/>
      </c>
      <c r="L92" t="str">
        <f>IFERROR(INDEX(EQA.Controllab_Dados!L$2:L$5000,MATCH(ROW()-4,EQA.Controllab_Dados!$S$2:$S$5000,0)),"")</f>
        <v/>
      </c>
      <c r="M92" s="126" t="str">
        <f>IFERROR(INDEX(EQA.Controllab_Dados!M$2:M$5000,MATCH(ROW()-4,EQA.Controllab_Dados!$S$2:$S$5000,0)),"")</f>
        <v/>
      </c>
      <c r="N92" t="str">
        <f>IFERROR(INDEX(EQA.Controllab_Dados!N$2:N$5000,MATCH(ROW()-4,EQA.Controllab_Dados!$S$2:$S$5000,0)),"")</f>
        <v/>
      </c>
      <c r="O92" s="137" t="str">
        <f>IFERROR(INDEX(EQA.Controllab_Dados!O$2:O$5000,MATCH(ROW()-4,EQA.Controllab_Dados!$S$2:$S$5000,0)),"")</f>
        <v/>
      </c>
      <c r="P92" s="137" t="str">
        <f>IFERROR(INDEX(EQA.Controllab_Dados!P$2:P$5000,MATCH(ROW()-4,EQA.Controllab_Dados!$S$2:$S$5000,0)),"")</f>
        <v/>
      </c>
      <c r="Q92" s="126" t="str">
        <f>IFERROR(INDEX(EQA.Controllab_Dados!Q$2:Q$5000,MATCH(ROW()-4,EQA.Controllab_Dados!$S$2:$S$5000,0)),"")</f>
        <v/>
      </c>
      <c r="R92" t="str">
        <f>IFERROR(INDEX(EQA.Controllab_Dados!R$2:R$5000,MATCH(ROW()-4,EQA.Controllab_Dados!$S$2:$S$5000,0)),"")</f>
        <v/>
      </c>
    </row>
    <row r="93" spans="1:18" x14ac:dyDescent="0.3">
      <c r="A93" t="str">
        <f>IFERROR(INDEX(EQA.Controllab_Dados!A$2:A$5000,MATCH(ROW()-4,EQA.Controllab_Dados!$S$2:$S$5000,0)),"")</f>
        <v/>
      </c>
      <c r="B93" t="str">
        <f>IFERROR(INDEX(EQA.Controllab_Dados!B$2:B$5000,MATCH(ROW()-4,EQA.Controllab_Dados!$S$2:$S$5000,0)),"")</f>
        <v/>
      </c>
      <c r="C93" s="126" t="str">
        <f>IFERROR(INDEX(EQA.Controllab_Dados!C$2:C$5000,MATCH(ROW()-4,EQA.Controllab_Dados!$S$2:$S$5000,0)),"")</f>
        <v/>
      </c>
      <c r="D93" t="str">
        <f>IFERROR(INDEX(EQA.Controllab_Dados!D$2:D$5000,MATCH(ROW()-4,EQA.Controllab_Dados!$S$2:$S$5000,0)),"")</f>
        <v/>
      </c>
      <c r="E93" t="str">
        <f>IFERROR(INDEX(EQA.Controllab_Dados!E$2:E$5000,MATCH(ROW()-4,EQA.Controllab_Dados!$S$2:$S$5000,0)),"")</f>
        <v/>
      </c>
      <c r="F93" s="137" t="str">
        <f>IFERROR(INDEX(EQA.Controllab_Dados!F$2:F$5000,MATCH(ROW()-4,EQA.Controllab_Dados!$S$2:$S$5000,0)),"")</f>
        <v/>
      </c>
      <c r="G93" s="138" t="str">
        <f>IFERROR(INDEX(EQA.Controllab_Dados!G$2:G$5000,MATCH(ROW()-4,EQA.Controllab_Dados!$S$2:$S$5000,0)),"")</f>
        <v/>
      </c>
      <c r="H93" s="138" t="str">
        <f>IFERROR(INDEX(EQA.Controllab_Dados!H$2:H$5000,MATCH(ROW()-4,EQA.Controllab_Dados!$S$2:$S$5000,0)),"")</f>
        <v/>
      </c>
      <c r="I93" s="139" t="str">
        <f>IFERROR(INDEX(EQA.Controllab_Dados!I$2:I$5000,MATCH(ROW()-4,EQA.Controllab_Dados!$S$2:$S$5000,0)),"")</f>
        <v/>
      </c>
      <c r="J93" s="137" t="str">
        <f>IFERROR(INDEX(EQA.Controllab_Dados!J$2:J$5000,MATCH(ROW()-4,EQA.Controllab_Dados!$S$2:$S$5000,0)),"")</f>
        <v/>
      </c>
      <c r="K93" s="137" t="str">
        <f>IFERROR(INDEX(EQA.Controllab_Dados!K$2:K$5000,MATCH(ROW()-4,EQA.Controllab_Dados!$S$2:$S$5000,0)),"")</f>
        <v/>
      </c>
      <c r="L93" t="str">
        <f>IFERROR(INDEX(EQA.Controllab_Dados!L$2:L$5000,MATCH(ROW()-4,EQA.Controllab_Dados!$S$2:$S$5000,0)),"")</f>
        <v/>
      </c>
      <c r="M93" s="126" t="str">
        <f>IFERROR(INDEX(EQA.Controllab_Dados!M$2:M$5000,MATCH(ROW()-4,EQA.Controllab_Dados!$S$2:$S$5000,0)),"")</f>
        <v/>
      </c>
      <c r="N93" t="str">
        <f>IFERROR(INDEX(EQA.Controllab_Dados!N$2:N$5000,MATCH(ROW()-4,EQA.Controllab_Dados!$S$2:$S$5000,0)),"")</f>
        <v/>
      </c>
      <c r="O93" s="137" t="str">
        <f>IFERROR(INDEX(EQA.Controllab_Dados!O$2:O$5000,MATCH(ROW()-4,EQA.Controllab_Dados!$S$2:$S$5000,0)),"")</f>
        <v/>
      </c>
      <c r="P93" s="137" t="str">
        <f>IFERROR(INDEX(EQA.Controllab_Dados!P$2:P$5000,MATCH(ROW()-4,EQA.Controllab_Dados!$S$2:$S$5000,0)),"")</f>
        <v/>
      </c>
      <c r="Q93" s="126" t="str">
        <f>IFERROR(INDEX(EQA.Controllab_Dados!Q$2:Q$5000,MATCH(ROW()-4,EQA.Controllab_Dados!$S$2:$S$5000,0)),"")</f>
        <v/>
      </c>
      <c r="R93" t="str">
        <f>IFERROR(INDEX(EQA.Controllab_Dados!R$2:R$5000,MATCH(ROW()-4,EQA.Controllab_Dados!$S$2:$S$5000,0)),"")</f>
        <v/>
      </c>
    </row>
    <row r="94" spans="1:18" x14ac:dyDescent="0.3">
      <c r="A94" t="str">
        <f>IFERROR(INDEX(EQA.Controllab_Dados!A$2:A$5000,MATCH(ROW()-4,EQA.Controllab_Dados!$S$2:$S$5000,0)),"")</f>
        <v/>
      </c>
      <c r="B94" t="str">
        <f>IFERROR(INDEX(EQA.Controllab_Dados!B$2:B$5000,MATCH(ROW()-4,EQA.Controllab_Dados!$S$2:$S$5000,0)),"")</f>
        <v/>
      </c>
      <c r="C94" s="126" t="str">
        <f>IFERROR(INDEX(EQA.Controllab_Dados!C$2:C$5000,MATCH(ROW()-4,EQA.Controllab_Dados!$S$2:$S$5000,0)),"")</f>
        <v/>
      </c>
      <c r="D94" t="str">
        <f>IFERROR(INDEX(EQA.Controllab_Dados!D$2:D$5000,MATCH(ROW()-4,EQA.Controllab_Dados!$S$2:$S$5000,0)),"")</f>
        <v/>
      </c>
      <c r="E94" t="str">
        <f>IFERROR(INDEX(EQA.Controllab_Dados!E$2:E$5000,MATCH(ROW()-4,EQA.Controllab_Dados!$S$2:$S$5000,0)),"")</f>
        <v/>
      </c>
      <c r="F94" s="137" t="str">
        <f>IFERROR(INDEX(EQA.Controllab_Dados!F$2:F$5000,MATCH(ROW()-4,EQA.Controllab_Dados!$S$2:$S$5000,0)),"")</f>
        <v/>
      </c>
      <c r="G94" s="138" t="str">
        <f>IFERROR(INDEX(EQA.Controllab_Dados!G$2:G$5000,MATCH(ROW()-4,EQA.Controllab_Dados!$S$2:$S$5000,0)),"")</f>
        <v/>
      </c>
      <c r="H94" s="138" t="str">
        <f>IFERROR(INDEX(EQA.Controllab_Dados!H$2:H$5000,MATCH(ROW()-4,EQA.Controllab_Dados!$S$2:$S$5000,0)),"")</f>
        <v/>
      </c>
      <c r="I94" s="139" t="str">
        <f>IFERROR(INDEX(EQA.Controllab_Dados!I$2:I$5000,MATCH(ROW()-4,EQA.Controllab_Dados!$S$2:$S$5000,0)),"")</f>
        <v/>
      </c>
      <c r="J94" s="137" t="str">
        <f>IFERROR(INDEX(EQA.Controllab_Dados!J$2:J$5000,MATCH(ROW()-4,EQA.Controllab_Dados!$S$2:$S$5000,0)),"")</f>
        <v/>
      </c>
      <c r="K94" s="137" t="str">
        <f>IFERROR(INDEX(EQA.Controllab_Dados!K$2:K$5000,MATCH(ROW()-4,EQA.Controllab_Dados!$S$2:$S$5000,0)),"")</f>
        <v/>
      </c>
      <c r="L94" t="str">
        <f>IFERROR(INDEX(EQA.Controllab_Dados!L$2:L$5000,MATCH(ROW()-4,EQA.Controllab_Dados!$S$2:$S$5000,0)),"")</f>
        <v/>
      </c>
      <c r="M94" s="126" t="str">
        <f>IFERROR(INDEX(EQA.Controllab_Dados!M$2:M$5000,MATCH(ROW()-4,EQA.Controllab_Dados!$S$2:$S$5000,0)),"")</f>
        <v/>
      </c>
      <c r="N94" t="str">
        <f>IFERROR(INDEX(EQA.Controllab_Dados!N$2:N$5000,MATCH(ROW()-4,EQA.Controllab_Dados!$S$2:$S$5000,0)),"")</f>
        <v/>
      </c>
      <c r="O94" s="137" t="str">
        <f>IFERROR(INDEX(EQA.Controllab_Dados!O$2:O$5000,MATCH(ROW()-4,EQA.Controllab_Dados!$S$2:$S$5000,0)),"")</f>
        <v/>
      </c>
      <c r="P94" s="137" t="str">
        <f>IFERROR(INDEX(EQA.Controllab_Dados!P$2:P$5000,MATCH(ROW()-4,EQA.Controllab_Dados!$S$2:$S$5000,0)),"")</f>
        <v/>
      </c>
      <c r="Q94" s="126" t="str">
        <f>IFERROR(INDEX(EQA.Controllab_Dados!Q$2:Q$5000,MATCH(ROW()-4,EQA.Controllab_Dados!$S$2:$S$5000,0)),"")</f>
        <v/>
      </c>
      <c r="R94" t="str">
        <f>IFERROR(INDEX(EQA.Controllab_Dados!R$2:R$5000,MATCH(ROW()-4,EQA.Controllab_Dados!$S$2:$S$5000,0)),"")</f>
        <v/>
      </c>
    </row>
    <row r="95" spans="1:18" x14ac:dyDescent="0.3">
      <c r="A95" t="str">
        <f>IFERROR(INDEX(EQA.Controllab_Dados!A$2:A$5000,MATCH(ROW()-4,EQA.Controllab_Dados!$S$2:$S$5000,0)),"")</f>
        <v/>
      </c>
      <c r="B95" t="str">
        <f>IFERROR(INDEX(EQA.Controllab_Dados!B$2:B$5000,MATCH(ROW()-4,EQA.Controllab_Dados!$S$2:$S$5000,0)),"")</f>
        <v/>
      </c>
      <c r="C95" s="126" t="str">
        <f>IFERROR(INDEX(EQA.Controllab_Dados!C$2:C$5000,MATCH(ROW()-4,EQA.Controllab_Dados!$S$2:$S$5000,0)),"")</f>
        <v/>
      </c>
      <c r="D95" t="str">
        <f>IFERROR(INDEX(EQA.Controllab_Dados!D$2:D$5000,MATCH(ROW()-4,EQA.Controllab_Dados!$S$2:$S$5000,0)),"")</f>
        <v/>
      </c>
      <c r="E95" t="str">
        <f>IFERROR(INDEX(EQA.Controllab_Dados!E$2:E$5000,MATCH(ROW()-4,EQA.Controllab_Dados!$S$2:$S$5000,0)),"")</f>
        <v/>
      </c>
      <c r="F95" s="137" t="str">
        <f>IFERROR(INDEX(EQA.Controllab_Dados!F$2:F$5000,MATCH(ROW()-4,EQA.Controllab_Dados!$S$2:$S$5000,0)),"")</f>
        <v/>
      </c>
      <c r="G95" s="138" t="str">
        <f>IFERROR(INDEX(EQA.Controllab_Dados!G$2:G$5000,MATCH(ROW()-4,EQA.Controllab_Dados!$S$2:$S$5000,0)),"")</f>
        <v/>
      </c>
      <c r="H95" s="138" t="str">
        <f>IFERROR(INDEX(EQA.Controllab_Dados!H$2:H$5000,MATCH(ROW()-4,EQA.Controllab_Dados!$S$2:$S$5000,0)),"")</f>
        <v/>
      </c>
      <c r="I95" s="139" t="str">
        <f>IFERROR(INDEX(EQA.Controllab_Dados!I$2:I$5000,MATCH(ROW()-4,EQA.Controllab_Dados!$S$2:$S$5000,0)),"")</f>
        <v/>
      </c>
      <c r="J95" s="137" t="str">
        <f>IFERROR(INDEX(EQA.Controllab_Dados!J$2:J$5000,MATCH(ROW()-4,EQA.Controllab_Dados!$S$2:$S$5000,0)),"")</f>
        <v/>
      </c>
      <c r="K95" s="137" t="str">
        <f>IFERROR(INDEX(EQA.Controllab_Dados!K$2:K$5000,MATCH(ROW()-4,EQA.Controllab_Dados!$S$2:$S$5000,0)),"")</f>
        <v/>
      </c>
      <c r="L95" t="str">
        <f>IFERROR(INDEX(EQA.Controllab_Dados!L$2:L$5000,MATCH(ROW()-4,EQA.Controllab_Dados!$S$2:$S$5000,0)),"")</f>
        <v/>
      </c>
      <c r="M95" s="126" t="str">
        <f>IFERROR(INDEX(EQA.Controllab_Dados!M$2:M$5000,MATCH(ROW()-4,EQA.Controllab_Dados!$S$2:$S$5000,0)),"")</f>
        <v/>
      </c>
      <c r="N95" t="str">
        <f>IFERROR(INDEX(EQA.Controllab_Dados!N$2:N$5000,MATCH(ROW()-4,EQA.Controllab_Dados!$S$2:$S$5000,0)),"")</f>
        <v/>
      </c>
      <c r="O95" s="137" t="str">
        <f>IFERROR(INDEX(EQA.Controllab_Dados!O$2:O$5000,MATCH(ROW()-4,EQA.Controllab_Dados!$S$2:$S$5000,0)),"")</f>
        <v/>
      </c>
      <c r="P95" s="137" t="str">
        <f>IFERROR(INDEX(EQA.Controllab_Dados!P$2:P$5000,MATCH(ROW()-4,EQA.Controllab_Dados!$S$2:$S$5000,0)),"")</f>
        <v/>
      </c>
      <c r="Q95" s="126" t="str">
        <f>IFERROR(INDEX(EQA.Controllab_Dados!Q$2:Q$5000,MATCH(ROW()-4,EQA.Controllab_Dados!$S$2:$S$5000,0)),"")</f>
        <v/>
      </c>
      <c r="R95" t="str">
        <f>IFERROR(INDEX(EQA.Controllab_Dados!R$2:R$5000,MATCH(ROW()-4,EQA.Controllab_Dados!$S$2:$S$5000,0)),"")</f>
        <v/>
      </c>
    </row>
    <row r="96" spans="1:18" x14ac:dyDescent="0.3">
      <c r="A96" t="str">
        <f>IFERROR(INDEX(EQA.Controllab_Dados!A$2:A$5000,MATCH(ROW()-4,EQA.Controllab_Dados!$S$2:$S$5000,0)),"")</f>
        <v/>
      </c>
      <c r="B96" t="str">
        <f>IFERROR(INDEX(EQA.Controllab_Dados!B$2:B$5000,MATCH(ROW()-4,EQA.Controllab_Dados!$S$2:$S$5000,0)),"")</f>
        <v/>
      </c>
      <c r="C96" s="126" t="str">
        <f>IFERROR(INDEX(EQA.Controllab_Dados!C$2:C$5000,MATCH(ROW()-4,EQA.Controllab_Dados!$S$2:$S$5000,0)),"")</f>
        <v/>
      </c>
      <c r="D96" t="str">
        <f>IFERROR(INDEX(EQA.Controllab_Dados!D$2:D$5000,MATCH(ROW()-4,EQA.Controllab_Dados!$S$2:$S$5000,0)),"")</f>
        <v/>
      </c>
      <c r="E96" t="str">
        <f>IFERROR(INDEX(EQA.Controllab_Dados!E$2:E$5000,MATCH(ROW()-4,EQA.Controllab_Dados!$S$2:$S$5000,0)),"")</f>
        <v/>
      </c>
      <c r="F96" s="137" t="str">
        <f>IFERROR(INDEX(EQA.Controllab_Dados!F$2:F$5000,MATCH(ROW()-4,EQA.Controllab_Dados!$S$2:$S$5000,0)),"")</f>
        <v/>
      </c>
      <c r="G96" s="138" t="str">
        <f>IFERROR(INDEX(EQA.Controllab_Dados!G$2:G$5000,MATCH(ROW()-4,EQA.Controllab_Dados!$S$2:$S$5000,0)),"")</f>
        <v/>
      </c>
      <c r="H96" s="138" t="str">
        <f>IFERROR(INDEX(EQA.Controllab_Dados!H$2:H$5000,MATCH(ROW()-4,EQA.Controllab_Dados!$S$2:$S$5000,0)),"")</f>
        <v/>
      </c>
      <c r="I96" s="139" t="str">
        <f>IFERROR(INDEX(EQA.Controllab_Dados!I$2:I$5000,MATCH(ROW()-4,EQA.Controllab_Dados!$S$2:$S$5000,0)),"")</f>
        <v/>
      </c>
      <c r="J96" s="137" t="str">
        <f>IFERROR(INDEX(EQA.Controllab_Dados!J$2:J$5000,MATCH(ROW()-4,EQA.Controllab_Dados!$S$2:$S$5000,0)),"")</f>
        <v/>
      </c>
      <c r="K96" s="137" t="str">
        <f>IFERROR(INDEX(EQA.Controllab_Dados!K$2:K$5000,MATCH(ROW()-4,EQA.Controllab_Dados!$S$2:$S$5000,0)),"")</f>
        <v/>
      </c>
      <c r="L96" t="str">
        <f>IFERROR(INDEX(EQA.Controllab_Dados!L$2:L$5000,MATCH(ROW()-4,EQA.Controllab_Dados!$S$2:$S$5000,0)),"")</f>
        <v/>
      </c>
      <c r="M96" s="126" t="str">
        <f>IFERROR(INDEX(EQA.Controllab_Dados!M$2:M$5000,MATCH(ROW()-4,EQA.Controllab_Dados!$S$2:$S$5000,0)),"")</f>
        <v/>
      </c>
      <c r="N96" t="str">
        <f>IFERROR(INDEX(EQA.Controllab_Dados!N$2:N$5000,MATCH(ROW()-4,EQA.Controllab_Dados!$S$2:$S$5000,0)),"")</f>
        <v/>
      </c>
      <c r="O96" s="137" t="str">
        <f>IFERROR(INDEX(EQA.Controllab_Dados!O$2:O$5000,MATCH(ROW()-4,EQA.Controllab_Dados!$S$2:$S$5000,0)),"")</f>
        <v/>
      </c>
      <c r="P96" s="137" t="str">
        <f>IFERROR(INDEX(EQA.Controllab_Dados!P$2:P$5000,MATCH(ROW()-4,EQA.Controllab_Dados!$S$2:$S$5000,0)),"")</f>
        <v/>
      </c>
      <c r="Q96" s="126" t="str">
        <f>IFERROR(INDEX(EQA.Controllab_Dados!Q$2:Q$5000,MATCH(ROW()-4,EQA.Controllab_Dados!$S$2:$S$5000,0)),"")</f>
        <v/>
      </c>
      <c r="R96" t="str">
        <f>IFERROR(INDEX(EQA.Controllab_Dados!R$2:R$5000,MATCH(ROW()-4,EQA.Controllab_Dados!$S$2:$S$5000,0)),"")</f>
        <v/>
      </c>
    </row>
    <row r="97" spans="1:18" x14ac:dyDescent="0.3">
      <c r="A97" t="str">
        <f>IFERROR(INDEX(EQA.Controllab_Dados!A$2:A$5000,MATCH(ROW()-4,EQA.Controllab_Dados!$S$2:$S$5000,0)),"")</f>
        <v/>
      </c>
      <c r="B97" t="str">
        <f>IFERROR(INDEX(EQA.Controllab_Dados!B$2:B$5000,MATCH(ROW()-4,EQA.Controllab_Dados!$S$2:$S$5000,0)),"")</f>
        <v/>
      </c>
      <c r="C97" s="126" t="str">
        <f>IFERROR(INDEX(EQA.Controllab_Dados!C$2:C$5000,MATCH(ROW()-4,EQA.Controllab_Dados!$S$2:$S$5000,0)),"")</f>
        <v/>
      </c>
      <c r="D97" t="str">
        <f>IFERROR(INDEX(EQA.Controllab_Dados!D$2:D$5000,MATCH(ROW()-4,EQA.Controllab_Dados!$S$2:$S$5000,0)),"")</f>
        <v/>
      </c>
      <c r="E97" t="str">
        <f>IFERROR(INDEX(EQA.Controllab_Dados!E$2:E$5000,MATCH(ROW()-4,EQA.Controllab_Dados!$S$2:$S$5000,0)),"")</f>
        <v/>
      </c>
      <c r="F97" s="137" t="str">
        <f>IFERROR(INDEX(EQA.Controllab_Dados!F$2:F$5000,MATCH(ROW()-4,EQA.Controllab_Dados!$S$2:$S$5000,0)),"")</f>
        <v/>
      </c>
      <c r="G97" s="138" t="str">
        <f>IFERROR(INDEX(EQA.Controllab_Dados!G$2:G$5000,MATCH(ROW()-4,EQA.Controllab_Dados!$S$2:$S$5000,0)),"")</f>
        <v/>
      </c>
      <c r="H97" s="138" t="str">
        <f>IFERROR(INDEX(EQA.Controllab_Dados!H$2:H$5000,MATCH(ROW()-4,EQA.Controllab_Dados!$S$2:$S$5000,0)),"")</f>
        <v/>
      </c>
      <c r="I97" s="139" t="str">
        <f>IFERROR(INDEX(EQA.Controllab_Dados!I$2:I$5000,MATCH(ROW()-4,EQA.Controllab_Dados!$S$2:$S$5000,0)),"")</f>
        <v/>
      </c>
      <c r="J97" s="137" t="str">
        <f>IFERROR(INDEX(EQA.Controllab_Dados!J$2:J$5000,MATCH(ROW()-4,EQA.Controllab_Dados!$S$2:$S$5000,0)),"")</f>
        <v/>
      </c>
      <c r="K97" s="137" t="str">
        <f>IFERROR(INDEX(EQA.Controllab_Dados!K$2:K$5000,MATCH(ROW()-4,EQA.Controllab_Dados!$S$2:$S$5000,0)),"")</f>
        <v/>
      </c>
      <c r="L97" t="str">
        <f>IFERROR(INDEX(EQA.Controllab_Dados!L$2:L$5000,MATCH(ROW()-4,EQA.Controllab_Dados!$S$2:$S$5000,0)),"")</f>
        <v/>
      </c>
      <c r="M97" s="126" t="str">
        <f>IFERROR(INDEX(EQA.Controllab_Dados!M$2:M$5000,MATCH(ROW()-4,EQA.Controllab_Dados!$S$2:$S$5000,0)),"")</f>
        <v/>
      </c>
      <c r="N97" t="str">
        <f>IFERROR(INDEX(EQA.Controllab_Dados!N$2:N$5000,MATCH(ROW()-4,EQA.Controllab_Dados!$S$2:$S$5000,0)),"")</f>
        <v/>
      </c>
      <c r="O97" s="137" t="str">
        <f>IFERROR(INDEX(EQA.Controllab_Dados!O$2:O$5000,MATCH(ROW()-4,EQA.Controllab_Dados!$S$2:$S$5000,0)),"")</f>
        <v/>
      </c>
      <c r="P97" s="137" t="str">
        <f>IFERROR(INDEX(EQA.Controllab_Dados!P$2:P$5000,MATCH(ROW()-4,EQA.Controllab_Dados!$S$2:$S$5000,0)),"")</f>
        <v/>
      </c>
      <c r="Q97" s="126" t="str">
        <f>IFERROR(INDEX(EQA.Controllab_Dados!Q$2:Q$5000,MATCH(ROW()-4,EQA.Controllab_Dados!$S$2:$S$5000,0)),"")</f>
        <v/>
      </c>
      <c r="R97" t="str">
        <f>IFERROR(INDEX(EQA.Controllab_Dados!R$2:R$5000,MATCH(ROW()-4,EQA.Controllab_Dados!$S$2:$S$5000,0)),"")</f>
        <v/>
      </c>
    </row>
    <row r="98" spans="1:18" x14ac:dyDescent="0.3">
      <c r="A98" t="str">
        <f>IFERROR(INDEX(EQA.Controllab_Dados!A$2:A$5000,MATCH(ROW()-4,EQA.Controllab_Dados!$S$2:$S$5000,0)),"")</f>
        <v/>
      </c>
      <c r="B98" t="str">
        <f>IFERROR(INDEX(EQA.Controllab_Dados!B$2:B$5000,MATCH(ROW()-4,EQA.Controllab_Dados!$S$2:$S$5000,0)),"")</f>
        <v/>
      </c>
      <c r="C98" s="126" t="str">
        <f>IFERROR(INDEX(EQA.Controllab_Dados!C$2:C$5000,MATCH(ROW()-4,EQA.Controllab_Dados!$S$2:$S$5000,0)),"")</f>
        <v/>
      </c>
      <c r="D98" t="str">
        <f>IFERROR(INDEX(EQA.Controllab_Dados!D$2:D$5000,MATCH(ROW()-4,EQA.Controllab_Dados!$S$2:$S$5000,0)),"")</f>
        <v/>
      </c>
      <c r="E98" t="str">
        <f>IFERROR(INDEX(EQA.Controllab_Dados!E$2:E$5000,MATCH(ROW()-4,EQA.Controllab_Dados!$S$2:$S$5000,0)),"")</f>
        <v/>
      </c>
      <c r="F98" s="137" t="str">
        <f>IFERROR(INDEX(EQA.Controllab_Dados!F$2:F$5000,MATCH(ROW()-4,EQA.Controllab_Dados!$S$2:$S$5000,0)),"")</f>
        <v/>
      </c>
      <c r="G98" s="138" t="str">
        <f>IFERROR(INDEX(EQA.Controllab_Dados!G$2:G$5000,MATCH(ROW()-4,EQA.Controllab_Dados!$S$2:$S$5000,0)),"")</f>
        <v/>
      </c>
      <c r="H98" s="138" t="str">
        <f>IFERROR(INDEX(EQA.Controllab_Dados!H$2:H$5000,MATCH(ROW()-4,EQA.Controllab_Dados!$S$2:$S$5000,0)),"")</f>
        <v/>
      </c>
      <c r="I98" s="139" t="str">
        <f>IFERROR(INDEX(EQA.Controllab_Dados!I$2:I$5000,MATCH(ROW()-4,EQA.Controllab_Dados!$S$2:$S$5000,0)),"")</f>
        <v/>
      </c>
      <c r="J98" s="137" t="str">
        <f>IFERROR(INDEX(EQA.Controllab_Dados!J$2:J$5000,MATCH(ROW()-4,EQA.Controllab_Dados!$S$2:$S$5000,0)),"")</f>
        <v/>
      </c>
      <c r="K98" s="137" t="str">
        <f>IFERROR(INDEX(EQA.Controllab_Dados!K$2:K$5000,MATCH(ROW()-4,EQA.Controllab_Dados!$S$2:$S$5000,0)),"")</f>
        <v/>
      </c>
      <c r="L98" t="str">
        <f>IFERROR(INDEX(EQA.Controllab_Dados!L$2:L$5000,MATCH(ROW()-4,EQA.Controllab_Dados!$S$2:$S$5000,0)),"")</f>
        <v/>
      </c>
      <c r="M98" s="126" t="str">
        <f>IFERROR(INDEX(EQA.Controllab_Dados!M$2:M$5000,MATCH(ROW()-4,EQA.Controllab_Dados!$S$2:$S$5000,0)),"")</f>
        <v/>
      </c>
      <c r="N98" t="str">
        <f>IFERROR(INDEX(EQA.Controllab_Dados!N$2:N$5000,MATCH(ROW()-4,EQA.Controllab_Dados!$S$2:$S$5000,0)),"")</f>
        <v/>
      </c>
      <c r="O98" s="137" t="str">
        <f>IFERROR(INDEX(EQA.Controllab_Dados!O$2:O$5000,MATCH(ROW()-4,EQA.Controllab_Dados!$S$2:$S$5000,0)),"")</f>
        <v/>
      </c>
      <c r="P98" s="137" t="str">
        <f>IFERROR(INDEX(EQA.Controllab_Dados!P$2:P$5000,MATCH(ROW()-4,EQA.Controllab_Dados!$S$2:$S$5000,0)),"")</f>
        <v/>
      </c>
      <c r="Q98" s="126" t="str">
        <f>IFERROR(INDEX(EQA.Controllab_Dados!Q$2:Q$5000,MATCH(ROW()-4,EQA.Controllab_Dados!$S$2:$S$5000,0)),"")</f>
        <v/>
      </c>
      <c r="R98" t="str">
        <f>IFERROR(INDEX(EQA.Controllab_Dados!R$2:R$5000,MATCH(ROW()-4,EQA.Controllab_Dados!$S$2:$S$5000,0)),"")</f>
        <v/>
      </c>
    </row>
    <row r="99" spans="1:18" x14ac:dyDescent="0.3">
      <c r="A99" t="str">
        <f>IFERROR(INDEX(EQA.Controllab_Dados!A$2:A$5000,MATCH(ROW()-4,EQA.Controllab_Dados!$S$2:$S$5000,0)),"")</f>
        <v/>
      </c>
      <c r="B99" t="str">
        <f>IFERROR(INDEX(EQA.Controllab_Dados!B$2:B$5000,MATCH(ROW()-4,EQA.Controllab_Dados!$S$2:$S$5000,0)),"")</f>
        <v/>
      </c>
      <c r="C99" s="126" t="str">
        <f>IFERROR(INDEX(EQA.Controllab_Dados!C$2:C$5000,MATCH(ROW()-4,EQA.Controllab_Dados!$S$2:$S$5000,0)),"")</f>
        <v/>
      </c>
      <c r="D99" t="str">
        <f>IFERROR(INDEX(EQA.Controllab_Dados!D$2:D$5000,MATCH(ROW()-4,EQA.Controllab_Dados!$S$2:$S$5000,0)),"")</f>
        <v/>
      </c>
      <c r="E99" t="str">
        <f>IFERROR(INDEX(EQA.Controllab_Dados!E$2:E$5000,MATCH(ROW()-4,EQA.Controllab_Dados!$S$2:$S$5000,0)),"")</f>
        <v/>
      </c>
      <c r="F99" s="137" t="str">
        <f>IFERROR(INDEX(EQA.Controllab_Dados!F$2:F$5000,MATCH(ROW()-4,EQA.Controllab_Dados!$S$2:$S$5000,0)),"")</f>
        <v/>
      </c>
      <c r="G99" s="138" t="str">
        <f>IFERROR(INDEX(EQA.Controllab_Dados!G$2:G$5000,MATCH(ROW()-4,EQA.Controllab_Dados!$S$2:$S$5000,0)),"")</f>
        <v/>
      </c>
      <c r="H99" s="138" t="str">
        <f>IFERROR(INDEX(EQA.Controllab_Dados!H$2:H$5000,MATCH(ROW()-4,EQA.Controllab_Dados!$S$2:$S$5000,0)),"")</f>
        <v/>
      </c>
      <c r="I99" s="139" t="str">
        <f>IFERROR(INDEX(EQA.Controllab_Dados!I$2:I$5000,MATCH(ROW()-4,EQA.Controllab_Dados!$S$2:$S$5000,0)),"")</f>
        <v/>
      </c>
      <c r="J99" s="137" t="str">
        <f>IFERROR(INDEX(EQA.Controllab_Dados!J$2:J$5000,MATCH(ROW()-4,EQA.Controllab_Dados!$S$2:$S$5000,0)),"")</f>
        <v/>
      </c>
      <c r="K99" s="137" t="str">
        <f>IFERROR(INDEX(EQA.Controllab_Dados!K$2:K$5000,MATCH(ROW()-4,EQA.Controllab_Dados!$S$2:$S$5000,0)),"")</f>
        <v/>
      </c>
      <c r="L99" t="str">
        <f>IFERROR(INDEX(EQA.Controllab_Dados!L$2:L$5000,MATCH(ROW()-4,EQA.Controllab_Dados!$S$2:$S$5000,0)),"")</f>
        <v/>
      </c>
      <c r="M99" s="126" t="str">
        <f>IFERROR(INDEX(EQA.Controllab_Dados!M$2:M$5000,MATCH(ROW()-4,EQA.Controllab_Dados!$S$2:$S$5000,0)),"")</f>
        <v/>
      </c>
      <c r="N99" t="str">
        <f>IFERROR(INDEX(EQA.Controllab_Dados!N$2:N$5000,MATCH(ROW()-4,EQA.Controllab_Dados!$S$2:$S$5000,0)),"")</f>
        <v/>
      </c>
      <c r="O99" s="137" t="str">
        <f>IFERROR(INDEX(EQA.Controllab_Dados!O$2:O$5000,MATCH(ROW()-4,EQA.Controllab_Dados!$S$2:$S$5000,0)),"")</f>
        <v/>
      </c>
      <c r="P99" s="137" t="str">
        <f>IFERROR(INDEX(EQA.Controllab_Dados!P$2:P$5000,MATCH(ROW()-4,EQA.Controllab_Dados!$S$2:$S$5000,0)),"")</f>
        <v/>
      </c>
      <c r="Q99" s="126" t="str">
        <f>IFERROR(INDEX(EQA.Controllab_Dados!Q$2:Q$5000,MATCH(ROW()-4,EQA.Controllab_Dados!$S$2:$S$5000,0)),"")</f>
        <v/>
      </c>
      <c r="R99" t="str">
        <f>IFERROR(INDEX(EQA.Controllab_Dados!R$2:R$5000,MATCH(ROW()-4,EQA.Controllab_Dados!$S$2:$S$5000,0)),"")</f>
        <v/>
      </c>
    </row>
    <row r="100" spans="1:18" x14ac:dyDescent="0.3">
      <c r="A100" t="str">
        <f>IFERROR(INDEX(EQA.Controllab_Dados!A$2:A$5000,MATCH(ROW()-4,EQA.Controllab_Dados!$S$2:$S$5000,0)),"")</f>
        <v/>
      </c>
      <c r="B100" t="str">
        <f>IFERROR(INDEX(EQA.Controllab_Dados!B$2:B$5000,MATCH(ROW()-4,EQA.Controllab_Dados!$S$2:$S$5000,0)),"")</f>
        <v/>
      </c>
      <c r="C100" s="126" t="str">
        <f>IFERROR(INDEX(EQA.Controllab_Dados!C$2:C$5000,MATCH(ROW()-4,EQA.Controllab_Dados!$S$2:$S$5000,0)),"")</f>
        <v/>
      </c>
      <c r="D100" t="str">
        <f>IFERROR(INDEX(EQA.Controllab_Dados!D$2:D$5000,MATCH(ROW()-4,EQA.Controllab_Dados!$S$2:$S$5000,0)),"")</f>
        <v/>
      </c>
      <c r="E100" t="str">
        <f>IFERROR(INDEX(EQA.Controllab_Dados!E$2:E$5000,MATCH(ROW()-4,EQA.Controllab_Dados!$S$2:$S$5000,0)),"")</f>
        <v/>
      </c>
      <c r="F100" s="137" t="str">
        <f>IFERROR(INDEX(EQA.Controllab_Dados!F$2:F$5000,MATCH(ROW()-4,EQA.Controllab_Dados!$S$2:$S$5000,0)),"")</f>
        <v/>
      </c>
      <c r="G100" s="138" t="str">
        <f>IFERROR(INDEX(EQA.Controllab_Dados!G$2:G$5000,MATCH(ROW()-4,EQA.Controllab_Dados!$S$2:$S$5000,0)),"")</f>
        <v/>
      </c>
      <c r="H100" s="138" t="str">
        <f>IFERROR(INDEX(EQA.Controllab_Dados!H$2:H$5000,MATCH(ROW()-4,EQA.Controllab_Dados!$S$2:$S$5000,0)),"")</f>
        <v/>
      </c>
      <c r="I100" s="139" t="str">
        <f>IFERROR(INDEX(EQA.Controllab_Dados!I$2:I$5000,MATCH(ROW()-4,EQA.Controllab_Dados!$S$2:$S$5000,0)),"")</f>
        <v/>
      </c>
      <c r="J100" s="137" t="str">
        <f>IFERROR(INDEX(EQA.Controllab_Dados!J$2:J$5000,MATCH(ROW()-4,EQA.Controllab_Dados!$S$2:$S$5000,0)),"")</f>
        <v/>
      </c>
      <c r="K100" s="137" t="str">
        <f>IFERROR(INDEX(EQA.Controllab_Dados!K$2:K$5000,MATCH(ROW()-4,EQA.Controllab_Dados!$S$2:$S$5000,0)),"")</f>
        <v/>
      </c>
      <c r="L100" t="str">
        <f>IFERROR(INDEX(EQA.Controllab_Dados!L$2:L$5000,MATCH(ROW()-4,EQA.Controllab_Dados!$S$2:$S$5000,0)),"")</f>
        <v/>
      </c>
      <c r="M100" s="126" t="str">
        <f>IFERROR(INDEX(EQA.Controllab_Dados!M$2:M$5000,MATCH(ROW()-4,EQA.Controllab_Dados!$S$2:$S$5000,0)),"")</f>
        <v/>
      </c>
      <c r="N100" t="str">
        <f>IFERROR(INDEX(EQA.Controllab_Dados!N$2:N$5000,MATCH(ROW()-4,EQA.Controllab_Dados!$S$2:$S$5000,0)),"")</f>
        <v/>
      </c>
      <c r="O100" s="137" t="str">
        <f>IFERROR(INDEX(EQA.Controllab_Dados!O$2:O$5000,MATCH(ROW()-4,EQA.Controllab_Dados!$S$2:$S$5000,0)),"")</f>
        <v/>
      </c>
      <c r="P100" s="137" t="str">
        <f>IFERROR(INDEX(EQA.Controllab_Dados!P$2:P$5000,MATCH(ROW()-4,EQA.Controllab_Dados!$S$2:$S$5000,0)),"")</f>
        <v/>
      </c>
      <c r="Q100" s="126" t="str">
        <f>IFERROR(INDEX(EQA.Controllab_Dados!Q$2:Q$5000,MATCH(ROW()-4,EQA.Controllab_Dados!$S$2:$S$5000,0)),"")</f>
        <v/>
      </c>
      <c r="R100" t="str">
        <f>IFERROR(INDEX(EQA.Controllab_Dados!R$2:R$5000,MATCH(ROW()-4,EQA.Controllab_Dados!$S$2:$S$5000,0)),"")</f>
        <v/>
      </c>
    </row>
    <row r="101" spans="1:18" x14ac:dyDescent="0.3">
      <c r="A101" t="str">
        <f>IFERROR(INDEX(EQA.Controllab_Dados!A$2:A$5000,MATCH(ROW()-4,EQA.Controllab_Dados!$S$2:$S$5000,0)),"")</f>
        <v/>
      </c>
      <c r="B101" t="str">
        <f>IFERROR(INDEX(EQA.Controllab_Dados!B$2:B$5000,MATCH(ROW()-4,EQA.Controllab_Dados!$S$2:$S$5000,0)),"")</f>
        <v/>
      </c>
      <c r="C101" s="126" t="str">
        <f>IFERROR(INDEX(EQA.Controllab_Dados!C$2:C$5000,MATCH(ROW()-4,EQA.Controllab_Dados!$S$2:$S$5000,0)),"")</f>
        <v/>
      </c>
      <c r="D101" t="str">
        <f>IFERROR(INDEX(EQA.Controllab_Dados!D$2:D$5000,MATCH(ROW()-4,EQA.Controllab_Dados!$S$2:$S$5000,0)),"")</f>
        <v/>
      </c>
      <c r="E101" t="str">
        <f>IFERROR(INDEX(EQA.Controllab_Dados!E$2:E$5000,MATCH(ROW()-4,EQA.Controllab_Dados!$S$2:$S$5000,0)),"")</f>
        <v/>
      </c>
      <c r="F101" s="137" t="str">
        <f>IFERROR(INDEX(EQA.Controllab_Dados!F$2:F$5000,MATCH(ROW()-4,EQA.Controllab_Dados!$S$2:$S$5000,0)),"")</f>
        <v/>
      </c>
      <c r="G101" s="138" t="str">
        <f>IFERROR(INDEX(EQA.Controllab_Dados!G$2:G$5000,MATCH(ROW()-4,EQA.Controllab_Dados!$S$2:$S$5000,0)),"")</f>
        <v/>
      </c>
      <c r="H101" s="138" t="str">
        <f>IFERROR(INDEX(EQA.Controllab_Dados!H$2:H$5000,MATCH(ROW()-4,EQA.Controllab_Dados!$S$2:$S$5000,0)),"")</f>
        <v/>
      </c>
      <c r="I101" s="139" t="str">
        <f>IFERROR(INDEX(EQA.Controllab_Dados!I$2:I$5000,MATCH(ROW()-4,EQA.Controllab_Dados!$S$2:$S$5000,0)),"")</f>
        <v/>
      </c>
      <c r="J101" s="137" t="str">
        <f>IFERROR(INDEX(EQA.Controllab_Dados!J$2:J$5000,MATCH(ROW()-4,EQA.Controllab_Dados!$S$2:$S$5000,0)),"")</f>
        <v/>
      </c>
      <c r="K101" s="137" t="str">
        <f>IFERROR(INDEX(EQA.Controllab_Dados!K$2:K$5000,MATCH(ROW()-4,EQA.Controllab_Dados!$S$2:$S$5000,0)),"")</f>
        <v/>
      </c>
      <c r="L101" t="str">
        <f>IFERROR(INDEX(EQA.Controllab_Dados!L$2:L$5000,MATCH(ROW()-4,EQA.Controllab_Dados!$S$2:$S$5000,0)),"")</f>
        <v/>
      </c>
      <c r="M101" s="126" t="str">
        <f>IFERROR(INDEX(EQA.Controllab_Dados!M$2:M$5000,MATCH(ROW()-4,EQA.Controllab_Dados!$S$2:$S$5000,0)),"")</f>
        <v/>
      </c>
      <c r="N101" t="str">
        <f>IFERROR(INDEX(EQA.Controllab_Dados!N$2:N$5000,MATCH(ROW()-4,EQA.Controllab_Dados!$S$2:$S$5000,0)),"")</f>
        <v/>
      </c>
      <c r="O101" s="137" t="str">
        <f>IFERROR(INDEX(EQA.Controllab_Dados!O$2:O$5000,MATCH(ROW()-4,EQA.Controllab_Dados!$S$2:$S$5000,0)),"")</f>
        <v/>
      </c>
      <c r="P101" s="137" t="str">
        <f>IFERROR(INDEX(EQA.Controllab_Dados!P$2:P$5000,MATCH(ROW()-4,EQA.Controllab_Dados!$S$2:$S$5000,0)),"")</f>
        <v/>
      </c>
      <c r="Q101" s="126" t="str">
        <f>IFERROR(INDEX(EQA.Controllab_Dados!Q$2:Q$5000,MATCH(ROW()-4,EQA.Controllab_Dados!$S$2:$S$5000,0)),"")</f>
        <v/>
      </c>
      <c r="R101" t="str">
        <f>IFERROR(INDEX(EQA.Controllab_Dados!R$2:R$5000,MATCH(ROW()-4,EQA.Controllab_Dados!$S$2:$S$5000,0)),"")</f>
        <v/>
      </c>
    </row>
    <row r="102" spans="1:18" x14ac:dyDescent="0.3">
      <c r="A102" t="str">
        <f>IFERROR(INDEX(EQA.Controllab_Dados!A$2:A$5000,MATCH(ROW()-4,EQA.Controllab_Dados!$S$2:$S$5000,0)),"")</f>
        <v/>
      </c>
      <c r="B102" t="str">
        <f>IFERROR(INDEX(EQA.Controllab_Dados!B$2:B$5000,MATCH(ROW()-4,EQA.Controllab_Dados!$S$2:$S$5000,0)),"")</f>
        <v/>
      </c>
      <c r="C102" s="126" t="str">
        <f>IFERROR(INDEX(EQA.Controllab_Dados!C$2:C$5000,MATCH(ROW()-4,EQA.Controllab_Dados!$S$2:$S$5000,0)),"")</f>
        <v/>
      </c>
      <c r="D102" t="str">
        <f>IFERROR(INDEX(EQA.Controllab_Dados!D$2:D$5000,MATCH(ROW()-4,EQA.Controllab_Dados!$S$2:$S$5000,0)),"")</f>
        <v/>
      </c>
      <c r="E102" t="str">
        <f>IFERROR(INDEX(EQA.Controllab_Dados!E$2:E$5000,MATCH(ROW()-4,EQA.Controllab_Dados!$S$2:$S$5000,0)),"")</f>
        <v/>
      </c>
      <c r="F102" s="137" t="str">
        <f>IFERROR(INDEX(EQA.Controllab_Dados!F$2:F$5000,MATCH(ROW()-4,EQA.Controllab_Dados!$S$2:$S$5000,0)),"")</f>
        <v/>
      </c>
      <c r="G102" s="138" t="str">
        <f>IFERROR(INDEX(EQA.Controllab_Dados!G$2:G$5000,MATCH(ROW()-4,EQA.Controllab_Dados!$S$2:$S$5000,0)),"")</f>
        <v/>
      </c>
      <c r="H102" s="138" t="str">
        <f>IFERROR(INDEX(EQA.Controllab_Dados!H$2:H$5000,MATCH(ROW()-4,EQA.Controllab_Dados!$S$2:$S$5000,0)),"")</f>
        <v/>
      </c>
      <c r="I102" s="139" t="str">
        <f>IFERROR(INDEX(EQA.Controllab_Dados!I$2:I$5000,MATCH(ROW()-4,EQA.Controllab_Dados!$S$2:$S$5000,0)),"")</f>
        <v/>
      </c>
      <c r="J102" s="137" t="str">
        <f>IFERROR(INDEX(EQA.Controllab_Dados!J$2:J$5000,MATCH(ROW()-4,EQA.Controllab_Dados!$S$2:$S$5000,0)),"")</f>
        <v/>
      </c>
      <c r="K102" s="137" t="str">
        <f>IFERROR(INDEX(EQA.Controllab_Dados!K$2:K$5000,MATCH(ROW()-4,EQA.Controllab_Dados!$S$2:$S$5000,0)),"")</f>
        <v/>
      </c>
      <c r="L102" t="str">
        <f>IFERROR(INDEX(EQA.Controllab_Dados!L$2:L$5000,MATCH(ROW()-4,EQA.Controllab_Dados!$S$2:$S$5000,0)),"")</f>
        <v/>
      </c>
      <c r="M102" s="126" t="str">
        <f>IFERROR(INDEX(EQA.Controllab_Dados!M$2:M$5000,MATCH(ROW()-4,EQA.Controllab_Dados!$S$2:$S$5000,0)),"")</f>
        <v/>
      </c>
      <c r="N102" t="str">
        <f>IFERROR(INDEX(EQA.Controllab_Dados!N$2:N$5000,MATCH(ROW()-4,EQA.Controllab_Dados!$S$2:$S$5000,0)),"")</f>
        <v/>
      </c>
      <c r="O102" s="137" t="str">
        <f>IFERROR(INDEX(EQA.Controllab_Dados!O$2:O$5000,MATCH(ROW()-4,EQA.Controllab_Dados!$S$2:$S$5000,0)),"")</f>
        <v/>
      </c>
      <c r="P102" s="137" t="str">
        <f>IFERROR(INDEX(EQA.Controllab_Dados!P$2:P$5000,MATCH(ROW()-4,EQA.Controllab_Dados!$S$2:$S$5000,0)),"")</f>
        <v/>
      </c>
      <c r="Q102" s="126" t="str">
        <f>IFERROR(INDEX(EQA.Controllab_Dados!Q$2:Q$5000,MATCH(ROW()-4,EQA.Controllab_Dados!$S$2:$S$5000,0)),"")</f>
        <v/>
      </c>
      <c r="R102" t="str">
        <f>IFERROR(INDEX(EQA.Controllab_Dados!R$2:R$5000,MATCH(ROW()-4,EQA.Controllab_Dados!$S$2:$S$5000,0)),"")</f>
        <v/>
      </c>
    </row>
    <row r="103" spans="1:18" x14ac:dyDescent="0.3">
      <c r="A103" t="str">
        <f>IFERROR(INDEX(EQA.Controllab_Dados!A$2:A$5000,MATCH(ROW()-4,EQA.Controllab_Dados!$S$2:$S$5000,0)),"")</f>
        <v/>
      </c>
      <c r="B103" t="str">
        <f>IFERROR(INDEX(EQA.Controllab_Dados!B$2:B$5000,MATCH(ROW()-4,EQA.Controllab_Dados!$S$2:$S$5000,0)),"")</f>
        <v/>
      </c>
      <c r="C103" s="126" t="str">
        <f>IFERROR(INDEX(EQA.Controllab_Dados!C$2:C$5000,MATCH(ROW()-4,EQA.Controllab_Dados!$S$2:$S$5000,0)),"")</f>
        <v/>
      </c>
      <c r="D103" t="str">
        <f>IFERROR(INDEX(EQA.Controllab_Dados!D$2:D$5000,MATCH(ROW()-4,EQA.Controllab_Dados!$S$2:$S$5000,0)),"")</f>
        <v/>
      </c>
      <c r="E103" t="str">
        <f>IFERROR(INDEX(EQA.Controllab_Dados!E$2:E$5000,MATCH(ROW()-4,EQA.Controllab_Dados!$S$2:$S$5000,0)),"")</f>
        <v/>
      </c>
      <c r="F103" s="137" t="str">
        <f>IFERROR(INDEX(EQA.Controllab_Dados!F$2:F$5000,MATCH(ROW()-4,EQA.Controllab_Dados!$S$2:$S$5000,0)),"")</f>
        <v/>
      </c>
      <c r="G103" s="138" t="str">
        <f>IFERROR(INDEX(EQA.Controllab_Dados!G$2:G$5000,MATCH(ROW()-4,EQA.Controllab_Dados!$S$2:$S$5000,0)),"")</f>
        <v/>
      </c>
      <c r="H103" s="138" t="str">
        <f>IFERROR(INDEX(EQA.Controllab_Dados!H$2:H$5000,MATCH(ROW()-4,EQA.Controllab_Dados!$S$2:$S$5000,0)),"")</f>
        <v/>
      </c>
      <c r="I103" s="139" t="str">
        <f>IFERROR(INDEX(EQA.Controllab_Dados!I$2:I$5000,MATCH(ROW()-4,EQA.Controllab_Dados!$S$2:$S$5000,0)),"")</f>
        <v/>
      </c>
      <c r="J103" s="137" t="str">
        <f>IFERROR(INDEX(EQA.Controllab_Dados!J$2:J$5000,MATCH(ROW()-4,EQA.Controllab_Dados!$S$2:$S$5000,0)),"")</f>
        <v/>
      </c>
      <c r="K103" s="137" t="str">
        <f>IFERROR(INDEX(EQA.Controllab_Dados!K$2:K$5000,MATCH(ROW()-4,EQA.Controllab_Dados!$S$2:$S$5000,0)),"")</f>
        <v/>
      </c>
      <c r="L103" t="str">
        <f>IFERROR(INDEX(EQA.Controllab_Dados!L$2:L$5000,MATCH(ROW()-4,EQA.Controllab_Dados!$S$2:$S$5000,0)),"")</f>
        <v/>
      </c>
      <c r="M103" s="126" t="str">
        <f>IFERROR(INDEX(EQA.Controllab_Dados!M$2:M$5000,MATCH(ROW()-4,EQA.Controllab_Dados!$S$2:$S$5000,0)),"")</f>
        <v/>
      </c>
      <c r="N103" t="str">
        <f>IFERROR(INDEX(EQA.Controllab_Dados!N$2:N$5000,MATCH(ROW()-4,EQA.Controllab_Dados!$S$2:$S$5000,0)),"")</f>
        <v/>
      </c>
      <c r="O103" s="137" t="str">
        <f>IFERROR(INDEX(EQA.Controllab_Dados!O$2:O$5000,MATCH(ROW()-4,EQA.Controllab_Dados!$S$2:$S$5000,0)),"")</f>
        <v/>
      </c>
      <c r="P103" s="137" t="str">
        <f>IFERROR(INDEX(EQA.Controllab_Dados!P$2:P$5000,MATCH(ROW()-4,EQA.Controllab_Dados!$S$2:$S$5000,0)),"")</f>
        <v/>
      </c>
      <c r="Q103" s="126" t="str">
        <f>IFERROR(INDEX(EQA.Controllab_Dados!Q$2:Q$5000,MATCH(ROW()-4,EQA.Controllab_Dados!$S$2:$S$5000,0)),"")</f>
        <v/>
      </c>
      <c r="R103" t="str">
        <f>IFERROR(INDEX(EQA.Controllab_Dados!R$2:R$5000,MATCH(ROW()-4,EQA.Controllab_Dados!$S$2:$S$5000,0)),"")</f>
        <v/>
      </c>
    </row>
    <row r="104" spans="1:18" x14ac:dyDescent="0.3">
      <c r="A104" t="str">
        <f>IFERROR(INDEX(EQA.Controllab_Dados!A$2:A$5000,MATCH(ROW()-4,EQA.Controllab_Dados!$S$2:$S$5000,0)),"")</f>
        <v/>
      </c>
      <c r="B104" t="str">
        <f>IFERROR(INDEX(EQA.Controllab_Dados!B$2:B$5000,MATCH(ROW()-4,EQA.Controllab_Dados!$S$2:$S$5000,0)),"")</f>
        <v/>
      </c>
      <c r="C104" s="126" t="str">
        <f>IFERROR(INDEX(EQA.Controllab_Dados!C$2:C$5000,MATCH(ROW()-4,EQA.Controllab_Dados!$S$2:$S$5000,0)),"")</f>
        <v/>
      </c>
      <c r="D104" t="str">
        <f>IFERROR(INDEX(EQA.Controllab_Dados!D$2:D$5000,MATCH(ROW()-4,EQA.Controllab_Dados!$S$2:$S$5000,0)),"")</f>
        <v/>
      </c>
      <c r="E104" t="str">
        <f>IFERROR(INDEX(EQA.Controllab_Dados!E$2:E$5000,MATCH(ROW()-4,EQA.Controllab_Dados!$S$2:$S$5000,0)),"")</f>
        <v/>
      </c>
      <c r="F104" s="137" t="str">
        <f>IFERROR(INDEX(EQA.Controllab_Dados!F$2:F$5000,MATCH(ROW()-4,EQA.Controllab_Dados!$S$2:$S$5000,0)),"")</f>
        <v/>
      </c>
      <c r="G104" s="138" t="str">
        <f>IFERROR(INDEX(EQA.Controllab_Dados!G$2:G$5000,MATCH(ROW()-4,EQA.Controllab_Dados!$S$2:$S$5000,0)),"")</f>
        <v/>
      </c>
      <c r="H104" s="138" t="str">
        <f>IFERROR(INDEX(EQA.Controllab_Dados!H$2:H$5000,MATCH(ROW()-4,EQA.Controllab_Dados!$S$2:$S$5000,0)),"")</f>
        <v/>
      </c>
      <c r="I104" s="139" t="str">
        <f>IFERROR(INDEX(EQA.Controllab_Dados!I$2:I$5000,MATCH(ROW()-4,EQA.Controllab_Dados!$S$2:$S$5000,0)),"")</f>
        <v/>
      </c>
      <c r="J104" s="137" t="str">
        <f>IFERROR(INDEX(EQA.Controllab_Dados!J$2:J$5000,MATCH(ROW()-4,EQA.Controllab_Dados!$S$2:$S$5000,0)),"")</f>
        <v/>
      </c>
      <c r="K104" s="137" t="str">
        <f>IFERROR(INDEX(EQA.Controllab_Dados!K$2:K$5000,MATCH(ROW()-4,EQA.Controllab_Dados!$S$2:$S$5000,0)),"")</f>
        <v/>
      </c>
      <c r="L104" t="str">
        <f>IFERROR(INDEX(EQA.Controllab_Dados!L$2:L$5000,MATCH(ROW()-4,EQA.Controllab_Dados!$S$2:$S$5000,0)),"")</f>
        <v/>
      </c>
      <c r="M104" s="126" t="str">
        <f>IFERROR(INDEX(EQA.Controllab_Dados!M$2:M$5000,MATCH(ROW()-4,EQA.Controllab_Dados!$S$2:$S$5000,0)),"")</f>
        <v/>
      </c>
      <c r="N104" t="str">
        <f>IFERROR(INDEX(EQA.Controllab_Dados!N$2:N$5000,MATCH(ROW()-4,EQA.Controllab_Dados!$S$2:$S$5000,0)),"")</f>
        <v/>
      </c>
      <c r="O104" s="137" t="str">
        <f>IFERROR(INDEX(EQA.Controllab_Dados!O$2:O$5000,MATCH(ROW()-4,EQA.Controllab_Dados!$S$2:$S$5000,0)),"")</f>
        <v/>
      </c>
      <c r="P104" s="137" t="str">
        <f>IFERROR(INDEX(EQA.Controllab_Dados!P$2:P$5000,MATCH(ROW()-4,EQA.Controllab_Dados!$S$2:$S$5000,0)),"")</f>
        <v/>
      </c>
      <c r="Q104" s="126" t="str">
        <f>IFERROR(INDEX(EQA.Controllab_Dados!Q$2:Q$5000,MATCH(ROW()-4,EQA.Controllab_Dados!$S$2:$S$5000,0)),"")</f>
        <v/>
      </c>
      <c r="R104" t="str">
        <f>IFERROR(INDEX(EQA.Controllab_Dados!R$2:R$5000,MATCH(ROW()-4,EQA.Controllab_Dados!$S$2:$S$5000,0)),"")</f>
        <v/>
      </c>
    </row>
    <row r="105" spans="1:18" x14ac:dyDescent="0.3">
      <c r="A105" t="str">
        <f>IFERROR(INDEX(EQA.Controllab_Dados!A$2:A$5000,MATCH(ROW()-4,EQA.Controllab_Dados!$S$2:$S$5000,0)),"")</f>
        <v/>
      </c>
      <c r="B105" t="str">
        <f>IFERROR(INDEX(EQA.Controllab_Dados!B$2:B$5000,MATCH(ROW()-4,EQA.Controllab_Dados!$S$2:$S$5000,0)),"")</f>
        <v/>
      </c>
      <c r="C105" s="126" t="str">
        <f>IFERROR(INDEX(EQA.Controllab_Dados!C$2:C$5000,MATCH(ROW()-4,EQA.Controllab_Dados!$S$2:$S$5000,0)),"")</f>
        <v/>
      </c>
      <c r="D105" t="str">
        <f>IFERROR(INDEX(EQA.Controllab_Dados!D$2:D$5000,MATCH(ROW()-4,EQA.Controllab_Dados!$S$2:$S$5000,0)),"")</f>
        <v/>
      </c>
      <c r="E105" t="str">
        <f>IFERROR(INDEX(EQA.Controllab_Dados!E$2:E$5000,MATCH(ROW()-4,EQA.Controllab_Dados!$S$2:$S$5000,0)),"")</f>
        <v/>
      </c>
      <c r="F105" s="137" t="str">
        <f>IFERROR(INDEX(EQA.Controllab_Dados!F$2:F$5000,MATCH(ROW()-4,EQA.Controllab_Dados!$S$2:$S$5000,0)),"")</f>
        <v/>
      </c>
      <c r="G105" s="138" t="str">
        <f>IFERROR(INDEX(EQA.Controllab_Dados!G$2:G$5000,MATCH(ROW()-4,EQA.Controllab_Dados!$S$2:$S$5000,0)),"")</f>
        <v/>
      </c>
      <c r="H105" s="138" t="str">
        <f>IFERROR(INDEX(EQA.Controllab_Dados!H$2:H$5000,MATCH(ROW()-4,EQA.Controllab_Dados!$S$2:$S$5000,0)),"")</f>
        <v/>
      </c>
      <c r="I105" s="139" t="str">
        <f>IFERROR(INDEX(EQA.Controllab_Dados!I$2:I$5000,MATCH(ROW()-4,EQA.Controllab_Dados!$S$2:$S$5000,0)),"")</f>
        <v/>
      </c>
      <c r="J105" s="137" t="str">
        <f>IFERROR(INDEX(EQA.Controllab_Dados!J$2:J$5000,MATCH(ROW()-4,EQA.Controllab_Dados!$S$2:$S$5000,0)),"")</f>
        <v/>
      </c>
      <c r="K105" s="137" t="str">
        <f>IFERROR(INDEX(EQA.Controllab_Dados!K$2:K$5000,MATCH(ROW()-4,EQA.Controllab_Dados!$S$2:$S$5000,0)),"")</f>
        <v/>
      </c>
      <c r="L105" t="str">
        <f>IFERROR(INDEX(EQA.Controllab_Dados!L$2:L$5000,MATCH(ROW()-4,EQA.Controllab_Dados!$S$2:$S$5000,0)),"")</f>
        <v/>
      </c>
      <c r="M105" s="126" t="str">
        <f>IFERROR(INDEX(EQA.Controllab_Dados!M$2:M$5000,MATCH(ROW()-4,EQA.Controllab_Dados!$S$2:$S$5000,0)),"")</f>
        <v/>
      </c>
      <c r="N105" t="str">
        <f>IFERROR(INDEX(EQA.Controllab_Dados!N$2:N$5000,MATCH(ROW()-4,EQA.Controllab_Dados!$S$2:$S$5000,0)),"")</f>
        <v/>
      </c>
      <c r="O105" s="137" t="str">
        <f>IFERROR(INDEX(EQA.Controllab_Dados!O$2:O$5000,MATCH(ROW()-4,EQA.Controllab_Dados!$S$2:$S$5000,0)),"")</f>
        <v/>
      </c>
      <c r="P105" s="137" t="str">
        <f>IFERROR(INDEX(EQA.Controllab_Dados!P$2:P$5000,MATCH(ROW()-4,EQA.Controllab_Dados!$S$2:$S$5000,0)),"")</f>
        <v/>
      </c>
      <c r="Q105" s="126" t="str">
        <f>IFERROR(INDEX(EQA.Controllab_Dados!Q$2:Q$5000,MATCH(ROW()-4,EQA.Controllab_Dados!$S$2:$S$5000,0)),"")</f>
        <v/>
      </c>
      <c r="R105" t="str">
        <f>IFERROR(INDEX(EQA.Controllab_Dados!R$2:R$5000,MATCH(ROW()-4,EQA.Controllab_Dados!$S$2:$S$5000,0)),"")</f>
        <v/>
      </c>
    </row>
    <row r="106" spans="1:18" x14ac:dyDescent="0.3">
      <c r="A106" t="str">
        <f>IFERROR(INDEX(EQA.Controllab_Dados!A$2:A$5000,MATCH(ROW()-4,EQA.Controllab_Dados!$S$2:$S$5000,0)),"")</f>
        <v/>
      </c>
      <c r="B106" t="str">
        <f>IFERROR(INDEX(EQA.Controllab_Dados!B$2:B$5000,MATCH(ROW()-4,EQA.Controllab_Dados!$S$2:$S$5000,0)),"")</f>
        <v/>
      </c>
      <c r="C106" s="126" t="str">
        <f>IFERROR(INDEX(EQA.Controllab_Dados!C$2:C$5000,MATCH(ROW()-4,EQA.Controllab_Dados!$S$2:$S$5000,0)),"")</f>
        <v/>
      </c>
      <c r="D106" t="str">
        <f>IFERROR(INDEX(EQA.Controllab_Dados!D$2:D$5000,MATCH(ROW()-4,EQA.Controllab_Dados!$S$2:$S$5000,0)),"")</f>
        <v/>
      </c>
      <c r="E106" t="str">
        <f>IFERROR(INDEX(EQA.Controllab_Dados!E$2:E$5000,MATCH(ROW()-4,EQA.Controllab_Dados!$S$2:$S$5000,0)),"")</f>
        <v/>
      </c>
      <c r="F106" s="137" t="str">
        <f>IFERROR(INDEX(EQA.Controllab_Dados!F$2:F$5000,MATCH(ROW()-4,EQA.Controllab_Dados!$S$2:$S$5000,0)),"")</f>
        <v/>
      </c>
      <c r="G106" s="138" t="str">
        <f>IFERROR(INDEX(EQA.Controllab_Dados!G$2:G$5000,MATCH(ROW()-4,EQA.Controllab_Dados!$S$2:$S$5000,0)),"")</f>
        <v/>
      </c>
      <c r="H106" s="138" t="str">
        <f>IFERROR(INDEX(EQA.Controllab_Dados!H$2:H$5000,MATCH(ROW()-4,EQA.Controllab_Dados!$S$2:$S$5000,0)),"")</f>
        <v/>
      </c>
      <c r="I106" s="139" t="str">
        <f>IFERROR(INDEX(EQA.Controllab_Dados!I$2:I$5000,MATCH(ROW()-4,EQA.Controllab_Dados!$S$2:$S$5000,0)),"")</f>
        <v/>
      </c>
      <c r="J106" s="137" t="str">
        <f>IFERROR(INDEX(EQA.Controllab_Dados!J$2:J$5000,MATCH(ROW()-4,EQA.Controllab_Dados!$S$2:$S$5000,0)),"")</f>
        <v/>
      </c>
      <c r="K106" s="137" t="str">
        <f>IFERROR(INDEX(EQA.Controllab_Dados!K$2:K$5000,MATCH(ROW()-4,EQA.Controllab_Dados!$S$2:$S$5000,0)),"")</f>
        <v/>
      </c>
      <c r="L106" t="str">
        <f>IFERROR(INDEX(EQA.Controllab_Dados!L$2:L$5000,MATCH(ROW()-4,EQA.Controllab_Dados!$S$2:$S$5000,0)),"")</f>
        <v/>
      </c>
      <c r="M106" s="126" t="str">
        <f>IFERROR(INDEX(EQA.Controllab_Dados!M$2:M$5000,MATCH(ROW()-4,EQA.Controllab_Dados!$S$2:$S$5000,0)),"")</f>
        <v/>
      </c>
      <c r="N106" t="str">
        <f>IFERROR(INDEX(EQA.Controllab_Dados!N$2:N$5000,MATCH(ROW()-4,EQA.Controllab_Dados!$S$2:$S$5000,0)),"")</f>
        <v/>
      </c>
      <c r="O106" s="137" t="str">
        <f>IFERROR(INDEX(EQA.Controllab_Dados!O$2:O$5000,MATCH(ROW()-4,EQA.Controllab_Dados!$S$2:$S$5000,0)),"")</f>
        <v/>
      </c>
      <c r="P106" s="137" t="str">
        <f>IFERROR(INDEX(EQA.Controllab_Dados!P$2:P$5000,MATCH(ROW()-4,EQA.Controllab_Dados!$S$2:$S$5000,0)),"")</f>
        <v/>
      </c>
      <c r="Q106" s="126" t="str">
        <f>IFERROR(INDEX(EQA.Controllab_Dados!Q$2:Q$5000,MATCH(ROW()-4,EQA.Controllab_Dados!$S$2:$S$5000,0)),"")</f>
        <v/>
      </c>
      <c r="R106" t="str">
        <f>IFERROR(INDEX(EQA.Controllab_Dados!R$2:R$5000,MATCH(ROW()-4,EQA.Controllab_Dados!$S$2:$S$5000,0)),"")</f>
        <v/>
      </c>
    </row>
    <row r="107" spans="1:18" x14ac:dyDescent="0.3">
      <c r="A107" t="str">
        <f>IFERROR(INDEX(EQA.Controllab_Dados!A$2:A$5000,MATCH(ROW()-4,EQA.Controllab_Dados!$S$2:$S$5000,0)),"")</f>
        <v/>
      </c>
      <c r="B107" t="str">
        <f>IFERROR(INDEX(EQA.Controllab_Dados!B$2:B$5000,MATCH(ROW()-4,EQA.Controllab_Dados!$S$2:$S$5000,0)),"")</f>
        <v/>
      </c>
      <c r="C107" s="126" t="str">
        <f>IFERROR(INDEX(EQA.Controllab_Dados!C$2:C$5000,MATCH(ROW()-4,EQA.Controllab_Dados!$S$2:$S$5000,0)),"")</f>
        <v/>
      </c>
      <c r="D107" t="str">
        <f>IFERROR(INDEX(EQA.Controllab_Dados!D$2:D$5000,MATCH(ROW()-4,EQA.Controllab_Dados!$S$2:$S$5000,0)),"")</f>
        <v/>
      </c>
      <c r="E107" t="str">
        <f>IFERROR(INDEX(EQA.Controllab_Dados!E$2:E$5000,MATCH(ROW()-4,EQA.Controllab_Dados!$S$2:$S$5000,0)),"")</f>
        <v/>
      </c>
      <c r="F107" s="137" t="str">
        <f>IFERROR(INDEX(EQA.Controllab_Dados!F$2:F$5000,MATCH(ROW()-4,EQA.Controllab_Dados!$S$2:$S$5000,0)),"")</f>
        <v/>
      </c>
      <c r="G107" s="138" t="str">
        <f>IFERROR(INDEX(EQA.Controllab_Dados!G$2:G$5000,MATCH(ROW()-4,EQA.Controllab_Dados!$S$2:$S$5000,0)),"")</f>
        <v/>
      </c>
      <c r="H107" s="138" t="str">
        <f>IFERROR(INDEX(EQA.Controllab_Dados!H$2:H$5000,MATCH(ROW()-4,EQA.Controllab_Dados!$S$2:$S$5000,0)),"")</f>
        <v/>
      </c>
      <c r="I107" s="139" t="str">
        <f>IFERROR(INDEX(EQA.Controllab_Dados!I$2:I$5000,MATCH(ROW()-4,EQA.Controllab_Dados!$S$2:$S$5000,0)),"")</f>
        <v/>
      </c>
      <c r="J107" s="137" t="str">
        <f>IFERROR(INDEX(EQA.Controllab_Dados!J$2:J$5000,MATCH(ROW()-4,EQA.Controllab_Dados!$S$2:$S$5000,0)),"")</f>
        <v/>
      </c>
      <c r="K107" s="137" t="str">
        <f>IFERROR(INDEX(EQA.Controllab_Dados!K$2:K$5000,MATCH(ROW()-4,EQA.Controllab_Dados!$S$2:$S$5000,0)),"")</f>
        <v/>
      </c>
      <c r="L107" t="str">
        <f>IFERROR(INDEX(EQA.Controllab_Dados!L$2:L$5000,MATCH(ROW()-4,EQA.Controllab_Dados!$S$2:$S$5000,0)),"")</f>
        <v/>
      </c>
      <c r="M107" s="126" t="str">
        <f>IFERROR(INDEX(EQA.Controllab_Dados!M$2:M$5000,MATCH(ROW()-4,EQA.Controllab_Dados!$S$2:$S$5000,0)),"")</f>
        <v/>
      </c>
      <c r="N107" t="str">
        <f>IFERROR(INDEX(EQA.Controllab_Dados!N$2:N$5000,MATCH(ROW()-4,EQA.Controllab_Dados!$S$2:$S$5000,0)),"")</f>
        <v/>
      </c>
      <c r="O107" s="137" t="str">
        <f>IFERROR(INDEX(EQA.Controllab_Dados!O$2:O$5000,MATCH(ROW()-4,EQA.Controllab_Dados!$S$2:$S$5000,0)),"")</f>
        <v/>
      </c>
      <c r="P107" s="137" t="str">
        <f>IFERROR(INDEX(EQA.Controllab_Dados!P$2:P$5000,MATCH(ROW()-4,EQA.Controllab_Dados!$S$2:$S$5000,0)),"")</f>
        <v/>
      </c>
      <c r="Q107" s="126" t="str">
        <f>IFERROR(INDEX(EQA.Controllab_Dados!Q$2:Q$5000,MATCH(ROW()-4,EQA.Controllab_Dados!$S$2:$S$5000,0)),"")</f>
        <v/>
      </c>
      <c r="R107" t="str">
        <f>IFERROR(INDEX(EQA.Controllab_Dados!R$2:R$5000,MATCH(ROW()-4,EQA.Controllab_Dados!$S$2:$S$5000,0)),"")</f>
        <v/>
      </c>
    </row>
    <row r="108" spans="1:18" x14ac:dyDescent="0.3">
      <c r="A108" t="str">
        <f>IFERROR(INDEX(EQA.Controllab_Dados!A$2:A$5000,MATCH(ROW()-4,EQA.Controllab_Dados!$S$2:$S$5000,0)),"")</f>
        <v/>
      </c>
      <c r="B108" t="str">
        <f>IFERROR(INDEX(EQA.Controllab_Dados!B$2:B$5000,MATCH(ROW()-4,EQA.Controllab_Dados!$S$2:$S$5000,0)),"")</f>
        <v/>
      </c>
      <c r="C108" s="126" t="str">
        <f>IFERROR(INDEX(EQA.Controllab_Dados!C$2:C$5000,MATCH(ROW()-4,EQA.Controllab_Dados!$S$2:$S$5000,0)),"")</f>
        <v/>
      </c>
      <c r="D108" t="str">
        <f>IFERROR(INDEX(EQA.Controllab_Dados!D$2:D$5000,MATCH(ROW()-4,EQA.Controllab_Dados!$S$2:$S$5000,0)),"")</f>
        <v/>
      </c>
      <c r="E108" t="str">
        <f>IFERROR(INDEX(EQA.Controllab_Dados!E$2:E$5000,MATCH(ROW()-4,EQA.Controllab_Dados!$S$2:$S$5000,0)),"")</f>
        <v/>
      </c>
      <c r="F108" s="137" t="str">
        <f>IFERROR(INDEX(EQA.Controllab_Dados!F$2:F$5000,MATCH(ROW()-4,EQA.Controllab_Dados!$S$2:$S$5000,0)),"")</f>
        <v/>
      </c>
      <c r="G108" s="138" t="str">
        <f>IFERROR(INDEX(EQA.Controllab_Dados!G$2:G$5000,MATCH(ROW()-4,EQA.Controllab_Dados!$S$2:$S$5000,0)),"")</f>
        <v/>
      </c>
      <c r="H108" s="138" t="str">
        <f>IFERROR(INDEX(EQA.Controllab_Dados!H$2:H$5000,MATCH(ROW()-4,EQA.Controllab_Dados!$S$2:$S$5000,0)),"")</f>
        <v/>
      </c>
      <c r="I108" s="139" t="str">
        <f>IFERROR(INDEX(EQA.Controllab_Dados!I$2:I$5000,MATCH(ROW()-4,EQA.Controllab_Dados!$S$2:$S$5000,0)),"")</f>
        <v/>
      </c>
      <c r="J108" s="137" t="str">
        <f>IFERROR(INDEX(EQA.Controllab_Dados!J$2:J$5000,MATCH(ROW()-4,EQA.Controllab_Dados!$S$2:$S$5000,0)),"")</f>
        <v/>
      </c>
      <c r="K108" s="137" t="str">
        <f>IFERROR(INDEX(EQA.Controllab_Dados!K$2:K$5000,MATCH(ROW()-4,EQA.Controllab_Dados!$S$2:$S$5000,0)),"")</f>
        <v/>
      </c>
      <c r="L108" t="str">
        <f>IFERROR(INDEX(EQA.Controllab_Dados!L$2:L$5000,MATCH(ROW()-4,EQA.Controllab_Dados!$S$2:$S$5000,0)),"")</f>
        <v/>
      </c>
      <c r="M108" s="126" t="str">
        <f>IFERROR(INDEX(EQA.Controllab_Dados!M$2:M$5000,MATCH(ROW()-4,EQA.Controllab_Dados!$S$2:$S$5000,0)),"")</f>
        <v/>
      </c>
      <c r="N108" t="str">
        <f>IFERROR(INDEX(EQA.Controllab_Dados!N$2:N$5000,MATCH(ROW()-4,EQA.Controllab_Dados!$S$2:$S$5000,0)),"")</f>
        <v/>
      </c>
      <c r="O108" s="137" t="str">
        <f>IFERROR(INDEX(EQA.Controllab_Dados!O$2:O$5000,MATCH(ROW()-4,EQA.Controllab_Dados!$S$2:$S$5000,0)),"")</f>
        <v/>
      </c>
      <c r="P108" s="137" t="str">
        <f>IFERROR(INDEX(EQA.Controllab_Dados!P$2:P$5000,MATCH(ROW()-4,EQA.Controllab_Dados!$S$2:$S$5000,0)),"")</f>
        <v/>
      </c>
      <c r="Q108" s="126" t="str">
        <f>IFERROR(INDEX(EQA.Controllab_Dados!Q$2:Q$5000,MATCH(ROW()-4,EQA.Controllab_Dados!$S$2:$S$5000,0)),"")</f>
        <v/>
      </c>
      <c r="R108" t="str">
        <f>IFERROR(INDEX(EQA.Controllab_Dados!R$2:R$5000,MATCH(ROW()-4,EQA.Controllab_Dados!$S$2:$S$5000,0)),"")</f>
        <v/>
      </c>
    </row>
    <row r="109" spans="1:18" x14ac:dyDescent="0.3">
      <c r="A109" t="str">
        <f>IFERROR(INDEX(EQA.Controllab_Dados!A$2:A$5000,MATCH(ROW()-4,EQA.Controllab_Dados!$S$2:$S$5000,0)),"")</f>
        <v/>
      </c>
      <c r="B109" t="str">
        <f>IFERROR(INDEX(EQA.Controllab_Dados!B$2:B$5000,MATCH(ROW()-4,EQA.Controllab_Dados!$S$2:$S$5000,0)),"")</f>
        <v/>
      </c>
      <c r="C109" s="126" t="str">
        <f>IFERROR(INDEX(EQA.Controllab_Dados!C$2:C$5000,MATCH(ROW()-4,EQA.Controllab_Dados!$S$2:$S$5000,0)),"")</f>
        <v/>
      </c>
      <c r="D109" t="str">
        <f>IFERROR(INDEX(EQA.Controllab_Dados!D$2:D$5000,MATCH(ROW()-4,EQA.Controllab_Dados!$S$2:$S$5000,0)),"")</f>
        <v/>
      </c>
      <c r="E109" t="str">
        <f>IFERROR(INDEX(EQA.Controllab_Dados!E$2:E$5000,MATCH(ROW()-4,EQA.Controllab_Dados!$S$2:$S$5000,0)),"")</f>
        <v/>
      </c>
      <c r="F109" s="137" t="str">
        <f>IFERROR(INDEX(EQA.Controllab_Dados!F$2:F$5000,MATCH(ROW()-4,EQA.Controllab_Dados!$S$2:$S$5000,0)),"")</f>
        <v/>
      </c>
      <c r="G109" s="138" t="str">
        <f>IFERROR(INDEX(EQA.Controllab_Dados!G$2:G$5000,MATCH(ROW()-4,EQA.Controllab_Dados!$S$2:$S$5000,0)),"")</f>
        <v/>
      </c>
      <c r="H109" s="138" t="str">
        <f>IFERROR(INDEX(EQA.Controllab_Dados!H$2:H$5000,MATCH(ROW()-4,EQA.Controllab_Dados!$S$2:$S$5000,0)),"")</f>
        <v/>
      </c>
      <c r="I109" s="139" t="str">
        <f>IFERROR(INDEX(EQA.Controllab_Dados!I$2:I$5000,MATCH(ROW()-4,EQA.Controllab_Dados!$S$2:$S$5000,0)),"")</f>
        <v/>
      </c>
      <c r="J109" s="137" t="str">
        <f>IFERROR(INDEX(EQA.Controllab_Dados!J$2:J$5000,MATCH(ROW()-4,EQA.Controllab_Dados!$S$2:$S$5000,0)),"")</f>
        <v/>
      </c>
      <c r="K109" s="137" t="str">
        <f>IFERROR(INDEX(EQA.Controllab_Dados!K$2:K$5000,MATCH(ROW()-4,EQA.Controllab_Dados!$S$2:$S$5000,0)),"")</f>
        <v/>
      </c>
      <c r="L109" t="str">
        <f>IFERROR(INDEX(EQA.Controllab_Dados!L$2:L$5000,MATCH(ROW()-4,EQA.Controllab_Dados!$S$2:$S$5000,0)),"")</f>
        <v/>
      </c>
      <c r="M109" s="126" t="str">
        <f>IFERROR(INDEX(EQA.Controllab_Dados!M$2:M$5000,MATCH(ROW()-4,EQA.Controllab_Dados!$S$2:$S$5000,0)),"")</f>
        <v/>
      </c>
      <c r="N109" t="str">
        <f>IFERROR(INDEX(EQA.Controllab_Dados!N$2:N$5000,MATCH(ROW()-4,EQA.Controllab_Dados!$S$2:$S$5000,0)),"")</f>
        <v/>
      </c>
      <c r="O109" s="137" t="str">
        <f>IFERROR(INDEX(EQA.Controllab_Dados!O$2:O$5000,MATCH(ROW()-4,EQA.Controllab_Dados!$S$2:$S$5000,0)),"")</f>
        <v/>
      </c>
      <c r="P109" s="137" t="str">
        <f>IFERROR(INDEX(EQA.Controllab_Dados!P$2:P$5000,MATCH(ROW()-4,EQA.Controllab_Dados!$S$2:$S$5000,0)),"")</f>
        <v/>
      </c>
      <c r="Q109" s="126" t="str">
        <f>IFERROR(INDEX(EQA.Controllab_Dados!Q$2:Q$5000,MATCH(ROW()-4,EQA.Controllab_Dados!$S$2:$S$5000,0)),"")</f>
        <v/>
      </c>
      <c r="R109" t="str">
        <f>IFERROR(INDEX(EQA.Controllab_Dados!R$2:R$5000,MATCH(ROW()-4,EQA.Controllab_Dados!$S$2:$S$5000,0)),"")</f>
        <v/>
      </c>
    </row>
    <row r="110" spans="1:18" x14ac:dyDescent="0.3">
      <c r="A110" t="str">
        <f>IFERROR(INDEX(EQA.Controllab_Dados!A$2:A$5000,MATCH(ROW()-4,EQA.Controllab_Dados!$S$2:$S$5000,0)),"")</f>
        <v/>
      </c>
      <c r="B110" t="str">
        <f>IFERROR(INDEX(EQA.Controllab_Dados!B$2:B$5000,MATCH(ROW()-4,EQA.Controllab_Dados!$S$2:$S$5000,0)),"")</f>
        <v/>
      </c>
      <c r="C110" s="126" t="str">
        <f>IFERROR(INDEX(EQA.Controllab_Dados!C$2:C$5000,MATCH(ROW()-4,EQA.Controllab_Dados!$S$2:$S$5000,0)),"")</f>
        <v/>
      </c>
      <c r="D110" t="str">
        <f>IFERROR(INDEX(EQA.Controllab_Dados!D$2:D$5000,MATCH(ROW()-4,EQA.Controllab_Dados!$S$2:$S$5000,0)),"")</f>
        <v/>
      </c>
      <c r="E110" t="str">
        <f>IFERROR(INDEX(EQA.Controllab_Dados!E$2:E$5000,MATCH(ROW()-4,EQA.Controllab_Dados!$S$2:$S$5000,0)),"")</f>
        <v/>
      </c>
      <c r="F110" s="137" t="str">
        <f>IFERROR(INDEX(EQA.Controllab_Dados!F$2:F$5000,MATCH(ROW()-4,EQA.Controllab_Dados!$S$2:$S$5000,0)),"")</f>
        <v/>
      </c>
      <c r="G110" s="138" t="str">
        <f>IFERROR(INDEX(EQA.Controllab_Dados!G$2:G$5000,MATCH(ROW()-4,EQA.Controllab_Dados!$S$2:$S$5000,0)),"")</f>
        <v/>
      </c>
      <c r="H110" s="138" t="str">
        <f>IFERROR(INDEX(EQA.Controllab_Dados!H$2:H$5000,MATCH(ROW()-4,EQA.Controllab_Dados!$S$2:$S$5000,0)),"")</f>
        <v/>
      </c>
      <c r="I110" s="139" t="str">
        <f>IFERROR(INDEX(EQA.Controllab_Dados!I$2:I$5000,MATCH(ROW()-4,EQA.Controllab_Dados!$S$2:$S$5000,0)),"")</f>
        <v/>
      </c>
      <c r="J110" s="137" t="str">
        <f>IFERROR(INDEX(EQA.Controllab_Dados!J$2:J$5000,MATCH(ROW()-4,EQA.Controllab_Dados!$S$2:$S$5000,0)),"")</f>
        <v/>
      </c>
      <c r="K110" s="137" t="str">
        <f>IFERROR(INDEX(EQA.Controllab_Dados!K$2:K$5000,MATCH(ROW()-4,EQA.Controllab_Dados!$S$2:$S$5000,0)),"")</f>
        <v/>
      </c>
      <c r="L110" t="str">
        <f>IFERROR(INDEX(EQA.Controllab_Dados!L$2:L$5000,MATCH(ROW()-4,EQA.Controllab_Dados!$S$2:$S$5000,0)),"")</f>
        <v/>
      </c>
      <c r="M110" s="126" t="str">
        <f>IFERROR(INDEX(EQA.Controllab_Dados!M$2:M$5000,MATCH(ROW()-4,EQA.Controllab_Dados!$S$2:$S$5000,0)),"")</f>
        <v/>
      </c>
      <c r="N110" t="str">
        <f>IFERROR(INDEX(EQA.Controllab_Dados!N$2:N$5000,MATCH(ROW()-4,EQA.Controllab_Dados!$S$2:$S$5000,0)),"")</f>
        <v/>
      </c>
      <c r="O110" s="137" t="str">
        <f>IFERROR(INDEX(EQA.Controllab_Dados!O$2:O$5000,MATCH(ROW()-4,EQA.Controllab_Dados!$S$2:$S$5000,0)),"")</f>
        <v/>
      </c>
      <c r="P110" s="137" t="str">
        <f>IFERROR(INDEX(EQA.Controllab_Dados!P$2:P$5000,MATCH(ROW()-4,EQA.Controllab_Dados!$S$2:$S$5000,0)),"")</f>
        <v/>
      </c>
      <c r="Q110" s="126" t="str">
        <f>IFERROR(INDEX(EQA.Controllab_Dados!Q$2:Q$5000,MATCH(ROW()-4,EQA.Controllab_Dados!$S$2:$S$5000,0)),"")</f>
        <v/>
      </c>
      <c r="R110" t="str">
        <f>IFERROR(INDEX(EQA.Controllab_Dados!R$2:R$5000,MATCH(ROW()-4,EQA.Controllab_Dados!$S$2:$S$5000,0)),"")</f>
        <v/>
      </c>
    </row>
    <row r="111" spans="1:18" x14ac:dyDescent="0.3">
      <c r="A111" t="str">
        <f>IFERROR(INDEX(EQA.Controllab_Dados!A$2:A$5000,MATCH(ROW()-4,EQA.Controllab_Dados!$S$2:$S$5000,0)),"")</f>
        <v/>
      </c>
      <c r="B111" t="str">
        <f>IFERROR(INDEX(EQA.Controllab_Dados!B$2:B$5000,MATCH(ROW()-4,EQA.Controllab_Dados!$S$2:$S$5000,0)),"")</f>
        <v/>
      </c>
      <c r="C111" s="126" t="str">
        <f>IFERROR(INDEX(EQA.Controllab_Dados!C$2:C$5000,MATCH(ROW()-4,EQA.Controllab_Dados!$S$2:$S$5000,0)),"")</f>
        <v/>
      </c>
      <c r="D111" t="str">
        <f>IFERROR(INDEX(EQA.Controllab_Dados!D$2:D$5000,MATCH(ROW()-4,EQA.Controllab_Dados!$S$2:$S$5000,0)),"")</f>
        <v/>
      </c>
      <c r="E111" t="str">
        <f>IFERROR(INDEX(EQA.Controllab_Dados!E$2:E$5000,MATCH(ROW()-4,EQA.Controllab_Dados!$S$2:$S$5000,0)),"")</f>
        <v/>
      </c>
      <c r="F111" s="137" t="str">
        <f>IFERROR(INDEX(EQA.Controllab_Dados!F$2:F$5000,MATCH(ROW()-4,EQA.Controllab_Dados!$S$2:$S$5000,0)),"")</f>
        <v/>
      </c>
      <c r="G111" s="138" t="str">
        <f>IFERROR(INDEX(EQA.Controllab_Dados!G$2:G$5000,MATCH(ROW()-4,EQA.Controllab_Dados!$S$2:$S$5000,0)),"")</f>
        <v/>
      </c>
      <c r="H111" s="138" t="str">
        <f>IFERROR(INDEX(EQA.Controllab_Dados!H$2:H$5000,MATCH(ROW()-4,EQA.Controllab_Dados!$S$2:$S$5000,0)),"")</f>
        <v/>
      </c>
      <c r="I111" s="139" t="str">
        <f>IFERROR(INDEX(EQA.Controllab_Dados!I$2:I$5000,MATCH(ROW()-4,EQA.Controllab_Dados!$S$2:$S$5000,0)),"")</f>
        <v/>
      </c>
      <c r="J111" s="137" t="str">
        <f>IFERROR(INDEX(EQA.Controllab_Dados!J$2:J$5000,MATCH(ROW()-4,EQA.Controllab_Dados!$S$2:$S$5000,0)),"")</f>
        <v/>
      </c>
      <c r="K111" s="137" t="str">
        <f>IFERROR(INDEX(EQA.Controllab_Dados!K$2:K$5000,MATCH(ROW()-4,EQA.Controllab_Dados!$S$2:$S$5000,0)),"")</f>
        <v/>
      </c>
      <c r="L111" t="str">
        <f>IFERROR(INDEX(EQA.Controllab_Dados!L$2:L$5000,MATCH(ROW()-4,EQA.Controllab_Dados!$S$2:$S$5000,0)),"")</f>
        <v/>
      </c>
      <c r="M111" s="126" t="str">
        <f>IFERROR(INDEX(EQA.Controllab_Dados!M$2:M$5000,MATCH(ROW()-4,EQA.Controllab_Dados!$S$2:$S$5000,0)),"")</f>
        <v/>
      </c>
      <c r="N111" t="str">
        <f>IFERROR(INDEX(EQA.Controllab_Dados!N$2:N$5000,MATCH(ROW()-4,EQA.Controllab_Dados!$S$2:$S$5000,0)),"")</f>
        <v/>
      </c>
      <c r="O111" s="137" t="str">
        <f>IFERROR(INDEX(EQA.Controllab_Dados!O$2:O$5000,MATCH(ROW()-4,EQA.Controllab_Dados!$S$2:$S$5000,0)),"")</f>
        <v/>
      </c>
      <c r="P111" s="137" t="str">
        <f>IFERROR(INDEX(EQA.Controllab_Dados!P$2:P$5000,MATCH(ROW()-4,EQA.Controllab_Dados!$S$2:$S$5000,0)),"")</f>
        <v/>
      </c>
      <c r="Q111" s="126" t="str">
        <f>IFERROR(INDEX(EQA.Controllab_Dados!Q$2:Q$5000,MATCH(ROW()-4,EQA.Controllab_Dados!$S$2:$S$5000,0)),"")</f>
        <v/>
      </c>
      <c r="R111" t="str">
        <f>IFERROR(INDEX(EQA.Controllab_Dados!R$2:R$5000,MATCH(ROW()-4,EQA.Controllab_Dados!$S$2:$S$5000,0)),"")</f>
        <v/>
      </c>
    </row>
    <row r="112" spans="1:18" x14ac:dyDescent="0.3">
      <c r="A112" t="str">
        <f>IFERROR(INDEX(EQA.Controllab_Dados!A$2:A$5000,MATCH(ROW()-4,EQA.Controllab_Dados!$S$2:$S$5000,0)),"")</f>
        <v/>
      </c>
      <c r="B112" t="str">
        <f>IFERROR(INDEX(EQA.Controllab_Dados!B$2:B$5000,MATCH(ROW()-4,EQA.Controllab_Dados!$S$2:$S$5000,0)),"")</f>
        <v/>
      </c>
      <c r="C112" s="126" t="str">
        <f>IFERROR(INDEX(EQA.Controllab_Dados!C$2:C$5000,MATCH(ROW()-4,EQA.Controllab_Dados!$S$2:$S$5000,0)),"")</f>
        <v/>
      </c>
      <c r="D112" t="str">
        <f>IFERROR(INDEX(EQA.Controllab_Dados!D$2:D$5000,MATCH(ROW()-4,EQA.Controllab_Dados!$S$2:$S$5000,0)),"")</f>
        <v/>
      </c>
      <c r="E112" t="str">
        <f>IFERROR(INDEX(EQA.Controllab_Dados!E$2:E$5000,MATCH(ROW()-4,EQA.Controllab_Dados!$S$2:$S$5000,0)),"")</f>
        <v/>
      </c>
      <c r="F112" s="137" t="str">
        <f>IFERROR(INDEX(EQA.Controllab_Dados!F$2:F$5000,MATCH(ROW()-4,EQA.Controllab_Dados!$S$2:$S$5000,0)),"")</f>
        <v/>
      </c>
      <c r="G112" s="138" t="str">
        <f>IFERROR(INDEX(EQA.Controllab_Dados!G$2:G$5000,MATCH(ROW()-4,EQA.Controllab_Dados!$S$2:$S$5000,0)),"")</f>
        <v/>
      </c>
      <c r="H112" s="138" t="str">
        <f>IFERROR(INDEX(EQA.Controllab_Dados!H$2:H$5000,MATCH(ROW()-4,EQA.Controllab_Dados!$S$2:$S$5000,0)),"")</f>
        <v/>
      </c>
      <c r="I112" s="139" t="str">
        <f>IFERROR(INDEX(EQA.Controllab_Dados!I$2:I$5000,MATCH(ROW()-4,EQA.Controllab_Dados!$S$2:$S$5000,0)),"")</f>
        <v/>
      </c>
      <c r="J112" s="137" t="str">
        <f>IFERROR(INDEX(EQA.Controllab_Dados!J$2:J$5000,MATCH(ROW()-4,EQA.Controllab_Dados!$S$2:$S$5000,0)),"")</f>
        <v/>
      </c>
      <c r="K112" s="137" t="str">
        <f>IFERROR(INDEX(EQA.Controllab_Dados!K$2:K$5000,MATCH(ROW()-4,EQA.Controllab_Dados!$S$2:$S$5000,0)),"")</f>
        <v/>
      </c>
      <c r="L112" t="str">
        <f>IFERROR(INDEX(EQA.Controllab_Dados!L$2:L$5000,MATCH(ROW()-4,EQA.Controllab_Dados!$S$2:$S$5000,0)),"")</f>
        <v/>
      </c>
      <c r="M112" s="126" t="str">
        <f>IFERROR(INDEX(EQA.Controllab_Dados!M$2:M$5000,MATCH(ROW()-4,EQA.Controllab_Dados!$S$2:$S$5000,0)),"")</f>
        <v/>
      </c>
      <c r="N112" t="str">
        <f>IFERROR(INDEX(EQA.Controllab_Dados!N$2:N$5000,MATCH(ROW()-4,EQA.Controllab_Dados!$S$2:$S$5000,0)),"")</f>
        <v/>
      </c>
      <c r="O112" s="137" t="str">
        <f>IFERROR(INDEX(EQA.Controllab_Dados!O$2:O$5000,MATCH(ROW()-4,EQA.Controllab_Dados!$S$2:$S$5000,0)),"")</f>
        <v/>
      </c>
      <c r="P112" s="137" t="str">
        <f>IFERROR(INDEX(EQA.Controllab_Dados!P$2:P$5000,MATCH(ROW()-4,EQA.Controllab_Dados!$S$2:$S$5000,0)),"")</f>
        <v/>
      </c>
      <c r="Q112" s="126" t="str">
        <f>IFERROR(INDEX(EQA.Controllab_Dados!Q$2:Q$5000,MATCH(ROW()-4,EQA.Controllab_Dados!$S$2:$S$5000,0)),"")</f>
        <v/>
      </c>
      <c r="R112" t="str">
        <f>IFERROR(INDEX(EQA.Controllab_Dados!R$2:R$5000,MATCH(ROW()-4,EQA.Controllab_Dados!$S$2:$S$5000,0)),"")</f>
        <v/>
      </c>
    </row>
    <row r="113" spans="1:18" x14ac:dyDescent="0.3">
      <c r="A113" t="str">
        <f>IFERROR(INDEX(EQA.Controllab_Dados!A$2:A$5000,MATCH(ROW()-4,EQA.Controllab_Dados!$S$2:$S$5000,0)),"")</f>
        <v/>
      </c>
      <c r="B113" t="str">
        <f>IFERROR(INDEX(EQA.Controllab_Dados!B$2:B$5000,MATCH(ROW()-4,EQA.Controllab_Dados!$S$2:$S$5000,0)),"")</f>
        <v/>
      </c>
      <c r="C113" s="126" t="str">
        <f>IFERROR(INDEX(EQA.Controllab_Dados!C$2:C$5000,MATCH(ROW()-4,EQA.Controllab_Dados!$S$2:$S$5000,0)),"")</f>
        <v/>
      </c>
      <c r="D113" t="str">
        <f>IFERROR(INDEX(EQA.Controllab_Dados!D$2:D$5000,MATCH(ROW()-4,EQA.Controllab_Dados!$S$2:$S$5000,0)),"")</f>
        <v/>
      </c>
      <c r="E113" t="str">
        <f>IFERROR(INDEX(EQA.Controllab_Dados!E$2:E$5000,MATCH(ROW()-4,EQA.Controllab_Dados!$S$2:$S$5000,0)),"")</f>
        <v/>
      </c>
      <c r="F113" s="137" t="str">
        <f>IFERROR(INDEX(EQA.Controllab_Dados!F$2:F$5000,MATCH(ROW()-4,EQA.Controllab_Dados!$S$2:$S$5000,0)),"")</f>
        <v/>
      </c>
      <c r="G113" s="138" t="str">
        <f>IFERROR(INDEX(EQA.Controllab_Dados!G$2:G$5000,MATCH(ROW()-4,EQA.Controllab_Dados!$S$2:$S$5000,0)),"")</f>
        <v/>
      </c>
      <c r="H113" s="138" t="str">
        <f>IFERROR(INDEX(EQA.Controllab_Dados!H$2:H$5000,MATCH(ROW()-4,EQA.Controllab_Dados!$S$2:$S$5000,0)),"")</f>
        <v/>
      </c>
      <c r="I113" s="139" t="str">
        <f>IFERROR(INDEX(EQA.Controllab_Dados!I$2:I$5000,MATCH(ROW()-4,EQA.Controllab_Dados!$S$2:$S$5000,0)),"")</f>
        <v/>
      </c>
      <c r="J113" s="137" t="str">
        <f>IFERROR(INDEX(EQA.Controllab_Dados!J$2:J$5000,MATCH(ROW()-4,EQA.Controllab_Dados!$S$2:$S$5000,0)),"")</f>
        <v/>
      </c>
      <c r="K113" s="137" t="str">
        <f>IFERROR(INDEX(EQA.Controllab_Dados!K$2:K$5000,MATCH(ROW()-4,EQA.Controllab_Dados!$S$2:$S$5000,0)),"")</f>
        <v/>
      </c>
      <c r="L113" t="str">
        <f>IFERROR(INDEX(EQA.Controllab_Dados!L$2:L$5000,MATCH(ROW()-4,EQA.Controllab_Dados!$S$2:$S$5000,0)),"")</f>
        <v/>
      </c>
      <c r="M113" s="126" t="str">
        <f>IFERROR(INDEX(EQA.Controllab_Dados!M$2:M$5000,MATCH(ROW()-4,EQA.Controllab_Dados!$S$2:$S$5000,0)),"")</f>
        <v/>
      </c>
      <c r="N113" t="str">
        <f>IFERROR(INDEX(EQA.Controllab_Dados!N$2:N$5000,MATCH(ROW()-4,EQA.Controllab_Dados!$S$2:$S$5000,0)),"")</f>
        <v/>
      </c>
      <c r="O113" s="137" t="str">
        <f>IFERROR(INDEX(EQA.Controllab_Dados!O$2:O$5000,MATCH(ROW()-4,EQA.Controllab_Dados!$S$2:$S$5000,0)),"")</f>
        <v/>
      </c>
      <c r="P113" s="137" t="str">
        <f>IFERROR(INDEX(EQA.Controllab_Dados!P$2:P$5000,MATCH(ROW()-4,EQA.Controllab_Dados!$S$2:$S$5000,0)),"")</f>
        <v/>
      </c>
      <c r="Q113" s="126" t="str">
        <f>IFERROR(INDEX(EQA.Controllab_Dados!Q$2:Q$5000,MATCH(ROW()-4,EQA.Controllab_Dados!$S$2:$S$5000,0)),"")</f>
        <v/>
      </c>
      <c r="R113" t="str">
        <f>IFERROR(INDEX(EQA.Controllab_Dados!R$2:R$5000,MATCH(ROW()-4,EQA.Controllab_Dados!$S$2:$S$5000,0)),"")</f>
        <v/>
      </c>
    </row>
    <row r="114" spans="1:18" x14ac:dyDescent="0.3">
      <c r="A114" t="str">
        <f>IFERROR(INDEX(EQA.Controllab_Dados!A$2:A$5000,MATCH(ROW()-4,EQA.Controllab_Dados!$S$2:$S$5000,0)),"")</f>
        <v/>
      </c>
      <c r="B114" t="str">
        <f>IFERROR(INDEX(EQA.Controllab_Dados!B$2:B$5000,MATCH(ROW()-4,EQA.Controllab_Dados!$S$2:$S$5000,0)),"")</f>
        <v/>
      </c>
      <c r="C114" s="126" t="str">
        <f>IFERROR(INDEX(EQA.Controllab_Dados!C$2:C$5000,MATCH(ROW()-4,EQA.Controllab_Dados!$S$2:$S$5000,0)),"")</f>
        <v/>
      </c>
      <c r="D114" t="str">
        <f>IFERROR(INDEX(EQA.Controllab_Dados!D$2:D$5000,MATCH(ROW()-4,EQA.Controllab_Dados!$S$2:$S$5000,0)),"")</f>
        <v/>
      </c>
      <c r="E114" t="str">
        <f>IFERROR(INDEX(EQA.Controllab_Dados!E$2:E$5000,MATCH(ROW()-4,EQA.Controllab_Dados!$S$2:$S$5000,0)),"")</f>
        <v/>
      </c>
      <c r="F114" s="137" t="str">
        <f>IFERROR(INDEX(EQA.Controllab_Dados!F$2:F$5000,MATCH(ROW()-4,EQA.Controllab_Dados!$S$2:$S$5000,0)),"")</f>
        <v/>
      </c>
      <c r="G114" s="138" t="str">
        <f>IFERROR(INDEX(EQA.Controllab_Dados!G$2:G$5000,MATCH(ROW()-4,EQA.Controllab_Dados!$S$2:$S$5000,0)),"")</f>
        <v/>
      </c>
      <c r="H114" s="138" t="str">
        <f>IFERROR(INDEX(EQA.Controllab_Dados!H$2:H$5000,MATCH(ROW()-4,EQA.Controllab_Dados!$S$2:$S$5000,0)),"")</f>
        <v/>
      </c>
      <c r="I114" s="139" t="str">
        <f>IFERROR(INDEX(EQA.Controllab_Dados!I$2:I$5000,MATCH(ROW()-4,EQA.Controllab_Dados!$S$2:$S$5000,0)),"")</f>
        <v/>
      </c>
      <c r="J114" s="137" t="str">
        <f>IFERROR(INDEX(EQA.Controllab_Dados!J$2:J$5000,MATCH(ROW()-4,EQA.Controllab_Dados!$S$2:$S$5000,0)),"")</f>
        <v/>
      </c>
      <c r="K114" s="137" t="str">
        <f>IFERROR(INDEX(EQA.Controllab_Dados!K$2:K$5000,MATCH(ROW()-4,EQA.Controllab_Dados!$S$2:$S$5000,0)),"")</f>
        <v/>
      </c>
      <c r="L114" t="str">
        <f>IFERROR(INDEX(EQA.Controllab_Dados!L$2:L$5000,MATCH(ROW()-4,EQA.Controllab_Dados!$S$2:$S$5000,0)),"")</f>
        <v/>
      </c>
      <c r="M114" s="126" t="str">
        <f>IFERROR(INDEX(EQA.Controllab_Dados!M$2:M$5000,MATCH(ROW()-4,EQA.Controllab_Dados!$S$2:$S$5000,0)),"")</f>
        <v/>
      </c>
      <c r="N114" t="str">
        <f>IFERROR(INDEX(EQA.Controllab_Dados!N$2:N$5000,MATCH(ROW()-4,EQA.Controllab_Dados!$S$2:$S$5000,0)),"")</f>
        <v/>
      </c>
      <c r="O114" s="137" t="str">
        <f>IFERROR(INDEX(EQA.Controllab_Dados!O$2:O$5000,MATCH(ROW()-4,EQA.Controllab_Dados!$S$2:$S$5000,0)),"")</f>
        <v/>
      </c>
      <c r="P114" s="137" t="str">
        <f>IFERROR(INDEX(EQA.Controllab_Dados!P$2:P$5000,MATCH(ROW()-4,EQA.Controllab_Dados!$S$2:$S$5000,0)),"")</f>
        <v/>
      </c>
      <c r="Q114" s="126" t="str">
        <f>IFERROR(INDEX(EQA.Controllab_Dados!Q$2:Q$5000,MATCH(ROW()-4,EQA.Controllab_Dados!$S$2:$S$5000,0)),"")</f>
        <v/>
      </c>
      <c r="R114" t="str">
        <f>IFERROR(INDEX(EQA.Controllab_Dados!R$2:R$5000,MATCH(ROW()-4,EQA.Controllab_Dados!$S$2:$S$5000,0)),"")</f>
        <v/>
      </c>
    </row>
    <row r="115" spans="1:18" x14ac:dyDescent="0.3">
      <c r="A115" t="str">
        <f>IFERROR(INDEX(EQA.Controllab_Dados!A$2:A$5000,MATCH(ROW()-4,EQA.Controllab_Dados!$S$2:$S$5000,0)),"")</f>
        <v/>
      </c>
      <c r="B115" t="str">
        <f>IFERROR(INDEX(EQA.Controllab_Dados!B$2:B$5000,MATCH(ROW()-4,EQA.Controllab_Dados!$S$2:$S$5000,0)),"")</f>
        <v/>
      </c>
      <c r="C115" s="126" t="str">
        <f>IFERROR(INDEX(EQA.Controllab_Dados!C$2:C$5000,MATCH(ROW()-4,EQA.Controllab_Dados!$S$2:$S$5000,0)),"")</f>
        <v/>
      </c>
      <c r="D115" t="str">
        <f>IFERROR(INDEX(EQA.Controllab_Dados!D$2:D$5000,MATCH(ROW()-4,EQA.Controllab_Dados!$S$2:$S$5000,0)),"")</f>
        <v/>
      </c>
      <c r="E115" t="str">
        <f>IFERROR(INDEX(EQA.Controllab_Dados!E$2:E$5000,MATCH(ROW()-4,EQA.Controllab_Dados!$S$2:$S$5000,0)),"")</f>
        <v/>
      </c>
      <c r="F115" s="137" t="str">
        <f>IFERROR(INDEX(EQA.Controllab_Dados!F$2:F$5000,MATCH(ROW()-4,EQA.Controllab_Dados!$S$2:$S$5000,0)),"")</f>
        <v/>
      </c>
      <c r="G115" s="138" t="str">
        <f>IFERROR(INDEX(EQA.Controllab_Dados!G$2:G$5000,MATCH(ROW()-4,EQA.Controllab_Dados!$S$2:$S$5000,0)),"")</f>
        <v/>
      </c>
      <c r="H115" s="138" t="str">
        <f>IFERROR(INDEX(EQA.Controllab_Dados!H$2:H$5000,MATCH(ROW()-4,EQA.Controllab_Dados!$S$2:$S$5000,0)),"")</f>
        <v/>
      </c>
      <c r="I115" s="139" t="str">
        <f>IFERROR(INDEX(EQA.Controllab_Dados!I$2:I$5000,MATCH(ROW()-4,EQA.Controllab_Dados!$S$2:$S$5000,0)),"")</f>
        <v/>
      </c>
      <c r="J115" s="137" t="str">
        <f>IFERROR(INDEX(EQA.Controllab_Dados!J$2:J$5000,MATCH(ROW()-4,EQA.Controllab_Dados!$S$2:$S$5000,0)),"")</f>
        <v/>
      </c>
      <c r="K115" s="137" t="str">
        <f>IFERROR(INDEX(EQA.Controllab_Dados!K$2:K$5000,MATCH(ROW()-4,EQA.Controllab_Dados!$S$2:$S$5000,0)),"")</f>
        <v/>
      </c>
      <c r="L115" t="str">
        <f>IFERROR(INDEX(EQA.Controllab_Dados!L$2:L$5000,MATCH(ROW()-4,EQA.Controllab_Dados!$S$2:$S$5000,0)),"")</f>
        <v/>
      </c>
      <c r="M115" s="126" t="str">
        <f>IFERROR(INDEX(EQA.Controllab_Dados!M$2:M$5000,MATCH(ROW()-4,EQA.Controllab_Dados!$S$2:$S$5000,0)),"")</f>
        <v/>
      </c>
      <c r="N115" t="str">
        <f>IFERROR(INDEX(EQA.Controllab_Dados!N$2:N$5000,MATCH(ROW()-4,EQA.Controllab_Dados!$S$2:$S$5000,0)),"")</f>
        <v/>
      </c>
      <c r="O115" s="137" t="str">
        <f>IFERROR(INDEX(EQA.Controllab_Dados!O$2:O$5000,MATCH(ROW()-4,EQA.Controllab_Dados!$S$2:$S$5000,0)),"")</f>
        <v/>
      </c>
      <c r="P115" s="137" t="str">
        <f>IFERROR(INDEX(EQA.Controllab_Dados!P$2:P$5000,MATCH(ROW()-4,EQA.Controllab_Dados!$S$2:$S$5000,0)),"")</f>
        <v/>
      </c>
      <c r="Q115" s="126" t="str">
        <f>IFERROR(INDEX(EQA.Controllab_Dados!Q$2:Q$5000,MATCH(ROW()-4,EQA.Controllab_Dados!$S$2:$S$5000,0)),"")</f>
        <v/>
      </c>
      <c r="R115" t="str">
        <f>IFERROR(INDEX(EQA.Controllab_Dados!R$2:R$5000,MATCH(ROW()-4,EQA.Controllab_Dados!$S$2:$S$5000,0)),"")</f>
        <v/>
      </c>
    </row>
    <row r="116" spans="1:18" x14ac:dyDescent="0.3">
      <c r="A116" t="str">
        <f>IFERROR(INDEX(EQA.Controllab_Dados!A$2:A$5000,MATCH(ROW()-4,EQA.Controllab_Dados!$S$2:$S$5000,0)),"")</f>
        <v/>
      </c>
      <c r="B116" t="str">
        <f>IFERROR(INDEX(EQA.Controllab_Dados!B$2:B$5000,MATCH(ROW()-4,EQA.Controllab_Dados!$S$2:$S$5000,0)),"")</f>
        <v/>
      </c>
      <c r="C116" s="126" t="str">
        <f>IFERROR(INDEX(EQA.Controllab_Dados!C$2:C$5000,MATCH(ROW()-4,EQA.Controllab_Dados!$S$2:$S$5000,0)),"")</f>
        <v/>
      </c>
      <c r="D116" t="str">
        <f>IFERROR(INDEX(EQA.Controllab_Dados!D$2:D$5000,MATCH(ROW()-4,EQA.Controllab_Dados!$S$2:$S$5000,0)),"")</f>
        <v/>
      </c>
      <c r="E116" t="str">
        <f>IFERROR(INDEX(EQA.Controllab_Dados!E$2:E$5000,MATCH(ROW()-4,EQA.Controllab_Dados!$S$2:$S$5000,0)),"")</f>
        <v/>
      </c>
      <c r="F116" s="137" t="str">
        <f>IFERROR(INDEX(EQA.Controllab_Dados!F$2:F$5000,MATCH(ROW()-4,EQA.Controllab_Dados!$S$2:$S$5000,0)),"")</f>
        <v/>
      </c>
      <c r="G116" s="138" t="str">
        <f>IFERROR(INDEX(EQA.Controllab_Dados!G$2:G$5000,MATCH(ROW()-4,EQA.Controllab_Dados!$S$2:$S$5000,0)),"")</f>
        <v/>
      </c>
      <c r="H116" s="138" t="str">
        <f>IFERROR(INDEX(EQA.Controllab_Dados!H$2:H$5000,MATCH(ROW()-4,EQA.Controllab_Dados!$S$2:$S$5000,0)),"")</f>
        <v/>
      </c>
      <c r="I116" s="139" t="str">
        <f>IFERROR(INDEX(EQA.Controllab_Dados!I$2:I$5000,MATCH(ROW()-4,EQA.Controllab_Dados!$S$2:$S$5000,0)),"")</f>
        <v/>
      </c>
      <c r="J116" s="137" t="str">
        <f>IFERROR(INDEX(EQA.Controllab_Dados!J$2:J$5000,MATCH(ROW()-4,EQA.Controllab_Dados!$S$2:$S$5000,0)),"")</f>
        <v/>
      </c>
      <c r="K116" s="137" t="str">
        <f>IFERROR(INDEX(EQA.Controllab_Dados!K$2:K$5000,MATCH(ROW()-4,EQA.Controllab_Dados!$S$2:$S$5000,0)),"")</f>
        <v/>
      </c>
      <c r="L116" t="str">
        <f>IFERROR(INDEX(EQA.Controllab_Dados!L$2:L$5000,MATCH(ROW()-4,EQA.Controllab_Dados!$S$2:$S$5000,0)),"")</f>
        <v/>
      </c>
      <c r="M116" s="126" t="str">
        <f>IFERROR(INDEX(EQA.Controllab_Dados!M$2:M$5000,MATCH(ROW()-4,EQA.Controllab_Dados!$S$2:$S$5000,0)),"")</f>
        <v/>
      </c>
      <c r="N116" t="str">
        <f>IFERROR(INDEX(EQA.Controllab_Dados!N$2:N$5000,MATCH(ROW()-4,EQA.Controllab_Dados!$S$2:$S$5000,0)),"")</f>
        <v/>
      </c>
      <c r="O116" s="137" t="str">
        <f>IFERROR(INDEX(EQA.Controllab_Dados!O$2:O$5000,MATCH(ROW()-4,EQA.Controllab_Dados!$S$2:$S$5000,0)),"")</f>
        <v/>
      </c>
      <c r="P116" s="137" t="str">
        <f>IFERROR(INDEX(EQA.Controllab_Dados!P$2:P$5000,MATCH(ROW()-4,EQA.Controllab_Dados!$S$2:$S$5000,0)),"")</f>
        <v/>
      </c>
      <c r="Q116" s="126" t="str">
        <f>IFERROR(INDEX(EQA.Controllab_Dados!Q$2:Q$5000,MATCH(ROW()-4,EQA.Controllab_Dados!$S$2:$S$5000,0)),"")</f>
        <v/>
      </c>
      <c r="R116" t="str">
        <f>IFERROR(INDEX(EQA.Controllab_Dados!R$2:R$5000,MATCH(ROW()-4,EQA.Controllab_Dados!$S$2:$S$5000,0)),"")</f>
        <v/>
      </c>
    </row>
    <row r="117" spans="1:18" x14ac:dyDescent="0.3">
      <c r="A117" t="str">
        <f>IFERROR(INDEX(EQA.Controllab_Dados!A$2:A$5000,MATCH(ROW()-4,EQA.Controllab_Dados!$S$2:$S$5000,0)),"")</f>
        <v/>
      </c>
      <c r="B117" t="str">
        <f>IFERROR(INDEX(EQA.Controllab_Dados!B$2:B$5000,MATCH(ROW()-4,EQA.Controllab_Dados!$S$2:$S$5000,0)),"")</f>
        <v/>
      </c>
      <c r="C117" s="126" t="str">
        <f>IFERROR(INDEX(EQA.Controllab_Dados!C$2:C$5000,MATCH(ROW()-4,EQA.Controllab_Dados!$S$2:$S$5000,0)),"")</f>
        <v/>
      </c>
      <c r="D117" t="str">
        <f>IFERROR(INDEX(EQA.Controllab_Dados!D$2:D$5000,MATCH(ROW()-4,EQA.Controllab_Dados!$S$2:$S$5000,0)),"")</f>
        <v/>
      </c>
      <c r="E117" t="str">
        <f>IFERROR(INDEX(EQA.Controllab_Dados!E$2:E$5000,MATCH(ROW()-4,EQA.Controllab_Dados!$S$2:$S$5000,0)),"")</f>
        <v/>
      </c>
      <c r="F117" s="137" t="str">
        <f>IFERROR(INDEX(EQA.Controllab_Dados!F$2:F$5000,MATCH(ROW()-4,EQA.Controllab_Dados!$S$2:$S$5000,0)),"")</f>
        <v/>
      </c>
      <c r="G117" s="138" t="str">
        <f>IFERROR(INDEX(EQA.Controllab_Dados!G$2:G$5000,MATCH(ROW()-4,EQA.Controllab_Dados!$S$2:$S$5000,0)),"")</f>
        <v/>
      </c>
      <c r="H117" s="138" t="str">
        <f>IFERROR(INDEX(EQA.Controllab_Dados!H$2:H$5000,MATCH(ROW()-4,EQA.Controllab_Dados!$S$2:$S$5000,0)),"")</f>
        <v/>
      </c>
      <c r="I117" s="139" t="str">
        <f>IFERROR(INDEX(EQA.Controllab_Dados!I$2:I$5000,MATCH(ROW()-4,EQA.Controllab_Dados!$S$2:$S$5000,0)),"")</f>
        <v/>
      </c>
      <c r="J117" s="137" t="str">
        <f>IFERROR(INDEX(EQA.Controllab_Dados!J$2:J$5000,MATCH(ROW()-4,EQA.Controllab_Dados!$S$2:$S$5000,0)),"")</f>
        <v/>
      </c>
      <c r="K117" s="137" t="str">
        <f>IFERROR(INDEX(EQA.Controllab_Dados!K$2:K$5000,MATCH(ROW()-4,EQA.Controllab_Dados!$S$2:$S$5000,0)),"")</f>
        <v/>
      </c>
      <c r="L117" t="str">
        <f>IFERROR(INDEX(EQA.Controllab_Dados!L$2:L$5000,MATCH(ROW()-4,EQA.Controllab_Dados!$S$2:$S$5000,0)),"")</f>
        <v/>
      </c>
      <c r="M117" s="126" t="str">
        <f>IFERROR(INDEX(EQA.Controllab_Dados!M$2:M$5000,MATCH(ROW()-4,EQA.Controllab_Dados!$S$2:$S$5000,0)),"")</f>
        <v/>
      </c>
      <c r="N117" t="str">
        <f>IFERROR(INDEX(EQA.Controllab_Dados!N$2:N$5000,MATCH(ROW()-4,EQA.Controllab_Dados!$S$2:$S$5000,0)),"")</f>
        <v/>
      </c>
      <c r="O117" s="137" t="str">
        <f>IFERROR(INDEX(EQA.Controllab_Dados!O$2:O$5000,MATCH(ROW()-4,EQA.Controllab_Dados!$S$2:$S$5000,0)),"")</f>
        <v/>
      </c>
      <c r="P117" s="137" t="str">
        <f>IFERROR(INDEX(EQA.Controllab_Dados!P$2:P$5000,MATCH(ROW()-4,EQA.Controllab_Dados!$S$2:$S$5000,0)),"")</f>
        <v/>
      </c>
      <c r="Q117" s="126" t="str">
        <f>IFERROR(INDEX(EQA.Controllab_Dados!Q$2:Q$5000,MATCH(ROW()-4,EQA.Controllab_Dados!$S$2:$S$5000,0)),"")</f>
        <v/>
      </c>
      <c r="R117" t="str">
        <f>IFERROR(INDEX(EQA.Controllab_Dados!R$2:R$5000,MATCH(ROW()-4,EQA.Controllab_Dados!$S$2:$S$5000,0)),"")</f>
        <v/>
      </c>
    </row>
    <row r="118" spans="1:18" x14ac:dyDescent="0.3">
      <c r="A118" t="str">
        <f>IFERROR(INDEX(EQA.Controllab_Dados!A$2:A$5000,MATCH(ROW()-4,EQA.Controllab_Dados!$S$2:$S$5000,0)),"")</f>
        <v/>
      </c>
      <c r="B118" t="str">
        <f>IFERROR(INDEX(EQA.Controllab_Dados!B$2:B$5000,MATCH(ROW()-4,EQA.Controllab_Dados!$S$2:$S$5000,0)),"")</f>
        <v/>
      </c>
      <c r="C118" s="126" t="str">
        <f>IFERROR(INDEX(EQA.Controllab_Dados!C$2:C$5000,MATCH(ROW()-4,EQA.Controllab_Dados!$S$2:$S$5000,0)),"")</f>
        <v/>
      </c>
      <c r="D118" t="str">
        <f>IFERROR(INDEX(EQA.Controllab_Dados!D$2:D$5000,MATCH(ROW()-4,EQA.Controllab_Dados!$S$2:$S$5000,0)),"")</f>
        <v/>
      </c>
      <c r="E118" t="str">
        <f>IFERROR(INDEX(EQA.Controllab_Dados!E$2:E$5000,MATCH(ROW()-4,EQA.Controllab_Dados!$S$2:$S$5000,0)),"")</f>
        <v/>
      </c>
      <c r="F118" s="137" t="str">
        <f>IFERROR(INDEX(EQA.Controllab_Dados!F$2:F$5000,MATCH(ROW()-4,EQA.Controllab_Dados!$S$2:$S$5000,0)),"")</f>
        <v/>
      </c>
      <c r="G118" s="138" t="str">
        <f>IFERROR(INDEX(EQA.Controllab_Dados!G$2:G$5000,MATCH(ROW()-4,EQA.Controllab_Dados!$S$2:$S$5000,0)),"")</f>
        <v/>
      </c>
      <c r="H118" s="138" t="str">
        <f>IFERROR(INDEX(EQA.Controllab_Dados!H$2:H$5000,MATCH(ROW()-4,EQA.Controllab_Dados!$S$2:$S$5000,0)),"")</f>
        <v/>
      </c>
      <c r="I118" s="139" t="str">
        <f>IFERROR(INDEX(EQA.Controllab_Dados!I$2:I$5000,MATCH(ROW()-4,EQA.Controllab_Dados!$S$2:$S$5000,0)),"")</f>
        <v/>
      </c>
      <c r="J118" s="137" t="str">
        <f>IFERROR(INDEX(EQA.Controllab_Dados!J$2:J$5000,MATCH(ROW()-4,EQA.Controllab_Dados!$S$2:$S$5000,0)),"")</f>
        <v/>
      </c>
      <c r="K118" s="137" t="str">
        <f>IFERROR(INDEX(EQA.Controllab_Dados!K$2:K$5000,MATCH(ROW()-4,EQA.Controllab_Dados!$S$2:$S$5000,0)),"")</f>
        <v/>
      </c>
      <c r="L118" t="str">
        <f>IFERROR(INDEX(EQA.Controllab_Dados!L$2:L$5000,MATCH(ROW()-4,EQA.Controllab_Dados!$S$2:$S$5000,0)),"")</f>
        <v/>
      </c>
      <c r="M118" s="126" t="str">
        <f>IFERROR(INDEX(EQA.Controllab_Dados!M$2:M$5000,MATCH(ROW()-4,EQA.Controllab_Dados!$S$2:$S$5000,0)),"")</f>
        <v/>
      </c>
      <c r="N118" t="str">
        <f>IFERROR(INDEX(EQA.Controllab_Dados!N$2:N$5000,MATCH(ROW()-4,EQA.Controllab_Dados!$S$2:$S$5000,0)),"")</f>
        <v/>
      </c>
      <c r="O118" s="137" t="str">
        <f>IFERROR(INDEX(EQA.Controllab_Dados!O$2:O$5000,MATCH(ROW()-4,EQA.Controllab_Dados!$S$2:$S$5000,0)),"")</f>
        <v/>
      </c>
      <c r="P118" s="137" t="str">
        <f>IFERROR(INDEX(EQA.Controllab_Dados!P$2:P$5000,MATCH(ROW()-4,EQA.Controllab_Dados!$S$2:$S$5000,0)),"")</f>
        <v/>
      </c>
      <c r="Q118" s="126" t="str">
        <f>IFERROR(INDEX(EQA.Controllab_Dados!Q$2:Q$5000,MATCH(ROW()-4,EQA.Controllab_Dados!$S$2:$S$5000,0)),"")</f>
        <v/>
      </c>
      <c r="R118" t="str">
        <f>IFERROR(INDEX(EQA.Controllab_Dados!R$2:R$5000,MATCH(ROW()-4,EQA.Controllab_Dados!$S$2:$S$5000,0)),"")</f>
        <v/>
      </c>
    </row>
    <row r="119" spans="1:18" x14ac:dyDescent="0.3">
      <c r="A119" t="str">
        <f>IFERROR(INDEX(EQA.Controllab_Dados!A$2:A$5000,MATCH(ROW()-4,EQA.Controllab_Dados!$S$2:$S$5000,0)),"")</f>
        <v/>
      </c>
      <c r="B119" t="str">
        <f>IFERROR(INDEX(EQA.Controllab_Dados!B$2:B$5000,MATCH(ROW()-4,EQA.Controllab_Dados!$S$2:$S$5000,0)),"")</f>
        <v/>
      </c>
      <c r="C119" s="126" t="str">
        <f>IFERROR(INDEX(EQA.Controllab_Dados!C$2:C$5000,MATCH(ROW()-4,EQA.Controllab_Dados!$S$2:$S$5000,0)),"")</f>
        <v/>
      </c>
      <c r="D119" t="str">
        <f>IFERROR(INDEX(EQA.Controllab_Dados!D$2:D$5000,MATCH(ROW()-4,EQA.Controllab_Dados!$S$2:$S$5000,0)),"")</f>
        <v/>
      </c>
      <c r="E119" t="str">
        <f>IFERROR(INDEX(EQA.Controllab_Dados!E$2:E$5000,MATCH(ROW()-4,EQA.Controllab_Dados!$S$2:$S$5000,0)),"")</f>
        <v/>
      </c>
      <c r="F119" s="137" t="str">
        <f>IFERROR(INDEX(EQA.Controllab_Dados!F$2:F$5000,MATCH(ROW()-4,EQA.Controllab_Dados!$S$2:$S$5000,0)),"")</f>
        <v/>
      </c>
      <c r="G119" s="138" t="str">
        <f>IFERROR(INDEX(EQA.Controllab_Dados!G$2:G$5000,MATCH(ROW()-4,EQA.Controllab_Dados!$S$2:$S$5000,0)),"")</f>
        <v/>
      </c>
      <c r="H119" s="138" t="str">
        <f>IFERROR(INDEX(EQA.Controllab_Dados!H$2:H$5000,MATCH(ROW()-4,EQA.Controllab_Dados!$S$2:$S$5000,0)),"")</f>
        <v/>
      </c>
      <c r="I119" s="139" t="str">
        <f>IFERROR(INDEX(EQA.Controllab_Dados!I$2:I$5000,MATCH(ROW()-4,EQA.Controllab_Dados!$S$2:$S$5000,0)),"")</f>
        <v/>
      </c>
      <c r="J119" s="137" t="str">
        <f>IFERROR(INDEX(EQA.Controllab_Dados!J$2:J$5000,MATCH(ROW()-4,EQA.Controllab_Dados!$S$2:$S$5000,0)),"")</f>
        <v/>
      </c>
      <c r="K119" s="137" t="str">
        <f>IFERROR(INDEX(EQA.Controllab_Dados!K$2:K$5000,MATCH(ROW()-4,EQA.Controllab_Dados!$S$2:$S$5000,0)),"")</f>
        <v/>
      </c>
      <c r="L119" t="str">
        <f>IFERROR(INDEX(EQA.Controllab_Dados!L$2:L$5000,MATCH(ROW()-4,EQA.Controllab_Dados!$S$2:$S$5000,0)),"")</f>
        <v/>
      </c>
      <c r="M119" s="126" t="str">
        <f>IFERROR(INDEX(EQA.Controllab_Dados!M$2:M$5000,MATCH(ROW()-4,EQA.Controllab_Dados!$S$2:$S$5000,0)),"")</f>
        <v/>
      </c>
      <c r="N119" t="str">
        <f>IFERROR(INDEX(EQA.Controllab_Dados!N$2:N$5000,MATCH(ROW()-4,EQA.Controllab_Dados!$S$2:$S$5000,0)),"")</f>
        <v/>
      </c>
      <c r="O119" s="137" t="str">
        <f>IFERROR(INDEX(EQA.Controllab_Dados!O$2:O$5000,MATCH(ROW()-4,EQA.Controllab_Dados!$S$2:$S$5000,0)),"")</f>
        <v/>
      </c>
      <c r="P119" s="137" t="str">
        <f>IFERROR(INDEX(EQA.Controllab_Dados!P$2:P$5000,MATCH(ROW()-4,EQA.Controllab_Dados!$S$2:$S$5000,0)),"")</f>
        <v/>
      </c>
      <c r="Q119" s="126" t="str">
        <f>IFERROR(INDEX(EQA.Controllab_Dados!Q$2:Q$5000,MATCH(ROW()-4,EQA.Controllab_Dados!$S$2:$S$5000,0)),"")</f>
        <v/>
      </c>
      <c r="R119" t="str">
        <f>IFERROR(INDEX(EQA.Controllab_Dados!R$2:R$5000,MATCH(ROW()-4,EQA.Controllab_Dados!$S$2:$S$5000,0)),"")</f>
        <v/>
      </c>
    </row>
    <row r="120" spans="1:18" x14ac:dyDescent="0.3">
      <c r="A120" t="str">
        <f>IFERROR(INDEX(EQA.Controllab_Dados!A$2:A$5000,MATCH(ROW()-4,EQA.Controllab_Dados!$S$2:$S$5000,0)),"")</f>
        <v/>
      </c>
      <c r="B120" t="str">
        <f>IFERROR(INDEX(EQA.Controllab_Dados!B$2:B$5000,MATCH(ROW()-4,EQA.Controllab_Dados!$S$2:$S$5000,0)),"")</f>
        <v/>
      </c>
      <c r="C120" s="126" t="str">
        <f>IFERROR(INDEX(EQA.Controllab_Dados!C$2:C$5000,MATCH(ROW()-4,EQA.Controllab_Dados!$S$2:$S$5000,0)),"")</f>
        <v/>
      </c>
      <c r="D120" t="str">
        <f>IFERROR(INDEX(EQA.Controllab_Dados!D$2:D$5000,MATCH(ROW()-4,EQA.Controllab_Dados!$S$2:$S$5000,0)),"")</f>
        <v/>
      </c>
      <c r="E120" t="str">
        <f>IFERROR(INDEX(EQA.Controllab_Dados!E$2:E$5000,MATCH(ROW()-4,EQA.Controllab_Dados!$S$2:$S$5000,0)),"")</f>
        <v/>
      </c>
      <c r="F120" s="137" t="str">
        <f>IFERROR(INDEX(EQA.Controllab_Dados!F$2:F$5000,MATCH(ROW()-4,EQA.Controllab_Dados!$S$2:$S$5000,0)),"")</f>
        <v/>
      </c>
      <c r="G120" s="138" t="str">
        <f>IFERROR(INDEX(EQA.Controllab_Dados!G$2:G$5000,MATCH(ROW()-4,EQA.Controllab_Dados!$S$2:$S$5000,0)),"")</f>
        <v/>
      </c>
      <c r="H120" s="138" t="str">
        <f>IFERROR(INDEX(EQA.Controllab_Dados!H$2:H$5000,MATCH(ROW()-4,EQA.Controllab_Dados!$S$2:$S$5000,0)),"")</f>
        <v/>
      </c>
      <c r="I120" s="139" t="str">
        <f>IFERROR(INDEX(EQA.Controllab_Dados!I$2:I$5000,MATCH(ROW()-4,EQA.Controllab_Dados!$S$2:$S$5000,0)),"")</f>
        <v/>
      </c>
      <c r="J120" s="137" t="str">
        <f>IFERROR(INDEX(EQA.Controllab_Dados!J$2:J$5000,MATCH(ROW()-4,EQA.Controllab_Dados!$S$2:$S$5000,0)),"")</f>
        <v/>
      </c>
      <c r="K120" s="137" t="str">
        <f>IFERROR(INDEX(EQA.Controllab_Dados!K$2:K$5000,MATCH(ROW()-4,EQA.Controllab_Dados!$S$2:$S$5000,0)),"")</f>
        <v/>
      </c>
      <c r="L120" t="str">
        <f>IFERROR(INDEX(EQA.Controllab_Dados!L$2:L$5000,MATCH(ROW()-4,EQA.Controllab_Dados!$S$2:$S$5000,0)),"")</f>
        <v/>
      </c>
      <c r="M120" s="126" t="str">
        <f>IFERROR(INDEX(EQA.Controllab_Dados!M$2:M$5000,MATCH(ROW()-4,EQA.Controllab_Dados!$S$2:$S$5000,0)),"")</f>
        <v/>
      </c>
      <c r="N120" t="str">
        <f>IFERROR(INDEX(EQA.Controllab_Dados!N$2:N$5000,MATCH(ROW()-4,EQA.Controllab_Dados!$S$2:$S$5000,0)),"")</f>
        <v/>
      </c>
      <c r="O120" s="137" t="str">
        <f>IFERROR(INDEX(EQA.Controllab_Dados!O$2:O$5000,MATCH(ROW()-4,EQA.Controllab_Dados!$S$2:$S$5000,0)),"")</f>
        <v/>
      </c>
      <c r="P120" s="137" t="str">
        <f>IFERROR(INDEX(EQA.Controllab_Dados!P$2:P$5000,MATCH(ROW()-4,EQA.Controllab_Dados!$S$2:$S$5000,0)),"")</f>
        <v/>
      </c>
      <c r="Q120" s="126" t="str">
        <f>IFERROR(INDEX(EQA.Controllab_Dados!Q$2:Q$5000,MATCH(ROW()-4,EQA.Controllab_Dados!$S$2:$S$5000,0)),"")</f>
        <v/>
      </c>
      <c r="R120" t="str">
        <f>IFERROR(INDEX(EQA.Controllab_Dados!R$2:R$5000,MATCH(ROW()-4,EQA.Controllab_Dados!$S$2:$S$5000,0)),"")</f>
        <v/>
      </c>
    </row>
    <row r="121" spans="1:18" x14ac:dyDescent="0.3">
      <c r="A121" t="str">
        <f>IFERROR(INDEX(EQA.Controllab_Dados!A$2:A$5000,MATCH(ROW()-4,EQA.Controllab_Dados!$S$2:$S$5000,0)),"")</f>
        <v/>
      </c>
      <c r="B121" t="str">
        <f>IFERROR(INDEX(EQA.Controllab_Dados!B$2:B$5000,MATCH(ROW()-4,EQA.Controllab_Dados!$S$2:$S$5000,0)),"")</f>
        <v/>
      </c>
      <c r="C121" s="126" t="str">
        <f>IFERROR(INDEX(EQA.Controllab_Dados!C$2:C$5000,MATCH(ROW()-4,EQA.Controllab_Dados!$S$2:$S$5000,0)),"")</f>
        <v/>
      </c>
      <c r="D121" t="str">
        <f>IFERROR(INDEX(EQA.Controllab_Dados!D$2:D$5000,MATCH(ROW()-4,EQA.Controllab_Dados!$S$2:$S$5000,0)),"")</f>
        <v/>
      </c>
      <c r="E121" t="str">
        <f>IFERROR(INDEX(EQA.Controllab_Dados!E$2:E$5000,MATCH(ROW()-4,EQA.Controllab_Dados!$S$2:$S$5000,0)),"")</f>
        <v/>
      </c>
      <c r="F121" s="137" t="str">
        <f>IFERROR(INDEX(EQA.Controllab_Dados!F$2:F$5000,MATCH(ROW()-4,EQA.Controllab_Dados!$S$2:$S$5000,0)),"")</f>
        <v/>
      </c>
      <c r="G121" s="138" t="str">
        <f>IFERROR(INDEX(EQA.Controllab_Dados!G$2:G$5000,MATCH(ROW()-4,EQA.Controllab_Dados!$S$2:$S$5000,0)),"")</f>
        <v/>
      </c>
      <c r="H121" s="138" t="str">
        <f>IFERROR(INDEX(EQA.Controllab_Dados!H$2:H$5000,MATCH(ROW()-4,EQA.Controllab_Dados!$S$2:$S$5000,0)),"")</f>
        <v/>
      </c>
      <c r="I121" s="139" t="str">
        <f>IFERROR(INDEX(EQA.Controllab_Dados!I$2:I$5000,MATCH(ROW()-4,EQA.Controllab_Dados!$S$2:$S$5000,0)),"")</f>
        <v/>
      </c>
      <c r="J121" s="137" t="str">
        <f>IFERROR(INDEX(EQA.Controllab_Dados!J$2:J$5000,MATCH(ROW()-4,EQA.Controllab_Dados!$S$2:$S$5000,0)),"")</f>
        <v/>
      </c>
      <c r="K121" s="137" t="str">
        <f>IFERROR(INDEX(EQA.Controllab_Dados!K$2:K$5000,MATCH(ROW()-4,EQA.Controllab_Dados!$S$2:$S$5000,0)),"")</f>
        <v/>
      </c>
      <c r="L121" t="str">
        <f>IFERROR(INDEX(EQA.Controllab_Dados!L$2:L$5000,MATCH(ROW()-4,EQA.Controllab_Dados!$S$2:$S$5000,0)),"")</f>
        <v/>
      </c>
      <c r="M121" s="126" t="str">
        <f>IFERROR(INDEX(EQA.Controllab_Dados!M$2:M$5000,MATCH(ROW()-4,EQA.Controllab_Dados!$S$2:$S$5000,0)),"")</f>
        <v/>
      </c>
      <c r="N121" t="str">
        <f>IFERROR(INDEX(EQA.Controllab_Dados!N$2:N$5000,MATCH(ROW()-4,EQA.Controllab_Dados!$S$2:$S$5000,0)),"")</f>
        <v/>
      </c>
      <c r="O121" s="137" t="str">
        <f>IFERROR(INDEX(EQA.Controllab_Dados!O$2:O$5000,MATCH(ROW()-4,EQA.Controllab_Dados!$S$2:$S$5000,0)),"")</f>
        <v/>
      </c>
      <c r="P121" s="137" t="str">
        <f>IFERROR(INDEX(EQA.Controllab_Dados!P$2:P$5000,MATCH(ROW()-4,EQA.Controllab_Dados!$S$2:$S$5000,0)),"")</f>
        <v/>
      </c>
      <c r="Q121" s="126" t="str">
        <f>IFERROR(INDEX(EQA.Controllab_Dados!Q$2:Q$5000,MATCH(ROW()-4,EQA.Controllab_Dados!$S$2:$S$5000,0)),"")</f>
        <v/>
      </c>
      <c r="R121" t="str">
        <f>IFERROR(INDEX(EQA.Controllab_Dados!R$2:R$5000,MATCH(ROW()-4,EQA.Controllab_Dados!$S$2:$S$5000,0)),"")</f>
        <v/>
      </c>
    </row>
    <row r="122" spans="1:18" x14ac:dyDescent="0.3">
      <c r="A122" t="str">
        <f>IFERROR(INDEX(EQA.Controllab_Dados!A$2:A$5000,MATCH(ROW()-4,EQA.Controllab_Dados!$S$2:$S$5000,0)),"")</f>
        <v/>
      </c>
      <c r="B122" t="str">
        <f>IFERROR(INDEX(EQA.Controllab_Dados!B$2:B$5000,MATCH(ROW()-4,EQA.Controllab_Dados!$S$2:$S$5000,0)),"")</f>
        <v/>
      </c>
      <c r="C122" s="126" t="str">
        <f>IFERROR(INDEX(EQA.Controllab_Dados!C$2:C$5000,MATCH(ROW()-4,EQA.Controllab_Dados!$S$2:$S$5000,0)),"")</f>
        <v/>
      </c>
      <c r="D122" t="str">
        <f>IFERROR(INDEX(EQA.Controllab_Dados!D$2:D$5000,MATCH(ROW()-4,EQA.Controllab_Dados!$S$2:$S$5000,0)),"")</f>
        <v/>
      </c>
      <c r="E122" t="str">
        <f>IFERROR(INDEX(EQA.Controllab_Dados!E$2:E$5000,MATCH(ROW()-4,EQA.Controllab_Dados!$S$2:$S$5000,0)),"")</f>
        <v/>
      </c>
      <c r="F122" s="137" t="str">
        <f>IFERROR(INDEX(EQA.Controllab_Dados!F$2:F$5000,MATCH(ROW()-4,EQA.Controllab_Dados!$S$2:$S$5000,0)),"")</f>
        <v/>
      </c>
      <c r="G122" s="138" t="str">
        <f>IFERROR(INDEX(EQA.Controllab_Dados!G$2:G$5000,MATCH(ROW()-4,EQA.Controllab_Dados!$S$2:$S$5000,0)),"")</f>
        <v/>
      </c>
      <c r="H122" s="138" t="str">
        <f>IFERROR(INDEX(EQA.Controllab_Dados!H$2:H$5000,MATCH(ROW()-4,EQA.Controllab_Dados!$S$2:$S$5000,0)),"")</f>
        <v/>
      </c>
      <c r="I122" s="139" t="str">
        <f>IFERROR(INDEX(EQA.Controllab_Dados!I$2:I$5000,MATCH(ROW()-4,EQA.Controllab_Dados!$S$2:$S$5000,0)),"")</f>
        <v/>
      </c>
      <c r="J122" s="137" t="str">
        <f>IFERROR(INDEX(EQA.Controllab_Dados!J$2:J$5000,MATCH(ROW()-4,EQA.Controllab_Dados!$S$2:$S$5000,0)),"")</f>
        <v/>
      </c>
      <c r="K122" s="137" t="str">
        <f>IFERROR(INDEX(EQA.Controllab_Dados!K$2:K$5000,MATCH(ROW()-4,EQA.Controllab_Dados!$S$2:$S$5000,0)),"")</f>
        <v/>
      </c>
      <c r="L122" t="str">
        <f>IFERROR(INDEX(EQA.Controllab_Dados!L$2:L$5000,MATCH(ROW()-4,EQA.Controllab_Dados!$S$2:$S$5000,0)),"")</f>
        <v/>
      </c>
      <c r="M122" s="126" t="str">
        <f>IFERROR(INDEX(EQA.Controllab_Dados!M$2:M$5000,MATCH(ROW()-4,EQA.Controllab_Dados!$S$2:$S$5000,0)),"")</f>
        <v/>
      </c>
      <c r="N122" t="str">
        <f>IFERROR(INDEX(EQA.Controllab_Dados!N$2:N$5000,MATCH(ROW()-4,EQA.Controllab_Dados!$S$2:$S$5000,0)),"")</f>
        <v/>
      </c>
      <c r="O122" s="137" t="str">
        <f>IFERROR(INDEX(EQA.Controllab_Dados!O$2:O$5000,MATCH(ROW()-4,EQA.Controllab_Dados!$S$2:$S$5000,0)),"")</f>
        <v/>
      </c>
      <c r="P122" s="137" t="str">
        <f>IFERROR(INDEX(EQA.Controllab_Dados!P$2:P$5000,MATCH(ROW()-4,EQA.Controllab_Dados!$S$2:$S$5000,0)),"")</f>
        <v/>
      </c>
      <c r="Q122" s="126" t="str">
        <f>IFERROR(INDEX(EQA.Controllab_Dados!Q$2:Q$5000,MATCH(ROW()-4,EQA.Controllab_Dados!$S$2:$S$5000,0)),"")</f>
        <v/>
      </c>
      <c r="R122" t="str">
        <f>IFERROR(INDEX(EQA.Controllab_Dados!R$2:R$5000,MATCH(ROW()-4,EQA.Controllab_Dados!$S$2:$S$5000,0)),"")</f>
        <v/>
      </c>
    </row>
    <row r="123" spans="1:18" x14ac:dyDescent="0.3">
      <c r="A123" t="str">
        <f>IFERROR(INDEX(EQA.Controllab_Dados!A$2:A$5000,MATCH(ROW()-4,EQA.Controllab_Dados!$S$2:$S$5000,0)),"")</f>
        <v/>
      </c>
      <c r="B123" t="str">
        <f>IFERROR(INDEX(EQA.Controllab_Dados!B$2:B$5000,MATCH(ROW()-4,EQA.Controllab_Dados!$S$2:$S$5000,0)),"")</f>
        <v/>
      </c>
      <c r="C123" s="126" t="str">
        <f>IFERROR(INDEX(EQA.Controllab_Dados!C$2:C$5000,MATCH(ROW()-4,EQA.Controllab_Dados!$S$2:$S$5000,0)),"")</f>
        <v/>
      </c>
      <c r="D123" t="str">
        <f>IFERROR(INDEX(EQA.Controllab_Dados!D$2:D$5000,MATCH(ROW()-4,EQA.Controllab_Dados!$S$2:$S$5000,0)),"")</f>
        <v/>
      </c>
      <c r="E123" t="str">
        <f>IFERROR(INDEX(EQA.Controllab_Dados!E$2:E$5000,MATCH(ROW()-4,EQA.Controllab_Dados!$S$2:$S$5000,0)),"")</f>
        <v/>
      </c>
      <c r="F123" s="137" t="str">
        <f>IFERROR(INDEX(EQA.Controllab_Dados!F$2:F$5000,MATCH(ROW()-4,EQA.Controllab_Dados!$S$2:$S$5000,0)),"")</f>
        <v/>
      </c>
      <c r="G123" s="138" t="str">
        <f>IFERROR(INDEX(EQA.Controllab_Dados!G$2:G$5000,MATCH(ROW()-4,EQA.Controllab_Dados!$S$2:$S$5000,0)),"")</f>
        <v/>
      </c>
      <c r="H123" s="138" t="str">
        <f>IFERROR(INDEX(EQA.Controllab_Dados!H$2:H$5000,MATCH(ROW()-4,EQA.Controllab_Dados!$S$2:$S$5000,0)),"")</f>
        <v/>
      </c>
      <c r="I123" s="139" t="str">
        <f>IFERROR(INDEX(EQA.Controllab_Dados!I$2:I$5000,MATCH(ROW()-4,EQA.Controllab_Dados!$S$2:$S$5000,0)),"")</f>
        <v/>
      </c>
      <c r="J123" s="137" t="str">
        <f>IFERROR(INDEX(EQA.Controllab_Dados!J$2:J$5000,MATCH(ROW()-4,EQA.Controllab_Dados!$S$2:$S$5000,0)),"")</f>
        <v/>
      </c>
      <c r="K123" s="137" t="str">
        <f>IFERROR(INDEX(EQA.Controllab_Dados!K$2:K$5000,MATCH(ROW()-4,EQA.Controllab_Dados!$S$2:$S$5000,0)),"")</f>
        <v/>
      </c>
      <c r="L123" t="str">
        <f>IFERROR(INDEX(EQA.Controllab_Dados!L$2:L$5000,MATCH(ROW()-4,EQA.Controllab_Dados!$S$2:$S$5000,0)),"")</f>
        <v/>
      </c>
      <c r="M123" s="126" t="str">
        <f>IFERROR(INDEX(EQA.Controllab_Dados!M$2:M$5000,MATCH(ROW()-4,EQA.Controllab_Dados!$S$2:$S$5000,0)),"")</f>
        <v/>
      </c>
      <c r="N123" t="str">
        <f>IFERROR(INDEX(EQA.Controllab_Dados!N$2:N$5000,MATCH(ROW()-4,EQA.Controllab_Dados!$S$2:$S$5000,0)),"")</f>
        <v/>
      </c>
      <c r="O123" s="137" t="str">
        <f>IFERROR(INDEX(EQA.Controllab_Dados!O$2:O$5000,MATCH(ROW()-4,EQA.Controllab_Dados!$S$2:$S$5000,0)),"")</f>
        <v/>
      </c>
      <c r="P123" s="137" t="str">
        <f>IFERROR(INDEX(EQA.Controllab_Dados!P$2:P$5000,MATCH(ROW()-4,EQA.Controllab_Dados!$S$2:$S$5000,0)),"")</f>
        <v/>
      </c>
      <c r="Q123" s="126" t="str">
        <f>IFERROR(INDEX(EQA.Controllab_Dados!Q$2:Q$5000,MATCH(ROW()-4,EQA.Controllab_Dados!$S$2:$S$5000,0)),"")</f>
        <v/>
      </c>
      <c r="R123" t="str">
        <f>IFERROR(INDEX(EQA.Controllab_Dados!R$2:R$5000,MATCH(ROW()-4,EQA.Controllab_Dados!$S$2:$S$5000,0)),"")</f>
        <v/>
      </c>
    </row>
    <row r="124" spans="1:18" x14ac:dyDescent="0.3">
      <c r="A124" t="str">
        <f>IFERROR(INDEX(EQA.Controllab_Dados!A$2:A$5000,MATCH(ROW()-4,EQA.Controllab_Dados!$S$2:$S$5000,0)),"")</f>
        <v/>
      </c>
      <c r="B124" t="str">
        <f>IFERROR(INDEX(EQA.Controllab_Dados!B$2:B$5000,MATCH(ROW()-4,EQA.Controllab_Dados!$S$2:$S$5000,0)),"")</f>
        <v/>
      </c>
      <c r="C124" s="126" t="str">
        <f>IFERROR(INDEX(EQA.Controllab_Dados!C$2:C$5000,MATCH(ROW()-4,EQA.Controllab_Dados!$S$2:$S$5000,0)),"")</f>
        <v/>
      </c>
      <c r="D124" t="str">
        <f>IFERROR(INDEX(EQA.Controllab_Dados!D$2:D$5000,MATCH(ROW()-4,EQA.Controllab_Dados!$S$2:$S$5000,0)),"")</f>
        <v/>
      </c>
      <c r="E124" t="str">
        <f>IFERROR(INDEX(EQA.Controllab_Dados!E$2:E$5000,MATCH(ROW()-4,EQA.Controllab_Dados!$S$2:$S$5000,0)),"")</f>
        <v/>
      </c>
      <c r="F124" s="137" t="str">
        <f>IFERROR(INDEX(EQA.Controllab_Dados!F$2:F$5000,MATCH(ROW()-4,EQA.Controllab_Dados!$S$2:$S$5000,0)),"")</f>
        <v/>
      </c>
      <c r="G124" s="138" t="str">
        <f>IFERROR(INDEX(EQA.Controllab_Dados!G$2:G$5000,MATCH(ROW()-4,EQA.Controllab_Dados!$S$2:$S$5000,0)),"")</f>
        <v/>
      </c>
      <c r="H124" s="138" t="str">
        <f>IFERROR(INDEX(EQA.Controllab_Dados!H$2:H$5000,MATCH(ROW()-4,EQA.Controllab_Dados!$S$2:$S$5000,0)),"")</f>
        <v/>
      </c>
      <c r="I124" s="139" t="str">
        <f>IFERROR(INDEX(EQA.Controllab_Dados!I$2:I$5000,MATCH(ROW()-4,EQA.Controllab_Dados!$S$2:$S$5000,0)),"")</f>
        <v/>
      </c>
      <c r="J124" s="137" t="str">
        <f>IFERROR(INDEX(EQA.Controllab_Dados!J$2:J$5000,MATCH(ROW()-4,EQA.Controllab_Dados!$S$2:$S$5000,0)),"")</f>
        <v/>
      </c>
      <c r="K124" s="137" t="str">
        <f>IFERROR(INDEX(EQA.Controllab_Dados!K$2:K$5000,MATCH(ROW()-4,EQA.Controllab_Dados!$S$2:$S$5000,0)),"")</f>
        <v/>
      </c>
      <c r="L124" t="str">
        <f>IFERROR(INDEX(EQA.Controllab_Dados!L$2:L$5000,MATCH(ROW()-4,EQA.Controllab_Dados!$S$2:$S$5000,0)),"")</f>
        <v/>
      </c>
      <c r="M124" s="126" t="str">
        <f>IFERROR(INDEX(EQA.Controllab_Dados!M$2:M$5000,MATCH(ROW()-4,EQA.Controllab_Dados!$S$2:$S$5000,0)),"")</f>
        <v/>
      </c>
      <c r="N124" t="str">
        <f>IFERROR(INDEX(EQA.Controllab_Dados!N$2:N$5000,MATCH(ROW()-4,EQA.Controllab_Dados!$S$2:$S$5000,0)),"")</f>
        <v/>
      </c>
      <c r="O124" s="137" t="str">
        <f>IFERROR(INDEX(EQA.Controllab_Dados!O$2:O$5000,MATCH(ROW()-4,EQA.Controllab_Dados!$S$2:$S$5000,0)),"")</f>
        <v/>
      </c>
      <c r="P124" s="137" t="str">
        <f>IFERROR(INDEX(EQA.Controllab_Dados!P$2:P$5000,MATCH(ROW()-4,EQA.Controllab_Dados!$S$2:$S$5000,0)),"")</f>
        <v/>
      </c>
      <c r="Q124" s="126" t="str">
        <f>IFERROR(INDEX(EQA.Controllab_Dados!Q$2:Q$5000,MATCH(ROW()-4,EQA.Controllab_Dados!$S$2:$S$5000,0)),"")</f>
        <v/>
      </c>
      <c r="R124" t="str">
        <f>IFERROR(INDEX(EQA.Controllab_Dados!R$2:R$5000,MATCH(ROW()-4,EQA.Controllab_Dados!$S$2:$S$5000,0)),"")</f>
        <v/>
      </c>
    </row>
    <row r="125" spans="1:18" x14ac:dyDescent="0.3">
      <c r="A125" t="str">
        <f>IFERROR(INDEX(EQA.Controllab_Dados!A$2:A$5000,MATCH(ROW()-4,EQA.Controllab_Dados!$S$2:$S$5000,0)),"")</f>
        <v/>
      </c>
      <c r="B125" t="str">
        <f>IFERROR(INDEX(EQA.Controllab_Dados!B$2:B$5000,MATCH(ROW()-4,EQA.Controllab_Dados!$S$2:$S$5000,0)),"")</f>
        <v/>
      </c>
      <c r="C125" s="126" t="str">
        <f>IFERROR(INDEX(EQA.Controllab_Dados!C$2:C$5000,MATCH(ROW()-4,EQA.Controllab_Dados!$S$2:$S$5000,0)),"")</f>
        <v/>
      </c>
      <c r="D125" t="str">
        <f>IFERROR(INDEX(EQA.Controllab_Dados!D$2:D$5000,MATCH(ROW()-4,EQA.Controllab_Dados!$S$2:$S$5000,0)),"")</f>
        <v/>
      </c>
      <c r="E125" t="str">
        <f>IFERROR(INDEX(EQA.Controllab_Dados!E$2:E$5000,MATCH(ROW()-4,EQA.Controllab_Dados!$S$2:$S$5000,0)),"")</f>
        <v/>
      </c>
      <c r="F125" s="137" t="str">
        <f>IFERROR(INDEX(EQA.Controllab_Dados!F$2:F$5000,MATCH(ROW()-4,EQA.Controllab_Dados!$S$2:$S$5000,0)),"")</f>
        <v/>
      </c>
      <c r="G125" s="138" t="str">
        <f>IFERROR(INDEX(EQA.Controllab_Dados!G$2:G$5000,MATCH(ROW()-4,EQA.Controllab_Dados!$S$2:$S$5000,0)),"")</f>
        <v/>
      </c>
      <c r="H125" s="138" t="str">
        <f>IFERROR(INDEX(EQA.Controllab_Dados!H$2:H$5000,MATCH(ROW()-4,EQA.Controllab_Dados!$S$2:$S$5000,0)),"")</f>
        <v/>
      </c>
      <c r="I125" s="139" t="str">
        <f>IFERROR(INDEX(EQA.Controllab_Dados!I$2:I$5000,MATCH(ROW()-4,EQA.Controllab_Dados!$S$2:$S$5000,0)),"")</f>
        <v/>
      </c>
      <c r="J125" s="137" t="str">
        <f>IFERROR(INDEX(EQA.Controllab_Dados!J$2:J$5000,MATCH(ROW()-4,EQA.Controllab_Dados!$S$2:$S$5000,0)),"")</f>
        <v/>
      </c>
      <c r="K125" s="137" t="str">
        <f>IFERROR(INDEX(EQA.Controllab_Dados!K$2:K$5000,MATCH(ROW()-4,EQA.Controllab_Dados!$S$2:$S$5000,0)),"")</f>
        <v/>
      </c>
      <c r="L125" t="str">
        <f>IFERROR(INDEX(EQA.Controllab_Dados!L$2:L$5000,MATCH(ROW()-4,EQA.Controllab_Dados!$S$2:$S$5000,0)),"")</f>
        <v/>
      </c>
      <c r="M125" s="126" t="str">
        <f>IFERROR(INDEX(EQA.Controllab_Dados!M$2:M$5000,MATCH(ROW()-4,EQA.Controllab_Dados!$S$2:$S$5000,0)),"")</f>
        <v/>
      </c>
      <c r="N125" t="str">
        <f>IFERROR(INDEX(EQA.Controllab_Dados!N$2:N$5000,MATCH(ROW()-4,EQA.Controllab_Dados!$S$2:$S$5000,0)),"")</f>
        <v/>
      </c>
      <c r="O125" s="137" t="str">
        <f>IFERROR(INDEX(EQA.Controllab_Dados!O$2:O$5000,MATCH(ROW()-4,EQA.Controllab_Dados!$S$2:$S$5000,0)),"")</f>
        <v/>
      </c>
      <c r="P125" s="137" t="str">
        <f>IFERROR(INDEX(EQA.Controllab_Dados!P$2:P$5000,MATCH(ROW()-4,EQA.Controllab_Dados!$S$2:$S$5000,0)),"")</f>
        <v/>
      </c>
      <c r="Q125" s="126" t="str">
        <f>IFERROR(INDEX(EQA.Controllab_Dados!Q$2:Q$5000,MATCH(ROW()-4,EQA.Controllab_Dados!$S$2:$S$5000,0)),"")</f>
        <v/>
      </c>
      <c r="R125" t="str">
        <f>IFERROR(INDEX(EQA.Controllab_Dados!R$2:R$5000,MATCH(ROW()-4,EQA.Controllab_Dados!$S$2:$S$5000,0)),"")</f>
        <v/>
      </c>
    </row>
    <row r="126" spans="1:18" x14ac:dyDescent="0.3">
      <c r="A126" t="str">
        <f>IFERROR(INDEX(EQA.Controllab_Dados!A$2:A$5000,MATCH(ROW()-4,EQA.Controllab_Dados!$S$2:$S$5000,0)),"")</f>
        <v/>
      </c>
      <c r="B126" t="str">
        <f>IFERROR(INDEX(EQA.Controllab_Dados!B$2:B$5000,MATCH(ROW()-4,EQA.Controllab_Dados!$S$2:$S$5000,0)),"")</f>
        <v/>
      </c>
      <c r="C126" s="126" t="str">
        <f>IFERROR(INDEX(EQA.Controllab_Dados!C$2:C$5000,MATCH(ROW()-4,EQA.Controllab_Dados!$S$2:$S$5000,0)),"")</f>
        <v/>
      </c>
      <c r="D126" t="str">
        <f>IFERROR(INDEX(EQA.Controllab_Dados!D$2:D$5000,MATCH(ROW()-4,EQA.Controllab_Dados!$S$2:$S$5000,0)),"")</f>
        <v/>
      </c>
      <c r="E126" t="str">
        <f>IFERROR(INDEX(EQA.Controllab_Dados!E$2:E$5000,MATCH(ROW()-4,EQA.Controllab_Dados!$S$2:$S$5000,0)),"")</f>
        <v/>
      </c>
      <c r="F126" s="137" t="str">
        <f>IFERROR(INDEX(EQA.Controllab_Dados!F$2:F$5000,MATCH(ROW()-4,EQA.Controllab_Dados!$S$2:$S$5000,0)),"")</f>
        <v/>
      </c>
      <c r="G126" s="138" t="str">
        <f>IFERROR(INDEX(EQA.Controllab_Dados!G$2:G$5000,MATCH(ROW()-4,EQA.Controllab_Dados!$S$2:$S$5000,0)),"")</f>
        <v/>
      </c>
      <c r="H126" s="138" t="str">
        <f>IFERROR(INDEX(EQA.Controllab_Dados!H$2:H$5000,MATCH(ROW()-4,EQA.Controllab_Dados!$S$2:$S$5000,0)),"")</f>
        <v/>
      </c>
      <c r="I126" s="139" t="str">
        <f>IFERROR(INDEX(EQA.Controllab_Dados!I$2:I$5000,MATCH(ROW()-4,EQA.Controllab_Dados!$S$2:$S$5000,0)),"")</f>
        <v/>
      </c>
      <c r="J126" s="137" t="str">
        <f>IFERROR(INDEX(EQA.Controllab_Dados!J$2:J$5000,MATCH(ROW()-4,EQA.Controllab_Dados!$S$2:$S$5000,0)),"")</f>
        <v/>
      </c>
      <c r="K126" s="137" t="str">
        <f>IFERROR(INDEX(EQA.Controllab_Dados!K$2:K$5000,MATCH(ROW()-4,EQA.Controllab_Dados!$S$2:$S$5000,0)),"")</f>
        <v/>
      </c>
      <c r="L126" t="str">
        <f>IFERROR(INDEX(EQA.Controllab_Dados!L$2:L$5000,MATCH(ROW()-4,EQA.Controllab_Dados!$S$2:$S$5000,0)),"")</f>
        <v/>
      </c>
      <c r="M126" s="126" t="str">
        <f>IFERROR(INDEX(EQA.Controllab_Dados!M$2:M$5000,MATCH(ROW()-4,EQA.Controllab_Dados!$S$2:$S$5000,0)),"")</f>
        <v/>
      </c>
      <c r="N126" t="str">
        <f>IFERROR(INDEX(EQA.Controllab_Dados!N$2:N$5000,MATCH(ROW()-4,EQA.Controllab_Dados!$S$2:$S$5000,0)),"")</f>
        <v/>
      </c>
      <c r="O126" s="137" t="str">
        <f>IFERROR(INDEX(EQA.Controllab_Dados!O$2:O$5000,MATCH(ROW()-4,EQA.Controllab_Dados!$S$2:$S$5000,0)),"")</f>
        <v/>
      </c>
      <c r="P126" s="137" t="str">
        <f>IFERROR(INDEX(EQA.Controllab_Dados!P$2:P$5000,MATCH(ROW()-4,EQA.Controllab_Dados!$S$2:$S$5000,0)),"")</f>
        <v/>
      </c>
      <c r="Q126" s="126" t="str">
        <f>IFERROR(INDEX(EQA.Controllab_Dados!Q$2:Q$5000,MATCH(ROW()-4,EQA.Controllab_Dados!$S$2:$S$5000,0)),"")</f>
        <v/>
      </c>
      <c r="R126" t="str">
        <f>IFERROR(INDEX(EQA.Controllab_Dados!R$2:R$5000,MATCH(ROW()-4,EQA.Controllab_Dados!$S$2:$S$5000,0)),"")</f>
        <v/>
      </c>
    </row>
    <row r="127" spans="1:18" x14ac:dyDescent="0.3">
      <c r="A127" t="str">
        <f>IFERROR(INDEX(EQA.Controllab_Dados!A$2:A$5000,MATCH(ROW()-4,EQA.Controllab_Dados!$S$2:$S$5000,0)),"")</f>
        <v/>
      </c>
      <c r="B127" t="str">
        <f>IFERROR(INDEX(EQA.Controllab_Dados!B$2:B$5000,MATCH(ROW()-4,EQA.Controllab_Dados!$S$2:$S$5000,0)),"")</f>
        <v/>
      </c>
      <c r="C127" s="126" t="str">
        <f>IFERROR(INDEX(EQA.Controllab_Dados!C$2:C$5000,MATCH(ROW()-4,EQA.Controllab_Dados!$S$2:$S$5000,0)),"")</f>
        <v/>
      </c>
      <c r="D127" t="str">
        <f>IFERROR(INDEX(EQA.Controllab_Dados!D$2:D$5000,MATCH(ROW()-4,EQA.Controllab_Dados!$S$2:$S$5000,0)),"")</f>
        <v/>
      </c>
      <c r="E127" t="str">
        <f>IFERROR(INDEX(EQA.Controllab_Dados!E$2:E$5000,MATCH(ROW()-4,EQA.Controllab_Dados!$S$2:$S$5000,0)),"")</f>
        <v/>
      </c>
      <c r="F127" s="137" t="str">
        <f>IFERROR(INDEX(EQA.Controllab_Dados!F$2:F$5000,MATCH(ROW()-4,EQA.Controllab_Dados!$S$2:$S$5000,0)),"")</f>
        <v/>
      </c>
      <c r="G127" s="138" t="str">
        <f>IFERROR(INDEX(EQA.Controllab_Dados!G$2:G$5000,MATCH(ROW()-4,EQA.Controllab_Dados!$S$2:$S$5000,0)),"")</f>
        <v/>
      </c>
      <c r="H127" s="138" t="str">
        <f>IFERROR(INDEX(EQA.Controllab_Dados!H$2:H$5000,MATCH(ROW()-4,EQA.Controllab_Dados!$S$2:$S$5000,0)),"")</f>
        <v/>
      </c>
      <c r="I127" s="139" t="str">
        <f>IFERROR(INDEX(EQA.Controllab_Dados!I$2:I$5000,MATCH(ROW()-4,EQA.Controllab_Dados!$S$2:$S$5000,0)),"")</f>
        <v/>
      </c>
      <c r="J127" s="137" t="str">
        <f>IFERROR(INDEX(EQA.Controllab_Dados!J$2:J$5000,MATCH(ROW()-4,EQA.Controllab_Dados!$S$2:$S$5000,0)),"")</f>
        <v/>
      </c>
      <c r="K127" s="137" t="str">
        <f>IFERROR(INDEX(EQA.Controllab_Dados!K$2:K$5000,MATCH(ROW()-4,EQA.Controllab_Dados!$S$2:$S$5000,0)),"")</f>
        <v/>
      </c>
      <c r="L127" t="str">
        <f>IFERROR(INDEX(EQA.Controllab_Dados!L$2:L$5000,MATCH(ROW()-4,EQA.Controllab_Dados!$S$2:$S$5000,0)),"")</f>
        <v/>
      </c>
      <c r="M127" s="126" t="str">
        <f>IFERROR(INDEX(EQA.Controllab_Dados!M$2:M$5000,MATCH(ROW()-4,EQA.Controllab_Dados!$S$2:$S$5000,0)),"")</f>
        <v/>
      </c>
      <c r="N127" t="str">
        <f>IFERROR(INDEX(EQA.Controllab_Dados!N$2:N$5000,MATCH(ROW()-4,EQA.Controllab_Dados!$S$2:$S$5000,0)),"")</f>
        <v/>
      </c>
      <c r="O127" s="137" t="str">
        <f>IFERROR(INDEX(EQA.Controllab_Dados!O$2:O$5000,MATCH(ROW()-4,EQA.Controllab_Dados!$S$2:$S$5000,0)),"")</f>
        <v/>
      </c>
      <c r="P127" s="137" t="str">
        <f>IFERROR(INDEX(EQA.Controllab_Dados!P$2:P$5000,MATCH(ROW()-4,EQA.Controllab_Dados!$S$2:$S$5000,0)),"")</f>
        <v/>
      </c>
      <c r="Q127" s="126" t="str">
        <f>IFERROR(INDEX(EQA.Controllab_Dados!Q$2:Q$5000,MATCH(ROW()-4,EQA.Controllab_Dados!$S$2:$S$5000,0)),"")</f>
        <v/>
      </c>
      <c r="R127" t="str">
        <f>IFERROR(INDEX(EQA.Controllab_Dados!R$2:R$5000,MATCH(ROW()-4,EQA.Controllab_Dados!$S$2:$S$5000,0)),"")</f>
        <v/>
      </c>
    </row>
    <row r="128" spans="1:18" x14ac:dyDescent="0.3">
      <c r="A128" t="str">
        <f>IFERROR(INDEX(EQA.Controllab_Dados!A$2:A$5000,MATCH(ROW()-4,EQA.Controllab_Dados!$S$2:$S$5000,0)),"")</f>
        <v/>
      </c>
      <c r="B128" t="str">
        <f>IFERROR(INDEX(EQA.Controllab_Dados!B$2:B$5000,MATCH(ROW()-4,EQA.Controllab_Dados!$S$2:$S$5000,0)),"")</f>
        <v/>
      </c>
      <c r="C128" s="126" t="str">
        <f>IFERROR(INDEX(EQA.Controllab_Dados!C$2:C$5000,MATCH(ROW()-4,EQA.Controllab_Dados!$S$2:$S$5000,0)),"")</f>
        <v/>
      </c>
      <c r="D128" t="str">
        <f>IFERROR(INDEX(EQA.Controllab_Dados!D$2:D$5000,MATCH(ROW()-4,EQA.Controllab_Dados!$S$2:$S$5000,0)),"")</f>
        <v/>
      </c>
      <c r="E128" t="str">
        <f>IFERROR(INDEX(EQA.Controllab_Dados!E$2:E$5000,MATCH(ROW()-4,EQA.Controllab_Dados!$S$2:$S$5000,0)),"")</f>
        <v/>
      </c>
      <c r="F128" s="137" t="str">
        <f>IFERROR(INDEX(EQA.Controllab_Dados!F$2:F$5000,MATCH(ROW()-4,EQA.Controllab_Dados!$S$2:$S$5000,0)),"")</f>
        <v/>
      </c>
      <c r="G128" s="138" t="str">
        <f>IFERROR(INDEX(EQA.Controllab_Dados!G$2:G$5000,MATCH(ROW()-4,EQA.Controllab_Dados!$S$2:$S$5000,0)),"")</f>
        <v/>
      </c>
      <c r="H128" s="138" t="str">
        <f>IFERROR(INDEX(EQA.Controllab_Dados!H$2:H$5000,MATCH(ROW()-4,EQA.Controllab_Dados!$S$2:$S$5000,0)),"")</f>
        <v/>
      </c>
      <c r="I128" s="139" t="str">
        <f>IFERROR(INDEX(EQA.Controllab_Dados!I$2:I$5000,MATCH(ROW()-4,EQA.Controllab_Dados!$S$2:$S$5000,0)),"")</f>
        <v/>
      </c>
      <c r="J128" s="137" t="str">
        <f>IFERROR(INDEX(EQA.Controllab_Dados!J$2:J$5000,MATCH(ROW()-4,EQA.Controllab_Dados!$S$2:$S$5000,0)),"")</f>
        <v/>
      </c>
      <c r="K128" s="137" t="str">
        <f>IFERROR(INDEX(EQA.Controllab_Dados!K$2:K$5000,MATCH(ROW()-4,EQA.Controllab_Dados!$S$2:$S$5000,0)),"")</f>
        <v/>
      </c>
      <c r="L128" t="str">
        <f>IFERROR(INDEX(EQA.Controllab_Dados!L$2:L$5000,MATCH(ROW()-4,EQA.Controllab_Dados!$S$2:$S$5000,0)),"")</f>
        <v/>
      </c>
      <c r="M128" s="126" t="str">
        <f>IFERROR(INDEX(EQA.Controllab_Dados!M$2:M$5000,MATCH(ROW()-4,EQA.Controllab_Dados!$S$2:$S$5000,0)),"")</f>
        <v/>
      </c>
      <c r="N128" t="str">
        <f>IFERROR(INDEX(EQA.Controllab_Dados!N$2:N$5000,MATCH(ROW()-4,EQA.Controllab_Dados!$S$2:$S$5000,0)),"")</f>
        <v/>
      </c>
      <c r="O128" s="137" t="str">
        <f>IFERROR(INDEX(EQA.Controllab_Dados!O$2:O$5000,MATCH(ROW()-4,EQA.Controllab_Dados!$S$2:$S$5000,0)),"")</f>
        <v/>
      </c>
      <c r="P128" s="137" t="str">
        <f>IFERROR(INDEX(EQA.Controllab_Dados!P$2:P$5000,MATCH(ROW()-4,EQA.Controllab_Dados!$S$2:$S$5000,0)),"")</f>
        <v/>
      </c>
      <c r="Q128" s="126" t="str">
        <f>IFERROR(INDEX(EQA.Controllab_Dados!Q$2:Q$5000,MATCH(ROW()-4,EQA.Controllab_Dados!$S$2:$S$5000,0)),"")</f>
        <v/>
      </c>
      <c r="R128" t="str">
        <f>IFERROR(INDEX(EQA.Controllab_Dados!R$2:R$5000,MATCH(ROW()-4,EQA.Controllab_Dados!$S$2:$S$5000,0)),"")</f>
        <v/>
      </c>
    </row>
    <row r="129" spans="1:18" x14ac:dyDescent="0.3">
      <c r="A129" t="str">
        <f>IFERROR(INDEX(EQA.Controllab_Dados!A$2:A$5000,MATCH(ROW()-4,EQA.Controllab_Dados!$S$2:$S$5000,0)),"")</f>
        <v/>
      </c>
      <c r="B129" t="str">
        <f>IFERROR(INDEX(EQA.Controllab_Dados!B$2:B$5000,MATCH(ROW()-4,EQA.Controllab_Dados!$S$2:$S$5000,0)),"")</f>
        <v/>
      </c>
      <c r="C129" s="126" t="str">
        <f>IFERROR(INDEX(EQA.Controllab_Dados!C$2:C$5000,MATCH(ROW()-4,EQA.Controllab_Dados!$S$2:$S$5000,0)),"")</f>
        <v/>
      </c>
      <c r="D129" t="str">
        <f>IFERROR(INDEX(EQA.Controllab_Dados!D$2:D$5000,MATCH(ROW()-4,EQA.Controllab_Dados!$S$2:$S$5000,0)),"")</f>
        <v/>
      </c>
      <c r="E129" t="str">
        <f>IFERROR(INDEX(EQA.Controllab_Dados!E$2:E$5000,MATCH(ROW()-4,EQA.Controllab_Dados!$S$2:$S$5000,0)),"")</f>
        <v/>
      </c>
      <c r="F129" s="137" t="str">
        <f>IFERROR(INDEX(EQA.Controllab_Dados!F$2:F$5000,MATCH(ROW()-4,EQA.Controllab_Dados!$S$2:$S$5000,0)),"")</f>
        <v/>
      </c>
      <c r="G129" s="138" t="str">
        <f>IFERROR(INDEX(EQA.Controllab_Dados!G$2:G$5000,MATCH(ROW()-4,EQA.Controllab_Dados!$S$2:$S$5000,0)),"")</f>
        <v/>
      </c>
      <c r="H129" s="138" t="str">
        <f>IFERROR(INDEX(EQA.Controllab_Dados!H$2:H$5000,MATCH(ROW()-4,EQA.Controllab_Dados!$S$2:$S$5000,0)),"")</f>
        <v/>
      </c>
      <c r="I129" s="139" t="str">
        <f>IFERROR(INDEX(EQA.Controllab_Dados!I$2:I$5000,MATCH(ROW()-4,EQA.Controllab_Dados!$S$2:$S$5000,0)),"")</f>
        <v/>
      </c>
      <c r="J129" s="137" t="str">
        <f>IFERROR(INDEX(EQA.Controllab_Dados!J$2:J$5000,MATCH(ROW()-4,EQA.Controllab_Dados!$S$2:$S$5000,0)),"")</f>
        <v/>
      </c>
      <c r="K129" s="137" t="str">
        <f>IFERROR(INDEX(EQA.Controllab_Dados!K$2:K$5000,MATCH(ROW()-4,EQA.Controllab_Dados!$S$2:$S$5000,0)),"")</f>
        <v/>
      </c>
      <c r="L129" t="str">
        <f>IFERROR(INDEX(EQA.Controllab_Dados!L$2:L$5000,MATCH(ROW()-4,EQA.Controllab_Dados!$S$2:$S$5000,0)),"")</f>
        <v/>
      </c>
      <c r="M129" s="126" t="str">
        <f>IFERROR(INDEX(EQA.Controllab_Dados!M$2:M$5000,MATCH(ROW()-4,EQA.Controllab_Dados!$S$2:$S$5000,0)),"")</f>
        <v/>
      </c>
      <c r="N129" t="str">
        <f>IFERROR(INDEX(EQA.Controllab_Dados!N$2:N$5000,MATCH(ROW()-4,EQA.Controllab_Dados!$S$2:$S$5000,0)),"")</f>
        <v/>
      </c>
      <c r="O129" s="137" t="str">
        <f>IFERROR(INDEX(EQA.Controllab_Dados!O$2:O$5000,MATCH(ROW()-4,EQA.Controllab_Dados!$S$2:$S$5000,0)),"")</f>
        <v/>
      </c>
      <c r="P129" s="137" t="str">
        <f>IFERROR(INDEX(EQA.Controllab_Dados!P$2:P$5000,MATCH(ROW()-4,EQA.Controllab_Dados!$S$2:$S$5000,0)),"")</f>
        <v/>
      </c>
      <c r="Q129" s="126" t="str">
        <f>IFERROR(INDEX(EQA.Controllab_Dados!Q$2:Q$5000,MATCH(ROW()-4,EQA.Controllab_Dados!$S$2:$S$5000,0)),"")</f>
        <v/>
      </c>
      <c r="R129" t="str">
        <f>IFERROR(INDEX(EQA.Controllab_Dados!R$2:R$5000,MATCH(ROW()-4,EQA.Controllab_Dados!$S$2:$S$5000,0)),"")</f>
        <v/>
      </c>
    </row>
    <row r="130" spans="1:18" x14ac:dyDescent="0.3">
      <c r="A130" t="str">
        <f>IFERROR(INDEX(EQA.Controllab_Dados!A$2:A$5000,MATCH(ROW()-4,EQA.Controllab_Dados!$S$2:$S$5000,0)),"")</f>
        <v/>
      </c>
      <c r="B130" t="str">
        <f>IFERROR(INDEX(EQA.Controllab_Dados!B$2:B$5000,MATCH(ROW()-4,EQA.Controllab_Dados!$S$2:$S$5000,0)),"")</f>
        <v/>
      </c>
      <c r="C130" s="126" t="str">
        <f>IFERROR(INDEX(EQA.Controllab_Dados!C$2:C$5000,MATCH(ROW()-4,EQA.Controllab_Dados!$S$2:$S$5000,0)),"")</f>
        <v/>
      </c>
      <c r="D130" t="str">
        <f>IFERROR(INDEX(EQA.Controllab_Dados!D$2:D$5000,MATCH(ROW()-4,EQA.Controllab_Dados!$S$2:$S$5000,0)),"")</f>
        <v/>
      </c>
      <c r="E130" t="str">
        <f>IFERROR(INDEX(EQA.Controllab_Dados!E$2:E$5000,MATCH(ROW()-4,EQA.Controllab_Dados!$S$2:$S$5000,0)),"")</f>
        <v/>
      </c>
      <c r="F130" s="137" t="str">
        <f>IFERROR(INDEX(EQA.Controllab_Dados!F$2:F$5000,MATCH(ROW()-4,EQA.Controllab_Dados!$S$2:$S$5000,0)),"")</f>
        <v/>
      </c>
      <c r="G130" s="138" t="str">
        <f>IFERROR(INDEX(EQA.Controllab_Dados!G$2:G$5000,MATCH(ROW()-4,EQA.Controllab_Dados!$S$2:$S$5000,0)),"")</f>
        <v/>
      </c>
      <c r="H130" s="138" t="str">
        <f>IFERROR(INDEX(EQA.Controllab_Dados!H$2:H$5000,MATCH(ROW()-4,EQA.Controllab_Dados!$S$2:$S$5000,0)),"")</f>
        <v/>
      </c>
      <c r="I130" s="139" t="str">
        <f>IFERROR(INDEX(EQA.Controllab_Dados!I$2:I$5000,MATCH(ROW()-4,EQA.Controllab_Dados!$S$2:$S$5000,0)),"")</f>
        <v/>
      </c>
      <c r="J130" s="137" t="str">
        <f>IFERROR(INDEX(EQA.Controllab_Dados!J$2:J$5000,MATCH(ROW()-4,EQA.Controllab_Dados!$S$2:$S$5000,0)),"")</f>
        <v/>
      </c>
      <c r="K130" s="137" t="str">
        <f>IFERROR(INDEX(EQA.Controllab_Dados!K$2:K$5000,MATCH(ROW()-4,EQA.Controllab_Dados!$S$2:$S$5000,0)),"")</f>
        <v/>
      </c>
      <c r="L130" t="str">
        <f>IFERROR(INDEX(EQA.Controllab_Dados!L$2:L$5000,MATCH(ROW()-4,EQA.Controllab_Dados!$S$2:$S$5000,0)),"")</f>
        <v/>
      </c>
      <c r="M130" s="126" t="str">
        <f>IFERROR(INDEX(EQA.Controllab_Dados!M$2:M$5000,MATCH(ROW()-4,EQA.Controllab_Dados!$S$2:$S$5000,0)),"")</f>
        <v/>
      </c>
      <c r="N130" t="str">
        <f>IFERROR(INDEX(EQA.Controllab_Dados!N$2:N$5000,MATCH(ROW()-4,EQA.Controllab_Dados!$S$2:$S$5000,0)),"")</f>
        <v/>
      </c>
      <c r="O130" s="137" t="str">
        <f>IFERROR(INDEX(EQA.Controllab_Dados!O$2:O$5000,MATCH(ROW()-4,EQA.Controllab_Dados!$S$2:$S$5000,0)),"")</f>
        <v/>
      </c>
      <c r="P130" s="137" t="str">
        <f>IFERROR(INDEX(EQA.Controllab_Dados!P$2:P$5000,MATCH(ROW()-4,EQA.Controllab_Dados!$S$2:$S$5000,0)),"")</f>
        <v/>
      </c>
      <c r="Q130" s="126" t="str">
        <f>IFERROR(INDEX(EQA.Controllab_Dados!Q$2:Q$5000,MATCH(ROW()-4,EQA.Controllab_Dados!$S$2:$S$5000,0)),"")</f>
        <v/>
      </c>
      <c r="R130" t="str">
        <f>IFERROR(INDEX(EQA.Controllab_Dados!R$2:R$5000,MATCH(ROW()-4,EQA.Controllab_Dados!$S$2:$S$5000,0)),"")</f>
        <v/>
      </c>
    </row>
    <row r="131" spans="1:18" x14ac:dyDescent="0.3">
      <c r="A131" t="str">
        <f>IFERROR(INDEX(EQA.Controllab_Dados!A$2:A$5000,MATCH(ROW()-4,EQA.Controllab_Dados!$S$2:$S$5000,0)),"")</f>
        <v/>
      </c>
      <c r="B131" t="str">
        <f>IFERROR(INDEX(EQA.Controllab_Dados!B$2:B$5000,MATCH(ROW()-4,EQA.Controllab_Dados!$S$2:$S$5000,0)),"")</f>
        <v/>
      </c>
      <c r="C131" s="126" t="str">
        <f>IFERROR(INDEX(EQA.Controllab_Dados!C$2:C$5000,MATCH(ROW()-4,EQA.Controllab_Dados!$S$2:$S$5000,0)),"")</f>
        <v/>
      </c>
      <c r="D131" t="str">
        <f>IFERROR(INDEX(EQA.Controllab_Dados!D$2:D$5000,MATCH(ROW()-4,EQA.Controllab_Dados!$S$2:$S$5000,0)),"")</f>
        <v/>
      </c>
      <c r="E131" t="str">
        <f>IFERROR(INDEX(EQA.Controllab_Dados!E$2:E$5000,MATCH(ROW()-4,EQA.Controllab_Dados!$S$2:$S$5000,0)),"")</f>
        <v/>
      </c>
      <c r="F131" s="137" t="str">
        <f>IFERROR(INDEX(EQA.Controllab_Dados!F$2:F$5000,MATCH(ROW()-4,EQA.Controllab_Dados!$S$2:$S$5000,0)),"")</f>
        <v/>
      </c>
      <c r="G131" s="138" t="str">
        <f>IFERROR(INDEX(EQA.Controllab_Dados!G$2:G$5000,MATCH(ROW()-4,EQA.Controllab_Dados!$S$2:$S$5000,0)),"")</f>
        <v/>
      </c>
      <c r="H131" s="138" t="str">
        <f>IFERROR(INDEX(EQA.Controllab_Dados!H$2:H$5000,MATCH(ROW()-4,EQA.Controllab_Dados!$S$2:$S$5000,0)),"")</f>
        <v/>
      </c>
      <c r="I131" s="139" t="str">
        <f>IFERROR(INDEX(EQA.Controllab_Dados!I$2:I$5000,MATCH(ROW()-4,EQA.Controllab_Dados!$S$2:$S$5000,0)),"")</f>
        <v/>
      </c>
      <c r="J131" s="137" t="str">
        <f>IFERROR(INDEX(EQA.Controllab_Dados!J$2:J$5000,MATCH(ROW()-4,EQA.Controllab_Dados!$S$2:$S$5000,0)),"")</f>
        <v/>
      </c>
      <c r="K131" s="137" t="str">
        <f>IFERROR(INDEX(EQA.Controllab_Dados!K$2:K$5000,MATCH(ROW()-4,EQA.Controllab_Dados!$S$2:$S$5000,0)),"")</f>
        <v/>
      </c>
      <c r="L131" t="str">
        <f>IFERROR(INDEX(EQA.Controllab_Dados!L$2:L$5000,MATCH(ROW()-4,EQA.Controllab_Dados!$S$2:$S$5000,0)),"")</f>
        <v/>
      </c>
      <c r="M131" s="126" t="str">
        <f>IFERROR(INDEX(EQA.Controllab_Dados!M$2:M$5000,MATCH(ROW()-4,EQA.Controllab_Dados!$S$2:$S$5000,0)),"")</f>
        <v/>
      </c>
      <c r="N131" t="str">
        <f>IFERROR(INDEX(EQA.Controllab_Dados!N$2:N$5000,MATCH(ROW()-4,EQA.Controllab_Dados!$S$2:$S$5000,0)),"")</f>
        <v/>
      </c>
      <c r="O131" s="137" t="str">
        <f>IFERROR(INDEX(EQA.Controllab_Dados!O$2:O$5000,MATCH(ROW()-4,EQA.Controllab_Dados!$S$2:$S$5000,0)),"")</f>
        <v/>
      </c>
      <c r="P131" s="137" t="str">
        <f>IFERROR(INDEX(EQA.Controllab_Dados!P$2:P$5000,MATCH(ROW()-4,EQA.Controllab_Dados!$S$2:$S$5000,0)),"")</f>
        <v/>
      </c>
      <c r="Q131" s="126" t="str">
        <f>IFERROR(INDEX(EQA.Controllab_Dados!Q$2:Q$5000,MATCH(ROW()-4,EQA.Controllab_Dados!$S$2:$S$5000,0)),"")</f>
        <v/>
      </c>
      <c r="R131" t="str">
        <f>IFERROR(INDEX(EQA.Controllab_Dados!R$2:R$5000,MATCH(ROW()-4,EQA.Controllab_Dados!$S$2:$S$5000,0)),"")</f>
        <v/>
      </c>
    </row>
    <row r="132" spans="1:18" x14ac:dyDescent="0.3">
      <c r="A132" t="str">
        <f>IFERROR(INDEX(EQA.Controllab_Dados!A$2:A$5000,MATCH(ROW()-4,EQA.Controllab_Dados!$S$2:$S$5000,0)),"")</f>
        <v/>
      </c>
      <c r="B132" t="str">
        <f>IFERROR(INDEX(EQA.Controllab_Dados!B$2:B$5000,MATCH(ROW()-4,EQA.Controllab_Dados!$S$2:$S$5000,0)),"")</f>
        <v/>
      </c>
      <c r="C132" s="126" t="str">
        <f>IFERROR(INDEX(EQA.Controllab_Dados!C$2:C$5000,MATCH(ROW()-4,EQA.Controllab_Dados!$S$2:$S$5000,0)),"")</f>
        <v/>
      </c>
      <c r="D132" t="str">
        <f>IFERROR(INDEX(EQA.Controllab_Dados!D$2:D$5000,MATCH(ROW()-4,EQA.Controllab_Dados!$S$2:$S$5000,0)),"")</f>
        <v/>
      </c>
      <c r="E132" t="str">
        <f>IFERROR(INDEX(EQA.Controllab_Dados!E$2:E$5000,MATCH(ROW()-4,EQA.Controllab_Dados!$S$2:$S$5000,0)),"")</f>
        <v/>
      </c>
      <c r="F132" s="137" t="str">
        <f>IFERROR(INDEX(EQA.Controllab_Dados!F$2:F$5000,MATCH(ROW()-4,EQA.Controllab_Dados!$S$2:$S$5000,0)),"")</f>
        <v/>
      </c>
      <c r="G132" s="138" t="str">
        <f>IFERROR(INDEX(EQA.Controllab_Dados!G$2:G$5000,MATCH(ROW()-4,EQA.Controllab_Dados!$S$2:$S$5000,0)),"")</f>
        <v/>
      </c>
      <c r="H132" s="138" t="str">
        <f>IFERROR(INDEX(EQA.Controllab_Dados!H$2:H$5000,MATCH(ROW()-4,EQA.Controllab_Dados!$S$2:$S$5000,0)),"")</f>
        <v/>
      </c>
      <c r="I132" s="139" t="str">
        <f>IFERROR(INDEX(EQA.Controllab_Dados!I$2:I$5000,MATCH(ROW()-4,EQA.Controllab_Dados!$S$2:$S$5000,0)),"")</f>
        <v/>
      </c>
      <c r="J132" s="137" t="str">
        <f>IFERROR(INDEX(EQA.Controllab_Dados!J$2:J$5000,MATCH(ROW()-4,EQA.Controllab_Dados!$S$2:$S$5000,0)),"")</f>
        <v/>
      </c>
      <c r="K132" s="137" t="str">
        <f>IFERROR(INDEX(EQA.Controllab_Dados!K$2:K$5000,MATCH(ROW()-4,EQA.Controllab_Dados!$S$2:$S$5000,0)),"")</f>
        <v/>
      </c>
      <c r="L132" t="str">
        <f>IFERROR(INDEX(EQA.Controllab_Dados!L$2:L$5000,MATCH(ROW()-4,EQA.Controllab_Dados!$S$2:$S$5000,0)),"")</f>
        <v/>
      </c>
      <c r="M132" s="126" t="str">
        <f>IFERROR(INDEX(EQA.Controllab_Dados!M$2:M$5000,MATCH(ROW()-4,EQA.Controllab_Dados!$S$2:$S$5000,0)),"")</f>
        <v/>
      </c>
      <c r="N132" t="str">
        <f>IFERROR(INDEX(EQA.Controllab_Dados!N$2:N$5000,MATCH(ROW()-4,EQA.Controllab_Dados!$S$2:$S$5000,0)),"")</f>
        <v/>
      </c>
      <c r="O132" s="137" t="str">
        <f>IFERROR(INDEX(EQA.Controllab_Dados!O$2:O$5000,MATCH(ROW()-4,EQA.Controllab_Dados!$S$2:$S$5000,0)),"")</f>
        <v/>
      </c>
      <c r="P132" s="137" t="str">
        <f>IFERROR(INDEX(EQA.Controllab_Dados!P$2:P$5000,MATCH(ROW()-4,EQA.Controllab_Dados!$S$2:$S$5000,0)),"")</f>
        <v/>
      </c>
      <c r="Q132" s="126" t="str">
        <f>IFERROR(INDEX(EQA.Controllab_Dados!Q$2:Q$5000,MATCH(ROW()-4,EQA.Controllab_Dados!$S$2:$S$5000,0)),"")</f>
        <v/>
      </c>
      <c r="R132" t="str">
        <f>IFERROR(INDEX(EQA.Controllab_Dados!R$2:R$5000,MATCH(ROW()-4,EQA.Controllab_Dados!$S$2:$S$5000,0)),"")</f>
        <v/>
      </c>
    </row>
    <row r="133" spans="1:18" x14ac:dyDescent="0.3">
      <c r="A133" t="str">
        <f>IFERROR(INDEX(EQA.Controllab_Dados!A$2:A$5000,MATCH(ROW()-4,EQA.Controllab_Dados!$S$2:$S$5000,0)),"")</f>
        <v/>
      </c>
      <c r="B133" t="str">
        <f>IFERROR(INDEX(EQA.Controllab_Dados!B$2:B$5000,MATCH(ROW()-4,EQA.Controllab_Dados!$S$2:$S$5000,0)),"")</f>
        <v/>
      </c>
      <c r="C133" s="126" t="str">
        <f>IFERROR(INDEX(EQA.Controllab_Dados!C$2:C$5000,MATCH(ROW()-4,EQA.Controllab_Dados!$S$2:$S$5000,0)),"")</f>
        <v/>
      </c>
      <c r="D133" t="str">
        <f>IFERROR(INDEX(EQA.Controllab_Dados!D$2:D$5000,MATCH(ROW()-4,EQA.Controllab_Dados!$S$2:$S$5000,0)),"")</f>
        <v/>
      </c>
      <c r="E133" t="str">
        <f>IFERROR(INDEX(EQA.Controllab_Dados!E$2:E$5000,MATCH(ROW()-4,EQA.Controllab_Dados!$S$2:$S$5000,0)),"")</f>
        <v/>
      </c>
      <c r="F133" s="137" t="str">
        <f>IFERROR(INDEX(EQA.Controllab_Dados!F$2:F$5000,MATCH(ROW()-4,EQA.Controllab_Dados!$S$2:$S$5000,0)),"")</f>
        <v/>
      </c>
      <c r="G133" s="138" t="str">
        <f>IFERROR(INDEX(EQA.Controllab_Dados!G$2:G$5000,MATCH(ROW()-4,EQA.Controllab_Dados!$S$2:$S$5000,0)),"")</f>
        <v/>
      </c>
      <c r="H133" s="138" t="str">
        <f>IFERROR(INDEX(EQA.Controllab_Dados!H$2:H$5000,MATCH(ROW()-4,EQA.Controllab_Dados!$S$2:$S$5000,0)),"")</f>
        <v/>
      </c>
      <c r="I133" s="139" t="str">
        <f>IFERROR(INDEX(EQA.Controllab_Dados!I$2:I$5000,MATCH(ROW()-4,EQA.Controllab_Dados!$S$2:$S$5000,0)),"")</f>
        <v/>
      </c>
      <c r="J133" s="137" t="str">
        <f>IFERROR(INDEX(EQA.Controllab_Dados!J$2:J$5000,MATCH(ROW()-4,EQA.Controllab_Dados!$S$2:$S$5000,0)),"")</f>
        <v/>
      </c>
      <c r="K133" s="137" t="str">
        <f>IFERROR(INDEX(EQA.Controllab_Dados!K$2:K$5000,MATCH(ROW()-4,EQA.Controllab_Dados!$S$2:$S$5000,0)),"")</f>
        <v/>
      </c>
      <c r="L133" t="str">
        <f>IFERROR(INDEX(EQA.Controllab_Dados!L$2:L$5000,MATCH(ROW()-4,EQA.Controllab_Dados!$S$2:$S$5000,0)),"")</f>
        <v/>
      </c>
      <c r="M133" s="126" t="str">
        <f>IFERROR(INDEX(EQA.Controllab_Dados!M$2:M$5000,MATCH(ROW()-4,EQA.Controllab_Dados!$S$2:$S$5000,0)),"")</f>
        <v/>
      </c>
      <c r="N133" t="str">
        <f>IFERROR(INDEX(EQA.Controllab_Dados!N$2:N$5000,MATCH(ROW()-4,EQA.Controllab_Dados!$S$2:$S$5000,0)),"")</f>
        <v/>
      </c>
      <c r="O133" s="137" t="str">
        <f>IFERROR(INDEX(EQA.Controllab_Dados!O$2:O$5000,MATCH(ROW()-4,EQA.Controllab_Dados!$S$2:$S$5000,0)),"")</f>
        <v/>
      </c>
      <c r="P133" s="137" t="str">
        <f>IFERROR(INDEX(EQA.Controllab_Dados!P$2:P$5000,MATCH(ROW()-4,EQA.Controllab_Dados!$S$2:$S$5000,0)),"")</f>
        <v/>
      </c>
      <c r="Q133" s="126" t="str">
        <f>IFERROR(INDEX(EQA.Controllab_Dados!Q$2:Q$5000,MATCH(ROW()-4,EQA.Controllab_Dados!$S$2:$S$5000,0)),"")</f>
        <v/>
      </c>
      <c r="R133" t="str">
        <f>IFERROR(INDEX(EQA.Controllab_Dados!R$2:R$5000,MATCH(ROW()-4,EQA.Controllab_Dados!$S$2:$S$5000,0)),"")</f>
        <v/>
      </c>
    </row>
    <row r="134" spans="1:18" x14ac:dyDescent="0.3">
      <c r="A134" t="str">
        <f>IFERROR(INDEX(EQA.Controllab_Dados!A$2:A$5000,MATCH(ROW()-4,EQA.Controllab_Dados!$S$2:$S$5000,0)),"")</f>
        <v/>
      </c>
      <c r="B134" t="str">
        <f>IFERROR(INDEX(EQA.Controllab_Dados!B$2:B$5000,MATCH(ROW()-4,EQA.Controllab_Dados!$S$2:$S$5000,0)),"")</f>
        <v/>
      </c>
      <c r="C134" s="126" t="str">
        <f>IFERROR(INDEX(EQA.Controllab_Dados!C$2:C$5000,MATCH(ROW()-4,EQA.Controllab_Dados!$S$2:$S$5000,0)),"")</f>
        <v/>
      </c>
      <c r="D134" t="str">
        <f>IFERROR(INDEX(EQA.Controllab_Dados!D$2:D$5000,MATCH(ROW()-4,EQA.Controllab_Dados!$S$2:$S$5000,0)),"")</f>
        <v/>
      </c>
      <c r="E134" t="str">
        <f>IFERROR(INDEX(EQA.Controllab_Dados!E$2:E$5000,MATCH(ROW()-4,EQA.Controllab_Dados!$S$2:$S$5000,0)),"")</f>
        <v/>
      </c>
      <c r="F134" s="137" t="str">
        <f>IFERROR(INDEX(EQA.Controllab_Dados!F$2:F$5000,MATCH(ROW()-4,EQA.Controllab_Dados!$S$2:$S$5000,0)),"")</f>
        <v/>
      </c>
      <c r="G134" s="138" t="str">
        <f>IFERROR(INDEX(EQA.Controllab_Dados!G$2:G$5000,MATCH(ROW()-4,EQA.Controllab_Dados!$S$2:$S$5000,0)),"")</f>
        <v/>
      </c>
      <c r="H134" s="138" t="str">
        <f>IFERROR(INDEX(EQA.Controllab_Dados!H$2:H$5000,MATCH(ROW()-4,EQA.Controllab_Dados!$S$2:$S$5000,0)),"")</f>
        <v/>
      </c>
      <c r="I134" s="139" t="str">
        <f>IFERROR(INDEX(EQA.Controllab_Dados!I$2:I$5000,MATCH(ROW()-4,EQA.Controllab_Dados!$S$2:$S$5000,0)),"")</f>
        <v/>
      </c>
      <c r="J134" s="137" t="str">
        <f>IFERROR(INDEX(EQA.Controllab_Dados!J$2:J$5000,MATCH(ROW()-4,EQA.Controllab_Dados!$S$2:$S$5000,0)),"")</f>
        <v/>
      </c>
      <c r="K134" s="137" t="str">
        <f>IFERROR(INDEX(EQA.Controllab_Dados!K$2:K$5000,MATCH(ROW()-4,EQA.Controllab_Dados!$S$2:$S$5000,0)),"")</f>
        <v/>
      </c>
      <c r="L134" t="str">
        <f>IFERROR(INDEX(EQA.Controllab_Dados!L$2:L$5000,MATCH(ROW()-4,EQA.Controllab_Dados!$S$2:$S$5000,0)),"")</f>
        <v/>
      </c>
      <c r="M134" s="126" t="str">
        <f>IFERROR(INDEX(EQA.Controllab_Dados!M$2:M$5000,MATCH(ROW()-4,EQA.Controllab_Dados!$S$2:$S$5000,0)),"")</f>
        <v/>
      </c>
      <c r="N134" t="str">
        <f>IFERROR(INDEX(EQA.Controllab_Dados!N$2:N$5000,MATCH(ROW()-4,EQA.Controllab_Dados!$S$2:$S$5000,0)),"")</f>
        <v/>
      </c>
      <c r="O134" s="137" t="str">
        <f>IFERROR(INDEX(EQA.Controllab_Dados!O$2:O$5000,MATCH(ROW()-4,EQA.Controllab_Dados!$S$2:$S$5000,0)),"")</f>
        <v/>
      </c>
      <c r="P134" s="137" t="str">
        <f>IFERROR(INDEX(EQA.Controllab_Dados!P$2:P$5000,MATCH(ROW()-4,EQA.Controllab_Dados!$S$2:$S$5000,0)),"")</f>
        <v/>
      </c>
      <c r="Q134" s="126" t="str">
        <f>IFERROR(INDEX(EQA.Controllab_Dados!Q$2:Q$5000,MATCH(ROW()-4,EQA.Controllab_Dados!$S$2:$S$5000,0)),"")</f>
        <v/>
      </c>
      <c r="R134" t="str">
        <f>IFERROR(INDEX(EQA.Controllab_Dados!R$2:R$5000,MATCH(ROW()-4,EQA.Controllab_Dados!$S$2:$S$5000,0)),"")</f>
        <v/>
      </c>
    </row>
    <row r="135" spans="1:18" x14ac:dyDescent="0.3">
      <c r="A135" t="str">
        <f>IFERROR(INDEX(EQA.Controllab_Dados!A$2:A$5000,MATCH(ROW()-4,EQA.Controllab_Dados!$S$2:$S$5000,0)),"")</f>
        <v/>
      </c>
      <c r="B135" t="str">
        <f>IFERROR(INDEX(EQA.Controllab_Dados!B$2:B$5000,MATCH(ROW()-4,EQA.Controllab_Dados!$S$2:$S$5000,0)),"")</f>
        <v/>
      </c>
      <c r="C135" s="126" t="str">
        <f>IFERROR(INDEX(EQA.Controllab_Dados!C$2:C$5000,MATCH(ROW()-4,EQA.Controllab_Dados!$S$2:$S$5000,0)),"")</f>
        <v/>
      </c>
      <c r="D135" t="str">
        <f>IFERROR(INDEX(EQA.Controllab_Dados!D$2:D$5000,MATCH(ROW()-4,EQA.Controllab_Dados!$S$2:$S$5000,0)),"")</f>
        <v/>
      </c>
      <c r="E135" t="str">
        <f>IFERROR(INDEX(EQA.Controllab_Dados!E$2:E$5000,MATCH(ROW()-4,EQA.Controllab_Dados!$S$2:$S$5000,0)),"")</f>
        <v/>
      </c>
      <c r="F135" s="137" t="str">
        <f>IFERROR(INDEX(EQA.Controllab_Dados!F$2:F$5000,MATCH(ROW()-4,EQA.Controllab_Dados!$S$2:$S$5000,0)),"")</f>
        <v/>
      </c>
      <c r="G135" s="138" t="str">
        <f>IFERROR(INDEX(EQA.Controllab_Dados!G$2:G$5000,MATCH(ROW()-4,EQA.Controllab_Dados!$S$2:$S$5000,0)),"")</f>
        <v/>
      </c>
      <c r="H135" s="138" t="str">
        <f>IFERROR(INDEX(EQA.Controllab_Dados!H$2:H$5000,MATCH(ROW()-4,EQA.Controllab_Dados!$S$2:$S$5000,0)),"")</f>
        <v/>
      </c>
      <c r="I135" s="139" t="str">
        <f>IFERROR(INDEX(EQA.Controllab_Dados!I$2:I$5000,MATCH(ROW()-4,EQA.Controllab_Dados!$S$2:$S$5000,0)),"")</f>
        <v/>
      </c>
      <c r="J135" s="137" t="str">
        <f>IFERROR(INDEX(EQA.Controllab_Dados!J$2:J$5000,MATCH(ROW()-4,EQA.Controllab_Dados!$S$2:$S$5000,0)),"")</f>
        <v/>
      </c>
      <c r="K135" s="137" t="str">
        <f>IFERROR(INDEX(EQA.Controllab_Dados!K$2:K$5000,MATCH(ROW()-4,EQA.Controllab_Dados!$S$2:$S$5000,0)),"")</f>
        <v/>
      </c>
      <c r="L135" t="str">
        <f>IFERROR(INDEX(EQA.Controllab_Dados!L$2:L$5000,MATCH(ROW()-4,EQA.Controllab_Dados!$S$2:$S$5000,0)),"")</f>
        <v/>
      </c>
      <c r="M135" s="126" t="str">
        <f>IFERROR(INDEX(EQA.Controllab_Dados!M$2:M$5000,MATCH(ROW()-4,EQA.Controllab_Dados!$S$2:$S$5000,0)),"")</f>
        <v/>
      </c>
      <c r="N135" t="str">
        <f>IFERROR(INDEX(EQA.Controllab_Dados!N$2:N$5000,MATCH(ROW()-4,EQA.Controllab_Dados!$S$2:$S$5000,0)),"")</f>
        <v/>
      </c>
      <c r="O135" s="137" t="str">
        <f>IFERROR(INDEX(EQA.Controllab_Dados!O$2:O$5000,MATCH(ROW()-4,EQA.Controllab_Dados!$S$2:$S$5000,0)),"")</f>
        <v/>
      </c>
      <c r="P135" s="137" t="str">
        <f>IFERROR(INDEX(EQA.Controllab_Dados!P$2:P$5000,MATCH(ROW()-4,EQA.Controllab_Dados!$S$2:$S$5000,0)),"")</f>
        <v/>
      </c>
      <c r="Q135" s="126" t="str">
        <f>IFERROR(INDEX(EQA.Controllab_Dados!Q$2:Q$5000,MATCH(ROW()-4,EQA.Controllab_Dados!$S$2:$S$5000,0)),"")</f>
        <v/>
      </c>
      <c r="R135" t="str">
        <f>IFERROR(INDEX(EQA.Controllab_Dados!R$2:R$5000,MATCH(ROW()-4,EQA.Controllab_Dados!$S$2:$S$5000,0)),"")</f>
        <v/>
      </c>
    </row>
    <row r="136" spans="1:18" x14ac:dyDescent="0.3">
      <c r="A136" t="str">
        <f>IFERROR(INDEX(EQA.Controllab_Dados!A$2:A$5000,MATCH(ROW()-4,EQA.Controllab_Dados!$S$2:$S$5000,0)),"")</f>
        <v/>
      </c>
      <c r="B136" t="str">
        <f>IFERROR(INDEX(EQA.Controllab_Dados!B$2:B$5000,MATCH(ROW()-4,EQA.Controllab_Dados!$S$2:$S$5000,0)),"")</f>
        <v/>
      </c>
      <c r="C136" s="126" t="str">
        <f>IFERROR(INDEX(EQA.Controllab_Dados!C$2:C$5000,MATCH(ROW()-4,EQA.Controllab_Dados!$S$2:$S$5000,0)),"")</f>
        <v/>
      </c>
      <c r="D136" t="str">
        <f>IFERROR(INDEX(EQA.Controllab_Dados!D$2:D$5000,MATCH(ROW()-4,EQA.Controllab_Dados!$S$2:$S$5000,0)),"")</f>
        <v/>
      </c>
      <c r="E136" t="str">
        <f>IFERROR(INDEX(EQA.Controllab_Dados!E$2:E$5000,MATCH(ROW()-4,EQA.Controllab_Dados!$S$2:$S$5000,0)),"")</f>
        <v/>
      </c>
      <c r="F136" s="137" t="str">
        <f>IFERROR(INDEX(EQA.Controllab_Dados!F$2:F$5000,MATCH(ROW()-4,EQA.Controllab_Dados!$S$2:$S$5000,0)),"")</f>
        <v/>
      </c>
      <c r="G136" s="138" t="str">
        <f>IFERROR(INDEX(EQA.Controllab_Dados!G$2:G$5000,MATCH(ROW()-4,EQA.Controllab_Dados!$S$2:$S$5000,0)),"")</f>
        <v/>
      </c>
      <c r="H136" s="138" t="str">
        <f>IFERROR(INDEX(EQA.Controllab_Dados!H$2:H$5000,MATCH(ROW()-4,EQA.Controllab_Dados!$S$2:$S$5000,0)),"")</f>
        <v/>
      </c>
      <c r="I136" s="139" t="str">
        <f>IFERROR(INDEX(EQA.Controllab_Dados!I$2:I$5000,MATCH(ROW()-4,EQA.Controllab_Dados!$S$2:$S$5000,0)),"")</f>
        <v/>
      </c>
      <c r="J136" s="137" t="str">
        <f>IFERROR(INDEX(EQA.Controllab_Dados!J$2:J$5000,MATCH(ROW()-4,EQA.Controllab_Dados!$S$2:$S$5000,0)),"")</f>
        <v/>
      </c>
      <c r="K136" s="137" t="str">
        <f>IFERROR(INDEX(EQA.Controllab_Dados!K$2:K$5000,MATCH(ROW()-4,EQA.Controllab_Dados!$S$2:$S$5000,0)),"")</f>
        <v/>
      </c>
      <c r="L136" t="str">
        <f>IFERROR(INDEX(EQA.Controllab_Dados!L$2:L$5000,MATCH(ROW()-4,EQA.Controllab_Dados!$S$2:$S$5000,0)),"")</f>
        <v/>
      </c>
      <c r="M136" s="126" t="str">
        <f>IFERROR(INDEX(EQA.Controllab_Dados!M$2:M$5000,MATCH(ROW()-4,EQA.Controllab_Dados!$S$2:$S$5000,0)),"")</f>
        <v/>
      </c>
      <c r="N136" t="str">
        <f>IFERROR(INDEX(EQA.Controllab_Dados!N$2:N$5000,MATCH(ROW()-4,EQA.Controllab_Dados!$S$2:$S$5000,0)),"")</f>
        <v/>
      </c>
      <c r="O136" s="137" t="str">
        <f>IFERROR(INDEX(EQA.Controllab_Dados!O$2:O$5000,MATCH(ROW()-4,EQA.Controllab_Dados!$S$2:$S$5000,0)),"")</f>
        <v/>
      </c>
      <c r="P136" s="137" t="str">
        <f>IFERROR(INDEX(EQA.Controllab_Dados!P$2:P$5000,MATCH(ROW()-4,EQA.Controllab_Dados!$S$2:$S$5000,0)),"")</f>
        <v/>
      </c>
      <c r="Q136" s="126" t="str">
        <f>IFERROR(INDEX(EQA.Controllab_Dados!Q$2:Q$5000,MATCH(ROW()-4,EQA.Controllab_Dados!$S$2:$S$5000,0)),"")</f>
        <v/>
      </c>
      <c r="R136" t="str">
        <f>IFERROR(INDEX(EQA.Controllab_Dados!R$2:R$5000,MATCH(ROW()-4,EQA.Controllab_Dados!$S$2:$S$5000,0)),"")</f>
        <v/>
      </c>
    </row>
    <row r="137" spans="1:18" x14ac:dyDescent="0.3">
      <c r="A137" t="str">
        <f>IFERROR(INDEX(EQA.Controllab_Dados!A$2:A$5000,MATCH(ROW()-4,EQA.Controllab_Dados!$S$2:$S$5000,0)),"")</f>
        <v/>
      </c>
      <c r="B137" t="str">
        <f>IFERROR(INDEX(EQA.Controllab_Dados!B$2:B$5000,MATCH(ROW()-4,EQA.Controllab_Dados!$S$2:$S$5000,0)),"")</f>
        <v/>
      </c>
      <c r="C137" s="126" t="str">
        <f>IFERROR(INDEX(EQA.Controllab_Dados!C$2:C$5000,MATCH(ROW()-4,EQA.Controllab_Dados!$S$2:$S$5000,0)),"")</f>
        <v/>
      </c>
      <c r="D137" t="str">
        <f>IFERROR(INDEX(EQA.Controllab_Dados!D$2:D$5000,MATCH(ROW()-4,EQA.Controllab_Dados!$S$2:$S$5000,0)),"")</f>
        <v/>
      </c>
      <c r="E137" t="str">
        <f>IFERROR(INDEX(EQA.Controllab_Dados!E$2:E$5000,MATCH(ROW()-4,EQA.Controllab_Dados!$S$2:$S$5000,0)),"")</f>
        <v/>
      </c>
      <c r="F137" s="137" t="str">
        <f>IFERROR(INDEX(EQA.Controllab_Dados!F$2:F$5000,MATCH(ROW()-4,EQA.Controllab_Dados!$S$2:$S$5000,0)),"")</f>
        <v/>
      </c>
      <c r="G137" s="138" t="str">
        <f>IFERROR(INDEX(EQA.Controllab_Dados!G$2:G$5000,MATCH(ROW()-4,EQA.Controllab_Dados!$S$2:$S$5000,0)),"")</f>
        <v/>
      </c>
      <c r="H137" s="138" t="str">
        <f>IFERROR(INDEX(EQA.Controllab_Dados!H$2:H$5000,MATCH(ROW()-4,EQA.Controllab_Dados!$S$2:$S$5000,0)),"")</f>
        <v/>
      </c>
      <c r="I137" s="139" t="str">
        <f>IFERROR(INDEX(EQA.Controllab_Dados!I$2:I$5000,MATCH(ROW()-4,EQA.Controllab_Dados!$S$2:$S$5000,0)),"")</f>
        <v/>
      </c>
      <c r="J137" s="137" t="str">
        <f>IFERROR(INDEX(EQA.Controllab_Dados!J$2:J$5000,MATCH(ROW()-4,EQA.Controllab_Dados!$S$2:$S$5000,0)),"")</f>
        <v/>
      </c>
      <c r="K137" s="137" t="str">
        <f>IFERROR(INDEX(EQA.Controllab_Dados!K$2:K$5000,MATCH(ROW()-4,EQA.Controllab_Dados!$S$2:$S$5000,0)),"")</f>
        <v/>
      </c>
      <c r="L137" t="str">
        <f>IFERROR(INDEX(EQA.Controllab_Dados!L$2:L$5000,MATCH(ROW()-4,EQA.Controllab_Dados!$S$2:$S$5000,0)),"")</f>
        <v/>
      </c>
      <c r="M137" s="126" t="str">
        <f>IFERROR(INDEX(EQA.Controllab_Dados!M$2:M$5000,MATCH(ROW()-4,EQA.Controllab_Dados!$S$2:$S$5000,0)),"")</f>
        <v/>
      </c>
      <c r="N137" t="str">
        <f>IFERROR(INDEX(EQA.Controllab_Dados!N$2:N$5000,MATCH(ROW()-4,EQA.Controllab_Dados!$S$2:$S$5000,0)),"")</f>
        <v/>
      </c>
      <c r="O137" s="137" t="str">
        <f>IFERROR(INDEX(EQA.Controllab_Dados!O$2:O$5000,MATCH(ROW()-4,EQA.Controllab_Dados!$S$2:$S$5000,0)),"")</f>
        <v/>
      </c>
      <c r="P137" s="137" t="str">
        <f>IFERROR(INDEX(EQA.Controllab_Dados!P$2:P$5000,MATCH(ROW()-4,EQA.Controllab_Dados!$S$2:$S$5000,0)),"")</f>
        <v/>
      </c>
      <c r="Q137" s="126" t="str">
        <f>IFERROR(INDEX(EQA.Controllab_Dados!Q$2:Q$5000,MATCH(ROW()-4,EQA.Controllab_Dados!$S$2:$S$5000,0)),"")</f>
        <v/>
      </c>
      <c r="R137" t="str">
        <f>IFERROR(INDEX(EQA.Controllab_Dados!R$2:R$5000,MATCH(ROW()-4,EQA.Controllab_Dados!$S$2:$S$5000,0)),"")</f>
        <v/>
      </c>
    </row>
    <row r="138" spans="1:18" x14ac:dyDescent="0.3">
      <c r="A138" t="str">
        <f>IFERROR(INDEX(EQA.Controllab_Dados!A$2:A$5000,MATCH(ROW()-4,EQA.Controllab_Dados!$S$2:$S$5000,0)),"")</f>
        <v/>
      </c>
      <c r="B138" t="str">
        <f>IFERROR(INDEX(EQA.Controllab_Dados!B$2:B$5000,MATCH(ROW()-4,EQA.Controllab_Dados!$S$2:$S$5000,0)),"")</f>
        <v/>
      </c>
      <c r="C138" s="126" t="str">
        <f>IFERROR(INDEX(EQA.Controllab_Dados!C$2:C$5000,MATCH(ROW()-4,EQA.Controllab_Dados!$S$2:$S$5000,0)),"")</f>
        <v/>
      </c>
      <c r="D138" t="str">
        <f>IFERROR(INDEX(EQA.Controllab_Dados!D$2:D$5000,MATCH(ROW()-4,EQA.Controllab_Dados!$S$2:$S$5000,0)),"")</f>
        <v/>
      </c>
      <c r="E138" t="str">
        <f>IFERROR(INDEX(EQA.Controllab_Dados!E$2:E$5000,MATCH(ROW()-4,EQA.Controllab_Dados!$S$2:$S$5000,0)),"")</f>
        <v/>
      </c>
      <c r="F138" s="137" t="str">
        <f>IFERROR(INDEX(EQA.Controllab_Dados!F$2:F$5000,MATCH(ROW()-4,EQA.Controllab_Dados!$S$2:$S$5000,0)),"")</f>
        <v/>
      </c>
      <c r="G138" s="138" t="str">
        <f>IFERROR(INDEX(EQA.Controllab_Dados!G$2:G$5000,MATCH(ROW()-4,EQA.Controllab_Dados!$S$2:$S$5000,0)),"")</f>
        <v/>
      </c>
      <c r="H138" s="138" t="str">
        <f>IFERROR(INDEX(EQA.Controllab_Dados!H$2:H$5000,MATCH(ROW()-4,EQA.Controllab_Dados!$S$2:$S$5000,0)),"")</f>
        <v/>
      </c>
      <c r="I138" s="139" t="str">
        <f>IFERROR(INDEX(EQA.Controllab_Dados!I$2:I$5000,MATCH(ROW()-4,EQA.Controllab_Dados!$S$2:$S$5000,0)),"")</f>
        <v/>
      </c>
      <c r="J138" s="137" t="str">
        <f>IFERROR(INDEX(EQA.Controllab_Dados!J$2:J$5000,MATCH(ROW()-4,EQA.Controllab_Dados!$S$2:$S$5000,0)),"")</f>
        <v/>
      </c>
      <c r="K138" s="137" t="str">
        <f>IFERROR(INDEX(EQA.Controllab_Dados!K$2:K$5000,MATCH(ROW()-4,EQA.Controllab_Dados!$S$2:$S$5000,0)),"")</f>
        <v/>
      </c>
      <c r="L138" t="str">
        <f>IFERROR(INDEX(EQA.Controllab_Dados!L$2:L$5000,MATCH(ROW()-4,EQA.Controllab_Dados!$S$2:$S$5000,0)),"")</f>
        <v/>
      </c>
      <c r="M138" s="126" t="str">
        <f>IFERROR(INDEX(EQA.Controllab_Dados!M$2:M$5000,MATCH(ROW()-4,EQA.Controllab_Dados!$S$2:$S$5000,0)),"")</f>
        <v/>
      </c>
      <c r="N138" t="str">
        <f>IFERROR(INDEX(EQA.Controllab_Dados!N$2:N$5000,MATCH(ROW()-4,EQA.Controllab_Dados!$S$2:$S$5000,0)),"")</f>
        <v/>
      </c>
      <c r="O138" s="137" t="str">
        <f>IFERROR(INDEX(EQA.Controllab_Dados!O$2:O$5000,MATCH(ROW()-4,EQA.Controllab_Dados!$S$2:$S$5000,0)),"")</f>
        <v/>
      </c>
      <c r="P138" s="137" t="str">
        <f>IFERROR(INDEX(EQA.Controllab_Dados!P$2:P$5000,MATCH(ROW()-4,EQA.Controllab_Dados!$S$2:$S$5000,0)),"")</f>
        <v/>
      </c>
      <c r="Q138" s="126" t="str">
        <f>IFERROR(INDEX(EQA.Controllab_Dados!Q$2:Q$5000,MATCH(ROW()-4,EQA.Controllab_Dados!$S$2:$S$5000,0)),"")</f>
        <v/>
      </c>
      <c r="R138" t="str">
        <f>IFERROR(INDEX(EQA.Controllab_Dados!R$2:R$5000,MATCH(ROW()-4,EQA.Controllab_Dados!$S$2:$S$5000,0)),"")</f>
        <v/>
      </c>
    </row>
    <row r="139" spans="1:18" x14ac:dyDescent="0.3">
      <c r="A139" t="str">
        <f>IFERROR(INDEX(EQA.Controllab_Dados!A$2:A$5000,MATCH(ROW()-4,EQA.Controllab_Dados!$S$2:$S$5000,0)),"")</f>
        <v/>
      </c>
      <c r="B139" t="str">
        <f>IFERROR(INDEX(EQA.Controllab_Dados!B$2:B$5000,MATCH(ROW()-4,EQA.Controllab_Dados!$S$2:$S$5000,0)),"")</f>
        <v/>
      </c>
      <c r="C139" s="126" t="str">
        <f>IFERROR(INDEX(EQA.Controllab_Dados!C$2:C$5000,MATCH(ROW()-4,EQA.Controllab_Dados!$S$2:$S$5000,0)),"")</f>
        <v/>
      </c>
      <c r="D139" t="str">
        <f>IFERROR(INDEX(EQA.Controllab_Dados!D$2:D$5000,MATCH(ROW()-4,EQA.Controllab_Dados!$S$2:$S$5000,0)),"")</f>
        <v/>
      </c>
      <c r="E139" t="str">
        <f>IFERROR(INDEX(EQA.Controllab_Dados!E$2:E$5000,MATCH(ROW()-4,EQA.Controllab_Dados!$S$2:$S$5000,0)),"")</f>
        <v/>
      </c>
      <c r="F139" s="137" t="str">
        <f>IFERROR(INDEX(EQA.Controllab_Dados!F$2:F$5000,MATCH(ROW()-4,EQA.Controllab_Dados!$S$2:$S$5000,0)),"")</f>
        <v/>
      </c>
      <c r="G139" s="138" t="str">
        <f>IFERROR(INDEX(EQA.Controllab_Dados!G$2:G$5000,MATCH(ROW()-4,EQA.Controllab_Dados!$S$2:$S$5000,0)),"")</f>
        <v/>
      </c>
      <c r="H139" s="138" t="str">
        <f>IFERROR(INDEX(EQA.Controllab_Dados!H$2:H$5000,MATCH(ROW()-4,EQA.Controllab_Dados!$S$2:$S$5000,0)),"")</f>
        <v/>
      </c>
      <c r="I139" s="139" t="str">
        <f>IFERROR(INDEX(EQA.Controllab_Dados!I$2:I$5000,MATCH(ROW()-4,EQA.Controllab_Dados!$S$2:$S$5000,0)),"")</f>
        <v/>
      </c>
      <c r="J139" s="137" t="str">
        <f>IFERROR(INDEX(EQA.Controllab_Dados!J$2:J$5000,MATCH(ROW()-4,EQA.Controllab_Dados!$S$2:$S$5000,0)),"")</f>
        <v/>
      </c>
      <c r="K139" s="137" t="str">
        <f>IFERROR(INDEX(EQA.Controllab_Dados!K$2:K$5000,MATCH(ROW()-4,EQA.Controllab_Dados!$S$2:$S$5000,0)),"")</f>
        <v/>
      </c>
      <c r="L139" t="str">
        <f>IFERROR(INDEX(EQA.Controllab_Dados!L$2:L$5000,MATCH(ROW()-4,EQA.Controllab_Dados!$S$2:$S$5000,0)),"")</f>
        <v/>
      </c>
      <c r="M139" s="126" t="str">
        <f>IFERROR(INDEX(EQA.Controllab_Dados!M$2:M$5000,MATCH(ROW()-4,EQA.Controllab_Dados!$S$2:$S$5000,0)),"")</f>
        <v/>
      </c>
      <c r="N139" t="str">
        <f>IFERROR(INDEX(EQA.Controllab_Dados!N$2:N$5000,MATCH(ROW()-4,EQA.Controllab_Dados!$S$2:$S$5000,0)),"")</f>
        <v/>
      </c>
      <c r="O139" s="137" t="str">
        <f>IFERROR(INDEX(EQA.Controllab_Dados!O$2:O$5000,MATCH(ROW()-4,EQA.Controllab_Dados!$S$2:$S$5000,0)),"")</f>
        <v/>
      </c>
      <c r="P139" s="137" t="str">
        <f>IFERROR(INDEX(EQA.Controllab_Dados!P$2:P$5000,MATCH(ROW()-4,EQA.Controllab_Dados!$S$2:$S$5000,0)),"")</f>
        <v/>
      </c>
      <c r="Q139" s="126" t="str">
        <f>IFERROR(INDEX(EQA.Controllab_Dados!Q$2:Q$5000,MATCH(ROW()-4,EQA.Controllab_Dados!$S$2:$S$5000,0)),"")</f>
        <v/>
      </c>
      <c r="R139" t="str">
        <f>IFERROR(INDEX(EQA.Controllab_Dados!R$2:R$5000,MATCH(ROW()-4,EQA.Controllab_Dados!$S$2:$S$5000,0)),"")</f>
        <v/>
      </c>
    </row>
    <row r="140" spans="1:18" x14ac:dyDescent="0.3">
      <c r="A140" t="str">
        <f>IFERROR(INDEX(EQA.Controllab_Dados!A$2:A$5000,MATCH(ROW()-4,EQA.Controllab_Dados!$S$2:$S$5000,0)),"")</f>
        <v/>
      </c>
      <c r="B140" t="str">
        <f>IFERROR(INDEX(EQA.Controllab_Dados!B$2:B$5000,MATCH(ROW()-4,EQA.Controllab_Dados!$S$2:$S$5000,0)),"")</f>
        <v/>
      </c>
      <c r="C140" s="126" t="str">
        <f>IFERROR(INDEX(EQA.Controllab_Dados!C$2:C$5000,MATCH(ROW()-4,EQA.Controllab_Dados!$S$2:$S$5000,0)),"")</f>
        <v/>
      </c>
      <c r="D140" t="str">
        <f>IFERROR(INDEX(EQA.Controllab_Dados!D$2:D$5000,MATCH(ROW()-4,EQA.Controllab_Dados!$S$2:$S$5000,0)),"")</f>
        <v/>
      </c>
      <c r="E140" t="str">
        <f>IFERROR(INDEX(EQA.Controllab_Dados!E$2:E$5000,MATCH(ROW()-4,EQA.Controllab_Dados!$S$2:$S$5000,0)),"")</f>
        <v/>
      </c>
      <c r="F140" s="137" t="str">
        <f>IFERROR(INDEX(EQA.Controllab_Dados!F$2:F$5000,MATCH(ROW()-4,EQA.Controllab_Dados!$S$2:$S$5000,0)),"")</f>
        <v/>
      </c>
      <c r="G140" s="138" t="str">
        <f>IFERROR(INDEX(EQA.Controllab_Dados!G$2:G$5000,MATCH(ROW()-4,EQA.Controllab_Dados!$S$2:$S$5000,0)),"")</f>
        <v/>
      </c>
      <c r="H140" s="138" t="str">
        <f>IFERROR(INDEX(EQA.Controllab_Dados!H$2:H$5000,MATCH(ROW()-4,EQA.Controllab_Dados!$S$2:$S$5000,0)),"")</f>
        <v/>
      </c>
      <c r="I140" s="139" t="str">
        <f>IFERROR(INDEX(EQA.Controllab_Dados!I$2:I$5000,MATCH(ROW()-4,EQA.Controllab_Dados!$S$2:$S$5000,0)),"")</f>
        <v/>
      </c>
      <c r="J140" s="137" t="str">
        <f>IFERROR(INDEX(EQA.Controllab_Dados!J$2:J$5000,MATCH(ROW()-4,EQA.Controllab_Dados!$S$2:$S$5000,0)),"")</f>
        <v/>
      </c>
      <c r="K140" s="137" t="str">
        <f>IFERROR(INDEX(EQA.Controllab_Dados!K$2:K$5000,MATCH(ROW()-4,EQA.Controllab_Dados!$S$2:$S$5000,0)),"")</f>
        <v/>
      </c>
      <c r="L140" t="str">
        <f>IFERROR(INDEX(EQA.Controllab_Dados!L$2:L$5000,MATCH(ROW()-4,EQA.Controllab_Dados!$S$2:$S$5000,0)),"")</f>
        <v/>
      </c>
      <c r="M140" s="126" t="str">
        <f>IFERROR(INDEX(EQA.Controllab_Dados!M$2:M$5000,MATCH(ROW()-4,EQA.Controllab_Dados!$S$2:$S$5000,0)),"")</f>
        <v/>
      </c>
      <c r="N140" t="str">
        <f>IFERROR(INDEX(EQA.Controllab_Dados!N$2:N$5000,MATCH(ROW()-4,EQA.Controllab_Dados!$S$2:$S$5000,0)),"")</f>
        <v/>
      </c>
      <c r="O140" s="137" t="str">
        <f>IFERROR(INDEX(EQA.Controllab_Dados!O$2:O$5000,MATCH(ROW()-4,EQA.Controllab_Dados!$S$2:$S$5000,0)),"")</f>
        <v/>
      </c>
      <c r="P140" s="137" t="str">
        <f>IFERROR(INDEX(EQA.Controllab_Dados!P$2:P$5000,MATCH(ROW()-4,EQA.Controllab_Dados!$S$2:$S$5000,0)),"")</f>
        <v/>
      </c>
      <c r="Q140" s="126" t="str">
        <f>IFERROR(INDEX(EQA.Controllab_Dados!Q$2:Q$5000,MATCH(ROW()-4,EQA.Controllab_Dados!$S$2:$S$5000,0)),"")</f>
        <v/>
      </c>
      <c r="R140" t="str">
        <f>IFERROR(INDEX(EQA.Controllab_Dados!R$2:R$5000,MATCH(ROW()-4,EQA.Controllab_Dados!$S$2:$S$5000,0)),"")</f>
        <v/>
      </c>
    </row>
    <row r="141" spans="1:18" x14ac:dyDescent="0.3">
      <c r="A141" t="str">
        <f>IFERROR(INDEX(EQA.Controllab_Dados!A$2:A$5000,MATCH(ROW()-4,EQA.Controllab_Dados!$S$2:$S$5000,0)),"")</f>
        <v/>
      </c>
      <c r="B141" t="str">
        <f>IFERROR(INDEX(EQA.Controllab_Dados!B$2:B$5000,MATCH(ROW()-4,EQA.Controllab_Dados!$S$2:$S$5000,0)),"")</f>
        <v/>
      </c>
      <c r="C141" s="126" t="str">
        <f>IFERROR(INDEX(EQA.Controllab_Dados!C$2:C$5000,MATCH(ROW()-4,EQA.Controllab_Dados!$S$2:$S$5000,0)),"")</f>
        <v/>
      </c>
      <c r="D141" t="str">
        <f>IFERROR(INDEX(EQA.Controllab_Dados!D$2:D$5000,MATCH(ROW()-4,EQA.Controllab_Dados!$S$2:$S$5000,0)),"")</f>
        <v/>
      </c>
      <c r="E141" t="str">
        <f>IFERROR(INDEX(EQA.Controllab_Dados!E$2:E$5000,MATCH(ROW()-4,EQA.Controllab_Dados!$S$2:$S$5000,0)),"")</f>
        <v/>
      </c>
      <c r="F141" s="137" t="str">
        <f>IFERROR(INDEX(EQA.Controllab_Dados!F$2:F$5000,MATCH(ROW()-4,EQA.Controllab_Dados!$S$2:$S$5000,0)),"")</f>
        <v/>
      </c>
      <c r="G141" s="138" t="str">
        <f>IFERROR(INDEX(EQA.Controllab_Dados!G$2:G$5000,MATCH(ROW()-4,EQA.Controllab_Dados!$S$2:$S$5000,0)),"")</f>
        <v/>
      </c>
      <c r="H141" s="138" t="str">
        <f>IFERROR(INDEX(EQA.Controllab_Dados!H$2:H$5000,MATCH(ROW()-4,EQA.Controllab_Dados!$S$2:$S$5000,0)),"")</f>
        <v/>
      </c>
      <c r="I141" s="139" t="str">
        <f>IFERROR(INDEX(EQA.Controllab_Dados!I$2:I$5000,MATCH(ROW()-4,EQA.Controllab_Dados!$S$2:$S$5000,0)),"")</f>
        <v/>
      </c>
      <c r="J141" s="137" t="str">
        <f>IFERROR(INDEX(EQA.Controllab_Dados!J$2:J$5000,MATCH(ROW()-4,EQA.Controllab_Dados!$S$2:$S$5000,0)),"")</f>
        <v/>
      </c>
      <c r="K141" s="137" t="str">
        <f>IFERROR(INDEX(EQA.Controllab_Dados!K$2:K$5000,MATCH(ROW()-4,EQA.Controllab_Dados!$S$2:$S$5000,0)),"")</f>
        <v/>
      </c>
      <c r="L141" t="str">
        <f>IFERROR(INDEX(EQA.Controllab_Dados!L$2:L$5000,MATCH(ROW()-4,EQA.Controllab_Dados!$S$2:$S$5000,0)),"")</f>
        <v/>
      </c>
      <c r="M141" s="126" t="str">
        <f>IFERROR(INDEX(EQA.Controllab_Dados!M$2:M$5000,MATCH(ROW()-4,EQA.Controllab_Dados!$S$2:$S$5000,0)),"")</f>
        <v/>
      </c>
      <c r="N141" t="str">
        <f>IFERROR(INDEX(EQA.Controllab_Dados!N$2:N$5000,MATCH(ROW()-4,EQA.Controllab_Dados!$S$2:$S$5000,0)),"")</f>
        <v/>
      </c>
      <c r="O141" s="137" t="str">
        <f>IFERROR(INDEX(EQA.Controllab_Dados!O$2:O$5000,MATCH(ROW()-4,EQA.Controllab_Dados!$S$2:$S$5000,0)),"")</f>
        <v/>
      </c>
      <c r="P141" s="137" t="str">
        <f>IFERROR(INDEX(EQA.Controllab_Dados!P$2:P$5000,MATCH(ROW()-4,EQA.Controllab_Dados!$S$2:$S$5000,0)),"")</f>
        <v/>
      </c>
      <c r="Q141" s="126" t="str">
        <f>IFERROR(INDEX(EQA.Controllab_Dados!Q$2:Q$5000,MATCH(ROW()-4,EQA.Controllab_Dados!$S$2:$S$5000,0)),"")</f>
        <v/>
      </c>
      <c r="R141" t="str">
        <f>IFERROR(INDEX(EQA.Controllab_Dados!R$2:R$5000,MATCH(ROW()-4,EQA.Controllab_Dados!$S$2:$S$5000,0)),"")</f>
        <v/>
      </c>
    </row>
    <row r="142" spans="1:18" x14ac:dyDescent="0.3">
      <c r="A142" t="str">
        <f>IFERROR(INDEX(EQA.Controllab_Dados!A$2:A$5000,MATCH(ROW()-4,EQA.Controllab_Dados!$S$2:$S$5000,0)),"")</f>
        <v/>
      </c>
      <c r="B142" t="str">
        <f>IFERROR(INDEX(EQA.Controllab_Dados!B$2:B$5000,MATCH(ROW()-4,EQA.Controllab_Dados!$S$2:$S$5000,0)),"")</f>
        <v/>
      </c>
      <c r="C142" s="126" t="str">
        <f>IFERROR(INDEX(EQA.Controllab_Dados!C$2:C$5000,MATCH(ROW()-4,EQA.Controllab_Dados!$S$2:$S$5000,0)),"")</f>
        <v/>
      </c>
      <c r="D142" t="str">
        <f>IFERROR(INDEX(EQA.Controllab_Dados!D$2:D$5000,MATCH(ROW()-4,EQA.Controllab_Dados!$S$2:$S$5000,0)),"")</f>
        <v/>
      </c>
      <c r="E142" t="str">
        <f>IFERROR(INDEX(EQA.Controllab_Dados!E$2:E$5000,MATCH(ROW()-4,EQA.Controllab_Dados!$S$2:$S$5000,0)),"")</f>
        <v/>
      </c>
      <c r="F142" s="137" t="str">
        <f>IFERROR(INDEX(EQA.Controllab_Dados!F$2:F$5000,MATCH(ROW()-4,EQA.Controllab_Dados!$S$2:$S$5000,0)),"")</f>
        <v/>
      </c>
      <c r="G142" s="138" t="str">
        <f>IFERROR(INDEX(EQA.Controllab_Dados!G$2:G$5000,MATCH(ROW()-4,EQA.Controllab_Dados!$S$2:$S$5000,0)),"")</f>
        <v/>
      </c>
      <c r="H142" s="138" t="str">
        <f>IFERROR(INDEX(EQA.Controllab_Dados!H$2:H$5000,MATCH(ROW()-4,EQA.Controllab_Dados!$S$2:$S$5000,0)),"")</f>
        <v/>
      </c>
      <c r="I142" s="139" t="str">
        <f>IFERROR(INDEX(EQA.Controllab_Dados!I$2:I$5000,MATCH(ROW()-4,EQA.Controllab_Dados!$S$2:$S$5000,0)),"")</f>
        <v/>
      </c>
      <c r="J142" s="137" t="str">
        <f>IFERROR(INDEX(EQA.Controllab_Dados!J$2:J$5000,MATCH(ROW()-4,EQA.Controllab_Dados!$S$2:$S$5000,0)),"")</f>
        <v/>
      </c>
      <c r="K142" s="137" t="str">
        <f>IFERROR(INDEX(EQA.Controllab_Dados!K$2:K$5000,MATCH(ROW()-4,EQA.Controllab_Dados!$S$2:$S$5000,0)),"")</f>
        <v/>
      </c>
      <c r="L142" t="str">
        <f>IFERROR(INDEX(EQA.Controllab_Dados!L$2:L$5000,MATCH(ROW()-4,EQA.Controllab_Dados!$S$2:$S$5000,0)),"")</f>
        <v/>
      </c>
      <c r="M142" s="126" t="str">
        <f>IFERROR(INDEX(EQA.Controllab_Dados!M$2:M$5000,MATCH(ROW()-4,EQA.Controllab_Dados!$S$2:$S$5000,0)),"")</f>
        <v/>
      </c>
      <c r="N142" t="str">
        <f>IFERROR(INDEX(EQA.Controllab_Dados!N$2:N$5000,MATCH(ROW()-4,EQA.Controllab_Dados!$S$2:$S$5000,0)),"")</f>
        <v/>
      </c>
      <c r="O142" s="137" t="str">
        <f>IFERROR(INDEX(EQA.Controllab_Dados!O$2:O$5000,MATCH(ROW()-4,EQA.Controllab_Dados!$S$2:$S$5000,0)),"")</f>
        <v/>
      </c>
      <c r="P142" s="137" t="str">
        <f>IFERROR(INDEX(EQA.Controllab_Dados!P$2:P$5000,MATCH(ROW()-4,EQA.Controllab_Dados!$S$2:$S$5000,0)),"")</f>
        <v/>
      </c>
      <c r="Q142" s="126" t="str">
        <f>IFERROR(INDEX(EQA.Controllab_Dados!Q$2:Q$5000,MATCH(ROW()-4,EQA.Controllab_Dados!$S$2:$S$5000,0)),"")</f>
        <v/>
      </c>
      <c r="R142" t="str">
        <f>IFERROR(INDEX(EQA.Controllab_Dados!R$2:R$5000,MATCH(ROW()-4,EQA.Controllab_Dados!$S$2:$S$5000,0)),"")</f>
        <v/>
      </c>
    </row>
    <row r="143" spans="1:18" x14ac:dyDescent="0.3">
      <c r="A143" t="str">
        <f>IFERROR(INDEX(EQA.Controllab_Dados!A$2:A$5000,MATCH(ROW()-4,EQA.Controllab_Dados!$S$2:$S$5000,0)),"")</f>
        <v/>
      </c>
      <c r="B143" t="str">
        <f>IFERROR(INDEX(EQA.Controllab_Dados!B$2:B$5000,MATCH(ROW()-4,EQA.Controllab_Dados!$S$2:$S$5000,0)),"")</f>
        <v/>
      </c>
      <c r="C143" s="126" t="str">
        <f>IFERROR(INDEX(EQA.Controllab_Dados!C$2:C$5000,MATCH(ROW()-4,EQA.Controllab_Dados!$S$2:$S$5000,0)),"")</f>
        <v/>
      </c>
      <c r="D143" t="str">
        <f>IFERROR(INDEX(EQA.Controllab_Dados!D$2:D$5000,MATCH(ROW()-4,EQA.Controllab_Dados!$S$2:$S$5000,0)),"")</f>
        <v/>
      </c>
      <c r="E143" t="str">
        <f>IFERROR(INDEX(EQA.Controllab_Dados!E$2:E$5000,MATCH(ROW()-4,EQA.Controllab_Dados!$S$2:$S$5000,0)),"")</f>
        <v/>
      </c>
      <c r="F143" s="137" t="str">
        <f>IFERROR(INDEX(EQA.Controllab_Dados!F$2:F$5000,MATCH(ROW()-4,EQA.Controllab_Dados!$S$2:$S$5000,0)),"")</f>
        <v/>
      </c>
      <c r="G143" s="138" t="str">
        <f>IFERROR(INDEX(EQA.Controllab_Dados!G$2:G$5000,MATCH(ROW()-4,EQA.Controllab_Dados!$S$2:$S$5000,0)),"")</f>
        <v/>
      </c>
      <c r="H143" s="138" t="str">
        <f>IFERROR(INDEX(EQA.Controllab_Dados!H$2:H$5000,MATCH(ROW()-4,EQA.Controllab_Dados!$S$2:$S$5000,0)),"")</f>
        <v/>
      </c>
      <c r="I143" s="139" t="str">
        <f>IFERROR(INDEX(EQA.Controllab_Dados!I$2:I$5000,MATCH(ROW()-4,EQA.Controllab_Dados!$S$2:$S$5000,0)),"")</f>
        <v/>
      </c>
      <c r="J143" s="137" t="str">
        <f>IFERROR(INDEX(EQA.Controllab_Dados!J$2:J$5000,MATCH(ROW()-4,EQA.Controllab_Dados!$S$2:$S$5000,0)),"")</f>
        <v/>
      </c>
      <c r="K143" s="137" t="str">
        <f>IFERROR(INDEX(EQA.Controllab_Dados!K$2:K$5000,MATCH(ROW()-4,EQA.Controllab_Dados!$S$2:$S$5000,0)),"")</f>
        <v/>
      </c>
      <c r="L143" t="str">
        <f>IFERROR(INDEX(EQA.Controllab_Dados!L$2:L$5000,MATCH(ROW()-4,EQA.Controllab_Dados!$S$2:$S$5000,0)),"")</f>
        <v/>
      </c>
      <c r="M143" s="126" t="str">
        <f>IFERROR(INDEX(EQA.Controllab_Dados!M$2:M$5000,MATCH(ROW()-4,EQA.Controllab_Dados!$S$2:$S$5000,0)),"")</f>
        <v/>
      </c>
      <c r="N143" t="str">
        <f>IFERROR(INDEX(EQA.Controllab_Dados!N$2:N$5000,MATCH(ROW()-4,EQA.Controllab_Dados!$S$2:$S$5000,0)),"")</f>
        <v/>
      </c>
      <c r="O143" s="137" t="str">
        <f>IFERROR(INDEX(EQA.Controllab_Dados!O$2:O$5000,MATCH(ROW()-4,EQA.Controllab_Dados!$S$2:$S$5000,0)),"")</f>
        <v/>
      </c>
      <c r="P143" s="137" t="str">
        <f>IFERROR(INDEX(EQA.Controllab_Dados!P$2:P$5000,MATCH(ROW()-4,EQA.Controllab_Dados!$S$2:$S$5000,0)),"")</f>
        <v/>
      </c>
      <c r="Q143" s="126" t="str">
        <f>IFERROR(INDEX(EQA.Controllab_Dados!Q$2:Q$5000,MATCH(ROW()-4,EQA.Controllab_Dados!$S$2:$S$5000,0)),"")</f>
        <v/>
      </c>
      <c r="R143" t="str">
        <f>IFERROR(INDEX(EQA.Controllab_Dados!R$2:R$5000,MATCH(ROW()-4,EQA.Controllab_Dados!$S$2:$S$5000,0)),"")</f>
        <v/>
      </c>
    </row>
    <row r="144" spans="1:18" x14ac:dyDescent="0.3">
      <c r="A144" t="str">
        <f>IFERROR(INDEX(EQA.Controllab_Dados!A$2:A$5000,MATCH(ROW()-4,EQA.Controllab_Dados!$S$2:$S$5000,0)),"")</f>
        <v/>
      </c>
      <c r="B144" t="str">
        <f>IFERROR(INDEX(EQA.Controllab_Dados!B$2:B$5000,MATCH(ROW()-4,EQA.Controllab_Dados!$S$2:$S$5000,0)),"")</f>
        <v/>
      </c>
      <c r="C144" s="126" t="str">
        <f>IFERROR(INDEX(EQA.Controllab_Dados!C$2:C$5000,MATCH(ROW()-4,EQA.Controllab_Dados!$S$2:$S$5000,0)),"")</f>
        <v/>
      </c>
      <c r="D144" t="str">
        <f>IFERROR(INDEX(EQA.Controllab_Dados!D$2:D$5000,MATCH(ROW()-4,EQA.Controllab_Dados!$S$2:$S$5000,0)),"")</f>
        <v/>
      </c>
      <c r="E144" t="str">
        <f>IFERROR(INDEX(EQA.Controllab_Dados!E$2:E$5000,MATCH(ROW()-4,EQA.Controllab_Dados!$S$2:$S$5000,0)),"")</f>
        <v/>
      </c>
      <c r="F144" s="137" t="str">
        <f>IFERROR(INDEX(EQA.Controllab_Dados!F$2:F$5000,MATCH(ROW()-4,EQA.Controllab_Dados!$S$2:$S$5000,0)),"")</f>
        <v/>
      </c>
      <c r="G144" s="138" t="str">
        <f>IFERROR(INDEX(EQA.Controllab_Dados!G$2:G$5000,MATCH(ROW()-4,EQA.Controllab_Dados!$S$2:$S$5000,0)),"")</f>
        <v/>
      </c>
      <c r="H144" s="138" t="str">
        <f>IFERROR(INDEX(EQA.Controllab_Dados!H$2:H$5000,MATCH(ROW()-4,EQA.Controllab_Dados!$S$2:$S$5000,0)),"")</f>
        <v/>
      </c>
      <c r="I144" s="139" t="str">
        <f>IFERROR(INDEX(EQA.Controllab_Dados!I$2:I$5000,MATCH(ROW()-4,EQA.Controllab_Dados!$S$2:$S$5000,0)),"")</f>
        <v/>
      </c>
      <c r="J144" s="137" t="str">
        <f>IFERROR(INDEX(EQA.Controllab_Dados!J$2:J$5000,MATCH(ROW()-4,EQA.Controllab_Dados!$S$2:$S$5000,0)),"")</f>
        <v/>
      </c>
      <c r="K144" s="137" t="str">
        <f>IFERROR(INDEX(EQA.Controllab_Dados!K$2:K$5000,MATCH(ROW()-4,EQA.Controllab_Dados!$S$2:$S$5000,0)),"")</f>
        <v/>
      </c>
      <c r="L144" t="str">
        <f>IFERROR(INDEX(EQA.Controllab_Dados!L$2:L$5000,MATCH(ROW()-4,EQA.Controllab_Dados!$S$2:$S$5000,0)),"")</f>
        <v/>
      </c>
      <c r="M144" s="126" t="str">
        <f>IFERROR(INDEX(EQA.Controllab_Dados!M$2:M$5000,MATCH(ROW()-4,EQA.Controllab_Dados!$S$2:$S$5000,0)),"")</f>
        <v/>
      </c>
      <c r="N144" t="str">
        <f>IFERROR(INDEX(EQA.Controllab_Dados!N$2:N$5000,MATCH(ROW()-4,EQA.Controllab_Dados!$S$2:$S$5000,0)),"")</f>
        <v/>
      </c>
      <c r="O144" s="137" t="str">
        <f>IFERROR(INDEX(EQA.Controllab_Dados!O$2:O$5000,MATCH(ROW()-4,EQA.Controllab_Dados!$S$2:$S$5000,0)),"")</f>
        <v/>
      </c>
      <c r="P144" s="137" t="str">
        <f>IFERROR(INDEX(EQA.Controllab_Dados!P$2:P$5000,MATCH(ROW()-4,EQA.Controllab_Dados!$S$2:$S$5000,0)),"")</f>
        <v/>
      </c>
      <c r="Q144" s="126" t="str">
        <f>IFERROR(INDEX(EQA.Controllab_Dados!Q$2:Q$5000,MATCH(ROW()-4,EQA.Controllab_Dados!$S$2:$S$5000,0)),"")</f>
        <v/>
      </c>
      <c r="R144" t="str">
        <f>IFERROR(INDEX(EQA.Controllab_Dados!R$2:R$5000,MATCH(ROW()-4,EQA.Controllab_Dados!$S$2:$S$5000,0)),"")</f>
        <v/>
      </c>
    </row>
    <row r="145" spans="1:18" x14ac:dyDescent="0.3">
      <c r="A145" t="str">
        <f>IFERROR(INDEX(EQA.Controllab_Dados!A$2:A$5000,MATCH(ROW()-4,EQA.Controllab_Dados!$S$2:$S$5000,0)),"")</f>
        <v/>
      </c>
      <c r="B145" t="str">
        <f>IFERROR(INDEX(EQA.Controllab_Dados!B$2:B$5000,MATCH(ROW()-4,EQA.Controllab_Dados!$S$2:$S$5000,0)),"")</f>
        <v/>
      </c>
      <c r="C145" s="126" t="str">
        <f>IFERROR(INDEX(EQA.Controllab_Dados!C$2:C$5000,MATCH(ROW()-4,EQA.Controllab_Dados!$S$2:$S$5000,0)),"")</f>
        <v/>
      </c>
      <c r="D145" t="str">
        <f>IFERROR(INDEX(EQA.Controllab_Dados!D$2:D$5000,MATCH(ROW()-4,EQA.Controllab_Dados!$S$2:$S$5000,0)),"")</f>
        <v/>
      </c>
      <c r="E145" t="str">
        <f>IFERROR(INDEX(EQA.Controllab_Dados!E$2:E$5000,MATCH(ROW()-4,EQA.Controllab_Dados!$S$2:$S$5000,0)),"")</f>
        <v/>
      </c>
      <c r="F145" s="137" t="str">
        <f>IFERROR(INDEX(EQA.Controllab_Dados!F$2:F$5000,MATCH(ROW()-4,EQA.Controllab_Dados!$S$2:$S$5000,0)),"")</f>
        <v/>
      </c>
      <c r="G145" s="138" t="str">
        <f>IFERROR(INDEX(EQA.Controllab_Dados!G$2:G$5000,MATCH(ROW()-4,EQA.Controllab_Dados!$S$2:$S$5000,0)),"")</f>
        <v/>
      </c>
      <c r="H145" s="138" t="str">
        <f>IFERROR(INDEX(EQA.Controllab_Dados!H$2:H$5000,MATCH(ROW()-4,EQA.Controllab_Dados!$S$2:$S$5000,0)),"")</f>
        <v/>
      </c>
      <c r="I145" s="139" t="str">
        <f>IFERROR(INDEX(EQA.Controllab_Dados!I$2:I$5000,MATCH(ROW()-4,EQA.Controllab_Dados!$S$2:$S$5000,0)),"")</f>
        <v/>
      </c>
      <c r="J145" s="137" t="str">
        <f>IFERROR(INDEX(EQA.Controllab_Dados!J$2:J$5000,MATCH(ROW()-4,EQA.Controllab_Dados!$S$2:$S$5000,0)),"")</f>
        <v/>
      </c>
      <c r="K145" s="137" t="str">
        <f>IFERROR(INDEX(EQA.Controllab_Dados!K$2:K$5000,MATCH(ROW()-4,EQA.Controllab_Dados!$S$2:$S$5000,0)),"")</f>
        <v/>
      </c>
      <c r="L145" t="str">
        <f>IFERROR(INDEX(EQA.Controllab_Dados!L$2:L$5000,MATCH(ROW()-4,EQA.Controllab_Dados!$S$2:$S$5000,0)),"")</f>
        <v/>
      </c>
      <c r="M145" s="126" t="str">
        <f>IFERROR(INDEX(EQA.Controllab_Dados!M$2:M$5000,MATCH(ROW()-4,EQA.Controllab_Dados!$S$2:$S$5000,0)),"")</f>
        <v/>
      </c>
      <c r="N145" t="str">
        <f>IFERROR(INDEX(EQA.Controllab_Dados!N$2:N$5000,MATCH(ROW()-4,EQA.Controllab_Dados!$S$2:$S$5000,0)),"")</f>
        <v/>
      </c>
      <c r="O145" s="137" t="str">
        <f>IFERROR(INDEX(EQA.Controllab_Dados!O$2:O$5000,MATCH(ROW()-4,EQA.Controllab_Dados!$S$2:$S$5000,0)),"")</f>
        <v/>
      </c>
      <c r="P145" s="137" t="str">
        <f>IFERROR(INDEX(EQA.Controllab_Dados!P$2:P$5000,MATCH(ROW()-4,EQA.Controllab_Dados!$S$2:$S$5000,0)),"")</f>
        <v/>
      </c>
      <c r="Q145" s="126" t="str">
        <f>IFERROR(INDEX(EQA.Controllab_Dados!Q$2:Q$5000,MATCH(ROW()-4,EQA.Controllab_Dados!$S$2:$S$5000,0)),"")</f>
        <v/>
      </c>
      <c r="R145" t="str">
        <f>IFERROR(INDEX(EQA.Controllab_Dados!R$2:R$5000,MATCH(ROW()-4,EQA.Controllab_Dados!$S$2:$S$5000,0)),"")</f>
        <v/>
      </c>
    </row>
    <row r="146" spans="1:18" x14ac:dyDescent="0.3">
      <c r="A146" t="str">
        <f>IFERROR(INDEX(EQA.Controllab_Dados!A$2:A$5000,MATCH(ROW()-4,EQA.Controllab_Dados!$S$2:$S$5000,0)),"")</f>
        <v/>
      </c>
      <c r="B146" t="str">
        <f>IFERROR(INDEX(EQA.Controllab_Dados!B$2:B$5000,MATCH(ROW()-4,EQA.Controllab_Dados!$S$2:$S$5000,0)),"")</f>
        <v/>
      </c>
      <c r="C146" s="126" t="str">
        <f>IFERROR(INDEX(EQA.Controllab_Dados!C$2:C$5000,MATCH(ROW()-4,EQA.Controllab_Dados!$S$2:$S$5000,0)),"")</f>
        <v/>
      </c>
      <c r="D146" t="str">
        <f>IFERROR(INDEX(EQA.Controllab_Dados!D$2:D$5000,MATCH(ROW()-4,EQA.Controllab_Dados!$S$2:$S$5000,0)),"")</f>
        <v/>
      </c>
      <c r="E146" t="str">
        <f>IFERROR(INDEX(EQA.Controllab_Dados!E$2:E$5000,MATCH(ROW()-4,EQA.Controllab_Dados!$S$2:$S$5000,0)),"")</f>
        <v/>
      </c>
      <c r="F146" s="137" t="str">
        <f>IFERROR(INDEX(EQA.Controllab_Dados!F$2:F$5000,MATCH(ROW()-4,EQA.Controllab_Dados!$S$2:$S$5000,0)),"")</f>
        <v/>
      </c>
      <c r="G146" s="138" t="str">
        <f>IFERROR(INDEX(EQA.Controllab_Dados!G$2:G$5000,MATCH(ROW()-4,EQA.Controllab_Dados!$S$2:$S$5000,0)),"")</f>
        <v/>
      </c>
      <c r="H146" s="138" t="str">
        <f>IFERROR(INDEX(EQA.Controllab_Dados!H$2:H$5000,MATCH(ROW()-4,EQA.Controllab_Dados!$S$2:$S$5000,0)),"")</f>
        <v/>
      </c>
      <c r="I146" s="139" t="str">
        <f>IFERROR(INDEX(EQA.Controllab_Dados!I$2:I$5000,MATCH(ROW()-4,EQA.Controllab_Dados!$S$2:$S$5000,0)),"")</f>
        <v/>
      </c>
      <c r="J146" s="137" t="str">
        <f>IFERROR(INDEX(EQA.Controllab_Dados!J$2:J$5000,MATCH(ROW()-4,EQA.Controllab_Dados!$S$2:$S$5000,0)),"")</f>
        <v/>
      </c>
      <c r="K146" s="137" t="str">
        <f>IFERROR(INDEX(EQA.Controllab_Dados!K$2:K$5000,MATCH(ROW()-4,EQA.Controllab_Dados!$S$2:$S$5000,0)),"")</f>
        <v/>
      </c>
      <c r="L146" t="str">
        <f>IFERROR(INDEX(EQA.Controllab_Dados!L$2:L$5000,MATCH(ROW()-4,EQA.Controllab_Dados!$S$2:$S$5000,0)),"")</f>
        <v/>
      </c>
      <c r="M146" s="126" t="str">
        <f>IFERROR(INDEX(EQA.Controllab_Dados!M$2:M$5000,MATCH(ROW()-4,EQA.Controllab_Dados!$S$2:$S$5000,0)),"")</f>
        <v/>
      </c>
      <c r="N146" t="str">
        <f>IFERROR(INDEX(EQA.Controllab_Dados!N$2:N$5000,MATCH(ROW()-4,EQA.Controllab_Dados!$S$2:$S$5000,0)),"")</f>
        <v/>
      </c>
      <c r="O146" s="137" t="str">
        <f>IFERROR(INDEX(EQA.Controllab_Dados!O$2:O$5000,MATCH(ROW()-4,EQA.Controllab_Dados!$S$2:$S$5000,0)),"")</f>
        <v/>
      </c>
      <c r="P146" s="137" t="str">
        <f>IFERROR(INDEX(EQA.Controllab_Dados!P$2:P$5000,MATCH(ROW()-4,EQA.Controllab_Dados!$S$2:$S$5000,0)),"")</f>
        <v/>
      </c>
      <c r="Q146" s="126" t="str">
        <f>IFERROR(INDEX(EQA.Controllab_Dados!Q$2:Q$5000,MATCH(ROW()-4,EQA.Controllab_Dados!$S$2:$S$5000,0)),"")</f>
        <v/>
      </c>
      <c r="R146" t="str">
        <f>IFERROR(INDEX(EQA.Controllab_Dados!R$2:R$5000,MATCH(ROW()-4,EQA.Controllab_Dados!$S$2:$S$5000,0)),"")</f>
        <v/>
      </c>
    </row>
    <row r="147" spans="1:18" x14ac:dyDescent="0.3">
      <c r="A147" t="str">
        <f>IFERROR(INDEX(EQA.Controllab_Dados!A$2:A$5000,MATCH(ROW()-4,EQA.Controllab_Dados!$S$2:$S$5000,0)),"")</f>
        <v/>
      </c>
      <c r="B147" t="str">
        <f>IFERROR(INDEX(EQA.Controllab_Dados!B$2:B$5000,MATCH(ROW()-4,EQA.Controllab_Dados!$S$2:$S$5000,0)),"")</f>
        <v/>
      </c>
      <c r="C147" s="126" t="str">
        <f>IFERROR(INDEX(EQA.Controllab_Dados!C$2:C$5000,MATCH(ROW()-4,EQA.Controllab_Dados!$S$2:$S$5000,0)),"")</f>
        <v/>
      </c>
      <c r="D147" t="str">
        <f>IFERROR(INDEX(EQA.Controllab_Dados!D$2:D$5000,MATCH(ROW()-4,EQA.Controllab_Dados!$S$2:$S$5000,0)),"")</f>
        <v/>
      </c>
      <c r="E147" t="str">
        <f>IFERROR(INDEX(EQA.Controllab_Dados!E$2:E$5000,MATCH(ROW()-4,EQA.Controllab_Dados!$S$2:$S$5000,0)),"")</f>
        <v/>
      </c>
      <c r="F147" s="137" t="str">
        <f>IFERROR(INDEX(EQA.Controllab_Dados!F$2:F$5000,MATCH(ROW()-4,EQA.Controllab_Dados!$S$2:$S$5000,0)),"")</f>
        <v/>
      </c>
      <c r="G147" s="138" t="str">
        <f>IFERROR(INDEX(EQA.Controllab_Dados!G$2:G$5000,MATCH(ROW()-4,EQA.Controllab_Dados!$S$2:$S$5000,0)),"")</f>
        <v/>
      </c>
      <c r="H147" s="138" t="str">
        <f>IFERROR(INDEX(EQA.Controllab_Dados!H$2:H$5000,MATCH(ROW()-4,EQA.Controllab_Dados!$S$2:$S$5000,0)),"")</f>
        <v/>
      </c>
      <c r="I147" s="139" t="str">
        <f>IFERROR(INDEX(EQA.Controllab_Dados!I$2:I$5000,MATCH(ROW()-4,EQA.Controllab_Dados!$S$2:$S$5000,0)),"")</f>
        <v/>
      </c>
      <c r="J147" s="137" t="str">
        <f>IFERROR(INDEX(EQA.Controllab_Dados!J$2:J$5000,MATCH(ROW()-4,EQA.Controllab_Dados!$S$2:$S$5000,0)),"")</f>
        <v/>
      </c>
      <c r="K147" s="137" t="str">
        <f>IFERROR(INDEX(EQA.Controllab_Dados!K$2:K$5000,MATCH(ROW()-4,EQA.Controllab_Dados!$S$2:$S$5000,0)),"")</f>
        <v/>
      </c>
      <c r="L147" t="str">
        <f>IFERROR(INDEX(EQA.Controllab_Dados!L$2:L$5000,MATCH(ROW()-4,EQA.Controllab_Dados!$S$2:$S$5000,0)),"")</f>
        <v/>
      </c>
      <c r="M147" s="126" t="str">
        <f>IFERROR(INDEX(EQA.Controllab_Dados!M$2:M$5000,MATCH(ROW()-4,EQA.Controllab_Dados!$S$2:$S$5000,0)),"")</f>
        <v/>
      </c>
      <c r="N147" t="str">
        <f>IFERROR(INDEX(EQA.Controllab_Dados!N$2:N$5000,MATCH(ROW()-4,EQA.Controllab_Dados!$S$2:$S$5000,0)),"")</f>
        <v/>
      </c>
      <c r="O147" s="137" t="str">
        <f>IFERROR(INDEX(EQA.Controllab_Dados!O$2:O$5000,MATCH(ROW()-4,EQA.Controllab_Dados!$S$2:$S$5000,0)),"")</f>
        <v/>
      </c>
      <c r="P147" s="137" t="str">
        <f>IFERROR(INDEX(EQA.Controllab_Dados!P$2:P$5000,MATCH(ROW()-4,EQA.Controllab_Dados!$S$2:$S$5000,0)),"")</f>
        <v/>
      </c>
      <c r="Q147" s="126" t="str">
        <f>IFERROR(INDEX(EQA.Controllab_Dados!Q$2:Q$5000,MATCH(ROW()-4,EQA.Controllab_Dados!$S$2:$S$5000,0)),"")</f>
        <v/>
      </c>
      <c r="R147" t="str">
        <f>IFERROR(INDEX(EQA.Controllab_Dados!R$2:R$5000,MATCH(ROW()-4,EQA.Controllab_Dados!$S$2:$S$5000,0)),"")</f>
        <v/>
      </c>
    </row>
    <row r="148" spans="1:18" x14ac:dyDescent="0.3">
      <c r="A148" t="str">
        <f>IFERROR(INDEX(EQA.Controllab_Dados!A$2:A$5000,MATCH(ROW()-4,EQA.Controllab_Dados!$S$2:$S$5000,0)),"")</f>
        <v/>
      </c>
      <c r="B148" t="str">
        <f>IFERROR(INDEX(EQA.Controllab_Dados!B$2:B$5000,MATCH(ROW()-4,EQA.Controllab_Dados!$S$2:$S$5000,0)),"")</f>
        <v/>
      </c>
      <c r="C148" s="126" t="str">
        <f>IFERROR(INDEX(EQA.Controllab_Dados!C$2:C$5000,MATCH(ROW()-4,EQA.Controllab_Dados!$S$2:$S$5000,0)),"")</f>
        <v/>
      </c>
      <c r="D148" t="str">
        <f>IFERROR(INDEX(EQA.Controllab_Dados!D$2:D$5000,MATCH(ROW()-4,EQA.Controllab_Dados!$S$2:$S$5000,0)),"")</f>
        <v/>
      </c>
      <c r="E148" t="str">
        <f>IFERROR(INDEX(EQA.Controllab_Dados!E$2:E$5000,MATCH(ROW()-4,EQA.Controllab_Dados!$S$2:$S$5000,0)),"")</f>
        <v/>
      </c>
      <c r="F148" s="137" t="str">
        <f>IFERROR(INDEX(EQA.Controllab_Dados!F$2:F$5000,MATCH(ROW()-4,EQA.Controllab_Dados!$S$2:$S$5000,0)),"")</f>
        <v/>
      </c>
      <c r="G148" s="138" t="str">
        <f>IFERROR(INDEX(EQA.Controllab_Dados!G$2:G$5000,MATCH(ROW()-4,EQA.Controllab_Dados!$S$2:$S$5000,0)),"")</f>
        <v/>
      </c>
      <c r="H148" s="138" t="str">
        <f>IFERROR(INDEX(EQA.Controllab_Dados!H$2:H$5000,MATCH(ROW()-4,EQA.Controllab_Dados!$S$2:$S$5000,0)),"")</f>
        <v/>
      </c>
      <c r="I148" s="139" t="str">
        <f>IFERROR(INDEX(EQA.Controllab_Dados!I$2:I$5000,MATCH(ROW()-4,EQA.Controllab_Dados!$S$2:$S$5000,0)),"")</f>
        <v/>
      </c>
      <c r="J148" s="137" t="str">
        <f>IFERROR(INDEX(EQA.Controllab_Dados!J$2:J$5000,MATCH(ROW()-4,EQA.Controllab_Dados!$S$2:$S$5000,0)),"")</f>
        <v/>
      </c>
      <c r="K148" s="137" t="str">
        <f>IFERROR(INDEX(EQA.Controllab_Dados!K$2:K$5000,MATCH(ROW()-4,EQA.Controllab_Dados!$S$2:$S$5000,0)),"")</f>
        <v/>
      </c>
      <c r="L148" t="str">
        <f>IFERROR(INDEX(EQA.Controllab_Dados!L$2:L$5000,MATCH(ROW()-4,EQA.Controllab_Dados!$S$2:$S$5000,0)),"")</f>
        <v/>
      </c>
      <c r="M148" s="126" t="str">
        <f>IFERROR(INDEX(EQA.Controllab_Dados!M$2:M$5000,MATCH(ROW()-4,EQA.Controllab_Dados!$S$2:$S$5000,0)),"")</f>
        <v/>
      </c>
      <c r="N148" t="str">
        <f>IFERROR(INDEX(EQA.Controllab_Dados!N$2:N$5000,MATCH(ROW()-4,EQA.Controllab_Dados!$S$2:$S$5000,0)),"")</f>
        <v/>
      </c>
      <c r="O148" s="137" t="str">
        <f>IFERROR(INDEX(EQA.Controllab_Dados!O$2:O$5000,MATCH(ROW()-4,EQA.Controllab_Dados!$S$2:$S$5000,0)),"")</f>
        <v/>
      </c>
      <c r="P148" s="137" t="str">
        <f>IFERROR(INDEX(EQA.Controllab_Dados!P$2:P$5000,MATCH(ROW()-4,EQA.Controllab_Dados!$S$2:$S$5000,0)),"")</f>
        <v/>
      </c>
      <c r="Q148" s="126" t="str">
        <f>IFERROR(INDEX(EQA.Controllab_Dados!Q$2:Q$5000,MATCH(ROW()-4,EQA.Controllab_Dados!$S$2:$S$5000,0)),"")</f>
        <v/>
      </c>
      <c r="R148" t="str">
        <f>IFERROR(INDEX(EQA.Controllab_Dados!R$2:R$5000,MATCH(ROW()-4,EQA.Controllab_Dados!$S$2:$S$5000,0)),"")</f>
        <v/>
      </c>
    </row>
    <row r="149" spans="1:18" x14ac:dyDescent="0.3">
      <c r="A149" t="str">
        <f>IFERROR(INDEX(EQA.Controllab_Dados!A$2:A$5000,MATCH(ROW()-4,EQA.Controllab_Dados!$S$2:$S$5000,0)),"")</f>
        <v/>
      </c>
      <c r="B149" t="str">
        <f>IFERROR(INDEX(EQA.Controllab_Dados!B$2:B$5000,MATCH(ROW()-4,EQA.Controllab_Dados!$S$2:$S$5000,0)),"")</f>
        <v/>
      </c>
      <c r="C149" s="126" t="str">
        <f>IFERROR(INDEX(EQA.Controllab_Dados!C$2:C$5000,MATCH(ROW()-4,EQA.Controllab_Dados!$S$2:$S$5000,0)),"")</f>
        <v/>
      </c>
      <c r="D149" t="str">
        <f>IFERROR(INDEX(EQA.Controllab_Dados!D$2:D$5000,MATCH(ROW()-4,EQA.Controllab_Dados!$S$2:$S$5000,0)),"")</f>
        <v/>
      </c>
      <c r="E149" t="str">
        <f>IFERROR(INDEX(EQA.Controllab_Dados!E$2:E$5000,MATCH(ROW()-4,EQA.Controllab_Dados!$S$2:$S$5000,0)),"")</f>
        <v/>
      </c>
      <c r="F149" s="137" t="str">
        <f>IFERROR(INDEX(EQA.Controllab_Dados!F$2:F$5000,MATCH(ROW()-4,EQA.Controllab_Dados!$S$2:$S$5000,0)),"")</f>
        <v/>
      </c>
      <c r="G149" s="138" t="str">
        <f>IFERROR(INDEX(EQA.Controllab_Dados!G$2:G$5000,MATCH(ROW()-4,EQA.Controllab_Dados!$S$2:$S$5000,0)),"")</f>
        <v/>
      </c>
      <c r="H149" s="138" t="str">
        <f>IFERROR(INDEX(EQA.Controllab_Dados!H$2:H$5000,MATCH(ROW()-4,EQA.Controllab_Dados!$S$2:$S$5000,0)),"")</f>
        <v/>
      </c>
      <c r="I149" s="139" t="str">
        <f>IFERROR(INDEX(EQA.Controllab_Dados!I$2:I$5000,MATCH(ROW()-4,EQA.Controllab_Dados!$S$2:$S$5000,0)),"")</f>
        <v/>
      </c>
      <c r="J149" s="137" t="str">
        <f>IFERROR(INDEX(EQA.Controllab_Dados!J$2:J$5000,MATCH(ROW()-4,EQA.Controllab_Dados!$S$2:$S$5000,0)),"")</f>
        <v/>
      </c>
      <c r="K149" s="137" t="str">
        <f>IFERROR(INDEX(EQA.Controllab_Dados!K$2:K$5000,MATCH(ROW()-4,EQA.Controllab_Dados!$S$2:$S$5000,0)),"")</f>
        <v/>
      </c>
      <c r="L149" t="str">
        <f>IFERROR(INDEX(EQA.Controllab_Dados!L$2:L$5000,MATCH(ROW()-4,EQA.Controllab_Dados!$S$2:$S$5000,0)),"")</f>
        <v/>
      </c>
      <c r="M149" s="126" t="str">
        <f>IFERROR(INDEX(EQA.Controllab_Dados!M$2:M$5000,MATCH(ROW()-4,EQA.Controllab_Dados!$S$2:$S$5000,0)),"")</f>
        <v/>
      </c>
      <c r="N149" t="str">
        <f>IFERROR(INDEX(EQA.Controllab_Dados!N$2:N$5000,MATCH(ROW()-4,EQA.Controllab_Dados!$S$2:$S$5000,0)),"")</f>
        <v/>
      </c>
      <c r="O149" s="137" t="str">
        <f>IFERROR(INDEX(EQA.Controllab_Dados!O$2:O$5000,MATCH(ROW()-4,EQA.Controllab_Dados!$S$2:$S$5000,0)),"")</f>
        <v/>
      </c>
      <c r="P149" s="137" t="str">
        <f>IFERROR(INDEX(EQA.Controllab_Dados!P$2:P$5000,MATCH(ROW()-4,EQA.Controllab_Dados!$S$2:$S$5000,0)),"")</f>
        <v/>
      </c>
      <c r="Q149" s="126" t="str">
        <f>IFERROR(INDEX(EQA.Controllab_Dados!Q$2:Q$5000,MATCH(ROW()-4,EQA.Controllab_Dados!$S$2:$S$5000,0)),"")</f>
        <v/>
      </c>
      <c r="R149" t="str">
        <f>IFERROR(INDEX(EQA.Controllab_Dados!R$2:R$5000,MATCH(ROW()-4,EQA.Controllab_Dados!$S$2:$S$5000,0)),"")</f>
        <v/>
      </c>
    </row>
    <row r="150" spans="1:18" x14ac:dyDescent="0.3">
      <c r="A150" t="str">
        <f>IFERROR(INDEX(EQA.Controllab_Dados!A$2:A$5000,MATCH(ROW()-4,EQA.Controllab_Dados!$S$2:$S$5000,0)),"")</f>
        <v/>
      </c>
      <c r="B150" t="str">
        <f>IFERROR(INDEX(EQA.Controllab_Dados!B$2:B$5000,MATCH(ROW()-4,EQA.Controllab_Dados!$S$2:$S$5000,0)),"")</f>
        <v/>
      </c>
      <c r="C150" s="126" t="str">
        <f>IFERROR(INDEX(EQA.Controllab_Dados!C$2:C$5000,MATCH(ROW()-4,EQA.Controllab_Dados!$S$2:$S$5000,0)),"")</f>
        <v/>
      </c>
      <c r="D150" t="str">
        <f>IFERROR(INDEX(EQA.Controllab_Dados!D$2:D$5000,MATCH(ROW()-4,EQA.Controllab_Dados!$S$2:$S$5000,0)),"")</f>
        <v/>
      </c>
      <c r="E150" t="str">
        <f>IFERROR(INDEX(EQA.Controllab_Dados!E$2:E$5000,MATCH(ROW()-4,EQA.Controllab_Dados!$S$2:$S$5000,0)),"")</f>
        <v/>
      </c>
      <c r="F150" s="137" t="str">
        <f>IFERROR(INDEX(EQA.Controllab_Dados!F$2:F$5000,MATCH(ROW()-4,EQA.Controllab_Dados!$S$2:$S$5000,0)),"")</f>
        <v/>
      </c>
      <c r="G150" s="138" t="str">
        <f>IFERROR(INDEX(EQA.Controllab_Dados!G$2:G$5000,MATCH(ROW()-4,EQA.Controllab_Dados!$S$2:$S$5000,0)),"")</f>
        <v/>
      </c>
      <c r="H150" s="138" t="str">
        <f>IFERROR(INDEX(EQA.Controllab_Dados!H$2:H$5000,MATCH(ROW()-4,EQA.Controllab_Dados!$S$2:$S$5000,0)),"")</f>
        <v/>
      </c>
      <c r="I150" s="139" t="str">
        <f>IFERROR(INDEX(EQA.Controllab_Dados!I$2:I$5000,MATCH(ROW()-4,EQA.Controllab_Dados!$S$2:$S$5000,0)),"")</f>
        <v/>
      </c>
      <c r="J150" s="137" t="str">
        <f>IFERROR(INDEX(EQA.Controllab_Dados!J$2:J$5000,MATCH(ROW()-4,EQA.Controllab_Dados!$S$2:$S$5000,0)),"")</f>
        <v/>
      </c>
      <c r="K150" s="137" t="str">
        <f>IFERROR(INDEX(EQA.Controllab_Dados!K$2:K$5000,MATCH(ROW()-4,EQA.Controllab_Dados!$S$2:$S$5000,0)),"")</f>
        <v/>
      </c>
      <c r="L150" t="str">
        <f>IFERROR(INDEX(EQA.Controllab_Dados!L$2:L$5000,MATCH(ROW()-4,EQA.Controllab_Dados!$S$2:$S$5000,0)),"")</f>
        <v/>
      </c>
      <c r="M150" s="126" t="str">
        <f>IFERROR(INDEX(EQA.Controllab_Dados!M$2:M$5000,MATCH(ROW()-4,EQA.Controllab_Dados!$S$2:$S$5000,0)),"")</f>
        <v/>
      </c>
      <c r="N150" t="str">
        <f>IFERROR(INDEX(EQA.Controllab_Dados!N$2:N$5000,MATCH(ROW()-4,EQA.Controllab_Dados!$S$2:$S$5000,0)),"")</f>
        <v/>
      </c>
      <c r="O150" s="137" t="str">
        <f>IFERROR(INDEX(EQA.Controllab_Dados!O$2:O$5000,MATCH(ROW()-4,EQA.Controllab_Dados!$S$2:$S$5000,0)),"")</f>
        <v/>
      </c>
      <c r="P150" s="137" t="str">
        <f>IFERROR(INDEX(EQA.Controllab_Dados!P$2:P$5000,MATCH(ROW()-4,EQA.Controllab_Dados!$S$2:$S$5000,0)),"")</f>
        <v/>
      </c>
      <c r="Q150" s="126" t="str">
        <f>IFERROR(INDEX(EQA.Controllab_Dados!Q$2:Q$5000,MATCH(ROW()-4,EQA.Controllab_Dados!$S$2:$S$5000,0)),"")</f>
        <v/>
      </c>
      <c r="R150" t="str">
        <f>IFERROR(INDEX(EQA.Controllab_Dados!R$2:R$5000,MATCH(ROW()-4,EQA.Controllab_Dados!$S$2:$S$5000,0)),"")</f>
        <v/>
      </c>
    </row>
    <row r="151" spans="1:18" x14ac:dyDescent="0.3">
      <c r="A151" t="str">
        <f>IFERROR(INDEX(EQA.Controllab_Dados!A$2:A$5000,MATCH(ROW()-4,EQA.Controllab_Dados!$S$2:$S$5000,0)),"")</f>
        <v/>
      </c>
      <c r="B151" t="str">
        <f>IFERROR(INDEX(EQA.Controllab_Dados!B$2:B$5000,MATCH(ROW()-4,EQA.Controllab_Dados!$S$2:$S$5000,0)),"")</f>
        <v/>
      </c>
      <c r="C151" s="126" t="str">
        <f>IFERROR(INDEX(EQA.Controllab_Dados!C$2:C$5000,MATCH(ROW()-4,EQA.Controllab_Dados!$S$2:$S$5000,0)),"")</f>
        <v/>
      </c>
      <c r="D151" t="str">
        <f>IFERROR(INDEX(EQA.Controllab_Dados!D$2:D$5000,MATCH(ROW()-4,EQA.Controllab_Dados!$S$2:$S$5000,0)),"")</f>
        <v/>
      </c>
      <c r="E151" t="str">
        <f>IFERROR(INDEX(EQA.Controllab_Dados!E$2:E$5000,MATCH(ROW()-4,EQA.Controllab_Dados!$S$2:$S$5000,0)),"")</f>
        <v/>
      </c>
      <c r="F151" s="137" t="str">
        <f>IFERROR(INDEX(EQA.Controllab_Dados!F$2:F$5000,MATCH(ROW()-4,EQA.Controllab_Dados!$S$2:$S$5000,0)),"")</f>
        <v/>
      </c>
      <c r="G151" s="138" t="str">
        <f>IFERROR(INDEX(EQA.Controllab_Dados!G$2:G$5000,MATCH(ROW()-4,EQA.Controllab_Dados!$S$2:$S$5000,0)),"")</f>
        <v/>
      </c>
      <c r="H151" s="138" t="str">
        <f>IFERROR(INDEX(EQA.Controllab_Dados!H$2:H$5000,MATCH(ROW()-4,EQA.Controllab_Dados!$S$2:$S$5000,0)),"")</f>
        <v/>
      </c>
      <c r="I151" s="139" t="str">
        <f>IFERROR(INDEX(EQA.Controllab_Dados!I$2:I$5000,MATCH(ROW()-4,EQA.Controllab_Dados!$S$2:$S$5000,0)),"")</f>
        <v/>
      </c>
      <c r="J151" s="137" t="str">
        <f>IFERROR(INDEX(EQA.Controllab_Dados!J$2:J$5000,MATCH(ROW()-4,EQA.Controllab_Dados!$S$2:$S$5000,0)),"")</f>
        <v/>
      </c>
      <c r="K151" s="137" t="str">
        <f>IFERROR(INDEX(EQA.Controllab_Dados!K$2:K$5000,MATCH(ROW()-4,EQA.Controllab_Dados!$S$2:$S$5000,0)),"")</f>
        <v/>
      </c>
      <c r="L151" t="str">
        <f>IFERROR(INDEX(EQA.Controllab_Dados!L$2:L$5000,MATCH(ROW()-4,EQA.Controllab_Dados!$S$2:$S$5000,0)),"")</f>
        <v/>
      </c>
      <c r="M151" s="126" t="str">
        <f>IFERROR(INDEX(EQA.Controllab_Dados!M$2:M$5000,MATCH(ROW()-4,EQA.Controllab_Dados!$S$2:$S$5000,0)),"")</f>
        <v/>
      </c>
      <c r="N151" t="str">
        <f>IFERROR(INDEX(EQA.Controllab_Dados!N$2:N$5000,MATCH(ROW()-4,EQA.Controllab_Dados!$S$2:$S$5000,0)),"")</f>
        <v/>
      </c>
      <c r="O151" s="137" t="str">
        <f>IFERROR(INDEX(EQA.Controllab_Dados!O$2:O$5000,MATCH(ROW()-4,EQA.Controllab_Dados!$S$2:$S$5000,0)),"")</f>
        <v/>
      </c>
      <c r="P151" s="137" t="str">
        <f>IFERROR(INDEX(EQA.Controllab_Dados!P$2:P$5000,MATCH(ROW()-4,EQA.Controllab_Dados!$S$2:$S$5000,0)),"")</f>
        <v/>
      </c>
      <c r="Q151" s="126" t="str">
        <f>IFERROR(INDEX(EQA.Controllab_Dados!Q$2:Q$5000,MATCH(ROW()-4,EQA.Controllab_Dados!$S$2:$S$5000,0)),"")</f>
        <v/>
      </c>
      <c r="R151" t="str">
        <f>IFERROR(INDEX(EQA.Controllab_Dados!R$2:R$5000,MATCH(ROW()-4,EQA.Controllab_Dados!$S$2:$S$5000,0)),"")</f>
        <v/>
      </c>
    </row>
    <row r="152" spans="1:18" x14ac:dyDescent="0.3">
      <c r="A152" t="str">
        <f>IFERROR(INDEX(EQA.Controllab_Dados!A$2:A$5000,MATCH(ROW()-4,EQA.Controllab_Dados!$S$2:$S$5000,0)),"")</f>
        <v/>
      </c>
      <c r="B152" t="str">
        <f>IFERROR(INDEX(EQA.Controllab_Dados!B$2:B$5000,MATCH(ROW()-4,EQA.Controllab_Dados!$S$2:$S$5000,0)),"")</f>
        <v/>
      </c>
      <c r="C152" s="126" t="str">
        <f>IFERROR(INDEX(EQA.Controllab_Dados!C$2:C$5000,MATCH(ROW()-4,EQA.Controllab_Dados!$S$2:$S$5000,0)),"")</f>
        <v/>
      </c>
      <c r="D152" t="str">
        <f>IFERROR(INDEX(EQA.Controllab_Dados!D$2:D$5000,MATCH(ROW()-4,EQA.Controllab_Dados!$S$2:$S$5000,0)),"")</f>
        <v/>
      </c>
      <c r="E152" t="str">
        <f>IFERROR(INDEX(EQA.Controllab_Dados!E$2:E$5000,MATCH(ROW()-4,EQA.Controllab_Dados!$S$2:$S$5000,0)),"")</f>
        <v/>
      </c>
      <c r="F152" s="137" t="str">
        <f>IFERROR(INDEX(EQA.Controllab_Dados!F$2:F$5000,MATCH(ROW()-4,EQA.Controllab_Dados!$S$2:$S$5000,0)),"")</f>
        <v/>
      </c>
      <c r="G152" s="138" t="str">
        <f>IFERROR(INDEX(EQA.Controllab_Dados!G$2:G$5000,MATCH(ROW()-4,EQA.Controllab_Dados!$S$2:$S$5000,0)),"")</f>
        <v/>
      </c>
      <c r="H152" s="138" t="str">
        <f>IFERROR(INDEX(EQA.Controllab_Dados!H$2:H$5000,MATCH(ROW()-4,EQA.Controllab_Dados!$S$2:$S$5000,0)),"")</f>
        <v/>
      </c>
      <c r="I152" s="139" t="str">
        <f>IFERROR(INDEX(EQA.Controllab_Dados!I$2:I$5000,MATCH(ROW()-4,EQA.Controllab_Dados!$S$2:$S$5000,0)),"")</f>
        <v/>
      </c>
      <c r="J152" s="137" t="str">
        <f>IFERROR(INDEX(EQA.Controllab_Dados!J$2:J$5000,MATCH(ROW()-4,EQA.Controllab_Dados!$S$2:$S$5000,0)),"")</f>
        <v/>
      </c>
      <c r="K152" s="137" t="str">
        <f>IFERROR(INDEX(EQA.Controllab_Dados!K$2:K$5000,MATCH(ROW()-4,EQA.Controllab_Dados!$S$2:$S$5000,0)),"")</f>
        <v/>
      </c>
      <c r="L152" t="str">
        <f>IFERROR(INDEX(EQA.Controllab_Dados!L$2:L$5000,MATCH(ROW()-4,EQA.Controllab_Dados!$S$2:$S$5000,0)),"")</f>
        <v/>
      </c>
      <c r="M152" s="126" t="str">
        <f>IFERROR(INDEX(EQA.Controllab_Dados!M$2:M$5000,MATCH(ROW()-4,EQA.Controllab_Dados!$S$2:$S$5000,0)),"")</f>
        <v/>
      </c>
      <c r="N152" t="str">
        <f>IFERROR(INDEX(EQA.Controllab_Dados!N$2:N$5000,MATCH(ROW()-4,EQA.Controllab_Dados!$S$2:$S$5000,0)),"")</f>
        <v/>
      </c>
      <c r="O152" s="137" t="str">
        <f>IFERROR(INDEX(EQA.Controllab_Dados!O$2:O$5000,MATCH(ROW()-4,EQA.Controllab_Dados!$S$2:$S$5000,0)),"")</f>
        <v/>
      </c>
      <c r="P152" s="137" t="str">
        <f>IFERROR(INDEX(EQA.Controllab_Dados!P$2:P$5000,MATCH(ROW()-4,EQA.Controllab_Dados!$S$2:$S$5000,0)),"")</f>
        <v/>
      </c>
      <c r="Q152" s="126" t="str">
        <f>IFERROR(INDEX(EQA.Controllab_Dados!Q$2:Q$5000,MATCH(ROW()-4,EQA.Controllab_Dados!$S$2:$S$5000,0)),"")</f>
        <v/>
      </c>
      <c r="R152" t="str">
        <f>IFERROR(INDEX(EQA.Controllab_Dados!R$2:R$5000,MATCH(ROW()-4,EQA.Controllab_Dados!$S$2:$S$5000,0)),"")</f>
        <v/>
      </c>
    </row>
    <row r="153" spans="1:18" x14ac:dyDescent="0.3">
      <c r="A153" t="str">
        <f>IFERROR(INDEX(EQA.Controllab_Dados!A$2:A$5000,MATCH(ROW()-4,EQA.Controllab_Dados!$S$2:$S$5000,0)),"")</f>
        <v/>
      </c>
      <c r="B153" t="str">
        <f>IFERROR(INDEX(EQA.Controllab_Dados!B$2:B$5000,MATCH(ROW()-4,EQA.Controllab_Dados!$S$2:$S$5000,0)),"")</f>
        <v/>
      </c>
      <c r="C153" s="126" t="str">
        <f>IFERROR(INDEX(EQA.Controllab_Dados!C$2:C$5000,MATCH(ROW()-4,EQA.Controllab_Dados!$S$2:$S$5000,0)),"")</f>
        <v/>
      </c>
      <c r="D153" t="str">
        <f>IFERROR(INDEX(EQA.Controllab_Dados!D$2:D$5000,MATCH(ROW()-4,EQA.Controllab_Dados!$S$2:$S$5000,0)),"")</f>
        <v/>
      </c>
      <c r="E153" t="str">
        <f>IFERROR(INDEX(EQA.Controllab_Dados!E$2:E$5000,MATCH(ROW()-4,EQA.Controllab_Dados!$S$2:$S$5000,0)),"")</f>
        <v/>
      </c>
      <c r="F153" s="137" t="str">
        <f>IFERROR(INDEX(EQA.Controllab_Dados!F$2:F$5000,MATCH(ROW()-4,EQA.Controllab_Dados!$S$2:$S$5000,0)),"")</f>
        <v/>
      </c>
      <c r="G153" s="138" t="str">
        <f>IFERROR(INDEX(EQA.Controllab_Dados!G$2:G$5000,MATCH(ROW()-4,EQA.Controllab_Dados!$S$2:$S$5000,0)),"")</f>
        <v/>
      </c>
      <c r="H153" s="138" t="str">
        <f>IFERROR(INDEX(EQA.Controllab_Dados!H$2:H$5000,MATCH(ROW()-4,EQA.Controllab_Dados!$S$2:$S$5000,0)),"")</f>
        <v/>
      </c>
      <c r="I153" s="139" t="str">
        <f>IFERROR(INDEX(EQA.Controllab_Dados!I$2:I$5000,MATCH(ROW()-4,EQA.Controllab_Dados!$S$2:$S$5000,0)),"")</f>
        <v/>
      </c>
      <c r="J153" s="137" t="str">
        <f>IFERROR(INDEX(EQA.Controllab_Dados!J$2:J$5000,MATCH(ROW()-4,EQA.Controllab_Dados!$S$2:$S$5000,0)),"")</f>
        <v/>
      </c>
      <c r="K153" s="137" t="str">
        <f>IFERROR(INDEX(EQA.Controllab_Dados!K$2:K$5000,MATCH(ROW()-4,EQA.Controllab_Dados!$S$2:$S$5000,0)),"")</f>
        <v/>
      </c>
      <c r="L153" t="str">
        <f>IFERROR(INDEX(EQA.Controllab_Dados!L$2:L$5000,MATCH(ROW()-4,EQA.Controllab_Dados!$S$2:$S$5000,0)),"")</f>
        <v/>
      </c>
      <c r="M153" s="126" t="str">
        <f>IFERROR(INDEX(EQA.Controllab_Dados!M$2:M$5000,MATCH(ROW()-4,EQA.Controllab_Dados!$S$2:$S$5000,0)),"")</f>
        <v/>
      </c>
      <c r="N153" t="str">
        <f>IFERROR(INDEX(EQA.Controllab_Dados!N$2:N$5000,MATCH(ROW()-4,EQA.Controllab_Dados!$S$2:$S$5000,0)),"")</f>
        <v/>
      </c>
      <c r="O153" s="137" t="str">
        <f>IFERROR(INDEX(EQA.Controllab_Dados!O$2:O$5000,MATCH(ROW()-4,EQA.Controllab_Dados!$S$2:$S$5000,0)),"")</f>
        <v/>
      </c>
      <c r="P153" s="137" t="str">
        <f>IFERROR(INDEX(EQA.Controllab_Dados!P$2:P$5000,MATCH(ROW()-4,EQA.Controllab_Dados!$S$2:$S$5000,0)),"")</f>
        <v/>
      </c>
      <c r="Q153" s="126" t="str">
        <f>IFERROR(INDEX(EQA.Controllab_Dados!Q$2:Q$5000,MATCH(ROW()-4,EQA.Controllab_Dados!$S$2:$S$5000,0)),"")</f>
        <v/>
      </c>
      <c r="R153" t="str">
        <f>IFERROR(INDEX(EQA.Controllab_Dados!R$2:R$5000,MATCH(ROW()-4,EQA.Controllab_Dados!$S$2:$S$5000,0)),"")</f>
        <v/>
      </c>
    </row>
    <row r="154" spans="1:18" x14ac:dyDescent="0.3">
      <c r="A154" t="str">
        <f>IFERROR(INDEX(EQA.Controllab_Dados!A$2:A$5000,MATCH(ROW()-4,EQA.Controllab_Dados!$S$2:$S$5000,0)),"")</f>
        <v/>
      </c>
      <c r="B154" t="str">
        <f>IFERROR(INDEX(EQA.Controllab_Dados!B$2:B$5000,MATCH(ROW()-4,EQA.Controllab_Dados!$S$2:$S$5000,0)),"")</f>
        <v/>
      </c>
      <c r="C154" s="126" t="str">
        <f>IFERROR(INDEX(EQA.Controllab_Dados!C$2:C$5000,MATCH(ROW()-4,EQA.Controllab_Dados!$S$2:$S$5000,0)),"")</f>
        <v/>
      </c>
      <c r="D154" t="str">
        <f>IFERROR(INDEX(EQA.Controllab_Dados!D$2:D$5000,MATCH(ROW()-4,EQA.Controllab_Dados!$S$2:$S$5000,0)),"")</f>
        <v/>
      </c>
      <c r="E154" t="str">
        <f>IFERROR(INDEX(EQA.Controllab_Dados!E$2:E$5000,MATCH(ROW()-4,EQA.Controllab_Dados!$S$2:$S$5000,0)),"")</f>
        <v/>
      </c>
      <c r="F154" s="137" t="str">
        <f>IFERROR(INDEX(EQA.Controllab_Dados!F$2:F$5000,MATCH(ROW()-4,EQA.Controllab_Dados!$S$2:$S$5000,0)),"")</f>
        <v/>
      </c>
      <c r="G154" s="138" t="str">
        <f>IFERROR(INDEX(EQA.Controllab_Dados!G$2:G$5000,MATCH(ROW()-4,EQA.Controllab_Dados!$S$2:$S$5000,0)),"")</f>
        <v/>
      </c>
      <c r="H154" s="138" t="str">
        <f>IFERROR(INDEX(EQA.Controllab_Dados!H$2:H$5000,MATCH(ROW()-4,EQA.Controllab_Dados!$S$2:$S$5000,0)),"")</f>
        <v/>
      </c>
      <c r="I154" s="139" t="str">
        <f>IFERROR(INDEX(EQA.Controllab_Dados!I$2:I$5000,MATCH(ROW()-4,EQA.Controllab_Dados!$S$2:$S$5000,0)),"")</f>
        <v/>
      </c>
      <c r="J154" s="137" t="str">
        <f>IFERROR(INDEX(EQA.Controllab_Dados!J$2:J$5000,MATCH(ROW()-4,EQA.Controllab_Dados!$S$2:$S$5000,0)),"")</f>
        <v/>
      </c>
      <c r="K154" s="137" t="str">
        <f>IFERROR(INDEX(EQA.Controllab_Dados!K$2:K$5000,MATCH(ROW()-4,EQA.Controllab_Dados!$S$2:$S$5000,0)),"")</f>
        <v/>
      </c>
      <c r="L154" t="str">
        <f>IFERROR(INDEX(EQA.Controllab_Dados!L$2:L$5000,MATCH(ROW()-4,EQA.Controllab_Dados!$S$2:$S$5000,0)),"")</f>
        <v/>
      </c>
      <c r="M154" s="126" t="str">
        <f>IFERROR(INDEX(EQA.Controllab_Dados!M$2:M$5000,MATCH(ROW()-4,EQA.Controllab_Dados!$S$2:$S$5000,0)),"")</f>
        <v/>
      </c>
      <c r="N154" t="str">
        <f>IFERROR(INDEX(EQA.Controllab_Dados!N$2:N$5000,MATCH(ROW()-4,EQA.Controllab_Dados!$S$2:$S$5000,0)),"")</f>
        <v/>
      </c>
      <c r="O154" s="137" t="str">
        <f>IFERROR(INDEX(EQA.Controllab_Dados!O$2:O$5000,MATCH(ROW()-4,EQA.Controllab_Dados!$S$2:$S$5000,0)),"")</f>
        <v/>
      </c>
      <c r="P154" s="137" t="str">
        <f>IFERROR(INDEX(EQA.Controllab_Dados!P$2:P$5000,MATCH(ROW()-4,EQA.Controllab_Dados!$S$2:$S$5000,0)),"")</f>
        <v/>
      </c>
      <c r="Q154" s="126" t="str">
        <f>IFERROR(INDEX(EQA.Controllab_Dados!Q$2:Q$5000,MATCH(ROW()-4,EQA.Controllab_Dados!$S$2:$S$5000,0)),"")</f>
        <v/>
      </c>
      <c r="R154" t="str">
        <f>IFERROR(INDEX(EQA.Controllab_Dados!R$2:R$5000,MATCH(ROW()-4,EQA.Controllab_Dados!$S$2:$S$5000,0)),"")</f>
        <v/>
      </c>
    </row>
    <row r="155" spans="1:18" x14ac:dyDescent="0.3">
      <c r="A155" t="str">
        <f>IFERROR(INDEX(EQA.Controllab_Dados!A$2:A$5000,MATCH(ROW()-4,EQA.Controllab_Dados!$S$2:$S$5000,0)),"")</f>
        <v/>
      </c>
      <c r="B155" t="str">
        <f>IFERROR(INDEX(EQA.Controllab_Dados!B$2:B$5000,MATCH(ROW()-4,EQA.Controllab_Dados!$S$2:$S$5000,0)),"")</f>
        <v/>
      </c>
      <c r="C155" s="126" t="str">
        <f>IFERROR(INDEX(EQA.Controllab_Dados!C$2:C$5000,MATCH(ROW()-4,EQA.Controllab_Dados!$S$2:$S$5000,0)),"")</f>
        <v/>
      </c>
      <c r="D155" t="str">
        <f>IFERROR(INDEX(EQA.Controllab_Dados!D$2:D$5000,MATCH(ROW()-4,EQA.Controllab_Dados!$S$2:$S$5000,0)),"")</f>
        <v/>
      </c>
      <c r="E155" t="str">
        <f>IFERROR(INDEX(EQA.Controllab_Dados!E$2:E$5000,MATCH(ROW()-4,EQA.Controllab_Dados!$S$2:$S$5000,0)),"")</f>
        <v/>
      </c>
      <c r="F155" s="137" t="str">
        <f>IFERROR(INDEX(EQA.Controllab_Dados!F$2:F$5000,MATCH(ROW()-4,EQA.Controllab_Dados!$S$2:$S$5000,0)),"")</f>
        <v/>
      </c>
      <c r="G155" s="138" t="str">
        <f>IFERROR(INDEX(EQA.Controllab_Dados!G$2:G$5000,MATCH(ROW()-4,EQA.Controllab_Dados!$S$2:$S$5000,0)),"")</f>
        <v/>
      </c>
      <c r="H155" s="138" t="str">
        <f>IFERROR(INDEX(EQA.Controllab_Dados!H$2:H$5000,MATCH(ROW()-4,EQA.Controllab_Dados!$S$2:$S$5000,0)),"")</f>
        <v/>
      </c>
      <c r="I155" s="139" t="str">
        <f>IFERROR(INDEX(EQA.Controllab_Dados!I$2:I$5000,MATCH(ROW()-4,EQA.Controllab_Dados!$S$2:$S$5000,0)),"")</f>
        <v/>
      </c>
      <c r="J155" s="137" t="str">
        <f>IFERROR(INDEX(EQA.Controllab_Dados!J$2:J$5000,MATCH(ROW()-4,EQA.Controllab_Dados!$S$2:$S$5000,0)),"")</f>
        <v/>
      </c>
      <c r="K155" s="137" t="str">
        <f>IFERROR(INDEX(EQA.Controllab_Dados!K$2:K$5000,MATCH(ROW()-4,EQA.Controllab_Dados!$S$2:$S$5000,0)),"")</f>
        <v/>
      </c>
      <c r="L155" t="str">
        <f>IFERROR(INDEX(EQA.Controllab_Dados!L$2:L$5000,MATCH(ROW()-4,EQA.Controllab_Dados!$S$2:$S$5000,0)),"")</f>
        <v/>
      </c>
      <c r="M155" s="126" t="str">
        <f>IFERROR(INDEX(EQA.Controllab_Dados!M$2:M$5000,MATCH(ROW()-4,EQA.Controllab_Dados!$S$2:$S$5000,0)),"")</f>
        <v/>
      </c>
      <c r="N155" t="str">
        <f>IFERROR(INDEX(EQA.Controllab_Dados!N$2:N$5000,MATCH(ROW()-4,EQA.Controllab_Dados!$S$2:$S$5000,0)),"")</f>
        <v/>
      </c>
      <c r="O155" s="137" t="str">
        <f>IFERROR(INDEX(EQA.Controllab_Dados!O$2:O$5000,MATCH(ROW()-4,EQA.Controllab_Dados!$S$2:$S$5000,0)),"")</f>
        <v/>
      </c>
      <c r="P155" s="137" t="str">
        <f>IFERROR(INDEX(EQA.Controllab_Dados!P$2:P$5000,MATCH(ROW()-4,EQA.Controllab_Dados!$S$2:$S$5000,0)),"")</f>
        <v/>
      </c>
      <c r="Q155" s="126" t="str">
        <f>IFERROR(INDEX(EQA.Controllab_Dados!Q$2:Q$5000,MATCH(ROW()-4,EQA.Controllab_Dados!$S$2:$S$5000,0)),"")</f>
        <v/>
      </c>
      <c r="R155" t="str">
        <f>IFERROR(INDEX(EQA.Controllab_Dados!R$2:R$5000,MATCH(ROW()-4,EQA.Controllab_Dados!$S$2:$S$5000,0)),"")</f>
        <v/>
      </c>
    </row>
    <row r="156" spans="1:18" x14ac:dyDescent="0.3">
      <c r="A156" t="str">
        <f>IFERROR(INDEX(EQA.Controllab_Dados!A$2:A$5000,MATCH(ROW()-4,EQA.Controllab_Dados!$S$2:$S$5000,0)),"")</f>
        <v/>
      </c>
      <c r="B156" t="str">
        <f>IFERROR(INDEX(EQA.Controllab_Dados!B$2:B$5000,MATCH(ROW()-4,EQA.Controllab_Dados!$S$2:$S$5000,0)),"")</f>
        <v/>
      </c>
      <c r="C156" s="126" t="str">
        <f>IFERROR(INDEX(EQA.Controllab_Dados!C$2:C$5000,MATCH(ROW()-4,EQA.Controllab_Dados!$S$2:$S$5000,0)),"")</f>
        <v/>
      </c>
      <c r="D156" t="str">
        <f>IFERROR(INDEX(EQA.Controllab_Dados!D$2:D$5000,MATCH(ROW()-4,EQA.Controllab_Dados!$S$2:$S$5000,0)),"")</f>
        <v/>
      </c>
      <c r="E156" t="str">
        <f>IFERROR(INDEX(EQA.Controllab_Dados!E$2:E$5000,MATCH(ROW()-4,EQA.Controllab_Dados!$S$2:$S$5000,0)),"")</f>
        <v/>
      </c>
      <c r="F156" s="137" t="str">
        <f>IFERROR(INDEX(EQA.Controllab_Dados!F$2:F$5000,MATCH(ROW()-4,EQA.Controllab_Dados!$S$2:$S$5000,0)),"")</f>
        <v/>
      </c>
      <c r="G156" s="138" t="str">
        <f>IFERROR(INDEX(EQA.Controllab_Dados!G$2:G$5000,MATCH(ROW()-4,EQA.Controllab_Dados!$S$2:$S$5000,0)),"")</f>
        <v/>
      </c>
      <c r="H156" s="138" t="str">
        <f>IFERROR(INDEX(EQA.Controllab_Dados!H$2:H$5000,MATCH(ROW()-4,EQA.Controllab_Dados!$S$2:$S$5000,0)),"")</f>
        <v/>
      </c>
      <c r="I156" s="139" t="str">
        <f>IFERROR(INDEX(EQA.Controllab_Dados!I$2:I$5000,MATCH(ROW()-4,EQA.Controllab_Dados!$S$2:$S$5000,0)),"")</f>
        <v/>
      </c>
      <c r="J156" s="137" t="str">
        <f>IFERROR(INDEX(EQA.Controllab_Dados!J$2:J$5000,MATCH(ROW()-4,EQA.Controllab_Dados!$S$2:$S$5000,0)),"")</f>
        <v/>
      </c>
      <c r="K156" s="137" t="str">
        <f>IFERROR(INDEX(EQA.Controllab_Dados!K$2:K$5000,MATCH(ROW()-4,EQA.Controllab_Dados!$S$2:$S$5000,0)),"")</f>
        <v/>
      </c>
      <c r="L156" t="str">
        <f>IFERROR(INDEX(EQA.Controllab_Dados!L$2:L$5000,MATCH(ROW()-4,EQA.Controllab_Dados!$S$2:$S$5000,0)),"")</f>
        <v/>
      </c>
      <c r="M156" s="126" t="str">
        <f>IFERROR(INDEX(EQA.Controllab_Dados!M$2:M$5000,MATCH(ROW()-4,EQA.Controllab_Dados!$S$2:$S$5000,0)),"")</f>
        <v/>
      </c>
      <c r="N156" t="str">
        <f>IFERROR(INDEX(EQA.Controllab_Dados!N$2:N$5000,MATCH(ROW()-4,EQA.Controllab_Dados!$S$2:$S$5000,0)),"")</f>
        <v/>
      </c>
      <c r="O156" s="137" t="str">
        <f>IFERROR(INDEX(EQA.Controllab_Dados!O$2:O$5000,MATCH(ROW()-4,EQA.Controllab_Dados!$S$2:$S$5000,0)),"")</f>
        <v/>
      </c>
      <c r="P156" s="137" t="str">
        <f>IFERROR(INDEX(EQA.Controllab_Dados!P$2:P$5000,MATCH(ROW()-4,EQA.Controllab_Dados!$S$2:$S$5000,0)),"")</f>
        <v/>
      </c>
      <c r="Q156" s="126" t="str">
        <f>IFERROR(INDEX(EQA.Controllab_Dados!Q$2:Q$5000,MATCH(ROW()-4,EQA.Controllab_Dados!$S$2:$S$5000,0)),"")</f>
        <v/>
      </c>
      <c r="R156" t="str">
        <f>IFERROR(INDEX(EQA.Controllab_Dados!R$2:R$5000,MATCH(ROW()-4,EQA.Controllab_Dados!$S$2:$S$5000,0)),"")</f>
        <v/>
      </c>
    </row>
    <row r="157" spans="1:18" x14ac:dyDescent="0.3">
      <c r="A157" t="str">
        <f>IFERROR(INDEX(EQA.Controllab_Dados!A$2:A$5000,MATCH(ROW()-4,EQA.Controllab_Dados!$S$2:$S$5000,0)),"")</f>
        <v/>
      </c>
      <c r="B157" t="str">
        <f>IFERROR(INDEX(EQA.Controllab_Dados!B$2:B$5000,MATCH(ROW()-4,EQA.Controllab_Dados!$S$2:$S$5000,0)),"")</f>
        <v/>
      </c>
      <c r="C157" s="126" t="str">
        <f>IFERROR(INDEX(EQA.Controllab_Dados!C$2:C$5000,MATCH(ROW()-4,EQA.Controllab_Dados!$S$2:$S$5000,0)),"")</f>
        <v/>
      </c>
      <c r="D157" t="str">
        <f>IFERROR(INDEX(EQA.Controllab_Dados!D$2:D$5000,MATCH(ROW()-4,EQA.Controllab_Dados!$S$2:$S$5000,0)),"")</f>
        <v/>
      </c>
      <c r="E157" t="str">
        <f>IFERROR(INDEX(EQA.Controllab_Dados!E$2:E$5000,MATCH(ROW()-4,EQA.Controllab_Dados!$S$2:$S$5000,0)),"")</f>
        <v/>
      </c>
      <c r="F157" s="137" t="str">
        <f>IFERROR(INDEX(EQA.Controllab_Dados!F$2:F$5000,MATCH(ROW()-4,EQA.Controllab_Dados!$S$2:$S$5000,0)),"")</f>
        <v/>
      </c>
      <c r="G157" s="138" t="str">
        <f>IFERROR(INDEX(EQA.Controllab_Dados!G$2:G$5000,MATCH(ROW()-4,EQA.Controllab_Dados!$S$2:$S$5000,0)),"")</f>
        <v/>
      </c>
      <c r="H157" s="138" t="str">
        <f>IFERROR(INDEX(EQA.Controllab_Dados!H$2:H$5000,MATCH(ROW()-4,EQA.Controllab_Dados!$S$2:$S$5000,0)),"")</f>
        <v/>
      </c>
      <c r="I157" s="139" t="str">
        <f>IFERROR(INDEX(EQA.Controllab_Dados!I$2:I$5000,MATCH(ROW()-4,EQA.Controllab_Dados!$S$2:$S$5000,0)),"")</f>
        <v/>
      </c>
      <c r="J157" s="137" t="str">
        <f>IFERROR(INDEX(EQA.Controllab_Dados!J$2:J$5000,MATCH(ROW()-4,EQA.Controllab_Dados!$S$2:$S$5000,0)),"")</f>
        <v/>
      </c>
      <c r="K157" s="137" t="str">
        <f>IFERROR(INDEX(EQA.Controllab_Dados!K$2:K$5000,MATCH(ROW()-4,EQA.Controllab_Dados!$S$2:$S$5000,0)),"")</f>
        <v/>
      </c>
      <c r="L157" t="str">
        <f>IFERROR(INDEX(EQA.Controllab_Dados!L$2:L$5000,MATCH(ROW()-4,EQA.Controllab_Dados!$S$2:$S$5000,0)),"")</f>
        <v/>
      </c>
      <c r="M157" s="126" t="str">
        <f>IFERROR(INDEX(EQA.Controllab_Dados!M$2:M$5000,MATCH(ROW()-4,EQA.Controllab_Dados!$S$2:$S$5000,0)),"")</f>
        <v/>
      </c>
      <c r="N157" t="str">
        <f>IFERROR(INDEX(EQA.Controllab_Dados!N$2:N$5000,MATCH(ROW()-4,EQA.Controllab_Dados!$S$2:$S$5000,0)),"")</f>
        <v/>
      </c>
      <c r="O157" s="137" t="str">
        <f>IFERROR(INDEX(EQA.Controllab_Dados!O$2:O$5000,MATCH(ROW()-4,EQA.Controllab_Dados!$S$2:$S$5000,0)),"")</f>
        <v/>
      </c>
      <c r="P157" s="137" t="str">
        <f>IFERROR(INDEX(EQA.Controllab_Dados!P$2:P$5000,MATCH(ROW()-4,EQA.Controllab_Dados!$S$2:$S$5000,0)),"")</f>
        <v/>
      </c>
      <c r="Q157" s="126" t="str">
        <f>IFERROR(INDEX(EQA.Controllab_Dados!Q$2:Q$5000,MATCH(ROW()-4,EQA.Controllab_Dados!$S$2:$S$5000,0)),"")</f>
        <v/>
      </c>
      <c r="R157" t="str">
        <f>IFERROR(INDEX(EQA.Controllab_Dados!R$2:R$5000,MATCH(ROW()-4,EQA.Controllab_Dados!$S$2:$S$5000,0)),"")</f>
        <v/>
      </c>
    </row>
    <row r="158" spans="1:18" x14ac:dyDescent="0.3">
      <c r="A158" t="str">
        <f>IFERROR(INDEX(EQA.Controllab_Dados!A$2:A$5000,MATCH(ROW()-4,EQA.Controllab_Dados!$S$2:$S$5000,0)),"")</f>
        <v/>
      </c>
      <c r="B158" t="str">
        <f>IFERROR(INDEX(EQA.Controllab_Dados!B$2:B$5000,MATCH(ROW()-4,EQA.Controllab_Dados!$S$2:$S$5000,0)),"")</f>
        <v/>
      </c>
      <c r="C158" s="126" t="str">
        <f>IFERROR(INDEX(EQA.Controllab_Dados!C$2:C$5000,MATCH(ROW()-4,EQA.Controllab_Dados!$S$2:$S$5000,0)),"")</f>
        <v/>
      </c>
      <c r="D158" t="str">
        <f>IFERROR(INDEX(EQA.Controllab_Dados!D$2:D$5000,MATCH(ROW()-4,EQA.Controllab_Dados!$S$2:$S$5000,0)),"")</f>
        <v/>
      </c>
      <c r="E158" t="str">
        <f>IFERROR(INDEX(EQA.Controllab_Dados!E$2:E$5000,MATCH(ROW()-4,EQA.Controllab_Dados!$S$2:$S$5000,0)),"")</f>
        <v/>
      </c>
      <c r="F158" s="137" t="str">
        <f>IFERROR(INDEX(EQA.Controllab_Dados!F$2:F$5000,MATCH(ROW()-4,EQA.Controllab_Dados!$S$2:$S$5000,0)),"")</f>
        <v/>
      </c>
      <c r="G158" s="138" t="str">
        <f>IFERROR(INDEX(EQA.Controllab_Dados!G$2:G$5000,MATCH(ROW()-4,EQA.Controllab_Dados!$S$2:$S$5000,0)),"")</f>
        <v/>
      </c>
      <c r="H158" s="138" t="str">
        <f>IFERROR(INDEX(EQA.Controllab_Dados!H$2:H$5000,MATCH(ROW()-4,EQA.Controllab_Dados!$S$2:$S$5000,0)),"")</f>
        <v/>
      </c>
      <c r="I158" s="139" t="str">
        <f>IFERROR(INDEX(EQA.Controllab_Dados!I$2:I$5000,MATCH(ROW()-4,EQA.Controllab_Dados!$S$2:$S$5000,0)),"")</f>
        <v/>
      </c>
      <c r="J158" s="137" t="str">
        <f>IFERROR(INDEX(EQA.Controllab_Dados!J$2:J$5000,MATCH(ROW()-4,EQA.Controllab_Dados!$S$2:$S$5000,0)),"")</f>
        <v/>
      </c>
      <c r="K158" s="137" t="str">
        <f>IFERROR(INDEX(EQA.Controllab_Dados!K$2:K$5000,MATCH(ROW()-4,EQA.Controllab_Dados!$S$2:$S$5000,0)),"")</f>
        <v/>
      </c>
      <c r="L158" t="str">
        <f>IFERROR(INDEX(EQA.Controllab_Dados!L$2:L$5000,MATCH(ROW()-4,EQA.Controllab_Dados!$S$2:$S$5000,0)),"")</f>
        <v/>
      </c>
      <c r="M158" s="126" t="str">
        <f>IFERROR(INDEX(EQA.Controllab_Dados!M$2:M$5000,MATCH(ROW()-4,EQA.Controllab_Dados!$S$2:$S$5000,0)),"")</f>
        <v/>
      </c>
      <c r="N158" t="str">
        <f>IFERROR(INDEX(EQA.Controllab_Dados!N$2:N$5000,MATCH(ROW()-4,EQA.Controllab_Dados!$S$2:$S$5000,0)),"")</f>
        <v/>
      </c>
      <c r="O158" s="137" t="str">
        <f>IFERROR(INDEX(EQA.Controllab_Dados!O$2:O$5000,MATCH(ROW()-4,EQA.Controllab_Dados!$S$2:$S$5000,0)),"")</f>
        <v/>
      </c>
      <c r="P158" s="137" t="str">
        <f>IFERROR(INDEX(EQA.Controllab_Dados!P$2:P$5000,MATCH(ROW()-4,EQA.Controllab_Dados!$S$2:$S$5000,0)),"")</f>
        <v/>
      </c>
      <c r="Q158" s="126" t="str">
        <f>IFERROR(INDEX(EQA.Controllab_Dados!Q$2:Q$5000,MATCH(ROW()-4,EQA.Controllab_Dados!$S$2:$S$5000,0)),"")</f>
        <v/>
      </c>
      <c r="R158" t="str">
        <f>IFERROR(INDEX(EQA.Controllab_Dados!R$2:R$5000,MATCH(ROW()-4,EQA.Controllab_Dados!$S$2:$S$5000,0)),"")</f>
        <v/>
      </c>
    </row>
    <row r="159" spans="1:18" x14ac:dyDescent="0.3">
      <c r="A159" t="str">
        <f>IFERROR(INDEX(EQA.Controllab_Dados!A$2:A$5000,MATCH(ROW()-4,EQA.Controllab_Dados!$S$2:$S$5000,0)),"")</f>
        <v/>
      </c>
      <c r="B159" t="str">
        <f>IFERROR(INDEX(EQA.Controllab_Dados!B$2:B$5000,MATCH(ROW()-4,EQA.Controllab_Dados!$S$2:$S$5000,0)),"")</f>
        <v/>
      </c>
      <c r="C159" s="126" t="str">
        <f>IFERROR(INDEX(EQA.Controllab_Dados!C$2:C$5000,MATCH(ROW()-4,EQA.Controllab_Dados!$S$2:$S$5000,0)),"")</f>
        <v/>
      </c>
      <c r="D159" t="str">
        <f>IFERROR(INDEX(EQA.Controllab_Dados!D$2:D$5000,MATCH(ROW()-4,EQA.Controllab_Dados!$S$2:$S$5000,0)),"")</f>
        <v/>
      </c>
      <c r="E159" t="str">
        <f>IFERROR(INDEX(EQA.Controllab_Dados!E$2:E$5000,MATCH(ROW()-4,EQA.Controllab_Dados!$S$2:$S$5000,0)),"")</f>
        <v/>
      </c>
      <c r="F159" s="137" t="str">
        <f>IFERROR(INDEX(EQA.Controllab_Dados!F$2:F$5000,MATCH(ROW()-4,EQA.Controllab_Dados!$S$2:$S$5000,0)),"")</f>
        <v/>
      </c>
      <c r="G159" s="138" t="str">
        <f>IFERROR(INDEX(EQA.Controllab_Dados!G$2:G$5000,MATCH(ROW()-4,EQA.Controllab_Dados!$S$2:$S$5000,0)),"")</f>
        <v/>
      </c>
      <c r="H159" s="138" t="str">
        <f>IFERROR(INDEX(EQA.Controllab_Dados!H$2:H$5000,MATCH(ROW()-4,EQA.Controllab_Dados!$S$2:$S$5000,0)),"")</f>
        <v/>
      </c>
      <c r="I159" s="139" t="str">
        <f>IFERROR(INDEX(EQA.Controllab_Dados!I$2:I$5000,MATCH(ROW()-4,EQA.Controllab_Dados!$S$2:$S$5000,0)),"")</f>
        <v/>
      </c>
      <c r="J159" s="137" t="str">
        <f>IFERROR(INDEX(EQA.Controllab_Dados!J$2:J$5000,MATCH(ROW()-4,EQA.Controllab_Dados!$S$2:$S$5000,0)),"")</f>
        <v/>
      </c>
      <c r="K159" s="137" t="str">
        <f>IFERROR(INDEX(EQA.Controllab_Dados!K$2:K$5000,MATCH(ROW()-4,EQA.Controllab_Dados!$S$2:$S$5000,0)),"")</f>
        <v/>
      </c>
      <c r="L159" t="str">
        <f>IFERROR(INDEX(EQA.Controllab_Dados!L$2:L$5000,MATCH(ROW()-4,EQA.Controllab_Dados!$S$2:$S$5000,0)),"")</f>
        <v/>
      </c>
      <c r="M159" s="126" t="str">
        <f>IFERROR(INDEX(EQA.Controllab_Dados!M$2:M$5000,MATCH(ROW()-4,EQA.Controllab_Dados!$S$2:$S$5000,0)),"")</f>
        <v/>
      </c>
      <c r="N159" t="str">
        <f>IFERROR(INDEX(EQA.Controllab_Dados!N$2:N$5000,MATCH(ROW()-4,EQA.Controllab_Dados!$S$2:$S$5000,0)),"")</f>
        <v/>
      </c>
      <c r="O159" s="137" t="str">
        <f>IFERROR(INDEX(EQA.Controllab_Dados!O$2:O$5000,MATCH(ROW()-4,EQA.Controllab_Dados!$S$2:$S$5000,0)),"")</f>
        <v/>
      </c>
      <c r="P159" s="137" t="str">
        <f>IFERROR(INDEX(EQA.Controllab_Dados!P$2:P$5000,MATCH(ROW()-4,EQA.Controllab_Dados!$S$2:$S$5000,0)),"")</f>
        <v/>
      </c>
      <c r="Q159" s="126" t="str">
        <f>IFERROR(INDEX(EQA.Controllab_Dados!Q$2:Q$5000,MATCH(ROW()-4,EQA.Controllab_Dados!$S$2:$S$5000,0)),"")</f>
        <v/>
      </c>
      <c r="R159" t="str">
        <f>IFERROR(INDEX(EQA.Controllab_Dados!R$2:R$5000,MATCH(ROW()-4,EQA.Controllab_Dados!$S$2:$S$5000,0)),"")</f>
        <v/>
      </c>
    </row>
    <row r="160" spans="1:18" x14ac:dyDescent="0.3">
      <c r="A160" t="str">
        <f>IFERROR(INDEX(EQA.Controllab_Dados!A$2:A$5000,MATCH(ROW()-4,EQA.Controllab_Dados!$S$2:$S$5000,0)),"")</f>
        <v/>
      </c>
      <c r="B160" t="str">
        <f>IFERROR(INDEX(EQA.Controllab_Dados!B$2:B$5000,MATCH(ROW()-4,EQA.Controllab_Dados!$S$2:$S$5000,0)),"")</f>
        <v/>
      </c>
      <c r="C160" s="126" t="str">
        <f>IFERROR(INDEX(EQA.Controllab_Dados!C$2:C$5000,MATCH(ROW()-4,EQA.Controllab_Dados!$S$2:$S$5000,0)),"")</f>
        <v/>
      </c>
      <c r="D160" t="str">
        <f>IFERROR(INDEX(EQA.Controllab_Dados!D$2:D$5000,MATCH(ROW()-4,EQA.Controllab_Dados!$S$2:$S$5000,0)),"")</f>
        <v/>
      </c>
      <c r="E160" t="str">
        <f>IFERROR(INDEX(EQA.Controllab_Dados!E$2:E$5000,MATCH(ROW()-4,EQA.Controllab_Dados!$S$2:$S$5000,0)),"")</f>
        <v/>
      </c>
      <c r="F160" s="137" t="str">
        <f>IFERROR(INDEX(EQA.Controllab_Dados!F$2:F$5000,MATCH(ROW()-4,EQA.Controllab_Dados!$S$2:$S$5000,0)),"")</f>
        <v/>
      </c>
      <c r="G160" s="138" t="str">
        <f>IFERROR(INDEX(EQA.Controllab_Dados!G$2:G$5000,MATCH(ROW()-4,EQA.Controllab_Dados!$S$2:$S$5000,0)),"")</f>
        <v/>
      </c>
      <c r="H160" s="138" t="str">
        <f>IFERROR(INDEX(EQA.Controllab_Dados!H$2:H$5000,MATCH(ROW()-4,EQA.Controllab_Dados!$S$2:$S$5000,0)),"")</f>
        <v/>
      </c>
      <c r="I160" s="139" t="str">
        <f>IFERROR(INDEX(EQA.Controllab_Dados!I$2:I$5000,MATCH(ROW()-4,EQA.Controllab_Dados!$S$2:$S$5000,0)),"")</f>
        <v/>
      </c>
      <c r="J160" s="137" t="str">
        <f>IFERROR(INDEX(EQA.Controllab_Dados!J$2:J$5000,MATCH(ROW()-4,EQA.Controllab_Dados!$S$2:$S$5000,0)),"")</f>
        <v/>
      </c>
      <c r="K160" s="137" t="str">
        <f>IFERROR(INDEX(EQA.Controllab_Dados!K$2:K$5000,MATCH(ROW()-4,EQA.Controllab_Dados!$S$2:$S$5000,0)),"")</f>
        <v/>
      </c>
      <c r="L160" t="str">
        <f>IFERROR(INDEX(EQA.Controllab_Dados!L$2:L$5000,MATCH(ROW()-4,EQA.Controllab_Dados!$S$2:$S$5000,0)),"")</f>
        <v/>
      </c>
      <c r="M160" s="126" t="str">
        <f>IFERROR(INDEX(EQA.Controllab_Dados!M$2:M$5000,MATCH(ROW()-4,EQA.Controllab_Dados!$S$2:$S$5000,0)),"")</f>
        <v/>
      </c>
      <c r="N160" t="str">
        <f>IFERROR(INDEX(EQA.Controllab_Dados!N$2:N$5000,MATCH(ROW()-4,EQA.Controllab_Dados!$S$2:$S$5000,0)),"")</f>
        <v/>
      </c>
      <c r="O160" s="137" t="str">
        <f>IFERROR(INDEX(EQA.Controllab_Dados!O$2:O$5000,MATCH(ROW()-4,EQA.Controllab_Dados!$S$2:$S$5000,0)),"")</f>
        <v/>
      </c>
      <c r="P160" s="137" t="str">
        <f>IFERROR(INDEX(EQA.Controllab_Dados!P$2:P$5000,MATCH(ROW()-4,EQA.Controllab_Dados!$S$2:$S$5000,0)),"")</f>
        <v/>
      </c>
      <c r="Q160" s="126" t="str">
        <f>IFERROR(INDEX(EQA.Controllab_Dados!Q$2:Q$5000,MATCH(ROW()-4,EQA.Controllab_Dados!$S$2:$S$5000,0)),"")</f>
        <v/>
      </c>
      <c r="R160" t="str">
        <f>IFERROR(INDEX(EQA.Controllab_Dados!R$2:R$5000,MATCH(ROW()-4,EQA.Controllab_Dados!$S$2:$S$5000,0)),"")</f>
        <v/>
      </c>
    </row>
    <row r="161" spans="1:18" x14ac:dyDescent="0.3">
      <c r="A161" t="str">
        <f>IFERROR(INDEX(EQA.Controllab_Dados!A$2:A$5000,MATCH(ROW()-4,EQA.Controllab_Dados!$S$2:$S$5000,0)),"")</f>
        <v/>
      </c>
      <c r="B161" t="str">
        <f>IFERROR(INDEX(EQA.Controllab_Dados!B$2:B$5000,MATCH(ROW()-4,EQA.Controllab_Dados!$S$2:$S$5000,0)),"")</f>
        <v/>
      </c>
      <c r="C161" s="126" t="str">
        <f>IFERROR(INDEX(EQA.Controllab_Dados!C$2:C$5000,MATCH(ROW()-4,EQA.Controllab_Dados!$S$2:$S$5000,0)),"")</f>
        <v/>
      </c>
      <c r="D161" t="str">
        <f>IFERROR(INDEX(EQA.Controllab_Dados!D$2:D$5000,MATCH(ROW()-4,EQA.Controllab_Dados!$S$2:$S$5000,0)),"")</f>
        <v/>
      </c>
      <c r="E161" t="str">
        <f>IFERROR(INDEX(EQA.Controllab_Dados!E$2:E$5000,MATCH(ROW()-4,EQA.Controllab_Dados!$S$2:$S$5000,0)),"")</f>
        <v/>
      </c>
      <c r="F161" s="137" t="str">
        <f>IFERROR(INDEX(EQA.Controllab_Dados!F$2:F$5000,MATCH(ROW()-4,EQA.Controllab_Dados!$S$2:$S$5000,0)),"")</f>
        <v/>
      </c>
      <c r="G161" s="138" t="str">
        <f>IFERROR(INDEX(EQA.Controllab_Dados!G$2:G$5000,MATCH(ROW()-4,EQA.Controllab_Dados!$S$2:$S$5000,0)),"")</f>
        <v/>
      </c>
      <c r="H161" s="138" t="str">
        <f>IFERROR(INDEX(EQA.Controllab_Dados!H$2:H$5000,MATCH(ROW()-4,EQA.Controllab_Dados!$S$2:$S$5000,0)),"")</f>
        <v/>
      </c>
      <c r="I161" s="139" t="str">
        <f>IFERROR(INDEX(EQA.Controllab_Dados!I$2:I$5000,MATCH(ROW()-4,EQA.Controllab_Dados!$S$2:$S$5000,0)),"")</f>
        <v/>
      </c>
      <c r="J161" s="137" t="str">
        <f>IFERROR(INDEX(EQA.Controllab_Dados!J$2:J$5000,MATCH(ROW()-4,EQA.Controllab_Dados!$S$2:$S$5000,0)),"")</f>
        <v/>
      </c>
      <c r="K161" s="137" t="str">
        <f>IFERROR(INDEX(EQA.Controllab_Dados!K$2:K$5000,MATCH(ROW()-4,EQA.Controllab_Dados!$S$2:$S$5000,0)),"")</f>
        <v/>
      </c>
      <c r="L161" t="str">
        <f>IFERROR(INDEX(EQA.Controllab_Dados!L$2:L$5000,MATCH(ROW()-4,EQA.Controllab_Dados!$S$2:$S$5000,0)),"")</f>
        <v/>
      </c>
      <c r="M161" s="126" t="str">
        <f>IFERROR(INDEX(EQA.Controllab_Dados!M$2:M$5000,MATCH(ROW()-4,EQA.Controllab_Dados!$S$2:$S$5000,0)),"")</f>
        <v/>
      </c>
      <c r="N161" t="str">
        <f>IFERROR(INDEX(EQA.Controllab_Dados!N$2:N$5000,MATCH(ROW()-4,EQA.Controllab_Dados!$S$2:$S$5000,0)),"")</f>
        <v/>
      </c>
      <c r="O161" s="137" t="str">
        <f>IFERROR(INDEX(EQA.Controllab_Dados!O$2:O$5000,MATCH(ROW()-4,EQA.Controllab_Dados!$S$2:$S$5000,0)),"")</f>
        <v/>
      </c>
      <c r="P161" s="137" t="str">
        <f>IFERROR(INDEX(EQA.Controllab_Dados!P$2:P$5000,MATCH(ROW()-4,EQA.Controllab_Dados!$S$2:$S$5000,0)),"")</f>
        <v/>
      </c>
      <c r="Q161" s="126" t="str">
        <f>IFERROR(INDEX(EQA.Controllab_Dados!Q$2:Q$5000,MATCH(ROW()-4,EQA.Controllab_Dados!$S$2:$S$5000,0)),"")</f>
        <v/>
      </c>
      <c r="R161" t="str">
        <f>IFERROR(INDEX(EQA.Controllab_Dados!R$2:R$5000,MATCH(ROW()-4,EQA.Controllab_Dados!$S$2:$S$5000,0)),"")</f>
        <v/>
      </c>
    </row>
    <row r="162" spans="1:18" x14ac:dyDescent="0.3">
      <c r="A162" t="str">
        <f>IFERROR(INDEX(EQA.Controllab_Dados!A$2:A$5000,MATCH(ROW()-4,EQA.Controllab_Dados!$S$2:$S$5000,0)),"")</f>
        <v/>
      </c>
      <c r="B162" t="str">
        <f>IFERROR(INDEX(EQA.Controllab_Dados!B$2:B$5000,MATCH(ROW()-4,EQA.Controllab_Dados!$S$2:$S$5000,0)),"")</f>
        <v/>
      </c>
      <c r="C162" s="126" t="str">
        <f>IFERROR(INDEX(EQA.Controllab_Dados!C$2:C$5000,MATCH(ROW()-4,EQA.Controllab_Dados!$S$2:$S$5000,0)),"")</f>
        <v/>
      </c>
      <c r="D162" t="str">
        <f>IFERROR(INDEX(EQA.Controllab_Dados!D$2:D$5000,MATCH(ROW()-4,EQA.Controllab_Dados!$S$2:$S$5000,0)),"")</f>
        <v/>
      </c>
      <c r="E162" t="str">
        <f>IFERROR(INDEX(EQA.Controllab_Dados!E$2:E$5000,MATCH(ROW()-4,EQA.Controllab_Dados!$S$2:$S$5000,0)),"")</f>
        <v/>
      </c>
      <c r="F162" s="137" t="str">
        <f>IFERROR(INDEX(EQA.Controllab_Dados!F$2:F$5000,MATCH(ROW()-4,EQA.Controllab_Dados!$S$2:$S$5000,0)),"")</f>
        <v/>
      </c>
      <c r="G162" s="138" t="str">
        <f>IFERROR(INDEX(EQA.Controllab_Dados!G$2:G$5000,MATCH(ROW()-4,EQA.Controllab_Dados!$S$2:$S$5000,0)),"")</f>
        <v/>
      </c>
      <c r="H162" s="138" t="str">
        <f>IFERROR(INDEX(EQA.Controllab_Dados!H$2:H$5000,MATCH(ROW()-4,EQA.Controllab_Dados!$S$2:$S$5000,0)),"")</f>
        <v/>
      </c>
      <c r="I162" s="139" t="str">
        <f>IFERROR(INDEX(EQA.Controllab_Dados!I$2:I$5000,MATCH(ROW()-4,EQA.Controllab_Dados!$S$2:$S$5000,0)),"")</f>
        <v/>
      </c>
      <c r="J162" s="137" t="str">
        <f>IFERROR(INDEX(EQA.Controllab_Dados!J$2:J$5000,MATCH(ROW()-4,EQA.Controllab_Dados!$S$2:$S$5000,0)),"")</f>
        <v/>
      </c>
      <c r="K162" s="137" t="str">
        <f>IFERROR(INDEX(EQA.Controllab_Dados!K$2:K$5000,MATCH(ROW()-4,EQA.Controllab_Dados!$S$2:$S$5000,0)),"")</f>
        <v/>
      </c>
      <c r="L162" t="str">
        <f>IFERROR(INDEX(EQA.Controllab_Dados!L$2:L$5000,MATCH(ROW()-4,EQA.Controllab_Dados!$S$2:$S$5000,0)),"")</f>
        <v/>
      </c>
      <c r="M162" s="126" t="str">
        <f>IFERROR(INDEX(EQA.Controllab_Dados!M$2:M$5000,MATCH(ROW()-4,EQA.Controllab_Dados!$S$2:$S$5000,0)),"")</f>
        <v/>
      </c>
      <c r="N162" t="str">
        <f>IFERROR(INDEX(EQA.Controllab_Dados!N$2:N$5000,MATCH(ROW()-4,EQA.Controllab_Dados!$S$2:$S$5000,0)),"")</f>
        <v/>
      </c>
      <c r="O162" s="137" t="str">
        <f>IFERROR(INDEX(EQA.Controllab_Dados!O$2:O$5000,MATCH(ROW()-4,EQA.Controllab_Dados!$S$2:$S$5000,0)),"")</f>
        <v/>
      </c>
      <c r="P162" s="137" t="str">
        <f>IFERROR(INDEX(EQA.Controllab_Dados!P$2:P$5000,MATCH(ROW()-4,EQA.Controllab_Dados!$S$2:$S$5000,0)),"")</f>
        <v/>
      </c>
      <c r="Q162" s="126" t="str">
        <f>IFERROR(INDEX(EQA.Controllab_Dados!Q$2:Q$5000,MATCH(ROW()-4,EQA.Controllab_Dados!$S$2:$S$5000,0)),"")</f>
        <v/>
      </c>
      <c r="R162" t="str">
        <f>IFERROR(INDEX(EQA.Controllab_Dados!R$2:R$5000,MATCH(ROW()-4,EQA.Controllab_Dados!$S$2:$S$5000,0)),"")</f>
        <v/>
      </c>
    </row>
    <row r="163" spans="1:18" x14ac:dyDescent="0.3">
      <c r="A163" t="str">
        <f>IFERROR(INDEX(EQA.Controllab_Dados!A$2:A$5000,MATCH(ROW()-4,EQA.Controllab_Dados!$S$2:$S$5000,0)),"")</f>
        <v/>
      </c>
      <c r="B163" t="str">
        <f>IFERROR(INDEX(EQA.Controllab_Dados!B$2:B$5000,MATCH(ROW()-4,EQA.Controllab_Dados!$S$2:$S$5000,0)),"")</f>
        <v/>
      </c>
      <c r="C163" s="126" t="str">
        <f>IFERROR(INDEX(EQA.Controllab_Dados!C$2:C$5000,MATCH(ROW()-4,EQA.Controllab_Dados!$S$2:$S$5000,0)),"")</f>
        <v/>
      </c>
      <c r="D163" t="str">
        <f>IFERROR(INDEX(EQA.Controllab_Dados!D$2:D$5000,MATCH(ROW()-4,EQA.Controllab_Dados!$S$2:$S$5000,0)),"")</f>
        <v/>
      </c>
      <c r="E163" t="str">
        <f>IFERROR(INDEX(EQA.Controllab_Dados!E$2:E$5000,MATCH(ROW()-4,EQA.Controllab_Dados!$S$2:$S$5000,0)),"")</f>
        <v/>
      </c>
      <c r="F163" s="137" t="str">
        <f>IFERROR(INDEX(EQA.Controllab_Dados!F$2:F$5000,MATCH(ROW()-4,EQA.Controllab_Dados!$S$2:$S$5000,0)),"")</f>
        <v/>
      </c>
      <c r="G163" s="138" t="str">
        <f>IFERROR(INDEX(EQA.Controllab_Dados!G$2:G$5000,MATCH(ROW()-4,EQA.Controllab_Dados!$S$2:$S$5000,0)),"")</f>
        <v/>
      </c>
      <c r="H163" s="138" t="str">
        <f>IFERROR(INDEX(EQA.Controllab_Dados!H$2:H$5000,MATCH(ROW()-4,EQA.Controllab_Dados!$S$2:$S$5000,0)),"")</f>
        <v/>
      </c>
      <c r="I163" s="139" t="str">
        <f>IFERROR(INDEX(EQA.Controllab_Dados!I$2:I$5000,MATCH(ROW()-4,EQA.Controllab_Dados!$S$2:$S$5000,0)),"")</f>
        <v/>
      </c>
      <c r="J163" s="137" t="str">
        <f>IFERROR(INDEX(EQA.Controllab_Dados!J$2:J$5000,MATCH(ROW()-4,EQA.Controllab_Dados!$S$2:$S$5000,0)),"")</f>
        <v/>
      </c>
      <c r="K163" s="137" t="str">
        <f>IFERROR(INDEX(EQA.Controllab_Dados!K$2:K$5000,MATCH(ROW()-4,EQA.Controllab_Dados!$S$2:$S$5000,0)),"")</f>
        <v/>
      </c>
      <c r="L163" t="str">
        <f>IFERROR(INDEX(EQA.Controllab_Dados!L$2:L$5000,MATCH(ROW()-4,EQA.Controllab_Dados!$S$2:$S$5000,0)),"")</f>
        <v/>
      </c>
      <c r="M163" s="126" t="str">
        <f>IFERROR(INDEX(EQA.Controllab_Dados!M$2:M$5000,MATCH(ROW()-4,EQA.Controllab_Dados!$S$2:$S$5000,0)),"")</f>
        <v/>
      </c>
      <c r="N163" t="str">
        <f>IFERROR(INDEX(EQA.Controllab_Dados!N$2:N$5000,MATCH(ROW()-4,EQA.Controllab_Dados!$S$2:$S$5000,0)),"")</f>
        <v/>
      </c>
      <c r="O163" s="137" t="str">
        <f>IFERROR(INDEX(EQA.Controllab_Dados!O$2:O$5000,MATCH(ROW()-4,EQA.Controllab_Dados!$S$2:$S$5000,0)),"")</f>
        <v/>
      </c>
      <c r="P163" s="137" t="str">
        <f>IFERROR(INDEX(EQA.Controllab_Dados!P$2:P$5000,MATCH(ROW()-4,EQA.Controllab_Dados!$S$2:$S$5000,0)),"")</f>
        <v/>
      </c>
      <c r="Q163" s="126" t="str">
        <f>IFERROR(INDEX(EQA.Controllab_Dados!Q$2:Q$5000,MATCH(ROW()-4,EQA.Controllab_Dados!$S$2:$S$5000,0)),"")</f>
        <v/>
      </c>
      <c r="R163" t="str">
        <f>IFERROR(INDEX(EQA.Controllab_Dados!R$2:R$5000,MATCH(ROW()-4,EQA.Controllab_Dados!$S$2:$S$5000,0)),"")</f>
        <v/>
      </c>
    </row>
    <row r="164" spans="1:18" x14ac:dyDescent="0.3">
      <c r="A164" t="str">
        <f>IFERROR(INDEX(EQA.Controllab_Dados!A$2:A$5000,MATCH(ROW()-4,EQA.Controllab_Dados!$S$2:$S$5000,0)),"")</f>
        <v/>
      </c>
      <c r="B164" t="str">
        <f>IFERROR(INDEX(EQA.Controllab_Dados!B$2:B$5000,MATCH(ROW()-4,EQA.Controllab_Dados!$S$2:$S$5000,0)),"")</f>
        <v/>
      </c>
      <c r="C164" s="126" t="str">
        <f>IFERROR(INDEX(EQA.Controllab_Dados!C$2:C$5000,MATCH(ROW()-4,EQA.Controllab_Dados!$S$2:$S$5000,0)),"")</f>
        <v/>
      </c>
      <c r="D164" t="str">
        <f>IFERROR(INDEX(EQA.Controllab_Dados!D$2:D$5000,MATCH(ROW()-4,EQA.Controllab_Dados!$S$2:$S$5000,0)),"")</f>
        <v/>
      </c>
      <c r="E164" t="str">
        <f>IFERROR(INDEX(EQA.Controllab_Dados!E$2:E$5000,MATCH(ROW()-4,EQA.Controllab_Dados!$S$2:$S$5000,0)),"")</f>
        <v/>
      </c>
      <c r="F164" s="137" t="str">
        <f>IFERROR(INDEX(EQA.Controllab_Dados!F$2:F$5000,MATCH(ROW()-4,EQA.Controllab_Dados!$S$2:$S$5000,0)),"")</f>
        <v/>
      </c>
      <c r="G164" s="138" t="str">
        <f>IFERROR(INDEX(EQA.Controllab_Dados!G$2:G$5000,MATCH(ROW()-4,EQA.Controllab_Dados!$S$2:$S$5000,0)),"")</f>
        <v/>
      </c>
      <c r="H164" s="138" t="str">
        <f>IFERROR(INDEX(EQA.Controllab_Dados!H$2:H$5000,MATCH(ROW()-4,EQA.Controllab_Dados!$S$2:$S$5000,0)),"")</f>
        <v/>
      </c>
      <c r="I164" s="139" t="str">
        <f>IFERROR(INDEX(EQA.Controllab_Dados!I$2:I$5000,MATCH(ROW()-4,EQA.Controllab_Dados!$S$2:$S$5000,0)),"")</f>
        <v/>
      </c>
      <c r="J164" s="137" t="str">
        <f>IFERROR(INDEX(EQA.Controllab_Dados!J$2:J$5000,MATCH(ROW()-4,EQA.Controllab_Dados!$S$2:$S$5000,0)),"")</f>
        <v/>
      </c>
      <c r="K164" s="137" t="str">
        <f>IFERROR(INDEX(EQA.Controllab_Dados!K$2:K$5000,MATCH(ROW()-4,EQA.Controllab_Dados!$S$2:$S$5000,0)),"")</f>
        <v/>
      </c>
      <c r="L164" t="str">
        <f>IFERROR(INDEX(EQA.Controllab_Dados!L$2:L$5000,MATCH(ROW()-4,EQA.Controllab_Dados!$S$2:$S$5000,0)),"")</f>
        <v/>
      </c>
      <c r="M164" s="126" t="str">
        <f>IFERROR(INDEX(EQA.Controllab_Dados!M$2:M$5000,MATCH(ROW()-4,EQA.Controllab_Dados!$S$2:$S$5000,0)),"")</f>
        <v/>
      </c>
      <c r="N164" t="str">
        <f>IFERROR(INDEX(EQA.Controllab_Dados!N$2:N$5000,MATCH(ROW()-4,EQA.Controllab_Dados!$S$2:$S$5000,0)),"")</f>
        <v/>
      </c>
      <c r="O164" s="137" t="str">
        <f>IFERROR(INDEX(EQA.Controllab_Dados!O$2:O$5000,MATCH(ROW()-4,EQA.Controllab_Dados!$S$2:$S$5000,0)),"")</f>
        <v/>
      </c>
      <c r="P164" s="137" t="str">
        <f>IFERROR(INDEX(EQA.Controllab_Dados!P$2:P$5000,MATCH(ROW()-4,EQA.Controllab_Dados!$S$2:$S$5000,0)),"")</f>
        <v/>
      </c>
      <c r="Q164" s="126" t="str">
        <f>IFERROR(INDEX(EQA.Controllab_Dados!Q$2:Q$5000,MATCH(ROW()-4,EQA.Controllab_Dados!$S$2:$S$5000,0)),"")</f>
        <v/>
      </c>
      <c r="R164" t="str">
        <f>IFERROR(INDEX(EQA.Controllab_Dados!R$2:R$5000,MATCH(ROW()-4,EQA.Controllab_Dados!$S$2:$S$5000,0)),"")</f>
        <v/>
      </c>
    </row>
    <row r="165" spans="1:18" x14ac:dyDescent="0.3">
      <c r="A165" t="str">
        <f>IFERROR(INDEX(EQA.Controllab_Dados!A$2:A$5000,MATCH(ROW()-4,EQA.Controllab_Dados!$S$2:$S$5000,0)),"")</f>
        <v/>
      </c>
      <c r="B165" t="str">
        <f>IFERROR(INDEX(EQA.Controllab_Dados!B$2:B$5000,MATCH(ROW()-4,EQA.Controllab_Dados!$S$2:$S$5000,0)),"")</f>
        <v/>
      </c>
      <c r="C165" s="126" t="str">
        <f>IFERROR(INDEX(EQA.Controllab_Dados!C$2:C$5000,MATCH(ROW()-4,EQA.Controllab_Dados!$S$2:$S$5000,0)),"")</f>
        <v/>
      </c>
      <c r="D165" t="str">
        <f>IFERROR(INDEX(EQA.Controllab_Dados!D$2:D$5000,MATCH(ROW()-4,EQA.Controllab_Dados!$S$2:$S$5000,0)),"")</f>
        <v/>
      </c>
      <c r="E165" t="str">
        <f>IFERROR(INDEX(EQA.Controllab_Dados!E$2:E$5000,MATCH(ROW()-4,EQA.Controllab_Dados!$S$2:$S$5000,0)),"")</f>
        <v/>
      </c>
      <c r="F165" s="137" t="str">
        <f>IFERROR(INDEX(EQA.Controllab_Dados!F$2:F$5000,MATCH(ROW()-4,EQA.Controllab_Dados!$S$2:$S$5000,0)),"")</f>
        <v/>
      </c>
      <c r="G165" s="138" t="str">
        <f>IFERROR(INDEX(EQA.Controllab_Dados!G$2:G$5000,MATCH(ROW()-4,EQA.Controllab_Dados!$S$2:$S$5000,0)),"")</f>
        <v/>
      </c>
      <c r="H165" s="138" t="str">
        <f>IFERROR(INDEX(EQA.Controllab_Dados!H$2:H$5000,MATCH(ROW()-4,EQA.Controllab_Dados!$S$2:$S$5000,0)),"")</f>
        <v/>
      </c>
      <c r="I165" s="139" t="str">
        <f>IFERROR(INDEX(EQA.Controllab_Dados!I$2:I$5000,MATCH(ROW()-4,EQA.Controllab_Dados!$S$2:$S$5000,0)),"")</f>
        <v/>
      </c>
      <c r="J165" s="137" t="str">
        <f>IFERROR(INDEX(EQA.Controllab_Dados!J$2:J$5000,MATCH(ROW()-4,EQA.Controllab_Dados!$S$2:$S$5000,0)),"")</f>
        <v/>
      </c>
      <c r="K165" s="137" t="str">
        <f>IFERROR(INDEX(EQA.Controllab_Dados!K$2:K$5000,MATCH(ROW()-4,EQA.Controllab_Dados!$S$2:$S$5000,0)),"")</f>
        <v/>
      </c>
      <c r="L165" t="str">
        <f>IFERROR(INDEX(EQA.Controllab_Dados!L$2:L$5000,MATCH(ROW()-4,EQA.Controllab_Dados!$S$2:$S$5000,0)),"")</f>
        <v/>
      </c>
      <c r="M165" s="126" t="str">
        <f>IFERROR(INDEX(EQA.Controllab_Dados!M$2:M$5000,MATCH(ROW()-4,EQA.Controllab_Dados!$S$2:$S$5000,0)),"")</f>
        <v/>
      </c>
      <c r="N165" t="str">
        <f>IFERROR(INDEX(EQA.Controllab_Dados!N$2:N$5000,MATCH(ROW()-4,EQA.Controllab_Dados!$S$2:$S$5000,0)),"")</f>
        <v/>
      </c>
      <c r="O165" s="137" t="str">
        <f>IFERROR(INDEX(EQA.Controllab_Dados!O$2:O$5000,MATCH(ROW()-4,EQA.Controllab_Dados!$S$2:$S$5000,0)),"")</f>
        <v/>
      </c>
      <c r="P165" s="137" t="str">
        <f>IFERROR(INDEX(EQA.Controllab_Dados!P$2:P$5000,MATCH(ROW()-4,EQA.Controllab_Dados!$S$2:$S$5000,0)),"")</f>
        <v/>
      </c>
      <c r="Q165" s="126" t="str">
        <f>IFERROR(INDEX(EQA.Controllab_Dados!Q$2:Q$5000,MATCH(ROW()-4,EQA.Controllab_Dados!$S$2:$S$5000,0)),"")</f>
        <v/>
      </c>
      <c r="R165" t="str">
        <f>IFERROR(INDEX(EQA.Controllab_Dados!R$2:R$5000,MATCH(ROW()-4,EQA.Controllab_Dados!$S$2:$S$5000,0)),"")</f>
        <v/>
      </c>
    </row>
    <row r="166" spans="1:18" x14ac:dyDescent="0.3">
      <c r="A166" t="str">
        <f>IFERROR(INDEX(EQA.Controllab_Dados!A$2:A$5000,MATCH(ROW()-4,EQA.Controllab_Dados!$S$2:$S$5000,0)),"")</f>
        <v/>
      </c>
      <c r="B166" t="str">
        <f>IFERROR(INDEX(EQA.Controllab_Dados!B$2:B$5000,MATCH(ROW()-4,EQA.Controllab_Dados!$S$2:$S$5000,0)),"")</f>
        <v/>
      </c>
      <c r="C166" s="126" t="str">
        <f>IFERROR(INDEX(EQA.Controllab_Dados!C$2:C$5000,MATCH(ROW()-4,EQA.Controllab_Dados!$S$2:$S$5000,0)),"")</f>
        <v/>
      </c>
      <c r="D166" t="str">
        <f>IFERROR(INDEX(EQA.Controllab_Dados!D$2:D$5000,MATCH(ROW()-4,EQA.Controllab_Dados!$S$2:$S$5000,0)),"")</f>
        <v/>
      </c>
      <c r="E166" t="str">
        <f>IFERROR(INDEX(EQA.Controllab_Dados!E$2:E$5000,MATCH(ROW()-4,EQA.Controllab_Dados!$S$2:$S$5000,0)),"")</f>
        <v/>
      </c>
      <c r="F166" s="137" t="str">
        <f>IFERROR(INDEX(EQA.Controllab_Dados!F$2:F$5000,MATCH(ROW()-4,EQA.Controllab_Dados!$S$2:$S$5000,0)),"")</f>
        <v/>
      </c>
      <c r="G166" s="138" t="str">
        <f>IFERROR(INDEX(EQA.Controllab_Dados!G$2:G$5000,MATCH(ROW()-4,EQA.Controllab_Dados!$S$2:$S$5000,0)),"")</f>
        <v/>
      </c>
      <c r="H166" s="138" t="str">
        <f>IFERROR(INDEX(EQA.Controllab_Dados!H$2:H$5000,MATCH(ROW()-4,EQA.Controllab_Dados!$S$2:$S$5000,0)),"")</f>
        <v/>
      </c>
      <c r="I166" s="139" t="str">
        <f>IFERROR(INDEX(EQA.Controllab_Dados!I$2:I$5000,MATCH(ROW()-4,EQA.Controllab_Dados!$S$2:$S$5000,0)),"")</f>
        <v/>
      </c>
      <c r="J166" s="137" t="str">
        <f>IFERROR(INDEX(EQA.Controllab_Dados!J$2:J$5000,MATCH(ROW()-4,EQA.Controllab_Dados!$S$2:$S$5000,0)),"")</f>
        <v/>
      </c>
      <c r="K166" s="137" t="str">
        <f>IFERROR(INDEX(EQA.Controllab_Dados!K$2:K$5000,MATCH(ROW()-4,EQA.Controllab_Dados!$S$2:$S$5000,0)),"")</f>
        <v/>
      </c>
      <c r="L166" t="str">
        <f>IFERROR(INDEX(EQA.Controllab_Dados!L$2:L$5000,MATCH(ROW()-4,EQA.Controllab_Dados!$S$2:$S$5000,0)),"")</f>
        <v/>
      </c>
      <c r="M166" s="126" t="str">
        <f>IFERROR(INDEX(EQA.Controllab_Dados!M$2:M$5000,MATCH(ROW()-4,EQA.Controllab_Dados!$S$2:$S$5000,0)),"")</f>
        <v/>
      </c>
      <c r="N166" t="str">
        <f>IFERROR(INDEX(EQA.Controllab_Dados!N$2:N$5000,MATCH(ROW()-4,EQA.Controllab_Dados!$S$2:$S$5000,0)),"")</f>
        <v/>
      </c>
      <c r="O166" s="137" t="str">
        <f>IFERROR(INDEX(EQA.Controllab_Dados!O$2:O$5000,MATCH(ROW()-4,EQA.Controllab_Dados!$S$2:$S$5000,0)),"")</f>
        <v/>
      </c>
      <c r="P166" s="137" t="str">
        <f>IFERROR(INDEX(EQA.Controllab_Dados!P$2:P$5000,MATCH(ROW()-4,EQA.Controllab_Dados!$S$2:$S$5000,0)),"")</f>
        <v/>
      </c>
      <c r="Q166" s="126" t="str">
        <f>IFERROR(INDEX(EQA.Controllab_Dados!Q$2:Q$5000,MATCH(ROW()-4,EQA.Controllab_Dados!$S$2:$S$5000,0)),"")</f>
        <v/>
      </c>
      <c r="R166" t="str">
        <f>IFERROR(INDEX(EQA.Controllab_Dados!R$2:R$5000,MATCH(ROW()-4,EQA.Controllab_Dados!$S$2:$S$5000,0)),"")</f>
        <v/>
      </c>
    </row>
    <row r="167" spans="1:18" x14ac:dyDescent="0.3">
      <c r="A167" t="str">
        <f>IFERROR(INDEX(EQA.Controllab_Dados!A$2:A$5000,MATCH(ROW()-4,EQA.Controllab_Dados!$S$2:$S$5000,0)),"")</f>
        <v/>
      </c>
      <c r="B167" t="str">
        <f>IFERROR(INDEX(EQA.Controllab_Dados!B$2:B$5000,MATCH(ROW()-4,EQA.Controllab_Dados!$S$2:$S$5000,0)),"")</f>
        <v/>
      </c>
      <c r="C167" s="126" t="str">
        <f>IFERROR(INDEX(EQA.Controllab_Dados!C$2:C$5000,MATCH(ROW()-4,EQA.Controllab_Dados!$S$2:$S$5000,0)),"")</f>
        <v/>
      </c>
      <c r="D167" t="str">
        <f>IFERROR(INDEX(EQA.Controllab_Dados!D$2:D$5000,MATCH(ROW()-4,EQA.Controllab_Dados!$S$2:$S$5000,0)),"")</f>
        <v/>
      </c>
      <c r="E167" t="str">
        <f>IFERROR(INDEX(EQA.Controllab_Dados!E$2:E$5000,MATCH(ROW()-4,EQA.Controllab_Dados!$S$2:$S$5000,0)),"")</f>
        <v/>
      </c>
      <c r="F167" s="137" t="str">
        <f>IFERROR(INDEX(EQA.Controllab_Dados!F$2:F$5000,MATCH(ROW()-4,EQA.Controllab_Dados!$S$2:$S$5000,0)),"")</f>
        <v/>
      </c>
      <c r="G167" s="138" t="str">
        <f>IFERROR(INDEX(EQA.Controllab_Dados!G$2:G$5000,MATCH(ROW()-4,EQA.Controllab_Dados!$S$2:$S$5000,0)),"")</f>
        <v/>
      </c>
      <c r="H167" s="138" t="str">
        <f>IFERROR(INDEX(EQA.Controllab_Dados!H$2:H$5000,MATCH(ROW()-4,EQA.Controllab_Dados!$S$2:$S$5000,0)),"")</f>
        <v/>
      </c>
      <c r="I167" s="139" t="str">
        <f>IFERROR(INDEX(EQA.Controllab_Dados!I$2:I$5000,MATCH(ROW()-4,EQA.Controllab_Dados!$S$2:$S$5000,0)),"")</f>
        <v/>
      </c>
      <c r="J167" s="137" t="str">
        <f>IFERROR(INDEX(EQA.Controllab_Dados!J$2:J$5000,MATCH(ROW()-4,EQA.Controllab_Dados!$S$2:$S$5000,0)),"")</f>
        <v/>
      </c>
      <c r="K167" s="137" t="str">
        <f>IFERROR(INDEX(EQA.Controllab_Dados!K$2:K$5000,MATCH(ROW()-4,EQA.Controllab_Dados!$S$2:$S$5000,0)),"")</f>
        <v/>
      </c>
      <c r="L167" t="str">
        <f>IFERROR(INDEX(EQA.Controllab_Dados!L$2:L$5000,MATCH(ROW()-4,EQA.Controllab_Dados!$S$2:$S$5000,0)),"")</f>
        <v/>
      </c>
      <c r="M167" s="126" t="str">
        <f>IFERROR(INDEX(EQA.Controllab_Dados!M$2:M$5000,MATCH(ROW()-4,EQA.Controllab_Dados!$S$2:$S$5000,0)),"")</f>
        <v/>
      </c>
      <c r="N167" t="str">
        <f>IFERROR(INDEX(EQA.Controllab_Dados!N$2:N$5000,MATCH(ROW()-4,EQA.Controllab_Dados!$S$2:$S$5000,0)),"")</f>
        <v/>
      </c>
      <c r="O167" s="137" t="str">
        <f>IFERROR(INDEX(EQA.Controllab_Dados!O$2:O$5000,MATCH(ROW()-4,EQA.Controllab_Dados!$S$2:$S$5000,0)),"")</f>
        <v/>
      </c>
      <c r="P167" s="137" t="str">
        <f>IFERROR(INDEX(EQA.Controllab_Dados!P$2:P$5000,MATCH(ROW()-4,EQA.Controllab_Dados!$S$2:$S$5000,0)),"")</f>
        <v/>
      </c>
      <c r="Q167" s="126" t="str">
        <f>IFERROR(INDEX(EQA.Controllab_Dados!Q$2:Q$5000,MATCH(ROW()-4,EQA.Controllab_Dados!$S$2:$S$5000,0)),"")</f>
        <v/>
      </c>
      <c r="R167" t="str">
        <f>IFERROR(INDEX(EQA.Controllab_Dados!R$2:R$5000,MATCH(ROW()-4,EQA.Controllab_Dados!$S$2:$S$5000,0)),"")</f>
        <v/>
      </c>
    </row>
    <row r="168" spans="1:18" x14ac:dyDescent="0.3">
      <c r="A168" t="str">
        <f>IFERROR(INDEX(EQA.Controllab_Dados!A$2:A$5000,MATCH(ROW()-4,EQA.Controllab_Dados!$S$2:$S$5000,0)),"")</f>
        <v/>
      </c>
      <c r="B168" t="str">
        <f>IFERROR(INDEX(EQA.Controllab_Dados!B$2:B$5000,MATCH(ROW()-4,EQA.Controllab_Dados!$S$2:$S$5000,0)),"")</f>
        <v/>
      </c>
      <c r="C168" s="126" t="str">
        <f>IFERROR(INDEX(EQA.Controllab_Dados!C$2:C$5000,MATCH(ROW()-4,EQA.Controllab_Dados!$S$2:$S$5000,0)),"")</f>
        <v/>
      </c>
      <c r="D168" t="str">
        <f>IFERROR(INDEX(EQA.Controllab_Dados!D$2:D$5000,MATCH(ROW()-4,EQA.Controllab_Dados!$S$2:$S$5000,0)),"")</f>
        <v/>
      </c>
      <c r="E168" t="str">
        <f>IFERROR(INDEX(EQA.Controllab_Dados!E$2:E$5000,MATCH(ROW()-4,EQA.Controllab_Dados!$S$2:$S$5000,0)),"")</f>
        <v/>
      </c>
      <c r="F168" s="137" t="str">
        <f>IFERROR(INDEX(EQA.Controllab_Dados!F$2:F$5000,MATCH(ROW()-4,EQA.Controllab_Dados!$S$2:$S$5000,0)),"")</f>
        <v/>
      </c>
      <c r="G168" s="138" t="str">
        <f>IFERROR(INDEX(EQA.Controllab_Dados!G$2:G$5000,MATCH(ROW()-4,EQA.Controllab_Dados!$S$2:$S$5000,0)),"")</f>
        <v/>
      </c>
      <c r="H168" s="138" t="str">
        <f>IFERROR(INDEX(EQA.Controllab_Dados!H$2:H$5000,MATCH(ROW()-4,EQA.Controllab_Dados!$S$2:$S$5000,0)),"")</f>
        <v/>
      </c>
      <c r="I168" s="139" t="str">
        <f>IFERROR(INDEX(EQA.Controllab_Dados!I$2:I$5000,MATCH(ROW()-4,EQA.Controllab_Dados!$S$2:$S$5000,0)),"")</f>
        <v/>
      </c>
      <c r="J168" s="137" t="str">
        <f>IFERROR(INDEX(EQA.Controllab_Dados!J$2:J$5000,MATCH(ROW()-4,EQA.Controllab_Dados!$S$2:$S$5000,0)),"")</f>
        <v/>
      </c>
      <c r="K168" s="137" t="str">
        <f>IFERROR(INDEX(EQA.Controllab_Dados!K$2:K$5000,MATCH(ROW()-4,EQA.Controllab_Dados!$S$2:$S$5000,0)),"")</f>
        <v/>
      </c>
      <c r="L168" t="str">
        <f>IFERROR(INDEX(EQA.Controllab_Dados!L$2:L$5000,MATCH(ROW()-4,EQA.Controllab_Dados!$S$2:$S$5000,0)),"")</f>
        <v/>
      </c>
      <c r="M168" s="126" t="str">
        <f>IFERROR(INDEX(EQA.Controllab_Dados!M$2:M$5000,MATCH(ROW()-4,EQA.Controllab_Dados!$S$2:$S$5000,0)),"")</f>
        <v/>
      </c>
      <c r="N168" t="str">
        <f>IFERROR(INDEX(EQA.Controllab_Dados!N$2:N$5000,MATCH(ROW()-4,EQA.Controllab_Dados!$S$2:$S$5000,0)),"")</f>
        <v/>
      </c>
      <c r="O168" s="137" t="str">
        <f>IFERROR(INDEX(EQA.Controllab_Dados!O$2:O$5000,MATCH(ROW()-4,EQA.Controllab_Dados!$S$2:$S$5000,0)),"")</f>
        <v/>
      </c>
      <c r="P168" s="137" t="str">
        <f>IFERROR(INDEX(EQA.Controllab_Dados!P$2:P$5000,MATCH(ROW()-4,EQA.Controllab_Dados!$S$2:$S$5000,0)),"")</f>
        <v/>
      </c>
      <c r="Q168" s="126" t="str">
        <f>IFERROR(INDEX(EQA.Controllab_Dados!Q$2:Q$5000,MATCH(ROW()-4,EQA.Controllab_Dados!$S$2:$S$5000,0)),"")</f>
        <v/>
      </c>
      <c r="R168" t="str">
        <f>IFERROR(INDEX(EQA.Controllab_Dados!R$2:R$5000,MATCH(ROW()-4,EQA.Controllab_Dados!$S$2:$S$5000,0)),"")</f>
        <v/>
      </c>
    </row>
    <row r="169" spans="1:18" x14ac:dyDescent="0.3">
      <c r="A169" t="str">
        <f>IFERROR(INDEX(EQA.Controllab_Dados!A$2:A$5000,MATCH(ROW()-4,EQA.Controllab_Dados!$S$2:$S$5000,0)),"")</f>
        <v/>
      </c>
      <c r="B169" t="str">
        <f>IFERROR(INDEX(EQA.Controllab_Dados!B$2:B$5000,MATCH(ROW()-4,EQA.Controllab_Dados!$S$2:$S$5000,0)),"")</f>
        <v/>
      </c>
      <c r="C169" s="126" t="str">
        <f>IFERROR(INDEX(EQA.Controllab_Dados!C$2:C$5000,MATCH(ROW()-4,EQA.Controllab_Dados!$S$2:$S$5000,0)),"")</f>
        <v/>
      </c>
      <c r="D169" t="str">
        <f>IFERROR(INDEX(EQA.Controllab_Dados!D$2:D$5000,MATCH(ROW()-4,EQA.Controllab_Dados!$S$2:$S$5000,0)),"")</f>
        <v/>
      </c>
      <c r="E169" t="str">
        <f>IFERROR(INDEX(EQA.Controllab_Dados!E$2:E$5000,MATCH(ROW()-4,EQA.Controllab_Dados!$S$2:$S$5000,0)),"")</f>
        <v/>
      </c>
      <c r="F169" s="137" t="str">
        <f>IFERROR(INDEX(EQA.Controllab_Dados!F$2:F$5000,MATCH(ROW()-4,EQA.Controllab_Dados!$S$2:$S$5000,0)),"")</f>
        <v/>
      </c>
      <c r="G169" s="138" t="str">
        <f>IFERROR(INDEX(EQA.Controllab_Dados!G$2:G$5000,MATCH(ROW()-4,EQA.Controllab_Dados!$S$2:$S$5000,0)),"")</f>
        <v/>
      </c>
      <c r="H169" s="138" t="str">
        <f>IFERROR(INDEX(EQA.Controllab_Dados!H$2:H$5000,MATCH(ROW()-4,EQA.Controllab_Dados!$S$2:$S$5000,0)),"")</f>
        <v/>
      </c>
      <c r="I169" s="139" t="str">
        <f>IFERROR(INDEX(EQA.Controllab_Dados!I$2:I$5000,MATCH(ROW()-4,EQA.Controllab_Dados!$S$2:$S$5000,0)),"")</f>
        <v/>
      </c>
      <c r="J169" s="137" t="str">
        <f>IFERROR(INDEX(EQA.Controllab_Dados!J$2:J$5000,MATCH(ROW()-4,EQA.Controllab_Dados!$S$2:$S$5000,0)),"")</f>
        <v/>
      </c>
      <c r="K169" s="137" t="str">
        <f>IFERROR(INDEX(EQA.Controllab_Dados!K$2:K$5000,MATCH(ROW()-4,EQA.Controllab_Dados!$S$2:$S$5000,0)),"")</f>
        <v/>
      </c>
      <c r="L169" t="str">
        <f>IFERROR(INDEX(EQA.Controllab_Dados!L$2:L$5000,MATCH(ROW()-4,EQA.Controllab_Dados!$S$2:$S$5000,0)),"")</f>
        <v/>
      </c>
      <c r="M169" s="126" t="str">
        <f>IFERROR(INDEX(EQA.Controllab_Dados!M$2:M$5000,MATCH(ROW()-4,EQA.Controllab_Dados!$S$2:$S$5000,0)),"")</f>
        <v/>
      </c>
      <c r="N169" t="str">
        <f>IFERROR(INDEX(EQA.Controllab_Dados!N$2:N$5000,MATCH(ROW()-4,EQA.Controllab_Dados!$S$2:$S$5000,0)),"")</f>
        <v/>
      </c>
      <c r="O169" s="137" t="str">
        <f>IFERROR(INDEX(EQA.Controllab_Dados!O$2:O$5000,MATCH(ROW()-4,EQA.Controllab_Dados!$S$2:$S$5000,0)),"")</f>
        <v/>
      </c>
      <c r="P169" s="137" t="str">
        <f>IFERROR(INDEX(EQA.Controllab_Dados!P$2:P$5000,MATCH(ROW()-4,EQA.Controllab_Dados!$S$2:$S$5000,0)),"")</f>
        <v/>
      </c>
      <c r="Q169" s="126" t="str">
        <f>IFERROR(INDEX(EQA.Controllab_Dados!Q$2:Q$5000,MATCH(ROW()-4,EQA.Controllab_Dados!$S$2:$S$5000,0)),"")</f>
        <v/>
      </c>
      <c r="R169" t="str">
        <f>IFERROR(INDEX(EQA.Controllab_Dados!R$2:R$5000,MATCH(ROW()-4,EQA.Controllab_Dados!$S$2:$S$5000,0)),"")</f>
        <v/>
      </c>
    </row>
    <row r="170" spans="1:18" x14ac:dyDescent="0.3">
      <c r="A170" t="str">
        <f>IFERROR(INDEX(EQA.Controllab_Dados!A$2:A$5000,MATCH(ROW()-4,EQA.Controllab_Dados!$S$2:$S$5000,0)),"")</f>
        <v/>
      </c>
      <c r="B170" t="str">
        <f>IFERROR(INDEX(EQA.Controllab_Dados!B$2:B$5000,MATCH(ROW()-4,EQA.Controllab_Dados!$S$2:$S$5000,0)),"")</f>
        <v/>
      </c>
      <c r="C170" s="126" t="str">
        <f>IFERROR(INDEX(EQA.Controllab_Dados!C$2:C$5000,MATCH(ROW()-4,EQA.Controllab_Dados!$S$2:$S$5000,0)),"")</f>
        <v/>
      </c>
      <c r="D170" t="str">
        <f>IFERROR(INDEX(EQA.Controllab_Dados!D$2:D$5000,MATCH(ROW()-4,EQA.Controllab_Dados!$S$2:$S$5000,0)),"")</f>
        <v/>
      </c>
      <c r="E170" t="str">
        <f>IFERROR(INDEX(EQA.Controllab_Dados!E$2:E$5000,MATCH(ROW()-4,EQA.Controllab_Dados!$S$2:$S$5000,0)),"")</f>
        <v/>
      </c>
      <c r="F170" s="137" t="str">
        <f>IFERROR(INDEX(EQA.Controllab_Dados!F$2:F$5000,MATCH(ROW()-4,EQA.Controllab_Dados!$S$2:$S$5000,0)),"")</f>
        <v/>
      </c>
      <c r="G170" s="138" t="str">
        <f>IFERROR(INDEX(EQA.Controllab_Dados!G$2:G$5000,MATCH(ROW()-4,EQA.Controllab_Dados!$S$2:$S$5000,0)),"")</f>
        <v/>
      </c>
      <c r="H170" s="138" t="str">
        <f>IFERROR(INDEX(EQA.Controllab_Dados!H$2:H$5000,MATCH(ROW()-4,EQA.Controllab_Dados!$S$2:$S$5000,0)),"")</f>
        <v/>
      </c>
      <c r="I170" s="139" t="str">
        <f>IFERROR(INDEX(EQA.Controllab_Dados!I$2:I$5000,MATCH(ROW()-4,EQA.Controllab_Dados!$S$2:$S$5000,0)),"")</f>
        <v/>
      </c>
      <c r="J170" s="137" t="str">
        <f>IFERROR(INDEX(EQA.Controllab_Dados!J$2:J$5000,MATCH(ROW()-4,EQA.Controllab_Dados!$S$2:$S$5000,0)),"")</f>
        <v/>
      </c>
      <c r="K170" s="137" t="str">
        <f>IFERROR(INDEX(EQA.Controllab_Dados!K$2:K$5000,MATCH(ROW()-4,EQA.Controllab_Dados!$S$2:$S$5000,0)),"")</f>
        <v/>
      </c>
      <c r="L170" t="str">
        <f>IFERROR(INDEX(EQA.Controllab_Dados!L$2:L$5000,MATCH(ROW()-4,EQA.Controllab_Dados!$S$2:$S$5000,0)),"")</f>
        <v/>
      </c>
      <c r="M170" s="126" t="str">
        <f>IFERROR(INDEX(EQA.Controllab_Dados!M$2:M$5000,MATCH(ROW()-4,EQA.Controllab_Dados!$S$2:$S$5000,0)),"")</f>
        <v/>
      </c>
      <c r="N170" t="str">
        <f>IFERROR(INDEX(EQA.Controllab_Dados!N$2:N$5000,MATCH(ROW()-4,EQA.Controllab_Dados!$S$2:$S$5000,0)),"")</f>
        <v/>
      </c>
      <c r="O170" s="137" t="str">
        <f>IFERROR(INDEX(EQA.Controllab_Dados!O$2:O$5000,MATCH(ROW()-4,EQA.Controllab_Dados!$S$2:$S$5000,0)),"")</f>
        <v/>
      </c>
      <c r="P170" s="137" t="str">
        <f>IFERROR(INDEX(EQA.Controllab_Dados!P$2:P$5000,MATCH(ROW()-4,EQA.Controllab_Dados!$S$2:$S$5000,0)),"")</f>
        <v/>
      </c>
      <c r="Q170" s="126" t="str">
        <f>IFERROR(INDEX(EQA.Controllab_Dados!Q$2:Q$5000,MATCH(ROW()-4,EQA.Controllab_Dados!$S$2:$S$5000,0)),"")</f>
        <v/>
      </c>
      <c r="R170" t="str">
        <f>IFERROR(INDEX(EQA.Controllab_Dados!R$2:R$5000,MATCH(ROW()-4,EQA.Controllab_Dados!$S$2:$S$5000,0)),"")</f>
        <v/>
      </c>
    </row>
    <row r="171" spans="1:18" x14ac:dyDescent="0.3">
      <c r="A171" t="str">
        <f>IFERROR(INDEX(EQA.Controllab_Dados!A$2:A$5000,MATCH(ROW()-4,EQA.Controllab_Dados!$S$2:$S$5000,0)),"")</f>
        <v/>
      </c>
      <c r="B171" t="str">
        <f>IFERROR(INDEX(EQA.Controllab_Dados!B$2:B$5000,MATCH(ROW()-4,EQA.Controllab_Dados!$S$2:$S$5000,0)),"")</f>
        <v/>
      </c>
      <c r="C171" s="126" t="str">
        <f>IFERROR(INDEX(EQA.Controllab_Dados!C$2:C$5000,MATCH(ROW()-4,EQA.Controllab_Dados!$S$2:$S$5000,0)),"")</f>
        <v/>
      </c>
      <c r="D171" t="str">
        <f>IFERROR(INDEX(EQA.Controllab_Dados!D$2:D$5000,MATCH(ROW()-4,EQA.Controllab_Dados!$S$2:$S$5000,0)),"")</f>
        <v/>
      </c>
      <c r="E171" t="str">
        <f>IFERROR(INDEX(EQA.Controllab_Dados!E$2:E$5000,MATCH(ROW()-4,EQA.Controllab_Dados!$S$2:$S$5000,0)),"")</f>
        <v/>
      </c>
      <c r="F171" s="137" t="str">
        <f>IFERROR(INDEX(EQA.Controllab_Dados!F$2:F$5000,MATCH(ROW()-4,EQA.Controllab_Dados!$S$2:$S$5000,0)),"")</f>
        <v/>
      </c>
      <c r="G171" s="138" t="str">
        <f>IFERROR(INDEX(EQA.Controllab_Dados!G$2:G$5000,MATCH(ROW()-4,EQA.Controllab_Dados!$S$2:$S$5000,0)),"")</f>
        <v/>
      </c>
      <c r="H171" s="138" t="str">
        <f>IFERROR(INDEX(EQA.Controllab_Dados!H$2:H$5000,MATCH(ROW()-4,EQA.Controllab_Dados!$S$2:$S$5000,0)),"")</f>
        <v/>
      </c>
      <c r="I171" s="139" t="str">
        <f>IFERROR(INDEX(EQA.Controllab_Dados!I$2:I$5000,MATCH(ROW()-4,EQA.Controllab_Dados!$S$2:$S$5000,0)),"")</f>
        <v/>
      </c>
      <c r="J171" s="137" t="str">
        <f>IFERROR(INDEX(EQA.Controllab_Dados!J$2:J$5000,MATCH(ROW()-4,EQA.Controllab_Dados!$S$2:$S$5000,0)),"")</f>
        <v/>
      </c>
      <c r="K171" s="137" t="str">
        <f>IFERROR(INDEX(EQA.Controllab_Dados!K$2:K$5000,MATCH(ROW()-4,EQA.Controllab_Dados!$S$2:$S$5000,0)),"")</f>
        <v/>
      </c>
      <c r="L171" t="str">
        <f>IFERROR(INDEX(EQA.Controllab_Dados!L$2:L$5000,MATCH(ROW()-4,EQA.Controllab_Dados!$S$2:$S$5000,0)),"")</f>
        <v/>
      </c>
      <c r="M171" s="126" t="str">
        <f>IFERROR(INDEX(EQA.Controllab_Dados!M$2:M$5000,MATCH(ROW()-4,EQA.Controllab_Dados!$S$2:$S$5000,0)),"")</f>
        <v/>
      </c>
      <c r="N171" t="str">
        <f>IFERROR(INDEX(EQA.Controllab_Dados!N$2:N$5000,MATCH(ROW()-4,EQA.Controllab_Dados!$S$2:$S$5000,0)),"")</f>
        <v/>
      </c>
      <c r="O171" s="137" t="str">
        <f>IFERROR(INDEX(EQA.Controllab_Dados!O$2:O$5000,MATCH(ROW()-4,EQA.Controllab_Dados!$S$2:$S$5000,0)),"")</f>
        <v/>
      </c>
      <c r="P171" s="137" t="str">
        <f>IFERROR(INDEX(EQA.Controllab_Dados!P$2:P$5000,MATCH(ROW()-4,EQA.Controllab_Dados!$S$2:$S$5000,0)),"")</f>
        <v/>
      </c>
      <c r="Q171" s="126" t="str">
        <f>IFERROR(INDEX(EQA.Controllab_Dados!Q$2:Q$5000,MATCH(ROW()-4,EQA.Controllab_Dados!$S$2:$S$5000,0)),"")</f>
        <v/>
      </c>
      <c r="R171" t="str">
        <f>IFERROR(INDEX(EQA.Controllab_Dados!R$2:R$5000,MATCH(ROW()-4,EQA.Controllab_Dados!$S$2:$S$5000,0)),"")</f>
        <v/>
      </c>
    </row>
    <row r="172" spans="1:18" x14ac:dyDescent="0.3">
      <c r="A172" t="str">
        <f>IFERROR(INDEX(EQA.Controllab_Dados!A$2:A$5000,MATCH(ROW()-4,EQA.Controllab_Dados!$S$2:$S$5000,0)),"")</f>
        <v/>
      </c>
      <c r="B172" t="str">
        <f>IFERROR(INDEX(EQA.Controllab_Dados!B$2:B$5000,MATCH(ROW()-4,EQA.Controllab_Dados!$S$2:$S$5000,0)),"")</f>
        <v/>
      </c>
      <c r="C172" s="126" t="str">
        <f>IFERROR(INDEX(EQA.Controllab_Dados!C$2:C$5000,MATCH(ROW()-4,EQA.Controllab_Dados!$S$2:$S$5000,0)),"")</f>
        <v/>
      </c>
      <c r="D172" t="str">
        <f>IFERROR(INDEX(EQA.Controllab_Dados!D$2:D$5000,MATCH(ROW()-4,EQA.Controllab_Dados!$S$2:$S$5000,0)),"")</f>
        <v/>
      </c>
      <c r="E172" t="str">
        <f>IFERROR(INDEX(EQA.Controllab_Dados!E$2:E$5000,MATCH(ROW()-4,EQA.Controllab_Dados!$S$2:$S$5000,0)),"")</f>
        <v/>
      </c>
      <c r="F172" s="137" t="str">
        <f>IFERROR(INDEX(EQA.Controllab_Dados!F$2:F$5000,MATCH(ROW()-4,EQA.Controllab_Dados!$S$2:$S$5000,0)),"")</f>
        <v/>
      </c>
      <c r="G172" s="138" t="str">
        <f>IFERROR(INDEX(EQA.Controllab_Dados!G$2:G$5000,MATCH(ROW()-4,EQA.Controllab_Dados!$S$2:$S$5000,0)),"")</f>
        <v/>
      </c>
      <c r="H172" s="138" t="str">
        <f>IFERROR(INDEX(EQA.Controllab_Dados!H$2:H$5000,MATCH(ROW()-4,EQA.Controllab_Dados!$S$2:$S$5000,0)),"")</f>
        <v/>
      </c>
      <c r="I172" s="139" t="str">
        <f>IFERROR(INDEX(EQA.Controllab_Dados!I$2:I$5000,MATCH(ROW()-4,EQA.Controllab_Dados!$S$2:$S$5000,0)),"")</f>
        <v/>
      </c>
      <c r="J172" s="137" t="str">
        <f>IFERROR(INDEX(EQA.Controllab_Dados!J$2:J$5000,MATCH(ROW()-4,EQA.Controllab_Dados!$S$2:$S$5000,0)),"")</f>
        <v/>
      </c>
      <c r="K172" s="137" t="str">
        <f>IFERROR(INDEX(EQA.Controllab_Dados!K$2:K$5000,MATCH(ROW()-4,EQA.Controllab_Dados!$S$2:$S$5000,0)),"")</f>
        <v/>
      </c>
      <c r="L172" t="str">
        <f>IFERROR(INDEX(EQA.Controllab_Dados!L$2:L$5000,MATCH(ROW()-4,EQA.Controllab_Dados!$S$2:$S$5000,0)),"")</f>
        <v/>
      </c>
      <c r="M172" s="126" t="str">
        <f>IFERROR(INDEX(EQA.Controllab_Dados!M$2:M$5000,MATCH(ROW()-4,EQA.Controllab_Dados!$S$2:$S$5000,0)),"")</f>
        <v/>
      </c>
      <c r="N172" t="str">
        <f>IFERROR(INDEX(EQA.Controllab_Dados!N$2:N$5000,MATCH(ROW()-4,EQA.Controllab_Dados!$S$2:$S$5000,0)),"")</f>
        <v/>
      </c>
      <c r="O172" s="137" t="str">
        <f>IFERROR(INDEX(EQA.Controllab_Dados!O$2:O$5000,MATCH(ROW()-4,EQA.Controllab_Dados!$S$2:$S$5000,0)),"")</f>
        <v/>
      </c>
      <c r="P172" s="137" t="str">
        <f>IFERROR(INDEX(EQA.Controllab_Dados!P$2:P$5000,MATCH(ROW()-4,EQA.Controllab_Dados!$S$2:$S$5000,0)),"")</f>
        <v/>
      </c>
      <c r="Q172" s="126" t="str">
        <f>IFERROR(INDEX(EQA.Controllab_Dados!Q$2:Q$5000,MATCH(ROW()-4,EQA.Controllab_Dados!$S$2:$S$5000,0)),"")</f>
        <v/>
      </c>
      <c r="R172" t="str">
        <f>IFERROR(INDEX(EQA.Controllab_Dados!R$2:R$5000,MATCH(ROW()-4,EQA.Controllab_Dados!$S$2:$S$5000,0)),"")</f>
        <v/>
      </c>
    </row>
    <row r="173" spans="1:18" x14ac:dyDescent="0.3">
      <c r="A173" t="str">
        <f>IFERROR(INDEX(EQA.Controllab_Dados!A$2:A$5000,MATCH(ROW()-4,EQA.Controllab_Dados!$S$2:$S$5000,0)),"")</f>
        <v/>
      </c>
      <c r="B173" t="str">
        <f>IFERROR(INDEX(EQA.Controllab_Dados!B$2:B$5000,MATCH(ROW()-4,EQA.Controllab_Dados!$S$2:$S$5000,0)),"")</f>
        <v/>
      </c>
      <c r="C173" s="126" t="str">
        <f>IFERROR(INDEX(EQA.Controllab_Dados!C$2:C$5000,MATCH(ROW()-4,EQA.Controllab_Dados!$S$2:$S$5000,0)),"")</f>
        <v/>
      </c>
      <c r="D173" t="str">
        <f>IFERROR(INDEX(EQA.Controllab_Dados!D$2:D$5000,MATCH(ROW()-4,EQA.Controllab_Dados!$S$2:$S$5000,0)),"")</f>
        <v/>
      </c>
      <c r="E173" t="str">
        <f>IFERROR(INDEX(EQA.Controllab_Dados!E$2:E$5000,MATCH(ROW()-4,EQA.Controllab_Dados!$S$2:$S$5000,0)),"")</f>
        <v/>
      </c>
      <c r="F173" s="137" t="str">
        <f>IFERROR(INDEX(EQA.Controllab_Dados!F$2:F$5000,MATCH(ROW()-4,EQA.Controllab_Dados!$S$2:$S$5000,0)),"")</f>
        <v/>
      </c>
      <c r="G173" s="138" t="str">
        <f>IFERROR(INDEX(EQA.Controllab_Dados!G$2:G$5000,MATCH(ROW()-4,EQA.Controllab_Dados!$S$2:$S$5000,0)),"")</f>
        <v/>
      </c>
      <c r="H173" s="138" t="str">
        <f>IFERROR(INDEX(EQA.Controllab_Dados!H$2:H$5000,MATCH(ROW()-4,EQA.Controllab_Dados!$S$2:$S$5000,0)),"")</f>
        <v/>
      </c>
      <c r="I173" s="139" t="str">
        <f>IFERROR(INDEX(EQA.Controllab_Dados!I$2:I$5000,MATCH(ROW()-4,EQA.Controllab_Dados!$S$2:$S$5000,0)),"")</f>
        <v/>
      </c>
      <c r="J173" s="137" t="str">
        <f>IFERROR(INDEX(EQA.Controllab_Dados!J$2:J$5000,MATCH(ROW()-4,EQA.Controllab_Dados!$S$2:$S$5000,0)),"")</f>
        <v/>
      </c>
      <c r="K173" s="137" t="str">
        <f>IFERROR(INDEX(EQA.Controllab_Dados!K$2:K$5000,MATCH(ROW()-4,EQA.Controllab_Dados!$S$2:$S$5000,0)),"")</f>
        <v/>
      </c>
      <c r="L173" t="str">
        <f>IFERROR(INDEX(EQA.Controllab_Dados!L$2:L$5000,MATCH(ROW()-4,EQA.Controllab_Dados!$S$2:$S$5000,0)),"")</f>
        <v/>
      </c>
      <c r="M173" s="126" t="str">
        <f>IFERROR(INDEX(EQA.Controllab_Dados!M$2:M$5000,MATCH(ROW()-4,EQA.Controllab_Dados!$S$2:$S$5000,0)),"")</f>
        <v/>
      </c>
      <c r="N173" t="str">
        <f>IFERROR(INDEX(EQA.Controllab_Dados!N$2:N$5000,MATCH(ROW()-4,EQA.Controllab_Dados!$S$2:$S$5000,0)),"")</f>
        <v/>
      </c>
      <c r="O173" s="137" t="str">
        <f>IFERROR(INDEX(EQA.Controllab_Dados!O$2:O$5000,MATCH(ROW()-4,EQA.Controllab_Dados!$S$2:$S$5000,0)),"")</f>
        <v/>
      </c>
      <c r="P173" s="137" t="str">
        <f>IFERROR(INDEX(EQA.Controllab_Dados!P$2:P$5000,MATCH(ROW()-4,EQA.Controllab_Dados!$S$2:$S$5000,0)),"")</f>
        <v/>
      </c>
      <c r="Q173" s="126" t="str">
        <f>IFERROR(INDEX(EQA.Controllab_Dados!Q$2:Q$5000,MATCH(ROW()-4,EQA.Controllab_Dados!$S$2:$S$5000,0)),"")</f>
        <v/>
      </c>
      <c r="R173" t="str">
        <f>IFERROR(INDEX(EQA.Controllab_Dados!R$2:R$5000,MATCH(ROW()-4,EQA.Controllab_Dados!$S$2:$S$5000,0)),"")</f>
        <v/>
      </c>
    </row>
    <row r="174" spans="1:18" x14ac:dyDescent="0.3">
      <c r="A174" t="str">
        <f>IFERROR(INDEX(EQA.Controllab_Dados!A$2:A$5000,MATCH(ROW()-4,EQA.Controllab_Dados!$S$2:$S$5000,0)),"")</f>
        <v/>
      </c>
      <c r="B174" t="str">
        <f>IFERROR(INDEX(EQA.Controllab_Dados!B$2:B$5000,MATCH(ROW()-4,EQA.Controllab_Dados!$S$2:$S$5000,0)),"")</f>
        <v/>
      </c>
      <c r="C174" s="126" t="str">
        <f>IFERROR(INDEX(EQA.Controllab_Dados!C$2:C$5000,MATCH(ROW()-4,EQA.Controllab_Dados!$S$2:$S$5000,0)),"")</f>
        <v/>
      </c>
      <c r="D174" t="str">
        <f>IFERROR(INDEX(EQA.Controllab_Dados!D$2:D$5000,MATCH(ROW()-4,EQA.Controllab_Dados!$S$2:$S$5000,0)),"")</f>
        <v/>
      </c>
      <c r="E174" t="str">
        <f>IFERROR(INDEX(EQA.Controllab_Dados!E$2:E$5000,MATCH(ROW()-4,EQA.Controllab_Dados!$S$2:$S$5000,0)),"")</f>
        <v/>
      </c>
      <c r="F174" s="137" t="str">
        <f>IFERROR(INDEX(EQA.Controllab_Dados!F$2:F$5000,MATCH(ROW()-4,EQA.Controllab_Dados!$S$2:$S$5000,0)),"")</f>
        <v/>
      </c>
      <c r="G174" s="138" t="str">
        <f>IFERROR(INDEX(EQA.Controllab_Dados!G$2:G$5000,MATCH(ROW()-4,EQA.Controllab_Dados!$S$2:$S$5000,0)),"")</f>
        <v/>
      </c>
      <c r="H174" s="138" t="str">
        <f>IFERROR(INDEX(EQA.Controllab_Dados!H$2:H$5000,MATCH(ROW()-4,EQA.Controllab_Dados!$S$2:$S$5000,0)),"")</f>
        <v/>
      </c>
      <c r="I174" s="139" t="str">
        <f>IFERROR(INDEX(EQA.Controllab_Dados!I$2:I$5000,MATCH(ROW()-4,EQA.Controllab_Dados!$S$2:$S$5000,0)),"")</f>
        <v/>
      </c>
      <c r="J174" s="137" t="str">
        <f>IFERROR(INDEX(EQA.Controllab_Dados!J$2:J$5000,MATCH(ROW()-4,EQA.Controllab_Dados!$S$2:$S$5000,0)),"")</f>
        <v/>
      </c>
      <c r="K174" s="137" t="str">
        <f>IFERROR(INDEX(EQA.Controllab_Dados!K$2:K$5000,MATCH(ROW()-4,EQA.Controllab_Dados!$S$2:$S$5000,0)),"")</f>
        <v/>
      </c>
      <c r="L174" t="str">
        <f>IFERROR(INDEX(EQA.Controllab_Dados!L$2:L$5000,MATCH(ROW()-4,EQA.Controllab_Dados!$S$2:$S$5000,0)),"")</f>
        <v/>
      </c>
      <c r="M174" s="126" t="str">
        <f>IFERROR(INDEX(EQA.Controllab_Dados!M$2:M$5000,MATCH(ROW()-4,EQA.Controllab_Dados!$S$2:$S$5000,0)),"")</f>
        <v/>
      </c>
      <c r="N174" t="str">
        <f>IFERROR(INDEX(EQA.Controllab_Dados!N$2:N$5000,MATCH(ROW()-4,EQA.Controllab_Dados!$S$2:$S$5000,0)),"")</f>
        <v/>
      </c>
      <c r="O174" s="137" t="str">
        <f>IFERROR(INDEX(EQA.Controllab_Dados!O$2:O$5000,MATCH(ROW()-4,EQA.Controllab_Dados!$S$2:$S$5000,0)),"")</f>
        <v/>
      </c>
      <c r="P174" s="137" t="str">
        <f>IFERROR(INDEX(EQA.Controllab_Dados!P$2:P$5000,MATCH(ROW()-4,EQA.Controllab_Dados!$S$2:$S$5000,0)),"")</f>
        <v/>
      </c>
      <c r="Q174" s="126" t="str">
        <f>IFERROR(INDEX(EQA.Controllab_Dados!Q$2:Q$5000,MATCH(ROW()-4,EQA.Controllab_Dados!$S$2:$S$5000,0)),"")</f>
        <v/>
      </c>
      <c r="R174" t="str">
        <f>IFERROR(INDEX(EQA.Controllab_Dados!R$2:R$5000,MATCH(ROW()-4,EQA.Controllab_Dados!$S$2:$S$5000,0)),"")</f>
        <v/>
      </c>
    </row>
    <row r="175" spans="1:18" x14ac:dyDescent="0.3">
      <c r="A175" t="str">
        <f>IFERROR(INDEX(EQA.Controllab_Dados!A$2:A$5000,MATCH(ROW()-4,EQA.Controllab_Dados!$S$2:$S$5000,0)),"")</f>
        <v/>
      </c>
      <c r="B175" t="str">
        <f>IFERROR(INDEX(EQA.Controllab_Dados!B$2:B$5000,MATCH(ROW()-4,EQA.Controllab_Dados!$S$2:$S$5000,0)),"")</f>
        <v/>
      </c>
      <c r="C175" s="126" t="str">
        <f>IFERROR(INDEX(EQA.Controllab_Dados!C$2:C$5000,MATCH(ROW()-4,EQA.Controllab_Dados!$S$2:$S$5000,0)),"")</f>
        <v/>
      </c>
      <c r="D175" t="str">
        <f>IFERROR(INDEX(EQA.Controllab_Dados!D$2:D$5000,MATCH(ROW()-4,EQA.Controllab_Dados!$S$2:$S$5000,0)),"")</f>
        <v/>
      </c>
      <c r="E175" t="str">
        <f>IFERROR(INDEX(EQA.Controllab_Dados!E$2:E$5000,MATCH(ROW()-4,EQA.Controllab_Dados!$S$2:$S$5000,0)),"")</f>
        <v/>
      </c>
      <c r="F175" s="137" t="str">
        <f>IFERROR(INDEX(EQA.Controllab_Dados!F$2:F$5000,MATCH(ROW()-4,EQA.Controllab_Dados!$S$2:$S$5000,0)),"")</f>
        <v/>
      </c>
      <c r="G175" s="138" t="str">
        <f>IFERROR(INDEX(EQA.Controllab_Dados!G$2:G$5000,MATCH(ROW()-4,EQA.Controllab_Dados!$S$2:$S$5000,0)),"")</f>
        <v/>
      </c>
      <c r="H175" s="138" t="str">
        <f>IFERROR(INDEX(EQA.Controllab_Dados!H$2:H$5000,MATCH(ROW()-4,EQA.Controllab_Dados!$S$2:$S$5000,0)),"")</f>
        <v/>
      </c>
      <c r="I175" s="139" t="str">
        <f>IFERROR(INDEX(EQA.Controllab_Dados!I$2:I$5000,MATCH(ROW()-4,EQA.Controllab_Dados!$S$2:$S$5000,0)),"")</f>
        <v/>
      </c>
      <c r="J175" s="137" t="str">
        <f>IFERROR(INDEX(EQA.Controllab_Dados!J$2:J$5000,MATCH(ROW()-4,EQA.Controllab_Dados!$S$2:$S$5000,0)),"")</f>
        <v/>
      </c>
      <c r="K175" s="137" t="str">
        <f>IFERROR(INDEX(EQA.Controllab_Dados!K$2:K$5000,MATCH(ROW()-4,EQA.Controllab_Dados!$S$2:$S$5000,0)),"")</f>
        <v/>
      </c>
      <c r="L175" t="str">
        <f>IFERROR(INDEX(EQA.Controllab_Dados!L$2:L$5000,MATCH(ROW()-4,EQA.Controllab_Dados!$S$2:$S$5000,0)),"")</f>
        <v/>
      </c>
      <c r="M175" s="126" t="str">
        <f>IFERROR(INDEX(EQA.Controllab_Dados!M$2:M$5000,MATCH(ROW()-4,EQA.Controllab_Dados!$S$2:$S$5000,0)),"")</f>
        <v/>
      </c>
      <c r="N175" t="str">
        <f>IFERROR(INDEX(EQA.Controllab_Dados!N$2:N$5000,MATCH(ROW()-4,EQA.Controllab_Dados!$S$2:$S$5000,0)),"")</f>
        <v/>
      </c>
      <c r="O175" s="137" t="str">
        <f>IFERROR(INDEX(EQA.Controllab_Dados!O$2:O$5000,MATCH(ROW()-4,EQA.Controllab_Dados!$S$2:$S$5000,0)),"")</f>
        <v/>
      </c>
      <c r="P175" s="137" t="str">
        <f>IFERROR(INDEX(EQA.Controllab_Dados!P$2:P$5000,MATCH(ROW()-4,EQA.Controllab_Dados!$S$2:$S$5000,0)),"")</f>
        <v/>
      </c>
      <c r="Q175" s="126" t="str">
        <f>IFERROR(INDEX(EQA.Controllab_Dados!Q$2:Q$5000,MATCH(ROW()-4,EQA.Controllab_Dados!$S$2:$S$5000,0)),"")</f>
        <v/>
      </c>
      <c r="R175" t="str">
        <f>IFERROR(INDEX(EQA.Controllab_Dados!R$2:R$5000,MATCH(ROW()-4,EQA.Controllab_Dados!$S$2:$S$5000,0)),"")</f>
        <v/>
      </c>
    </row>
    <row r="176" spans="1:18" x14ac:dyDescent="0.3">
      <c r="A176" t="str">
        <f>IFERROR(INDEX(EQA.Controllab_Dados!A$2:A$5000,MATCH(ROW()-4,EQA.Controllab_Dados!$S$2:$S$5000,0)),"")</f>
        <v/>
      </c>
      <c r="B176" t="str">
        <f>IFERROR(INDEX(EQA.Controllab_Dados!B$2:B$5000,MATCH(ROW()-4,EQA.Controllab_Dados!$S$2:$S$5000,0)),"")</f>
        <v/>
      </c>
      <c r="C176" s="126" t="str">
        <f>IFERROR(INDEX(EQA.Controllab_Dados!C$2:C$5000,MATCH(ROW()-4,EQA.Controllab_Dados!$S$2:$S$5000,0)),"")</f>
        <v/>
      </c>
      <c r="D176" t="str">
        <f>IFERROR(INDEX(EQA.Controllab_Dados!D$2:D$5000,MATCH(ROW()-4,EQA.Controllab_Dados!$S$2:$S$5000,0)),"")</f>
        <v/>
      </c>
      <c r="E176" t="str">
        <f>IFERROR(INDEX(EQA.Controllab_Dados!E$2:E$5000,MATCH(ROW()-4,EQA.Controllab_Dados!$S$2:$S$5000,0)),"")</f>
        <v/>
      </c>
      <c r="F176" s="137" t="str">
        <f>IFERROR(INDEX(EQA.Controllab_Dados!F$2:F$5000,MATCH(ROW()-4,EQA.Controllab_Dados!$S$2:$S$5000,0)),"")</f>
        <v/>
      </c>
      <c r="G176" s="138" t="str">
        <f>IFERROR(INDEX(EQA.Controllab_Dados!G$2:G$5000,MATCH(ROW()-4,EQA.Controllab_Dados!$S$2:$S$5000,0)),"")</f>
        <v/>
      </c>
      <c r="H176" s="138" t="str">
        <f>IFERROR(INDEX(EQA.Controllab_Dados!H$2:H$5000,MATCH(ROW()-4,EQA.Controllab_Dados!$S$2:$S$5000,0)),"")</f>
        <v/>
      </c>
      <c r="I176" s="139" t="str">
        <f>IFERROR(INDEX(EQA.Controllab_Dados!I$2:I$5000,MATCH(ROW()-4,EQA.Controllab_Dados!$S$2:$S$5000,0)),"")</f>
        <v/>
      </c>
      <c r="J176" s="137" t="str">
        <f>IFERROR(INDEX(EQA.Controllab_Dados!J$2:J$5000,MATCH(ROW()-4,EQA.Controllab_Dados!$S$2:$S$5000,0)),"")</f>
        <v/>
      </c>
      <c r="K176" s="137" t="str">
        <f>IFERROR(INDEX(EQA.Controllab_Dados!K$2:K$5000,MATCH(ROW()-4,EQA.Controllab_Dados!$S$2:$S$5000,0)),"")</f>
        <v/>
      </c>
      <c r="L176" t="str">
        <f>IFERROR(INDEX(EQA.Controllab_Dados!L$2:L$5000,MATCH(ROW()-4,EQA.Controllab_Dados!$S$2:$S$5000,0)),"")</f>
        <v/>
      </c>
      <c r="M176" s="126" t="str">
        <f>IFERROR(INDEX(EQA.Controllab_Dados!M$2:M$5000,MATCH(ROW()-4,EQA.Controllab_Dados!$S$2:$S$5000,0)),"")</f>
        <v/>
      </c>
      <c r="N176" t="str">
        <f>IFERROR(INDEX(EQA.Controllab_Dados!N$2:N$5000,MATCH(ROW()-4,EQA.Controllab_Dados!$S$2:$S$5000,0)),"")</f>
        <v/>
      </c>
      <c r="O176" s="137" t="str">
        <f>IFERROR(INDEX(EQA.Controllab_Dados!O$2:O$5000,MATCH(ROW()-4,EQA.Controllab_Dados!$S$2:$S$5000,0)),"")</f>
        <v/>
      </c>
      <c r="P176" s="137" t="str">
        <f>IFERROR(INDEX(EQA.Controllab_Dados!P$2:P$5000,MATCH(ROW()-4,EQA.Controllab_Dados!$S$2:$S$5000,0)),"")</f>
        <v/>
      </c>
      <c r="Q176" s="126" t="str">
        <f>IFERROR(INDEX(EQA.Controllab_Dados!Q$2:Q$5000,MATCH(ROW()-4,EQA.Controllab_Dados!$S$2:$S$5000,0)),"")</f>
        <v/>
      </c>
      <c r="R176" t="str">
        <f>IFERROR(INDEX(EQA.Controllab_Dados!R$2:R$5000,MATCH(ROW()-4,EQA.Controllab_Dados!$S$2:$S$5000,0)),"")</f>
        <v/>
      </c>
    </row>
    <row r="177" spans="1:18" x14ac:dyDescent="0.3">
      <c r="A177" t="str">
        <f>IFERROR(INDEX(EQA.Controllab_Dados!A$2:A$5000,MATCH(ROW()-4,EQA.Controllab_Dados!$S$2:$S$5000,0)),"")</f>
        <v/>
      </c>
      <c r="B177" t="str">
        <f>IFERROR(INDEX(EQA.Controllab_Dados!B$2:B$5000,MATCH(ROW()-4,EQA.Controllab_Dados!$S$2:$S$5000,0)),"")</f>
        <v/>
      </c>
      <c r="C177" s="126" t="str">
        <f>IFERROR(INDEX(EQA.Controllab_Dados!C$2:C$5000,MATCH(ROW()-4,EQA.Controllab_Dados!$S$2:$S$5000,0)),"")</f>
        <v/>
      </c>
      <c r="D177" t="str">
        <f>IFERROR(INDEX(EQA.Controllab_Dados!D$2:D$5000,MATCH(ROW()-4,EQA.Controllab_Dados!$S$2:$S$5000,0)),"")</f>
        <v/>
      </c>
      <c r="E177" t="str">
        <f>IFERROR(INDEX(EQA.Controllab_Dados!E$2:E$5000,MATCH(ROW()-4,EQA.Controllab_Dados!$S$2:$S$5000,0)),"")</f>
        <v/>
      </c>
      <c r="F177" s="137" t="str">
        <f>IFERROR(INDEX(EQA.Controllab_Dados!F$2:F$5000,MATCH(ROW()-4,EQA.Controllab_Dados!$S$2:$S$5000,0)),"")</f>
        <v/>
      </c>
      <c r="G177" s="138" t="str">
        <f>IFERROR(INDEX(EQA.Controllab_Dados!G$2:G$5000,MATCH(ROW()-4,EQA.Controllab_Dados!$S$2:$S$5000,0)),"")</f>
        <v/>
      </c>
      <c r="H177" s="138" t="str">
        <f>IFERROR(INDEX(EQA.Controllab_Dados!H$2:H$5000,MATCH(ROW()-4,EQA.Controllab_Dados!$S$2:$S$5000,0)),"")</f>
        <v/>
      </c>
      <c r="I177" s="139" t="str">
        <f>IFERROR(INDEX(EQA.Controllab_Dados!I$2:I$5000,MATCH(ROW()-4,EQA.Controllab_Dados!$S$2:$S$5000,0)),"")</f>
        <v/>
      </c>
      <c r="J177" s="137" t="str">
        <f>IFERROR(INDEX(EQA.Controllab_Dados!J$2:J$5000,MATCH(ROW()-4,EQA.Controllab_Dados!$S$2:$S$5000,0)),"")</f>
        <v/>
      </c>
      <c r="K177" s="137" t="str">
        <f>IFERROR(INDEX(EQA.Controllab_Dados!K$2:K$5000,MATCH(ROW()-4,EQA.Controllab_Dados!$S$2:$S$5000,0)),"")</f>
        <v/>
      </c>
      <c r="L177" t="str">
        <f>IFERROR(INDEX(EQA.Controllab_Dados!L$2:L$5000,MATCH(ROW()-4,EQA.Controllab_Dados!$S$2:$S$5000,0)),"")</f>
        <v/>
      </c>
      <c r="M177" s="126" t="str">
        <f>IFERROR(INDEX(EQA.Controllab_Dados!M$2:M$5000,MATCH(ROW()-4,EQA.Controllab_Dados!$S$2:$S$5000,0)),"")</f>
        <v/>
      </c>
      <c r="N177" t="str">
        <f>IFERROR(INDEX(EQA.Controllab_Dados!N$2:N$5000,MATCH(ROW()-4,EQA.Controllab_Dados!$S$2:$S$5000,0)),"")</f>
        <v/>
      </c>
      <c r="O177" s="137" t="str">
        <f>IFERROR(INDEX(EQA.Controllab_Dados!O$2:O$5000,MATCH(ROW()-4,EQA.Controllab_Dados!$S$2:$S$5000,0)),"")</f>
        <v/>
      </c>
      <c r="P177" s="137" t="str">
        <f>IFERROR(INDEX(EQA.Controllab_Dados!P$2:P$5000,MATCH(ROW()-4,EQA.Controllab_Dados!$S$2:$S$5000,0)),"")</f>
        <v/>
      </c>
      <c r="Q177" s="126" t="str">
        <f>IFERROR(INDEX(EQA.Controllab_Dados!Q$2:Q$5000,MATCH(ROW()-4,EQA.Controllab_Dados!$S$2:$S$5000,0)),"")</f>
        <v/>
      </c>
      <c r="R177" t="str">
        <f>IFERROR(INDEX(EQA.Controllab_Dados!R$2:R$5000,MATCH(ROW()-4,EQA.Controllab_Dados!$S$2:$S$5000,0)),"")</f>
        <v/>
      </c>
    </row>
    <row r="178" spans="1:18" x14ac:dyDescent="0.3">
      <c r="A178" t="str">
        <f>IFERROR(INDEX(EQA.Controllab_Dados!A$2:A$5000,MATCH(ROW()-4,EQA.Controllab_Dados!$S$2:$S$5000,0)),"")</f>
        <v/>
      </c>
      <c r="B178" t="str">
        <f>IFERROR(INDEX(EQA.Controllab_Dados!B$2:B$5000,MATCH(ROW()-4,EQA.Controllab_Dados!$S$2:$S$5000,0)),"")</f>
        <v/>
      </c>
      <c r="C178" s="126" t="str">
        <f>IFERROR(INDEX(EQA.Controllab_Dados!C$2:C$5000,MATCH(ROW()-4,EQA.Controllab_Dados!$S$2:$S$5000,0)),"")</f>
        <v/>
      </c>
      <c r="D178" t="str">
        <f>IFERROR(INDEX(EQA.Controllab_Dados!D$2:D$5000,MATCH(ROW()-4,EQA.Controllab_Dados!$S$2:$S$5000,0)),"")</f>
        <v/>
      </c>
      <c r="E178" t="str">
        <f>IFERROR(INDEX(EQA.Controllab_Dados!E$2:E$5000,MATCH(ROW()-4,EQA.Controllab_Dados!$S$2:$S$5000,0)),"")</f>
        <v/>
      </c>
      <c r="F178" s="137" t="str">
        <f>IFERROR(INDEX(EQA.Controllab_Dados!F$2:F$5000,MATCH(ROW()-4,EQA.Controllab_Dados!$S$2:$S$5000,0)),"")</f>
        <v/>
      </c>
      <c r="G178" s="138" t="str">
        <f>IFERROR(INDEX(EQA.Controllab_Dados!G$2:G$5000,MATCH(ROW()-4,EQA.Controllab_Dados!$S$2:$S$5000,0)),"")</f>
        <v/>
      </c>
      <c r="H178" s="138" t="str">
        <f>IFERROR(INDEX(EQA.Controllab_Dados!H$2:H$5000,MATCH(ROW()-4,EQA.Controllab_Dados!$S$2:$S$5000,0)),"")</f>
        <v/>
      </c>
      <c r="I178" s="139" t="str">
        <f>IFERROR(INDEX(EQA.Controllab_Dados!I$2:I$5000,MATCH(ROW()-4,EQA.Controllab_Dados!$S$2:$S$5000,0)),"")</f>
        <v/>
      </c>
      <c r="J178" s="137" t="str">
        <f>IFERROR(INDEX(EQA.Controllab_Dados!J$2:J$5000,MATCH(ROW()-4,EQA.Controllab_Dados!$S$2:$S$5000,0)),"")</f>
        <v/>
      </c>
      <c r="K178" s="137" t="str">
        <f>IFERROR(INDEX(EQA.Controllab_Dados!K$2:K$5000,MATCH(ROW()-4,EQA.Controllab_Dados!$S$2:$S$5000,0)),"")</f>
        <v/>
      </c>
      <c r="L178" t="str">
        <f>IFERROR(INDEX(EQA.Controllab_Dados!L$2:L$5000,MATCH(ROW()-4,EQA.Controllab_Dados!$S$2:$S$5000,0)),"")</f>
        <v/>
      </c>
      <c r="M178" s="126" t="str">
        <f>IFERROR(INDEX(EQA.Controllab_Dados!M$2:M$5000,MATCH(ROW()-4,EQA.Controllab_Dados!$S$2:$S$5000,0)),"")</f>
        <v/>
      </c>
      <c r="N178" t="str">
        <f>IFERROR(INDEX(EQA.Controllab_Dados!N$2:N$5000,MATCH(ROW()-4,EQA.Controllab_Dados!$S$2:$S$5000,0)),"")</f>
        <v/>
      </c>
      <c r="O178" s="137" t="str">
        <f>IFERROR(INDEX(EQA.Controllab_Dados!O$2:O$5000,MATCH(ROW()-4,EQA.Controllab_Dados!$S$2:$S$5000,0)),"")</f>
        <v/>
      </c>
      <c r="P178" s="137" t="str">
        <f>IFERROR(INDEX(EQA.Controllab_Dados!P$2:P$5000,MATCH(ROW()-4,EQA.Controllab_Dados!$S$2:$S$5000,0)),"")</f>
        <v/>
      </c>
      <c r="Q178" s="126" t="str">
        <f>IFERROR(INDEX(EQA.Controllab_Dados!Q$2:Q$5000,MATCH(ROW()-4,EQA.Controllab_Dados!$S$2:$S$5000,0)),"")</f>
        <v/>
      </c>
      <c r="R178" t="str">
        <f>IFERROR(INDEX(EQA.Controllab_Dados!R$2:R$5000,MATCH(ROW()-4,EQA.Controllab_Dados!$S$2:$S$5000,0)),"")</f>
        <v/>
      </c>
    </row>
    <row r="179" spans="1:18" x14ac:dyDescent="0.3">
      <c r="A179" t="str">
        <f>IFERROR(INDEX(EQA.Controllab_Dados!A$2:A$5000,MATCH(ROW()-4,EQA.Controllab_Dados!$S$2:$S$5000,0)),"")</f>
        <v/>
      </c>
      <c r="B179" t="str">
        <f>IFERROR(INDEX(EQA.Controllab_Dados!B$2:B$5000,MATCH(ROW()-4,EQA.Controllab_Dados!$S$2:$S$5000,0)),"")</f>
        <v/>
      </c>
      <c r="C179" s="126" t="str">
        <f>IFERROR(INDEX(EQA.Controllab_Dados!C$2:C$5000,MATCH(ROW()-4,EQA.Controllab_Dados!$S$2:$S$5000,0)),"")</f>
        <v/>
      </c>
      <c r="D179" t="str">
        <f>IFERROR(INDEX(EQA.Controllab_Dados!D$2:D$5000,MATCH(ROW()-4,EQA.Controllab_Dados!$S$2:$S$5000,0)),"")</f>
        <v/>
      </c>
      <c r="E179" t="str">
        <f>IFERROR(INDEX(EQA.Controllab_Dados!E$2:E$5000,MATCH(ROW()-4,EQA.Controllab_Dados!$S$2:$S$5000,0)),"")</f>
        <v/>
      </c>
      <c r="F179" s="137" t="str">
        <f>IFERROR(INDEX(EQA.Controllab_Dados!F$2:F$5000,MATCH(ROW()-4,EQA.Controllab_Dados!$S$2:$S$5000,0)),"")</f>
        <v/>
      </c>
      <c r="G179" s="138" t="str">
        <f>IFERROR(INDEX(EQA.Controllab_Dados!G$2:G$5000,MATCH(ROW()-4,EQA.Controllab_Dados!$S$2:$S$5000,0)),"")</f>
        <v/>
      </c>
      <c r="H179" s="138" t="str">
        <f>IFERROR(INDEX(EQA.Controllab_Dados!H$2:H$5000,MATCH(ROW()-4,EQA.Controllab_Dados!$S$2:$S$5000,0)),"")</f>
        <v/>
      </c>
      <c r="I179" s="139" t="str">
        <f>IFERROR(INDEX(EQA.Controllab_Dados!I$2:I$5000,MATCH(ROW()-4,EQA.Controllab_Dados!$S$2:$S$5000,0)),"")</f>
        <v/>
      </c>
      <c r="J179" s="137" t="str">
        <f>IFERROR(INDEX(EQA.Controllab_Dados!J$2:J$5000,MATCH(ROW()-4,EQA.Controllab_Dados!$S$2:$S$5000,0)),"")</f>
        <v/>
      </c>
      <c r="K179" s="137" t="str">
        <f>IFERROR(INDEX(EQA.Controllab_Dados!K$2:K$5000,MATCH(ROW()-4,EQA.Controllab_Dados!$S$2:$S$5000,0)),"")</f>
        <v/>
      </c>
      <c r="L179" t="str">
        <f>IFERROR(INDEX(EQA.Controllab_Dados!L$2:L$5000,MATCH(ROW()-4,EQA.Controllab_Dados!$S$2:$S$5000,0)),"")</f>
        <v/>
      </c>
      <c r="M179" s="126" t="str">
        <f>IFERROR(INDEX(EQA.Controllab_Dados!M$2:M$5000,MATCH(ROW()-4,EQA.Controllab_Dados!$S$2:$S$5000,0)),"")</f>
        <v/>
      </c>
      <c r="N179" t="str">
        <f>IFERROR(INDEX(EQA.Controllab_Dados!N$2:N$5000,MATCH(ROW()-4,EQA.Controllab_Dados!$S$2:$S$5000,0)),"")</f>
        <v/>
      </c>
      <c r="O179" s="137" t="str">
        <f>IFERROR(INDEX(EQA.Controllab_Dados!O$2:O$5000,MATCH(ROW()-4,EQA.Controllab_Dados!$S$2:$S$5000,0)),"")</f>
        <v/>
      </c>
      <c r="P179" s="137" t="str">
        <f>IFERROR(INDEX(EQA.Controllab_Dados!P$2:P$5000,MATCH(ROW()-4,EQA.Controllab_Dados!$S$2:$S$5000,0)),"")</f>
        <v/>
      </c>
      <c r="Q179" s="126" t="str">
        <f>IFERROR(INDEX(EQA.Controllab_Dados!Q$2:Q$5000,MATCH(ROW()-4,EQA.Controllab_Dados!$S$2:$S$5000,0)),"")</f>
        <v/>
      </c>
      <c r="R179" t="str">
        <f>IFERROR(INDEX(EQA.Controllab_Dados!R$2:R$5000,MATCH(ROW()-4,EQA.Controllab_Dados!$S$2:$S$5000,0)),"")</f>
        <v/>
      </c>
    </row>
    <row r="180" spans="1:18" x14ac:dyDescent="0.3">
      <c r="A180" t="str">
        <f>IFERROR(INDEX(EQA.Controllab_Dados!A$2:A$5000,MATCH(ROW()-4,EQA.Controllab_Dados!$S$2:$S$5000,0)),"")</f>
        <v/>
      </c>
      <c r="B180" t="str">
        <f>IFERROR(INDEX(EQA.Controllab_Dados!B$2:B$5000,MATCH(ROW()-4,EQA.Controllab_Dados!$S$2:$S$5000,0)),"")</f>
        <v/>
      </c>
      <c r="C180" s="126" t="str">
        <f>IFERROR(INDEX(EQA.Controllab_Dados!C$2:C$5000,MATCH(ROW()-4,EQA.Controllab_Dados!$S$2:$S$5000,0)),"")</f>
        <v/>
      </c>
      <c r="D180" t="str">
        <f>IFERROR(INDEX(EQA.Controllab_Dados!D$2:D$5000,MATCH(ROW()-4,EQA.Controllab_Dados!$S$2:$S$5000,0)),"")</f>
        <v/>
      </c>
      <c r="E180" t="str">
        <f>IFERROR(INDEX(EQA.Controllab_Dados!E$2:E$5000,MATCH(ROW()-4,EQA.Controllab_Dados!$S$2:$S$5000,0)),"")</f>
        <v/>
      </c>
      <c r="F180" s="137" t="str">
        <f>IFERROR(INDEX(EQA.Controllab_Dados!F$2:F$5000,MATCH(ROW()-4,EQA.Controllab_Dados!$S$2:$S$5000,0)),"")</f>
        <v/>
      </c>
      <c r="G180" s="138" t="str">
        <f>IFERROR(INDEX(EQA.Controllab_Dados!G$2:G$5000,MATCH(ROW()-4,EQA.Controllab_Dados!$S$2:$S$5000,0)),"")</f>
        <v/>
      </c>
      <c r="H180" s="138" t="str">
        <f>IFERROR(INDEX(EQA.Controllab_Dados!H$2:H$5000,MATCH(ROW()-4,EQA.Controllab_Dados!$S$2:$S$5000,0)),"")</f>
        <v/>
      </c>
      <c r="I180" s="139" t="str">
        <f>IFERROR(INDEX(EQA.Controllab_Dados!I$2:I$5000,MATCH(ROW()-4,EQA.Controllab_Dados!$S$2:$S$5000,0)),"")</f>
        <v/>
      </c>
      <c r="J180" s="137" t="str">
        <f>IFERROR(INDEX(EQA.Controllab_Dados!J$2:J$5000,MATCH(ROW()-4,EQA.Controllab_Dados!$S$2:$S$5000,0)),"")</f>
        <v/>
      </c>
      <c r="K180" s="137" t="str">
        <f>IFERROR(INDEX(EQA.Controllab_Dados!K$2:K$5000,MATCH(ROW()-4,EQA.Controllab_Dados!$S$2:$S$5000,0)),"")</f>
        <v/>
      </c>
      <c r="L180" t="str">
        <f>IFERROR(INDEX(EQA.Controllab_Dados!L$2:L$5000,MATCH(ROW()-4,EQA.Controllab_Dados!$S$2:$S$5000,0)),"")</f>
        <v/>
      </c>
      <c r="M180" s="126" t="str">
        <f>IFERROR(INDEX(EQA.Controllab_Dados!M$2:M$5000,MATCH(ROW()-4,EQA.Controllab_Dados!$S$2:$S$5000,0)),"")</f>
        <v/>
      </c>
      <c r="N180" t="str">
        <f>IFERROR(INDEX(EQA.Controllab_Dados!N$2:N$5000,MATCH(ROW()-4,EQA.Controllab_Dados!$S$2:$S$5000,0)),"")</f>
        <v/>
      </c>
      <c r="O180" s="137" t="str">
        <f>IFERROR(INDEX(EQA.Controllab_Dados!O$2:O$5000,MATCH(ROW()-4,EQA.Controllab_Dados!$S$2:$S$5000,0)),"")</f>
        <v/>
      </c>
      <c r="P180" s="137" t="str">
        <f>IFERROR(INDEX(EQA.Controllab_Dados!P$2:P$5000,MATCH(ROW()-4,EQA.Controllab_Dados!$S$2:$S$5000,0)),"")</f>
        <v/>
      </c>
      <c r="Q180" s="126" t="str">
        <f>IFERROR(INDEX(EQA.Controllab_Dados!Q$2:Q$5000,MATCH(ROW()-4,EQA.Controllab_Dados!$S$2:$S$5000,0)),"")</f>
        <v/>
      </c>
      <c r="R180" t="str">
        <f>IFERROR(INDEX(EQA.Controllab_Dados!R$2:R$5000,MATCH(ROW()-4,EQA.Controllab_Dados!$S$2:$S$5000,0)),"")</f>
        <v/>
      </c>
    </row>
    <row r="181" spans="1:18" x14ac:dyDescent="0.3">
      <c r="A181" t="str">
        <f>IFERROR(INDEX(EQA.Controllab_Dados!A$2:A$5000,MATCH(ROW()-4,EQA.Controllab_Dados!$S$2:$S$5000,0)),"")</f>
        <v/>
      </c>
      <c r="B181" t="str">
        <f>IFERROR(INDEX(EQA.Controllab_Dados!B$2:B$5000,MATCH(ROW()-4,EQA.Controllab_Dados!$S$2:$S$5000,0)),"")</f>
        <v/>
      </c>
      <c r="C181" s="126" t="str">
        <f>IFERROR(INDEX(EQA.Controllab_Dados!C$2:C$5000,MATCH(ROW()-4,EQA.Controllab_Dados!$S$2:$S$5000,0)),"")</f>
        <v/>
      </c>
      <c r="D181" t="str">
        <f>IFERROR(INDEX(EQA.Controllab_Dados!D$2:D$5000,MATCH(ROW()-4,EQA.Controllab_Dados!$S$2:$S$5000,0)),"")</f>
        <v/>
      </c>
      <c r="E181" t="str">
        <f>IFERROR(INDEX(EQA.Controllab_Dados!E$2:E$5000,MATCH(ROW()-4,EQA.Controllab_Dados!$S$2:$S$5000,0)),"")</f>
        <v/>
      </c>
      <c r="F181" s="137" t="str">
        <f>IFERROR(INDEX(EQA.Controllab_Dados!F$2:F$5000,MATCH(ROW()-4,EQA.Controllab_Dados!$S$2:$S$5000,0)),"")</f>
        <v/>
      </c>
      <c r="G181" s="138" t="str">
        <f>IFERROR(INDEX(EQA.Controllab_Dados!G$2:G$5000,MATCH(ROW()-4,EQA.Controllab_Dados!$S$2:$S$5000,0)),"")</f>
        <v/>
      </c>
      <c r="H181" s="138" t="str">
        <f>IFERROR(INDEX(EQA.Controllab_Dados!H$2:H$5000,MATCH(ROW()-4,EQA.Controllab_Dados!$S$2:$S$5000,0)),"")</f>
        <v/>
      </c>
      <c r="I181" s="139" t="str">
        <f>IFERROR(INDEX(EQA.Controllab_Dados!I$2:I$5000,MATCH(ROW()-4,EQA.Controllab_Dados!$S$2:$S$5000,0)),"")</f>
        <v/>
      </c>
      <c r="J181" s="137" t="str">
        <f>IFERROR(INDEX(EQA.Controllab_Dados!J$2:J$5000,MATCH(ROW()-4,EQA.Controllab_Dados!$S$2:$S$5000,0)),"")</f>
        <v/>
      </c>
      <c r="K181" s="137" t="str">
        <f>IFERROR(INDEX(EQA.Controllab_Dados!K$2:K$5000,MATCH(ROW()-4,EQA.Controllab_Dados!$S$2:$S$5000,0)),"")</f>
        <v/>
      </c>
      <c r="L181" t="str">
        <f>IFERROR(INDEX(EQA.Controllab_Dados!L$2:L$5000,MATCH(ROW()-4,EQA.Controllab_Dados!$S$2:$S$5000,0)),"")</f>
        <v/>
      </c>
      <c r="M181" s="126" t="str">
        <f>IFERROR(INDEX(EQA.Controllab_Dados!M$2:M$5000,MATCH(ROW()-4,EQA.Controllab_Dados!$S$2:$S$5000,0)),"")</f>
        <v/>
      </c>
      <c r="N181" t="str">
        <f>IFERROR(INDEX(EQA.Controllab_Dados!N$2:N$5000,MATCH(ROW()-4,EQA.Controllab_Dados!$S$2:$S$5000,0)),"")</f>
        <v/>
      </c>
      <c r="O181" s="137" t="str">
        <f>IFERROR(INDEX(EQA.Controllab_Dados!O$2:O$5000,MATCH(ROW()-4,EQA.Controllab_Dados!$S$2:$S$5000,0)),"")</f>
        <v/>
      </c>
      <c r="P181" s="137" t="str">
        <f>IFERROR(INDEX(EQA.Controllab_Dados!P$2:P$5000,MATCH(ROW()-4,EQA.Controllab_Dados!$S$2:$S$5000,0)),"")</f>
        <v/>
      </c>
      <c r="Q181" s="126" t="str">
        <f>IFERROR(INDEX(EQA.Controllab_Dados!Q$2:Q$5000,MATCH(ROW()-4,EQA.Controllab_Dados!$S$2:$S$5000,0)),"")</f>
        <v/>
      </c>
      <c r="R181" t="str">
        <f>IFERROR(INDEX(EQA.Controllab_Dados!R$2:R$5000,MATCH(ROW()-4,EQA.Controllab_Dados!$S$2:$S$5000,0)),"")</f>
        <v/>
      </c>
    </row>
    <row r="182" spans="1:18" x14ac:dyDescent="0.3">
      <c r="A182" t="str">
        <f>IFERROR(INDEX(EQA.Controllab_Dados!A$2:A$5000,MATCH(ROW()-4,EQA.Controllab_Dados!$S$2:$S$5000,0)),"")</f>
        <v/>
      </c>
      <c r="B182" t="str">
        <f>IFERROR(INDEX(EQA.Controllab_Dados!B$2:B$5000,MATCH(ROW()-4,EQA.Controllab_Dados!$S$2:$S$5000,0)),"")</f>
        <v/>
      </c>
      <c r="C182" s="126" t="str">
        <f>IFERROR(INDEX(EQA.Controllab_Dados!C$2:C$5000,MATCH(ROW()-4,EQA.Controllab_Dados!$S$2:$S$5000,0)),"")</f>
        <v/>
      </c>
      <c r="D182" t="str">
        <f>IFERROR(INDEX(EQA.Controllab_Dados!D$2:D$5000,MATCH(ROW()-4,EQA.Controllab_Dados!$S$2:$S$5000,0)),"")</f>
        <v/>
      </c>
      <c r="E182" t="str">
        <f>IFERROR(INDEX(EQA.Controllab_Dados!E$2:E$5000,MATCH(ROW()-4,EQA.Controllab_Dados!$S$2:$S$5000,0)),"")</f>
        <v/>
      </c>
      <c r="F182" s="137" t="str">
        <f>IFERROR(INDEX(EQA.Controllab_Dados!F$2:F$5000,MATCH(ROW()-4,EQA.Controllab_Dados!$S$2:$S$5000,0)),"")</f>
        <v/>
      </c>
      <c r="G182" s="138" t="str">
        <f>IFERROR(INDEX(EQA.Controllab_Dados!G$2:G$5000,MATCH(ROW()-4,EQA.Controllab_Dados!$S$2:$S$5000,0)),"")</f>
        <v/>
      </c>
      <c r="H182" s="138" t="str">
        <f>IFERROR(INDEX(EQA.Controllab_Dados!H$2:H$5000,MATCH(ROW()-4,EQA.Controllab_Dados!$S$2:$S$5000,0)),"")</f>
        <v/>
      </c>
      <c r="I182" s="139" t="str">
        <f>IFERROR(INDEX(EQA.Controllab_Dados!I$2:I$5000,MATCH(ROW()-4,EQA.Controllab_Dados!$S$2:$S$5000,0)),"")</f>
        <v/>
      </c>
      <c r="J182" s="137" t="str">
        <f>IFERROR(INDEX(EQA.Controllab_Dados!J$2:J$5000,MATCH(ROW()-4,EQA.Controllab_Dados!$S$2:$S$5000,0)),"")</f>
        <v/>
      </c>
      <c r="K182" s="137" t="str">
        <f>IFERROR(INDEX(EQA.Controllab_Dados!K$2:K$5000,MATCH(ROW()-4,EQA.Controllab_Dados!$S$2:$S$5000,0)),"")</f>
        <v/>
      </c>
      <c r="L182" t="str">
        <f>IFERROR(INDEX(EQA.Controllab_Dados!L$2:L$5000,MATCH(ROW()-4,EQA.Controllab_Dados!$S$2:$S$5000,0)),"")</f>
        <v/>
      </c>
      <c r="M182" s="126" t="str">
        <f>IFERROR(INDEX(EQA.Controllab_Dados!M$2:M$5000,MATCH(ROW()-4,EQA.Controllab_Dados!$S$2:$S$5000,0)),"")</f>
        <v/>
      </c>
      <c r="N182" t="str">
        <f>IFERROR(INDEX(EQA.Controllab_Dados!N$2:N$5000,MATCH(ROW()-4,EQA.Controllab_Dados!$S$2:$S$5000,0)),"")</f>
        <v/>
      </c>
      <c r="O182" s="137" t="str">
        <f>IFERROR(INDEX(EQA.Controllab_Dados!O$2:O$5000,MATCH(ROW()-4,EQA.Controllab_Dados!$S$2:$S$5000,0)),"")</f>
        <v/>
      </c>
      <c r="P182" s="137" t="str">
        <f>IFERROR(INDEX(EQA.Controllab_Dados!P$2:P$5000,MATCH(ROW()-4,EQA.Controllab_Dados!$S$2:$S$5000,0)),"")</f>
        <v/>
      </c>
      <c r="Q182" s="126" t="str">
        <f>IFERROR(INDEX(EQA.Controllab_Dados!Q$2:Q$5000,MATCH(ROW()-4,EQA.Controllab_Dados!$S$2:$S$5000,0)),"")</f>
        <v/>
      </c>
      <c r="R182" t="str">
        <f>IFERROR(INDEX(EQA.Controllab_Dados!R$2:R$5000,MATCH(ROW()-4,EQA.Controllab_Dados!$S$2:$S$5000,0)),"")</f>
        <v/>
      </c>
    </row>
    <row r="183" spans="1:18" x14ac:dyDescent="0.3">
      <c r="A183" t="str">
        <f>IFERROR(INDEX(EQA.Controllab_Dados!A$2:A$5000,MATCH(ROW()-4,EQA.Controllab_Dados!$S$2:$S$5000,0)),"")</f>
        <v/>
      </c>
      <c r="B183" t="str">
        <f>IFERROR(INDEX(EQA.Controllab_Dados!B$2:B$5000,MATCH(ROW()-4,EQA.Controllab_Dados!$S$2:$S$5000,0)),"")</f>
        <v/>
      </c>
      <c r="C183" s="126" t="str">
        <f>IFERROR(INDEX(EQA.Controllab_Dados!C$2:C$5000,MATCH(ROW()-4,EQA.Controllab_Dados!$S$2:$S$5000,0)),"")</f>
        <v/>
      </c>
      <c r="D183" t="str">
        <f>IFERROR(INDEX(EQA.Controllab_Dados!D$2:D$5000,MATCH(ROW()-4,EQA.Controllab_Dados!$S$2:$S$5000,0)),"")</f>
        <v/>
      </c>
      <c r="E183" t="str">
        <f>IFERROR(INDEX(EQA.Controllab_Dados!E$2:E$5000,MATCH(ROW()-4,EQA.Controllab_Dados!$S$2:$S$5000,0)),"")</f>
        <v/>
      </c>
      <c r="F183" s="137" t="str">
        <f>IFERROR(INDEX(EQA.Controllab_Dados!F$2:F$5000,MATCH(ROW()-4,EQA.Controllab_Dados!$S$2:$S$5000,0)),"")</f>
        <v/>
      </c>
      <c r="G183" s="138" t="str">
        <f>IFERROR(INDEX(EQA.Controllab_Dados!G$2:G$5000,MATCH(ROW()-4,EQA.Controllab_Dados!$S$2:$S$5000,0)),"")</f>
        <v/>
      </c>
      <c r="H183" s="138" t="str">
        <f>IFERROR(INDEX(EQA.Controllab_Dados!H$2:H$5000,MATCH(ROW()-4,EQA.Controllab_Dados!$S$2:$S$5000,0)),"")</f>
        <v/>
      </c>
      <c r="I183" s="139" t="str">
        <f>IFERROR(INDEX(EQA.Controllab_Dados!I$2:I$5000,MATCH(ROW()-4,EQA.Controllab_Dados!$S$2:$S$5000,0)),"")</f>
        <v/>
      </c>
      <c r="J183" s="137" t="str">
        <f>IFERROR(INDEX(EQA.Controllab_Dados!J$2:J$5000,MATCH(ROW()-4,EQA.Controllab_Dados!$S$2:$S$5000,0)),"")</f>
        <v/>
      </c>
      <c r="K183" s="137" t="str">
        <f>IFERROR(INDEX(EQA.Controllab_Dados!K$2:K$5000,MATCH(ROW()-4,EQA.Controllab_Dados!$S$2:$S$5000,0)),"")</f>
        <v/>
      </c>
      <c r="L183" t="str">
        <f>IFERROR(INDEX(EQA.Controllab_Dados!L$2:L$5000,MATCH(ROW()-4,EQA.Controllab_Dados!$S$2:$S$5000,0)),"")</f>
        <v/>
      </c>
      <c r="M183" s="126" t="str">
        <f>IFERROR(INDEX(EQA.Controllab_Dados!M$2:M$5000,MATCH(ROW()-4,EQA.Controllab_Dados!$S$2:$S$5000,0)),"")</f>
        <v/>
      </c>
      <c r="N183" t="str">
        <f>IFERROR(INDEX(EQA.Controllab_Dados!N$2:N$5000,MATCH(ROW()-4,EQA.Controllab_Dados!$S$2:$S$5000,0)),"")</f>
        <v/>
      </c>
      <c r="O183" s="137" t="str">
        <f>IFERROR(INDEX(EQA.Controllab_Dados!O$2:O$5000,MATCH(ROW()-4,EQA.Controllab_Dados!$S$2:$S$5000,0)),"")</f>
        <v/>
      </c>
      <c r="P183" s="137" t="str">
        <f>IFERROR(INDEX(EQA.Controllab_Dados!P$2:P$5000,MATCH(ROW()-4,EQA.Controllab_Dados!$S$2:$S$5000,0)),"")</f>
        <v/>
      </c>
      <c r="Q183" s="126" t="str">
        <f>IFERROR(INDEX(EQA.Controllab_Dados!Q$2:Q$5000,MATCH(ROW()-4,EQA.Controllab_Dados!$S$2:$S$5000,0)),"")</f>
        <v/>
      </c>
      <c r="R183" t="str">
        <f>IFERROR(INDEX(EQA.Controllab_Dados!R$2:R$5000,MATCH(ROW()-4,EQA.Controllab_Dados!$S$2:$S$5000,0)),"")</f>
        <v/>
      </c>
    </row>
    <row r="184" spans="1:18" x14ac:dyDescent="0.3">
      <c r="A184" t="str">
        <f>IFERROR(INDEX(EQA.Controllab_Dados!A$2:A$5000,MATCH(ROW()-4,EQA.Controllab_Dados!$S$2:$S$5000,0)),"")</f>
        <v/>
      </c>
      <c r="B184" t="str">
        <f>IFERROR(INDEX(EQA.Controllab_Dados!B$2:B$5000,MATCH(ROW()-4,EQA.Controllab_Dados!$S$2:$S$5000,0)),"")</f>
        <v/>
      </c>
      <c r="C184" s="126" t="str">
        <f>IFERROR(INDEX(EQA.Controllab_Dados!C$2:C$5000,MATCH(ROW()-4,EQA.Controllab_Dados!$S$2:$S$5000,0)),"")</f>
        <v/>
      </c>
      <c r="D184" t="str">
        <f>IFERROR(INDEX(EQA.Controllab_Dados!D$2:D$5000,MATCH(ROW()-4,EQA.Controllab_Dados!$S$2:$S$5000,0)),"")</f>
        <v/>
      </c>
      <c r="E184" t="str">
        <f>IFERROR(INDEX(EQA.Controllab_Dados!E$2:E$5000,MATCH(ROW()-4,EQA.Controllab_Dados!$S$2:$S$5000,0)),"")</f>
        <v/>
      </c>
      <c r="F184" s="137" t="str">
        <f>IFERROR(INDEX(EQA.Controllab_Dados!F$2:F$5000,MATCH(ROW()-4,EQA.Controllab_Dados!$S$2:$S$5000,0)),"")</f>
        <v/>
      </c>
      <c r="G184" s="138" t="str">
        <f>IFERROR(INDEX(EQA.Controllab_Dados!G$2:G$5000,MATCH(ROW()-4,EQA.Controllab_Dados!$S$2:$S$5000,0)),"")</f>
        <v/>
      </c>
      <c r="H184" s="138" t="str">
        <f>IFERROR(INDEX(EQA.Controllab_Dados!H$2:H$5000,MATCH(ROW()-4,EQA.Controllab_Dados!$S$2:$S$5000,0)),"")</f>
        <v/>
      </c>
      <c r="I184" s="139" t="str">
        <f>IFERROR(INDEX(EQA.Controllab_Dados!I$2:I$5000,MATCH(ROW()-4,EQA.Controllab_Dados!$S$2:$S$5000,0)),"")</f>
        <v/>
      </c>
      <c r="J184" s="137" t="str">
        <f>IFERROR(INDEX(EQA.Controllab_Dados!J$2:J$5000,MATCH(ROW()-4,EQA.Controllab_Dados!$S$2:$S$5000,0)),"")</f>
        <v/>
      </c>
      <c r="K184" s="137" t="str">
        <f>IFERROR(INDEX(EQA.Controllab_Dados!K$2:K$5000,MATCH(ROW()-4,EQA.Controllab_Dados!$S$2:$S$5000,0)),"")</f>
        <v/>
      </c>
      <c r="L184" t="str">
        <f>IFERROR(INDEX(EQA.Controllab_Dados!L$2:L$5000,MATCH(ROW()-4,EQA.Controllab_Dados!$S$2:$S$5000,0)),"")</f>
        <v/>
      </c>
      <c r="M184" s="126" t="str">
        <f>IFERROR(INDEX(EQA.Controllab_Dados!M$2:M$5000,MATCH(ROW()-4,EQA.Controllab_Dados!$S$2:$S$5000,0)),"")</f>
        <v/>
      </c>
      <c r="N184" t="str">
        <f>IFERROR(INDEX(EQA.Controllab_Dados!N$2:N$5000,MATCH(ROW()-4,EQA.Controllab_Dados!$S$2:$S$5000,0)),"")</f>
        <v/>
      </c>
      <c r="O184" s="137" t="str">
        <f>IFERROR(INDEX(EQA.Controllab_Dados!O$2:O$5000,MATCH(ROW()-4,EQA.Controllab_Dados!$S$2:$S$5000,0)),"")</f>
        <v/>
      </c>
      <c r="P184" s="137" t="str">
        <f>IFERROR(INDEX(EQA.Controllab_Dados!P$2:P$5000,MATCH(ROW()-4,EQA.Controllab_Dados!$S$2:$S$5000,0)),"")</f>
        <v/>
      </c>
      <c r="Q184" s="126" t="str">
        <f>IFERROR(INDEX(EQA.Controllab_Dados!Q$2:Q$5000,MATCH(ROW()-4,EQA.Controllab_Dados!$S$2:$S$5000,0)),"")</f>
        <v/>
      </c>
      <c r="R184" t="str">
        <f>IFERROR(INDEX(EQA.Controllab_Dados!R$2:R$5000,MATCH(ROW()-4,EQA.Controllab_Dados!$S$2:$S$5000,0)),"")</f>
        <v/>
      </c>
    </row>
    <row r="185" spans="1:18" x14ac:dyDescent="0.3">
      <c r="A185" t="str">
        <f>IFERROR(INDEX(EQA.Controllab_Dados!A$2:A$5000,MATCH(ROW()-4,EQA.Controllab_Dados!$S$2:$S$5000,0)),"")</f>
        <v/>
      </c>
      <c r="B185" t="str">
        <f>IFERROR(INDEX(EQA.Controllab_Dados!B$2:B$5000,MATCH(ROW()-4,EQA.Controllab_Dados!$S$2:$S$5000,0)),"")</f>
        <v/>
      </c>
      <c r="C185" s="126" t="str">
        <f>IFERROR(INDEX(EQA.Controllab_Dados!C$2:C$5000,MATCH(ROW()-4,EQA.Controllab_Dados!$S$2:$S$5000,0)),"")</f>
        <v/>
      </c>
      <c r="D185" t="str">
        <f>IFERROR(INDEX(EQA.Controllab_Dados!D$2:D$5000,MATCH(ROW()-4,EQA.Controllab_Dados!$S$2:$S$5000,0)),"")</f>
        <v/>
      </c>
      <c r="E185" t="str">
        <f>IFERROR(INDEX(EQA.Controllab_Dados!E$2:E$5000,MATCH(ROW()-4,EQA.Controllab_Dados!$S$2:$S$5000,0)),"")</f>
        <v/>
      </c>
      <c r="F185" s="137" t="str">
        <f>IFERROR(INDEX(EQA.Controllab_Dados!F$2:F$5000,MATCH(ROW()-4,EQA.Controllab_Dados!$S$2:$S$5000,0)),"")</f>
        <v/>
      </c>
      <c r="G185" s="138" t="str">
        <f>IFERROR(INDEX(EQA.Controllab_Dados!G$2:G$5000,MATCH(ROW()-4,EQA.Controllab_Dados!$S$2:$S$5000,0)),"")</f>
        <v/>
      </c>
      <c r="H185" s="138" t="str">
        <f>IFERROR(INDEX(EQA.Controllab_Dados!H$2:H$5000,MATCH(ROW()-4,EQA.Controllab_Dados!$S$2:$S$5000,0)),"")</f>
        <v/>
      </c>
      <c r="I185" s="139" t="str">
        <f>IFERROR(INDEX(EQA.Controllab_Dados!I$2:I$5000,MATCH(ROW()-4,EQA.Controllab_Dados!$S$2:$S$5000,0)),"")</f>
        <v/>
      </c>
      <c r="J185" s="137" t="str">
        <f>IFERROR(INDEX(EQA.Controllab_Dados!J$2:J$5000,MATCH(ROW()-4,EQA.Controllab_Dados!$S$2:$S$5000,0)),"")</f>
        <v/>
      </c>
      <c r="K185" s="137" t="str">
        <f>IFERROR(INDEX(EQA.Controllab_Dados!K$2:K$5000,MATCH(ROW()-4,EQA.Controllab_Dados!$S$2:$S$5000,0)),"")</f>
        <v/>
      </c>
      <c r="L185" t="str">
        <f>IFERROR(INDEX(EQA.Controllab_Dados!L$2:L$5000,MATCH(ROW()-4,EQA.Controllab_Dados!$S$2:$S$5000,0)),"")</f>
        <v/>
      </c>
      <c r="M185" s="126" t="str">
        <f>IFERROR(INDEX(EQA.Controllab_Dados!M$2:M$5000,MATCH(ROW()-4,EQA.Controllab_Dados!$S$2:$S$5000,0)),"")</f>
        <v/>
      </c>
      <c r="N185" t="str">
        <f>IFERROR(INDEX(EQA.Controllab_Dados!N$2:N$5000,MATCH(ROW()-4,EQA.Controllab_Dados!$S$2:$S$5000,0)),"")</f>
        <v/>
      </c>
      <c r="O185" s="137" t="str">
        <f>IFERROR(INDEX(EQA.Controllab_Dados!O$2:O$5000,MATCH(ROW()-4,EQA.Controllab_Dados!$S$2:$S$5000,0)),"")</f>
        <v/>
      </c>
      <c r="P185" s="137" t="str">
        <f>IFERROR(INDEX(EQA.Controllab_Dados!P$2:P$5000,MATCH(ROW()-4,EQA.Controllab_Dados!$S$2:$S$5000,0)),"")</f>
        <v/>
      </c>
      <c r="Q185" s="126" t="str">
        <f>IFERROR(INDEX(EQA.Controllab_Dados!Q$2:Q$5000,MATCH(ROW()-4,EQA.Controllab_Dados!$S$2:$S$5000,0)),"")</f>
        <v/>
      </c>
      <c r="R185" t="str">
        <f>IFERROR(INDEX(EQA.Controllab_Dados!R$2:R$5000,MATCH(ROW()-4,EQA.Controllab_Dados!$S$2:$S$5000,0)),"")</f>
        <v/>
      </c>
    </row>
    <row r="186" spans="1:18" x14ac:dyDescent="0.3">
      <c r="A186" t="str">
        <f>IFERROR(INDEX(EQA.Controllab_Dados!A$2:A$5000,MATCH(ROW()-4,EQA.Controllab_Dados!$S$2:$S$5000,0)),"")</f>
        <v/>
      </c>
      <c r="B186" t="str">
        <f>IFERROR(INDEX(EQA.Controllab_Dados!B$2:B$5000,MATCH(ROW()-4,EQA.Controllab_Dados!$S$2:$S$5000,0)),"")</f>
        <v/>
      </c>
      <c r="C186" s="126" t="str">
        <f>IFERROR(INDEX(EQA.Controllab_Dados!C$2:C$5000,MATCH(ROW()-4,EQA.Controllab_Dados!$S$2:$S$5000,0)),"")</f>
        <v/>
      </c>
      <c r="D186" t="str">
        <f>IFERROR(INDEX(EQA.Controllab_Dados!D$2:D$5000,MATCH(ROW()-4,EQA.Controllab_Dados!$S$2:$S$5000,0)),"")</f>
        <v/>
      </c>
      <c r="E186" t="str">
        <f>IFERROR(INDEX(EQA.Controllab_Dados!E$2:E$5000,MATCH(ROW()-4,EQA.Controllab_Dados!$S$2:$S$5000,0)),"")</f>
        <v/>
      </c>
      <c r="F186" s="137" t="str">
        <f>IFERROR(INDEX(EQA.Controllab_Dados!F$2:F$5000,MATCH(ROW()-4,EQA.Controllab_Dados!$S$2:$S$5000,0)),"")</f>
        <v/>
      </c>
      <c r="G186" s="138" t="str">
        <f>IFERROR(INDEX(EQA.Controllab_Dados!G$2:G$5000,MATCH(ROW()-4,EQA.Controllab_Dados!$S$2:$S$5000,0)),"")</f>
        <v/>
      </c>
      <c r="H186" s="138" t="str">
        <f>IFERROR(INDEX(EQA.Controllab_Dados!H$2:H$5000,MATCH(ROW()-4,EQA.Controllab_Dados!$S$2:$S$5000,0)),"")</f>
        <v/>
      </c>
      <c r="I186" s="139" t="str">
        <f>IFERROR(INDEX(EQA.Controllab_Dados!I$2:I$5000,MATCH(ROW()-4,EQA.Controllab_Dados!$S$2:$S$5000,0)),"")</f>
        <v/>
      </c>
      <c r="J186" s="137" t="str">
        <f>IFERROR(INDEX(EQA.Controllab_Dados!J$2:J$5000,MATCH(ROW()-4,EQA.Controllab_Dados!$S$2:$S$5000,0)),"")</f>
        <v/>
      </c>
      <c r="K186" s="137" t="str">
        <f>IFERROR(INDEX(EQA.Controllab_Dados!K$2:K$5000,MATCH(ROW()-4,EQA.Controllab_Dados!$S$2:$S$5000,0)),"")</f>
        <v/>
      </c>
      <c r="L186" t="str">
        <f>IFERROR(INDEX(EQA.Controllab_Dados!L$2:L$5000,MATCH(ROW()-4,EQA.Controllab_Dados!$S$2:$S$5000,0)),"")</f>
        <v/>
      </c>
      <c r="M186" s="126" t="str">
        <f>IFERROR(INDEX(EQA.Controllab_Dados!M$2:M$5000,MATCH(ROW()-4,EQA.Controllab_Dados!$S$2:$S$5000,0)),"")</f>
        <v/>
      </c>
      <c r="N186" t="str">
        <f>IFERROR(INDEX(EQA.Controllab_Dados!N$2:N$5000,MATCH(ROW()-4,EQA.Controllab_Dados!$S$2:$S$5000,0)),"")</f>
        <v/>
      </c>
      <c r="O186" s="137" t="str">
        <f>IFERROR(INDEX(EQA.Controllab_Dados!O$2:O$5000,MATCH(ROW()-4,EQA.Controllab_Dados!$S$2:$S$5000,0)),"")</f>
        <v/>
      </c>
      <c r="P186" s="137" t="str">
        <f>IFERROR(INDEX(EQA.Controllab_Dados!P$2:P$5000,MATCH(ROW()-4,EQA.Controllab_Dados!$S$2:$S$5000,0)),"")</f>
        <v/>
      </c>
      <c r="Q186" s="126" t="str">
        <f>IFERROR(INDEX(EQA.Controllab_Dados!Q$2:Q$5000,MATCH(ROW()-4,EQA.Controllab_Dados!$S$2:$S$5000,0)),"")</f>
        <v/>
      </c>
      <c r="R186" t="str">
        <f>IFERROR(INDEX(EQA.Controllab_Dados!R$2:R$5000,MATCH(ROW()-4,EQA.Controllab_Dados!$S$2:$S$5000,0)),"")</f>
        <v/>
      </c>
    </row>
    <row r="187" spans="1:18" x14ac:dyDescent="0.3">
      <c r="A187" t="str">
        <f>IFERROR(INDEX(EQA.Controllab_Dados!A$2:A$5000,MATCH(ROW()-4,EQA.Controllab_Dados!$S$2:$S$5000,0)),"")</f>
        <v/>
      </c>
      <c r="B187" t="str">
        <f>IFERROR(INDEX(EQA.Controllab_Dados!B$2:B$5000,MATCH(ROW()-4,EQA.Controllab_Dados!$S$2:$S$5000,0)),"")</f>
        <v/>
      </c>
      <c r="C187" s="126" t="str">
        <f>IFERROR(INDEX(EQA.Controllab_Dados!C$2:C$5000,MATCH(ROW()-4,EQA.Controllab_Dados!$S$2:$S$5000,0)),"")</f>
        <v/>
      </c>
      <c r="D187" t="str">
        <f>IFERROR(INDEX(EQA.Controllab_Dados!D$2:D$5000,MATCH(ROW()-4,EQA.Controllab_Dados!$S$2:$S$5000,0)),"")</f>
        <v/>
      </c>
      <c r="E187" t="str">
        <f>IFERROR(INDEX(EQA.Controllab_Dados!E$2:E$5000,MATCH(ROW()-4,EQA.Controllab_Dados!$S$2:$S$5000,0)),"")</f>
        <v/>
      </c>
      <c r="F187" s="137" t="str">
        <f>IFERROR(INDEX(EQA.Controllab_Dados!F$2:F$5000,MATCH(ROW()-4,EQA.Controllab_Dados!$S$2:$S$5000,0)),"")</f>
        <v/>
      </c>
      <c r="G187" s="138" t="str">
        <f>IFERROR(INDEX(EQA.Controllab_Dados!G$2:G$5000,MATCH(ROW()-4,EQA.Controllab_Dados!$S$2:$S$5000,0)),"")</f>
        <v/>
      </c>
      <c r="H187" s="138" t="str">
        <f>IFERROR(INDEX(EQA.Controllab_Dados!H$2:H$5000,MATCH(ROW()-4,EQA.Controllab_Dados!$S$2:$S$5000,0)),"")</f>
        <v/>
      </c>
      <c r="I187" s="139" t="str">
        <f>IFERROR(INDEX(EQA.Controllab_Dados!I$2:I$5000,MATCH(ROW()-4,EQA.Controllab_Dados!$S$2:$S$5000,0)),"")</f>
        <v/>
      </c>
      <c r="J187" s="137" t="str">
        <f>IFERROR(INDEX(EQA.Controllab_Dados!J$2:J$5000,MATCH(ROW()-4,EQA.Controllab_Dados!$S$2:$S$5000,0)),"")</f>
        <v/>
      </c>
      <c r="K187" s="137" t="str">
        <f>IFERROR(INDEX(EQA.Controllab_Dados!K$2:K$5000,MATCH(ROW()-4,EQA.Controllab_Dados!$S$2:$S$5000,0)),"")</f>
        <v/>
      </c>
      <c r="L187" t="str">
        <f>IFERROR(INDEX(EQA.Controllab_Dados!L$2:L$5000,MATCH(ROW()-4,EQA.Controllab_Dados!$S$2:$S$5000,0)),"")</f>
        <v/>
      </c>
      <c r="M187" s="126" t="str">
        <f>IFERROR(INDEX(EQA.Controllab_Dados!M$2:M$5000,MATCH(ROW()-4,EQA.Controllab_Dados!$S$2:$S$5000,0)),"")</f>
        <v/>
      </c>
      <c r="N187" t="str">
        <f>IFERROR(INDEX(EQA.Controllab_Dados!N$2:N$5000,MATCH(ROW()-4,EQA.Controllab_Dados!$S$2:$S$5000,0)),"")</f>
        <v/>
      </c>
      <c r="O187" s="137" t="str">
        <f>IFERROR(INDEX(EQA.Controllab_Dados!O$2:O$5000,MATCH(ROW()-4,EQA.Controllab_Dados!$S$2:$S$5000,0)),"")</f>
        <v/>
      </c>
      <c r="P187" s="137" t="str">
        <f>IFERROR(INDEX(EQA.Controllab_Dados!P$2:P$5000,MATCH(ROW()-4,EQA.Controllab_Dados!$S$2:$S$5000,0)),"")</f>
        <v/>
      </c>
      <c r="Q187" s="126" t="str">
        <f>IFERROR(INDEX(EQA.Controllab_Dados!Q$2:Q$5000,MATCH(ROW()-4,EQA.Controllab_Dados!$S$2:$S$5000,0)),"")</f>
        <v/>
      </c>
      <c r="R187" t="str">
        <f>IFERROR(INDEX(EQA.Controllab_Dados!R$2:R$5000,MATCH(ROW()-4,EQA.Controllab_Dados!$S$2:$S$5000,0)),"")</f>
        <v/>
      </c>
    </row>
    <row r="188" spans="1:18" x14ac:dyDescent="0.3">
      <c r="A188" t="str">
        <f>IFERROR(INDEX(EQA.Controllab_Dados!A$2:A$5000,MATCH(ROW()-4,EQA.Controllab_Dados!$S$2:$S$5000,0)),"")</f>
        <v/>
      </c>
      <c r="B188" t="str">
        <f>IFERROR(INDEX(EQA.Controllab_Dados!B$2:B$5000,MATCH(ROW()-4,EQA.Controllab_Dados!$S$2:$S$5000,0)),"")</f>
        <v/>
      </c>
      <c r="C188" s="126" t="str">
        <f>IFERROR(INDEX(EQA.Controllab_Dados!C$2:C$5000,MATCH(ROW()-4,EQA.Controllab_Dados!$S$2:$S$5000,0)),"")</f>
        <v/>
      </c>
      <c r="D188" t="str">
        <f>IFERROR(INDEX(EQA.Controllab_Dados!D$2:D$5000,MATCH(ROW()-4,EQA.Controllab_Dados!$S$2:$S$5000,0)),"")</f>
        <v/>
      </c>
      <c r="E188" t="str">
        <f>IFERROR(INDEX(EQA.Controllab_Dados!E$2:E$5000,MATCH(ROW()-4,EQA.Controllab_Dados!$S$2:$S$5000,0)),"")</f>
        <v/>
      </c>
      <c r="F188" s="137" t="str">
        <f>IFERROR(INDEX(EQA.Controllab_Dados!F$2:F$5000,MATCH(ROW()-4,EQA.Controllab_Dados!$S$2:$S$5000,0)),"")</f>
        <v/>
      </c>
      <c r="G188" s="138" t="str">
        <f>IFERROR(INDEX(EQA.Controllab_Dados!G$2:G$5000,MATCH(ROW()-4,EQA.Controllab_Dados!$S$2:$S$5000,0)),"")</f>
        <v/>
      </c>
      <c r="H188" s="138" t="str">
        <f>IFERROR(INDEX(EQA.Controllab_Dados!H$2:H$5000,MATCH(ROW()-4,EQA.Controllab_Dados!$S$2:$S$5000,0)),"")</f>
        <v/>
      </c>
      <c r="I188" s="139" t="str">
        <f>IFERROR(INDEX(EQA.Controllab_Dados!I$2:I$5000,MATCH(ROW()-4,EQA.Controllab_Dados!$S$2:$S$5000,0)),"")</f>
        <v/>
      </c>
      <c r="J188" s="137" t="str">
        <f>IFERROR(INDEX(EQA.Controllab_Dados!J$2:J$5000,MATCH(ROW()-4,EQA.Controllab_Dados!$S$2:$S$5000,0)),"")</f>
        <v/>
      </c>
      <c r="K188" s="137" t="str">
        <f>IFERROR(INDEX(EQA.Controllab_Dados!K$2:K$5000,MATCH(ROW()-4,EQA.Controllab_Dados!$S$2:$S$5000,0)),"")</f>
        <v/>
      </c>
      <c r="L188" t="str">
        <f>IFERROR(INDEX(EQA.Controllab_Dados!L$2:L$5000,MATCH(ROW()-4,EQA.Controllab_Dados!$S$2:$S$5000,0)),"")</f>
        <v/>
      </c>
      <c r="M188" s="126" t="str">
        <f>IFERROR(INDEX(EQA.Controllab_Dados!M$2:M$5000,MATCH(ROW()-4,EQA.Controllab_Dados!$S$2:$S$5000,0)),"")</f>
        <v/>
      </c>
      <c r="N188" t="str">
        <f>IFERROR(INDEX(EQA.Controllab_Dados!N$2:N$5000,MATCH(ROW()-4,EQA.Controllab_Dados!$S$2:$S$5000,0)),"")</f>
        <v/>
      </c>
      <c r="O188" s="137" t="str">
        <f>IFERROR(INDEX(EQA.Controllab_Dados!O$2:O$5000,MATCH(ROW()-4,EQA.Controllab_Dados!$S$2:$S$5000,0)),"")</f>
        <v/>
      </c>
      <c r="P188" s="137" t="str">
        <f>IFERROR(INDEX(EQA.Controllab_Dados!P$2:P$5000,MATCH(ROW()-4,EQA.Controllab_Dados!$S$2:$S$5000,0)),"")</f>
        <v/>
      </c>
      <c r="Q188" s="126" t="str">
        <f>IFERROR(INDEX(EQA.Controllab_Dados!Q$2:Q$5000,MATCH(ROW()-4,EQA.Controllab_Dados!$S$2:$S$5000,0)),"")</f>
        <v/>
      </c>
      <c r="R188" t="str">
        <f>IFERROR(INDEX(EQA.Controllab_Dados!R$2:R$5000,MATCH(ROW()-4,EQA.Controllab_Dados!$S$2:$S$5000,0)),"")</f>
        <v/>
      </c>
    </row>
    <row r="189" spans="1:18" x14ac:dyDescent="0.3">
      <c r="A189" t="str">
        <f>IFERROR(INDEX(EQA.Controllab_Dados!A$2:A$5000,MATCH(ROW()-4,EQA.Controllab_Dados!$S$2:$S$5000,0)),"")</f>
        <v/>
      </c>
      <c r="B189" t="str">
        <f>IFERROR(INDEX(EQA.Controllab_Dados!B$2:B$5000,MATCH(ROW()-4,EQA.Controllab_Dados!$S$2:$S$5000,0)),"")</f>
        <v/>
      </c>
      <c r="C189" s="126" t="str">
        <f>IFERROR(INDEX(EQA.Controllab_Dados!C$2:C$5000,MATCH(ROW()-4,EQA.Controllab_Dados!$S$2:$S$5000,0)),"")</f>
        <v/>
      </c>
      <c r="D189" t="str">
        <f>IFERROR(INDEX(EQA.Controllab_Dados!D$2:D$5000,MATCH(ROW()-4,EQA.Controllab_Dados!$S$2:$S$5000,0)),"")</f>
        <v/>
      </c>
      <c r="E189" t="str">
        <f>IFERROR(INDEX(EQA.Controllab_Dados!E$2:E$5000,MATCH(ROW()-4,EQA.Controllab_Dados!$S$2:$S$5000,0)),"")</f>
        <v/>
      </c>
      <c r="F189" s="137" t="str">
        <f>IFERROR(INDEX(EQA.Controllab_Dados!F$2:F$5000,MATCH(ROW()-4,EQA.Controllab_Dados!$S$2:$S$5000,0)),"")</f>
        <v/>
      </c>
      <c r="G189" s="138" t="str">
        <f>IFERROR(INDEX(EQA.Controllab_Dados!G$2:G$5000,MATCH(ROW()-4,EQA.Controllab_Dados!$S$2:$S$5000,0)),"")</f>
        <v/>
      </c>
      <c r="H189" s="138" t="str">
        <f>IFERROR(INDEX(EQA.Controllab_Dados!H$2:H$5000,MATCH(ROW()-4,EQA.Controllab_Dados!$S$2:$S$5000,0)),"")</f>
        <v/>
      </c>
      <c r="I189" s="139" t="str">
        <f>IFERROR(INDEX(EQA.Controllab_Dados!I$2:I$5000,MATCH(ROW()-4,EQA.Controllab_Dados!$S$2:$S$5000,0)),"")</f>
        <v/>
      </c>
      <c r="J189" s="137" t="str">
        <f>IFERROR(INDEX(EQA.Controllab_Dados!J$2:J$5000,MATCH(ROW()-4,EQA.Controllab_Dados!$S$2:$S$5000,0)),"")</f>
        <v/>
      </c>
      <c r="K189" s="137" t="str">
        <f>IFERROR(INDEX(EQA.Controllab_Dados!K$2:K$5000,MATCH(ROW()-4,EQA.Controllab_Dados!$S$2:$S$5000,0)),"")</f>
        <v/>
      </c>
      <c r="L189" t="str">
        <f>IFERROR(INDEX(EQA.Controllab_Dados!L$2:L$5000,MATCH(ROW()-4,EQA.Controllab_Dados!$S$2:$S$5000,0)),"")</f>
        <v/>
      </c>
      <c r="M189" s="126" t="str">
        <f>IFERROR(INDEX(EQA.Controllab_Dados!M$2:M$5000,MATCH(ROW()-4,EQA.Controllab_Dados!$S$2:$S$5000,0)),"")</f>
        <v/>
      </c>
      <c r="N189" t="str">
        <f>IFERROR(INDEX(EQA.Controllab_Dados!N$2:N$5000,MATCH(ROW()-4,EQA.Controllab_Dados!$S$2:$S$5000,0)),"")</f>
        <v/>
      </c>
      <c r="O189" s="137" t="str">
        <f>IFERROR(INDEX(EQA.Controllab_Dados!O$2:O$5000,MATCH(ROW()-4,EQA.Controllab_Dados!$S$2:$S$5000,0)),"")</f>
        <v/>
      </c>
      <c r="P189" s="137" t="str">
        <f>IFERROR(INDEX(EQA.Controllab_Dados!P$2:P$5000,MATCH(ROW()-4,EQA.Controllab_Dados!$S$2:$S$5000,0)),"")</f>
        <v/>
      </c>
      <c r="Q189" s="126" t="str">
        <f>IFERROR(INDEX(EQA.Controllab_Dados!Q$2:Q$5000,MATCH(ROW()-4,EQA.Controllab_Dados!$S$2:$S$5000,0)),"")</f>
        <v/>
      </c>
      <c r="R189" t="str">
        <f>IFERROR(INDEX(EQA.Controllab_Dados!R$2:R$5000,MATCH(ROW()-4,EQA.Controllab_Dados!$S$2:$S$5000,0)),"")</f>
        <v/>
      </c>
    </row>
    <row r="190" spans="1:18" x14ac:dyDescent="0.3">
      <c r="A190" t="str">
        <f>IFERROR(INDEX(EQA.Controllab_Dados!A$2:A$5000,MATCH(ROW()-4,EQA.Controllab_Dados!$S$2:$S$5000,0)),"")</f>
        <v/>
      </c>
      <c r="B190" t="str">
        <f>IFERROR(INDEX(EQA.Controllab_Dados!B$2:B$5000,MATCH(ROW()-4,EQA.Controllab_Dados!$S$2:$S$5000,0)),"")</f>
        <v/>
      </c>
      <c r="C190" s="126" t="str">
        <f>IFERROR(INDEX(EQA.Controllab_Dados!C$2:C$5000,MATCH(ROW()-4,EQA.Controllab_Dados!$S$2:$S$5000,0)),"")</f>
        <v/>
      </c>
      <c r="D190" t="str">
        <f>IFERROR(INDEX(EQA.Controllab_Dados!D$2:D$5000,MATCH(ROW()-4,EQA.Controllab_Dados!$S$2:$S$5000,0)),"")</f>
        <v/>
      </c>
      <c r="E190" t="str">
        <f>IFERROR(INDEX(EQA.Controllab_Dados!E$2:E$5000,MATCH(ROW()-4,EQA.Controllab_Dados!$S$2:$S$5000,0)),"")</f>
        <v/>
      </c>
      <c r="F190" s="137" t="str">
        <f>IFERROR(INDEX(EQA.Controllab_Dados!F$2:F$5000,MATCH(ROW()-4,EQA.Controllab_Dados!$S$2:$S$5000,0)),"")</f>
        <v/>
      </c>
      <c r="G190" s="138" t="str">
        <f>IFERROR(INDEX(EQA.Controllab_Dados!G$2:G$5000,MATCH(ROW()-4,EQA.Controllab_Dados!$S$2:$S$5000,0)),"")</f>
        <v/>
      </c>
      <c r="H190" s="138" t="str">
        <f>IFERROR(INDEX(EQA.Controllab_Dados!H$2:H$5000,MATCH(ROW()-4,EQA.Controllab_Dados!$S$2:$S$5000,0)),"")</f>
        <v/>
      </c>
      <c r="I190" s="139" t="str">
        <f>IFERROR(INDEX(EQA.Controllab_Dados!I$2:I$5000,MATCH(ROW()-4,EQA.Controllab_Dados!$S$2:$S$5000,0)),"")</f>
        <v/>
      </c>
      <c r="J190" s="137" t="str">
        <f>IFERROR(INDEX(EQA.Controllab_Dados!J$2:J$5000,MATCH(ROW()-4,EQA.Controllab_Dados!$S$2:$S$5000,0)),"")</f>
        <v/>
      </c>
      <c r="K190" s="137" t="str">
        <f>IFERROR(INDEX(EQA.Controllab_Dados!K$2:K$5000,MATCH(ROW()-4,EQA.Controllab_Dados!$S$2:$S$5000,0)),"")</f>
        <v/>
      </c>
      <c r="L190" t="str">
        <f>IFERROR(INDEX(EQA.Controllab_Dados!L$2:L$5000,MATCH(ROW()-4,EQA.Controllab_Dados!$S$2:$S$5000,0)),"")</f>
        <v/>
      </c>
      <c r="M190" s="126" t="str">
        <f>IFERROR(INDEX(EQA.Controllab_Dados!M$2:M$5000,MATCH(ROW()-4,EQA.Controllab_Dados!$S$2:$S$5000,0)),"")</f>
        <v/>
      </c>
      <c r="N190" t="str">
        <f>IFERROR(INDEX(EQA.Controllab_Dados!N$2:N$5000,MATCH(ROW()-4,EQA.Controllab_Dados!$S$2:$S$5000,0)),"")</f>
        <v/>
      </c>
      <c r="O190" s="137" t="str">
        <f>IFERROR(INDEX(EQA.Controllab_Dados!O$2:O$5000,MATCH(ROW()-4,EQA.Controllab_Dados!$S$2:$S$5000,0)),"")</f>
        <v/>
      </c>
      <c r="P190" s="137" t="str">
        <f>IFERROR(INDEX(EQA.Controllab_Dados!P$2:P$5000,MATCH(ROW()-4,EQA.Controllab_Dados!$S$2:$S$5000,0)),"")</f>
        <v/>
      </c>
      <c r="Q190" s="126" t="str">
        <f>IFERROR(INDEX(EQA.Controllab_Dados!Q$2:Q$5000,MATCH(ROW()-4,EQA.Controllab_Dados!$S$2:$S$5000,0)),"")</f>
        <v/>
      </c>
      <c r="R190" t="str">
        <f>IFERROR(INDEX(EQA.Controllab_Dados!R$2:R$5000,MATCH(ROW()-4,EQA.Controllab_Dados!$S$2:$S$5000,0)),"")</f>
        <v/>
      </c>
    </row>
    <row r="191" spans="1:18" x14ac:dyDescent="0.3">
      <c r="A191" t="str">
        <f>IFERROR(INDEX(EQA.Controllab_Dados!A$2:A$5000,MATCH(ROW()-4,EQA.Controllab_Dados!$S$2:$S$5000,0)),"")</f>
        <v/>
      </c>
      <c r="B191" t="str">
        <f>IFERROR(INDEX(EQA.Controllab_Dados!B$2:B$5000,MATCH(ROW()-4,EQA.Controllab_Dados!$S$2:$S$5000,0)),"")</f>
        <v/>
      </c>
      <c r="C191" s="126" t="str">
        <f>IFERROR(INDEX(EQA.Controllab_Dados!C$2:C$5000,MATCH(ROW()-4,EQA.Controllab_Dados!$S$2:$S$5000,0)),"")</f>
        <v/>
      </c>
      <c r="D191" t="str">
        <f>IFERROR(INDEX(EQA.Controllab_Dados!D$2:D$5000,MATCH(ROW()-4,EQA.Controllab_Dados!$S$2:$S$5000,0)),"")</f>
        <v/>
      </c>
      <c r="E191" t="str">
        <f>IFERROR(INDEX(EQA.Controllab_Dados!E$2:E$5000,MATCH(ROW()-4,EQA.Controllab_Dados!$S$2:$S$5000,0)),"")</f>
        <v/>
      </c>
      <c r="F191" s="137" t="str">
        <f>IFERROR(INDEX(EQA.Controllab_Dados!F$2:F$5000,MATCH(ROW()-4,EQA.Controllab_Dados!$S$2:$S$5000,0)),"")</f>
        <v/>
      </c>
      <c r="G191" s="138" t="str">
        <f>IFERROR(INDEX(EQA.Controllab_Dados!G$2:G$5000,MATCH(ROW()-4,EQA.Controllab_Dados!$S$2:$S$5000,0)),"")</f>
        <v/>
      </c>
      <c r="H191" s="138" t="str">
        <f>IFERROR(INDEX(EQA.Controllab_Dados!H$2:H$5000,MATCH(ROW()-4,EQA.Controllab_Dados!$S$2:$S$5000,0)),"")</f>
        <v/>
      </c>
      <c r="I191" s="139" t="str">
        <f>IFERROR(INDEX(EQA.Controllab_Dados!I$2:I$5000,MATCH(ROW()-4,EQA.Controllab_Dados!$S$2:$S$5000,0)),"")</f>
        <v/>
      </c>
      <c r="J191" s="137" t="str">
        <f>IFERROR(INDEX(EQA.Controllab_Dados!J$2:J$5000,MATCH(ROW()-4,EQA.Controllab_Dados!$S$2:$S$5000,0)),"")</f>
        <v/>
      </c>
      <c r="K191" s="137" t="str">
        <f>IFERROR(INDEX(EQA.Controllab_Dados!K$2:K$5000,MATCH(ROW()-4,EQA.Controllab_Dados!$S$2:$S$5000,0)),"")</f>
        <v/>
      </c>
      <c r="L191" t="str">
        <f>IFERROR(INDEX(EQA.Controllab_Dados!L$2:L$5000,MATCH(ROW()-4,EQA.Controllab_Dados!$S$2:$S$5000,0)),"")</f>
        <v/>
      </c>
      <c r="M191" s="126" t="str">
        <f>IFERROR(INDEX(EQA.Controllab_Dados!M$2:M$5000,MATCH(ROW()-4,EQA.Controllab_Dados!$S$2:$S$5000,0)),"")</f>
        <v/>
      </c>
      <c r="N191" t="str">
        <f>IFERROR(INDEX(EQA.Controllab_Dados!N$2:N$5000,MATCH(ROW()-4,EQA.Controllab_Dados!$S$2:$S$5000,0)),"")</f>
        <v/>
      </c>
      <c r="O191" s="137" t="str">
        <f>IFERROR(INDEX(EQA.Controllab_Dados!O$2:O$5000,MATCH(ROW()-4,EQA.Controllab_Dados!$S$2:$S$5000,0)),"")</f>
        <v/>
      </c>
      <c r="P191" s="137" t="str">
        <f>IFERROR(INDEX(EQA.Controllab_Dados!P$2:P$5000,MATCH(ROW()-4,EQA.Controllab_Dados!$S$2:$S$5000,0)),"")</f>
        <v/>
      </c>
      <c r="Q191" s="126" t="str">
        <f>IFERROR(INDEX(EQA.Controllab_Dados!Q$2:Q$5000,MATCH(ROW()-4,EQA.Controllab_Dados!$S$2:$S$5000,0)),"")</f>
        <v/>
      </c>
      <c r="R191" t="str">
        <f>IFERROR(INDEX(EQA.Controllab_Dados!R$2:R$5000,MATCH(ROW()-4,EQA.Controllab_Dados!$S$2:$S$5000,0)),"")</f>
        <v/>
      </c>
    </row>
    <row r="192" spans="1:18" x14ac:dyDescent="0.3">
      <c r="A192" t="str">
        <f>IFERROR(INDEX(EQA.Controllab_Dados!A$2:A$5000,MATCH(ROW()-4,EQA.Controllab_Dados!$S$2:$S$5000,0)),"")</f>
        <v/>
      </c>
      <c r="B192" t="str">
        <f>IFERROR(INDEX(EQA.Controllab_Dados!B$2:B$5000,MATCH(ROW()-4,EQA.Controllab_Dados!$S$2:$S$5000,0)),"")</f>
        <v/>
      </c>
      <c r="C192" s="126" t="str">
        <f>IFERROR(INDEX(EQA.Controllab_Dados!C$2:C$5000,MATCH(ROW()-4,EQA.Controllab_Dados!$S$2:$S$5000,0)),"")</f>
        <v/>
      </c>
      <c r="D192" t="str">
        <f>IFERROR(INDEX(EQA.Controllab_Dados!D$2:D$5000,MATCH(ROW()-4,EQA.Controllab_Dados!$S$2:$S$5000,0)),"")</f>
        <v/>
      </c>
      <c r="E192" t="str">
        <f>IFERROR(INDEX(EQA.Controllab_Dados!E$2:E$5000,MATCH(ROW()-4,EQA.Controllab_Dados!$S$2:$S$5000,0)),"")</f>
        <v/>
      </c>
      <c r="F192" s="137" t="str">
        <f>IFERROR(INDEX(EQA.Controllab_Dados!F$2:F$5000,MATCH(ROW()-4,EQA.Controllab_Dados!$S$2:$S$5000,0)),"")</f>
        <v/>
      </c>
      <c r="G192" s="138" t="str">
        <f>IFERROR(INDEX(EQA.Controllab_Dados!G$2:G$5000,MATCH(ROW()-4,EQA.Controllab_Dados!$S$2:$S$5000,0)),"")</f>
        <v/>
      </c>
      <c r="H192" s="138" t="str">
        <f>IFERROR(INDEX(EQA.Controllab_Dados!H$2:H$5000,MATCH(ROW()-4,EQA.Controllab_Dados!$S$2:$S$5000,0)),"")</f>
        <v/>
      </c>
      <c r="I192" s="139" t="str">
        <f>IFERROR(INDEX(EQA.Controllab_Dados!I$2:I$5000,MATCH(ROW()-4,EQA.Controllab_Dados!$S$2:$S$5000,0)),"")</f>
        <v/>
      </c>
      <c r="J192" s="137" t="str">
        <f>IFERROR(INDEX(EQA.Controllab_Dados!J$2:J$5000,MATCH(ROW()-4,EQA.Controllab_Dados!$S$2:$S$5000,0)),"")</f>
        <v/>
      </c>
      <c r="K192" s="137" t="str">
        <f>IFERROR(INDEX(EQA.Controllab_Dados!K$2:K$5000,MATCH(ROW()-4,EQA.Controllab_Dados!$S$2:$S$5000,0)),"")</f>
        <v/>
      </c>
      <c r="L192" t="str">
        <f>IFERROR(INDEX(EQA.Controllab_Dados!L$2:L$5000,MATCH(ROW()-4,EQA.Controllab_Dados!$S$2:$S$5000,0)),"")</f>
        <v/>
      </c>
      <c r="M192" s="126" t="str">
        <f>IFERROR(INDEX(EQA.Controllab_Dados!M$2:M$5000,MATCH(ROW()-4,EQA.Controllab_Dados!$S$2:$S$5000,0)),"")</f>
        <v/>
      </c>
      <c r="N192" t="str">
        <f>IFERROR(INDEX(EQA.Controllab_Dados!N$2:N$5000,MATCH(ROW()-4,EQA.Controllab_Dados!$S$2:$S$5000,0)),"")</f>
        <v/>
      </c>
      <c r="O192" s="137" t="str">
        <f>IFERROR(INDEX(EQA.Controllab_Dados!O$2:O$5000,MATCH(ROW()-4,EQA.Controllab_Dados!$S$2:$S$5000,0)),"")</f>
        <v/>
      </c>
      <c r="P192" s="137" t="str">
        <f>IFERROR(INDEX(EQA.Controllab_Dados!P$2:P$5000,MATCH(ROW()-4,EQA.Controllab_Dados!$S$2:$S$5000,0)),"")</f>
        <v/>
      </c>
      <c r="Q192" s="126" t="str">
        <f>IFERROR(INDEX(EQA.Controllab_Dados!Q$2:Q$5000,MATCH(ROW()-4,EQA.Controllab_Dados!$S$2:$S$5000,0)),"")</f>
        <v/>
      </c>
      <c r="R192" t="str">
        <f>IFERROR(INDEX(EQA.Controllab_Dados!R$2:R$5000,MATCH(ROW()-4,EQA.Controllab_Dados!$S$2:$S$5000,0)),"")</f>
        <v/>
      </c>
    </row>
    <row r="193" spans="1:18" x14ac:dyDescent="0.3">
      <c r="A193" t="str">
        <f>IFERROR(INDEX(EQA.Controllab_Dados!A$2:A$5000,MATCH(ROW()-4,EQA.Controllab_Dados!$S$2:$S$5000,0)),"")</f>
        <v/>
      </c>
      <c r="B193" t="str">
        <f>IFERROR(INDEX(EQA.Controllab_Dados!B$2:B$5000,MATCH(ROW()-4,EQA.Controllab_Dados!$S$2:$S$5000,0)),"")</f>
        <v/>
      </c>
      <c r="C193" s="126" t="str">
        <f>IFERROR(INDEX(EQA.Controllab_Dados!C$2:C$5000,MATCH(ROW()-4,EQA.Controllab_Dados!$S$2:$S$5000,0)),"")</f>
        <v/>
      </c>
      <c r="D193" t="str">
        <f>IFERROR(INDEX(EQA.Controllab_Dados!D$2:D$5000,MATCH(ROW()-4,EQA.Controllab_Dados!$S$2:$S$5000,0)),"")</f>
        <v/>
      </c>
      <c r="E193" t="str">
        <f>IFERROR(INDEX(EQA.Controllab_Dados!E$2:E$5000,MATCH(ROW()-4,EQA.Controllab_Dados!$S$2:$S$5000,0)),"")</f>
        <v/>
      </c>
      <c r="F193" s="137" t="str">
        <f>IFERROR(INDEX(EQA.Controllab_Dados!F$2:F$5000,MATCH(ROW()-4,EQA.Controllab_Dados!$S$2:$S$5000,0)),"")</f>
        <v/>
      </c>
      <c r="G193" s="138" t="str">
        <f>IFERROR(INDEX(EQA.Controllab_Dados!G$2:G$5000,MATCH(ROW()-4,EQA.Controllab_Dados!$S$2:$S$5000,0)),"")</f>
        <v/>
      </c>
      <c r="H193" s="138" t="str">
        <f>IFERROR(INDEX(EQA.Controllab_Dados!H$2:H$5000,MATCH(ROW()-4,EQA.Controllab_Dados!$S$2:$S$5000,0)),"")</f>
        <v/>
      </c>
      <c r="I193" s="139" t="str">
        <f>IFERROR(INDEX(EQA.Controllab_Dados!I$2:I$5000,MATCH(ROW()-4,EQA.Controllab_Dados!$S$2:$S$5000,0)),"")</f>
        <v/>
      </c>
      <c r="J193" s="137" t="str">
        <f>IFERROR(INDEX(EQA.Controllab_Dados!J$2:J$5000,MATCH(ROW()-4,EQA.Controllab_Dados!$S$2:$S$5000,0)),"")</f>
        <v/>
      </c>
      <c r="K193" s="137" t="str">
        <f>IFERROR(INDEX(EQA.Controllab_Dados!K$2:K$5000,MATCH(ROW()-4,EQA.Controllab_Dados!$S$2:$S$5000,0)),"")</f>
        <v/>
      </c>
      <c r="L193" t="str">
        <f>IFERROR(INDEX(EQA.Controllab_Dados!L$2:L$5000,MATCH(ROW()-4,EQA.Controllab_Dados!$S$2:$S$5000,0)),"")</f>
        <v/>
      </c>
      <c r="M193" s="126" t="str">
        <f>IFERROR(INDEX(EQA.Controllab_Dados!M$2:M$5000,MATCH(ROW()-4,EQA.Controllab_Dados!$S$2:$S$5000,0)),"")</f>
        <v/>
      </c>
      <c r="N193" t="str">
        <f>IFERROR(INDEX(EQA.Controllab_Dados!N$2:N$5000,MATCH(ROW()-4,EQA.Controllab_Dados!$S$2:$S$5000,0)),"")</f>
        <v/>
      </c>
      <c r="O193" s="137" t="str">
        <f>IFERROR(INDEX(EQA.Controllab_Dados!O$2:O$5000,MATCH(ROW()-4,EQA.Controllab_Dados!$S$2:$S$5000,0)),"")</f>
        <v/>
      </c>
      <c r="P193" s="137" t="str">
        <f>IFERROR(INDEX(EQA.Controllab_Dados!P$2:P$5000,MATCH(ROW()-4,EQA.Controllab_Dados!$S$2:$S$5000,0)),"")</f>
        <v/>
      </c>
      <c r="Q193" s="126" t="str">
        <f>IFERROR(INDEX(EQA.Controllab_Dados!Q$2:Q$5000,MATCH(ROW()-4,EQA.Controllab_Dados!$S$2:$S$5000,0)),"")</f>
        <v/>
      </c>
      <c r="R193" t="str">
        <f>IFERROR(INDEX(EQA.Controllab_Dados!R$2:R$5000,MATCH(ROW()-4,EQA.Controllab_Dados!$S$2:$S$5000,0)),"")</f>
        <v/>
      </c>
    </row>
    <row r="194" spans="1:18" x14ac:dyDescent="0.3">
      <c r="A194" t="str">
        <f>IFERROR(INDEX(EQA.Controllab_Dados!A$2:A$5000,MATCH(ROW()-4,EQA.Controllab_Dados!$S$2:$S$5000,0)),"")</f>
        <v/>
      </c>
      <c r="B194" t="str">
        <f>IFERROR(INDEX(EQA.Controllab_Dados!B$2:B$5000,MATCH(ROW()-4,EQA.Controllab_Dados!$S$2:$S$5000,0)),"")</f>
        <v/>
      </c>
      <c r="C194" s="126" t="str">
        <f>IFERROR(INDEX(EQA.Controllab_Dados!C$2:C$5000,MATCH(ROW()-4,EQA.Controllab_Dados!$S$2:$S$5000,0)),"")</f>
        <v/>
      </c>
      <c r="D194" t="str">
        <f>IFERROR(INDEX(EQA.Controllab_Dados!D$2:D$5000,MATCH(ROW()-4,EQA.Controllab_Dados!$S$2:$S$5000,0)),"")</f>
        <v/>
      </c>
      <c r="E194" t="str">
        <f>IFERROR(INDEX(EQA.Controllab_Dados!E$2:E$5000,MATCH(ROW()-4,EQA.Controllab_Dados!$S$2:$S$5000,0)),"")</f>
        <v/>
      </c>
      <c r="F194" s="137" t="str">
        <f>IFERROR(INDEX(EQA.Controllab_Dados!F$2:F$5000,MATCH(ROW()-4,EQA.Controllab_Dados!$S$2:$S$5000,0)),"")</f>
        <v/>
      </c>
      <c r="G194" s="138" t="str">
        <f>IFERROR(INDEX(EQA.Controllab_Dados!G$2:G$5000,MATCH(ROW()-4,EQA.Controllab_Dados!$S$2:$S$5000,0)),"")</f>
        <v/>
      </c>
      <c r="H194" s="138" t="str">
        <f>IFERROR(INDEX(EQA.Controllab_Dados!H$2:H$5000,MATCH(ROW()-4,EQA.Controllab_Dados!$S$2:$S$5000,0)),"")</f>
        <v/>
      </c>
      <c r="I194" s="139" t="str">
        <f>IFERROR(INDEX(EQA.Controllab_Dados!I$2:I$5000,MATCH(ROW()-4,EQA.Controllab_Dados!$S$2:$S$5000,0)),"")</f>
        <v/>
      </c>
      <c r="J194" s="137" t="str">
        <f>IFERROR(INDEX(EQA.Controllab_Dados!J$2:J$5000,MATCH(ROW()-4,EQA.Controllab_Dados!$S$2:$S$5000,0)),"")</f>
        <v/>
      </c>
      <c r="K194" s="137" t="str">
        <f>IFERROR(INDEX(EQA.Controllab_Dados!K$2:K$5000,MATCH(ROW()-4,EQA.Controllab_Dados!$S$2:$S$5000,0)),"")</f>
        <v/>
      </c>
      <c r="L194" t="str">
        <f>IFERROR(INDEX(EQA.Controllab_Dados!L$2:L$5000,MATCH(ROW()-4,EQA.Controllab_Dados!$S$2:$S$5000,0)),"")</f>
        <v/>
      </c>
      <c r="M194" s="126" t="str">
        <f>IFERROR(INDEX(EQA.Controllab_Dados!M$2:M$5000,MATCH(ROW()-4,EQA.Controllab_Dados!$S$2:$S$5000,0)),"")</f>
        <v/>
      </c>
      <c r="N194" t="str">
        <f>IFERROR(INDEX(EQA.Controllab_Dados!N$2:N$5000,MATCH(ROW()-4,EQA.Controllab_Dados!$S$2:$S$5000,0)),"")</f>
        <v/>
      </c>
      <c r="O194" s="137" t="str">
        <f>IFERROR(INDEX(EQA.Controllab_Dados!O$2:O$5000,MATCH(ROW()-4,EQA.Controllab_Dados!$S$2:$S$5000,0)),"")</f>
        <v/>
      </c>
      <c r="P194" s="137" t="str">
        <f>IFERROR(INDEX(EQA.Controllab_Dados!P$2:P$5000,MATCH(ROW()-4,EQA.Controllab_Dados!$S$2:$S$5000,0)),"")</f>
        <v/>
      </c>
      <c r="Q194" s="126" t="str">
        <f>IFERROR(INDEX(EQA.Controllab_Dados!Q$2:Q$5000,MATCH(ROW()-4,EQA.Controllab_Dados!$S$2:$S$5000,0)),"")</f>
        <v/>
      </c>
      <c r="R194" t="str">
        <f>IFERROR(INDEX(EQA.Controllab_Dados!R$2:R$5000,MATCH(ROW()-4,EQA.Controllab_Dados!$S$2:$S$5000,0)),"")</f>
        <v/>
      </c>
    </row>
    <row r="195" spans="1:18" x14ac:dyDescent="0.3">
      <c r="A195" t="str">
        <f>IFERROR(INDEX(EQA.Controllab_Dados!A$2:A$5000,MATCH(ROW()-4,EQA.Controllab_Dados!$S$2:$S$5000,0)),"")</f>
        <v/>
      </c>
      <c r="B195" t="str">
        <f>IFERROR(INDEX(EQA.Controllab_Dados!B$2:B$5000,MATCH(ROW()-4,EQA.Controllab_Dados!$S$2:$S$5000,0)),"")</f>
        <v/>
      </c>
      <c r="C195" s="126" t="str">
        <f>IFERROR(INDEX(EQA.Controllab_Dados!C$2:C$5000,MATCH(ROW()-4,EQA.Controllab_Dados!$S$2:$S$5000,0)),"")</f>
        <v/>
      </c>
      <c r="D195" t="str">
        <f>IFERROR(INDEX(EQA.Controllab_Dados!D$2:D$5000,MATCH(ROW()-4,EQA.Controllab_Dados!$S$2:$S$5000,0)),"")</f>
        <v/>
      </c>
      <c r="E195" t="str">
        <f>IFERROR(INDEX(EQA.Controllab_Dados!E$2:E$5000,MATCH(ROW()-4,EQA.Controllab_Dados!$S$2:$S$5000,0)),"")</f>
        <v/>
      </c>
      <c r="F195" s="137" t="str">
        <f>IFERROR(INDEX(EQA.Controllab_Dados!F$2:F$5000,MATCH(ROW()-4,EQA.Controllab_Dados!$S$2:$S$5000,0)),"")</f>
        <v/>
      </c>
      <c r="G195" s="138" t="str">
        <f>IFERROR(INDEX(EQA.Controllab_Dados!G$2:G$5000,MATCH(ROW()-4,EQA.Controllab_Dados!$S$2:$S$5000,0)),"")</f>
        <v/>
      </c>
      <c r="H195" s="138" t="str">
        <f>IFERROR(INDEX(EQA.Controllab_Dados!H$2:H$5000,MATCH(ROW()-4,EQA.Controllab_Dados!$S$2:$S$5000,0)),"")</f>
        <v/>
      </c>
      <c r="I195" s="139" t="str">
        <f>IFERROR(INDEX(EQA.Controllab_Dados!I$2:I$5000,MATCH(ROW()-4,EQA.Controllab_Dados!$S$2:$S$5000,0)),"")</f>
        <v/>
      </c>
      <c r="J195" s="137" t="str">
        <f>IFERROR(INDEX(EQA.Controllab_Dados!J$2:J$5000,MATCH(ROW()-4,EQA.Controllab_Dados!$S$2:$S$5000,0)),"")</f>
        <v/>
      </c>
      <c r="K195" s="137" t="str">
        <f>IFERROR(INDEX(EQA.Controllab_Dados!K$2:K$5000,MATCH(ROW()-4,EQA.Controllab_Dados!$S$2:$S$5000,0)),"")</f>
        <v/>
      </c>
      <c r="L195" t="str">
        <f>IFERROR(INDEX(EQA.Controllab_Dados!L$2:L$5000,MATCH(ROW()-4,EQA.Controllab_Dados!$S$2:$S$5000,0)),"")</f>
        <v/>
      </c>
      <c r="M195" s="126" t="str">
        <f>IFERROR(INDEX(EQA.Controllab_Dados!M$2:M$5000,MATCH(ROW()-4,EQA.Controllab_Dados!$S$2:$S$5000,0)),"")</f>
        <v/>
      </c>
      <c r="N195" t="str">
        <f>IFERROR(INDEX(EQA.Controllab_Dados!N$2:N$5000,MATCH(ROW()-4,EQA.Controllab_Dados!$S$2:$S$5000,0)),"")</f>
        <v/>
      </c>
      <c r="O195" s="137" t="str">
        <f>IFERROR(INDEX(EQA.Controllab_Dados!O$2:O$5000,MATCH(ROW()-4,EQA.Controllab_Dados!$S$2:$S$5000,0)),"")</f>
        <v/>
      </c>
      <c r="P195" s="137" t="str">
        <f>IFERROR(INDEX(EQA.Controllab_Dados!P$2:P$5000,MATCH(ROW()-4,EQA.Controllab_Dados!$S$2:$S$5000,0)),"")</f>
        <v/>
      </c>
      <c r="Q195" s="126" t="str">
        <f>IFERROR(INDEX(EQA.Controllab_Dados!Q$2:Q$5000,MATCH(ROW()-4,EQA.Controllab_Dados!$S$2:$S$5000,0)),"")</f>
        <v/>
      </c>
      <c r="R195" t="str">
        <f>IFERROR(INDEX(EQA.Controllab_Dados!R$2:R$5000,MATCH(ROW()-4,EQA.Controllab_Dados!$S$2:$S$5000,0)),"")</f>
        <v/>
      </c>
    </row>
    <row r="196" spans="1:18" x14ac:dyDescent="0.3">
      <c r="A196" t="str">
        <f>IFERROR(INDEX(EQA.Controllab_Dados!A$2:A$5000,MATCH(ROW()-4,EQA.Controllab_Dados!$S$2:$S$5000,0)),"")</f>
        <v/>
      </c>
      <c r="B196" t="str">
        <f>IFERROR(INDEX(EQA.Controllab_Dados!B$2:B$5000,MATCH(ROW()-4,EQA.Controllab_Dados!$S$2:$S$5000,0)),"")</f>
        <v/>
      </c>
      <c r="C196" s="126" t="str">
        <f>IFERROR(INDEX(EQA.Controllab_Dados!C$2:C$5000,MATCH(ROW()-4,EQA.Controllab_Dados!$S$2:$S$5000,0)),"")</f>
        <v/>
      </c>
      <c r="D196" t="str">
        <f>IFERROR(INDEX(EQA.Controllab_Dados!D$2:D$5000,MATCH(ROW()-4,EQA.Controllab_Dados!$S$2:$S$5000,0)),"")</f>
        <v/>
      </c>
      <c r="E196" t="str">
        <f>IFERROR(INDEX(EQA.Controllab_Dados!E$2:E$5000,MATCH(ROW()-4,EQA.Controllab_Dados!$S$2:$S$5000,0)),"")</f>
        <v/>
      </c>
      <c r="F196" s="137" t="str">
        <f>IFERROR(INDEX(EQA.Controllab_Dados!F$2:F$5000,MATCH(ROW()-4,EQA.Controllab_Dados!$S$2:$S$5000,0)),"")</f>
        <v/>
      </c>
      <c r="G196" s="138" t="str">
        <f>IFERROR(INDEX(EQA.Controllab_Dados!G$2:G$5000,MATCH(ROW()-4,EQA.Controllab_Dados!$S$2:$S$5000,0)),"")</f>
        <v/>
      </c>
      <c r="H196" s="138" t="str">
        <f>IFERROR(INDEX(EQA.Controllab_Dados!H$2:H$5000,MATCH(ROW()-4,EQA.Controllab_Dados!$S$2:$S$5000,0)),"")</f>
        <v/>
      </c>
      <c r="I196" s="139" t="str">
        <f>IFERROR(INDEX(EQA.Controllab_Dados!I$2:I$5000,MATCH(ROW()-4,EQA.Controllab_Dados!$S$2:$S$5000,0)),"")</f>
        <v/>
      </c>
      <c r="J196" s="137" t="str">
        <f>IFERROR(INDEX(EQA.Controllab_Dados!J$2:J$5000,MATCH(ROW()-4,EQA.Controllab_Dados!$S$2:$S$5000,0)),"")</f>
        <v/>
      </c>
      <c r="K196" s="137" t="str">
        <f>IFERROR(INDEX(EQA.Controllab_Dados!K$2:K$5000,MATCH(ROW()-4,EQA.Controllab_Dados!$S$2:$S$5000,0)),"")</f>
        <v/>
      </c>
      <c r="L196" t="str">
        <f>IFERROR(INDEX(EQA.Controllab_Dados!L$2:L$5000,MATCH(ROW()-4,EQA.Controllab_Dados!$S$2:$S$5000,0)),"")</f>
        <v/>
      </c>
      <c r="M196" s="126" t="str">
        <f>IFERROR(INDEX(EQA.Controllab_Dados!M$2:M$5000,MATCH(ROW()-4,EQA.Controllab_Dados!$S$2:$S$5000,0)),"")</f>
        <v/>
      </c>
      <c r="N196" t="str">
        <f>IFERROR(INDEX(EQA.Controllab_Dados!N$2:N$5000,MATCH(ROW()-4,EQA.Controllab_Dados!$S$2:$S$5000,0)),"")</f>
        <v/>
      </c>
      <c r="O196" s="137" t="str">
        <f>IFERROR(INDEX(EQA.Controllab_Dados!O$2:O$5000,MATCH(ROW()-4,EQA.Controllab_Dados!$S$2:$S$5000,0)),"")</f>
        <v/>
      </c>
      <c r="P196" s="137" t="str">
        <f>IFERROR(INDEX(EQA.Controllab_Dados!P$2:P$5000,MATCH(ROW()-4,EQA.Controllab_Dados!$S$2:$S$5000,0)),"")</f>
        <v/>
      </c>
      <c r="Q196" s="126" t="str">
        <f>IFERROR(INDEX(EQA.Controllab_Dados!Q$2:Q$5000,MATCH(ROW()-4,EQA.Controllab_Dados!$S$2:$S$5000,0)),"")</f>
        <v/>
      </c>
      <c r="R196" t="str">
        <f>IFERROR(INDEX(EQA.Controllab_Dados!R$2:R$5000,MATCH(ROW()-4,EQA.Controllab_Dados!$S$2:$S$5000,0)),"")</f>
        <v/>
      </c>
    </row>
    <row r="197" spans="1:18" x14ac:dyDescent="0.3">
      <c r="A197" t="str">
        <f>IFERROR(INDEX(EQA.Controllab_Dados!A$2:A$5000,MATCH(ROW()-4,EQA.Controllab_Dados!$S$2:$S$5000,0)),"")</f>
        <v/>
      </c>
      <c r="B197" t="str">
        <f>IFERROR(INDEX(EQA.Controllab_Dados!B$2:B$5000,MATCH(ROW()-4,EQA.Controllab_Dados!$S$2:$S$5000,0)),"")</f>
        <v/>
      </c>
      <c r="C197" s="126" t="str">
        <f>IFERROR(INDEX(EQA.Controllab_Dados!C$2:C$5000,MATCH(ROW()-4,EQA.Controllab_Dados!$S$2:$S$5000,0)),"")</f>
        <v/>
      </c>
      <c r="D197" t="str">
        <f>IFERROR(INDEX(EQA.Controllab_Dados!D$2:D$5000,MATCH(ROW()-4,EQA.Controllab_Dados!$S$2:$S$5000,0)),"")</f>
        <v/>
      </c>
      <c r="E197" t="str">
        <f>IFERROR(INDEX(EQA.Controllab_Dados!E$2:E$5000,MATCH(ROW()-4,EQA.Controllab_Dados!$S$2:$S$5000,0)),"")</f>
        <v/>
      </c>
      <c r="F197" s="137" t="str">
        <f>IFERROR(INDEX(EQA.Controllab_Dados!F$2:F$5000,MATCH(ROW()-4,EQA.Controllab_Dados!$S$2:$S$5000,0)),"")</f>
        <v/>
      </c>
      <c r="G197" s="138" t="str">
        <f>IFERROR(INDEX(EQA.Controllab_Dados!G$2:G$5000,MATCH(ROW()-4,EQA.Controllab_Dados!$S$2:$S$5000,0)),"")</f>
        <v/>
      </c>
      <c r="H197" s="138" t="str">
        <f>IFERROR(INDEX(EQA.Controllab_Dados!H$2:H$5000,MATCH(ROW()-4,EQA.Controllab_Dados!$S$2:$S$5000,0)),"")</f>
        <v/>
      </c>
      <c r="I197" s="139" t="str">
        <f>IFERROR(INDEX(EQA.Controllab_Dados!I$2:I$5000,MATCH(ROW()-4,EQA.Controllab_Dados!$S$2:$S$5000,0)),"")</f>
        <v/>
      </c>
      <c r="J197" s="137" t="str">
        <f>IFERROR(INDEX(EQA.Controllab_Dados!J$2:J$5000,MATCH(ROW()-4,EQA.Controllab_Dados!$S$2:$S$5000,0)),"")</f>
        <v/>
      </c>
      <c r="K197" s="137" t="str">
        <f>IFERROR(INDEX(EQA.Controllab_Dados!K$2:K$5000,MATCH(ROW()-4,EQA.Controllab_Dados!$S$2:$S$5000,0)),"")</f>
        <v/>
      </c>
      <c r="L197" t="str">
        <f>IFERROR(INDEX(EQA.Controllab_Dados!L$2:L$5000,MATCH(ROW()-4,EQA.Controllab_Dados!$S$2:$S$5000,0)),"")</f>
        <v/>
      </c>
      <c r="M197" s="126" t="str">
        <f>IFERROR(INDEX(EQA.Controllab_Dados!M$2:M$5000,MATCH(ROW()-4,EQA.Controllab_Dados!$S$2:$S$5000,0)),"")</f>
        <v/>
      </c>
      <c r="N197" t="str">
        <f>IFERROR(INDEX(EQA.Controllab_Dados!N$2:N$5000,MATCH(ROW()-4,EQA.Controllab_Dados!$S$2:$S$5000,0)),"")</f>
        <v/>
      </c>
      <c r="O197" s="137" t="str">
        <f>IFERROR(INDEX(EQA.Controllab_Dados!O$2:O$5000,MATCH(ROW()-4,EQA.Controllab_Dados!$S$2:$S$5000,0)),"")</f>
        <v/>
      </c>
      <c r="P197" s="137" t="str">
        <f>IFERROR(INDEX(EQA.Controllab_Dados!P$2:P$5000,MATCH(ROW()-4,EQA.Controllab_Dados!$S$2:$S$5000,0)),"")</f>
        <v/>
      </c>
      <c r="Q197" s="126" t="str">
        <f>IFERROR(INDEX(EQA.Controllab_Dados!Q$2:Q$5000,MATCH(ROW()-4,EQA.Controllab_Dados!$S$2:$S$5000,0)),"")</f>
        <v/>
      </c>
      <c r="R197" t="str">
        <f>IFERROR(INDEX(EQA.Controllab_Dados!R$2:R$5000,MATCH(ROW()-4,EQA.Controllab_Dados!$S$2:$S$5000,0)),"")</f>
        <v/>
      </c>
    </row>
    <row r="198" spans="1:18" x14ac:dyDescent="0.3">
      <c r="A198" t="str">
        <f>IFERROR(INDEX(EQA.Controllab_Dados!A$2:A$5000,MATCH(ROW()-4,EQA.Controllab_Dados!$S$2:$S$5000,0)),"")</f>
        <v/>
      </c>
      <c r="B198" t="str">
        <f>IFERROR(INDEX(EQA.Controllab_Dados!B$2:B$5000,MATCH(ROW()-4,EQA.Controllab_Dados!$S$2:$S$5000,0)),"")</f>
        <v/>
      </c>
      <c r="C198" s="126" t="str">
        <f>IFERROR(INDEX(EQA.Controllab_Dados!C$2:C$5000,MATCH(ROW()-4,EQA.Controllab_Dados!$S$2:$S$5000,0)),"")</f>
        <v/>
      </c>
      <c r="D198" t="str">
        <f>IFERROR(INDEX(EQA.Controllab_Dados!D$2:D$5000,MATCH(ROW()-4,EQA.Controllab_Dados!$S$2:$S$5000,0)),"")</f>
        <v/>
      </c>
      <c r="E198" t="str">
        <f>IFERROR(INDEX(EQA.Controllab_Dados!E$2:E$5000,MATCH(ROW()-4,EQA.Controllab_Dados!$S$2:$S$5000,0)),"")</f>
        <v/>
      </c>
      <c r="F198" s="137" t="str">
        <f>IFERROR(INDEX(EQA.Controllab_Dados!F$2:F$5000,MATCH(ROW()-4,EQA.Controllab_Dados!$S$2:$S$5000,0)),"")</f>
        <v/>
      </c>
      <c r="G198" s="138" t="str">
        <f>IFERROR(INDEX(EQA.Controllab_Dados!G$2:G$5000,MATCH(ROW()-4,EQA.Controllab_Dados!$S$2:$S$5000,0)),"")</f>
        <v/>
      </c>
      <c r="H198" s="138" t="str">
        <f>IFERROR(INDEX(EQA.Controllab_Dados!H$2:H$5000,MATCH(ROW()-4,EQA.Controllab_Dados!$S$2:$S$5000,0)),"")</f>
        <v/>
      </c>
      <c r="I198" s="139" t="str">
        <f>IFERROR(INDEX(EQA.Controllab_Dados!I$2:I$5000,MATCH(ROW()-4,EQA.Controllab_Dados!$S$2:$S$5000,0)),"")</f>
        <v/>
      </c>
      <c r="J198" s="137" t="str">
        <f>IFERROR(INDEX(EQA.Controllab_Dados!J$2:J$5000,MATCH(ROW()-4,EQA.Controllab_Dados!$S$2:$S$5000,0)),"")</f>
        <v/>
      </c>
      <c r="K198" s="137" t="str">
        <f>IFERROR(INDEX(EQA.Controllab_Dados!K$2:K$5000,MATCH(ROW()-4,EQA.Controllab_Dados!$S$2:$S$5000,0)),"")</f>
        <v/>
      </c>
      <c r="L198" t="str">
        <f>IFERROR(INDEX(EQA.Controllab_Dados!L$2:L$5000,MATCH(ROW()-4,EQA.Controllab_Dados!$S$2:$S$5000,0)),"")</f>
        <v/>
      </c>
      <c r="M198" s="126" t="str">
        <f>IFERROR(INDEX(EQA.Controllab_Dados!M$2:M$5000,MATCH(ROW()-4,EQA.Controllab_Dados!$S$2:$S$5000,0)),"")</f>
        <v/>
      </c>
      <c r="N198" t="str">
        <f>IFERROR(INDEX(EQA.Controllab_Dados!N$2:N$5000,MATCH(ROW()-4,EQA.Controllab_Dados!$S$2:$S$5000,0)),"")</f>
        <v/>
      </c>
      <c r="O198" s="137" t="str">
        <f>IFERROR(INDEX(EQA.Controllab_Dados!O$2:O$5000,MATCH(ROW()-4,EQA.Controllab_Dados!$S$2:$S$5000,0)),"")</f>
        <v/>
      </c>
      <c r="P198" s="137" t="str">
        <f>IFERROR(INDEX(EQA.Controllab_Dados!P$2:P$5000,MATCH(ROW()-4,EQA.Controllab_Dados!$S$2:$S$5000,0)),"")</f>
        <v/>
      </c>
      <c r="Q198" s="126" t="str">
        <f>IFERROR(INDEX(EQA.Controllab_Dados!Q$2:Q$5000,MATCH(ROW()-4,EQA.Controllab_Dados!$S$2:$S$5000,0)),"")</f>
        <v/>
      </c>
      <c r="R198" t="str">
        <f>IFERROR(INDEX(EQA.Controllab_Dados!R$2:R$5000,MATCH(ROW()-4,EQA.Controllab_Dados!$S$2:$S$5000,0)),"")</f>
        <v/>
      </c>
    </row>
    <row r="199" spans="1:18" x14ac:dyDescent="0.3">
      <c r="A199" t="str">
        <f>IFERROR(INDEX(EQA.Controllab_Dados!A$2:A$5000,MATCH(ROW()-4,EQA.Controllab_Dados!$S$2:$S$5000,0)),"")</f>
        <v/>
      </c>
      <c r="B199" t="str">
        <f>IFERROR(INDEX(EQA.Controllab_Dados!B$2:B$5000,MATCH(ROW()-4,EQA.Controllab_Dados!$S$2:$S$5000,0)),"")</f>
        <v/>
      </c>
      <c r="C199" s="126" t="str">
        <f>IFERROR(INDEX(EQA.Controllab_Dados!C$2:C$5000,MATCH(ROW()-4,EQA.Controllab_Dados!$S$2:$S$5000,0)),"")</f>
        <v/>
      </c>
      <c r="D199" t="str">
        <f>IFERROR(INDEX(EQA.Controllab_Dados!D$2:D$5000,MATCH(ROW()-4,EQA.Controllab_Dados!$S$2:$S$5000,0)),"")</f>
        <v/>
      </c>
      <c r="E199" t="str">
        <f>IFERROR(INDEX(EQA.Controllab_Dados!E$2:E$5000,MATCH(ROW()-4,EQA.Controllab_Dados!$S$2:$S$5000,0)),"")</f>
        <v/>
      </c>
      <c r="F199" s="137" t="str">
        <f>IFERROR(INDEX(EQA.Controllab_Dados!F$2:F$5000,MATCH(ROW()-4,EQA.Controllab_Dados!$S$2:$S$5000,0)),"")</f>
        <v/>
      </c>
      <c r="G199" s="138" t="str">
        <f>IFERROR(INDEX(EQA.Controllab_Dados!G$2:G$5000,MATCH(ROW()-4,EQA.Controllab_Dados!$S$2:$S$5000,0)),"")</f>
        <v/>
      </c>
      <c r="H199" s="138" t="str">
        <f>IFERROR(INDEX(EQA.Controllab_Dados!H$2:H$5000,MATCH(ROW()-4,EQA.Controllab_Dados!$S$2:$S$5000,0)),"")</f>
        <v/>
      </c>
      <c r="I199" s="139" t="str">
        <f>IFERROR(INDEX(EQA.Controllab_Dados!I$2:I$5000,MATCH(ROW()-4,EQA.Controllab_Dados!$S$2:$S$5000,0)),"")</f>
        <v/>
      </c>
      <c r="J199" s="137" t="str">
        <f>IFERROR(INDEX(EQA.Controllab_Dados!J$2:J$5000,MATCH(ROW()-4,EQA.Controllab_Dados!$S$2:$S$5000,0)),"")</f>
        <v/>
      </c>
      <c r="K199" s="137" t="str">
        <f>IFERROR(INDEX(EQA.Controllab_Dados!K$2:K$5000,MATCH(ROW()-4,EQA.Controllab_Dados!$S$2:$S$5000,0)),"")</f>
        <v/>
      </c>
      <c r="L199" t="str">
        <f>IFERROR(INDEX(EQA.Controllab_Dados!L$2:L$5000,MATCH(ROW()-4,EQA.Controllab_Dados!$S$2:$S$5000,0)),"")</f>
        <v/>
      </c>
      <c r="M199" s="126" t="str">
        <f>IFERROR(INDEX(EQA.Controllab_Dados!M$2:M$5000,MATCH(ROW()-4,EQA.Controllab_Dados!$S$2:$S$5000,0)),"")</f>
        <v/>
      </c>
      <c r="N199" t="str">
        <f>IFERROR(INDEX(EQA.Controllab_Dados!N$2:N$5000,MATCH(ROW()-4,EQA.Controllab_Dados!$S$2:$S$5000,0)),"")</f>
        <v/>
      </c>
      <c r="O199" s="137" t="str">
        <f>IFERROR(INDEX(EQA.Controllab_Dados!O$2:O$5000,MATCH(ROW()-4,EQA.Controllab_Dados!$S$2:$S$5000,0)),"")</f>
        <v/>
      </c>
      <c r="P199" s="137" t="str">
        <f>IFERROR(INDEX(EQA.Controllab_Dados!P$2:P$5000,MATCH(ROW()-4,EQA.Controllab_Dados!$S$2:$S$5000,0)),"")</f>
        <v/>
      </c>
      <c r="Q199" s="126" t="str">
        <f>IFERROR(INDEX(EQA.Controllab_Dados!Q$2:Q$5000,MATCH(ROW()-4,EQA.Controllab_Dados!$S$2:$S$5000,0)),"")</f>
        <v/>
      </c>
      <c r="R199" t="str">
        <f>IFERROR(INDEX(EQA.Controllab_Dados!R$2:R$5000,MATCH(ROW()-4,EQA.Controllab_Dados!$S$2:$S$5000,0)),"")</f>
        <v/>
      </c>
    </row>
    <row r="200" spans="1:18" x14ac:dyDescent="0.3">
      <c r="A200" t="str">
        <f>IFERROR(INDEX(EQA.Controllab_Dados!A$2:A$5000,MATCH(ROW()-4,EQA.Controllab_Dados!$S$2:$S$5000,0)),"")</f>
        <v/>
      </c>
      <c r="B200" t="str">
        <f>IFERROR(INDEX(EQA.Controllab_Dados!B$2:B$5000,MATCH(ROW()-4,EQA.Controllab_Dados!$S$2:$S$5000,0)),"")</f>
        <v/>
      </c>
      <c r="C200" s="126" t="str">
        <f>IFERROR(INDEX(EQA.Controllab_Dados!C$2:C$5000,MATCH(ROW()-4,EQA.Controllab_Dados!$S$2:$S$5000,0)),"")</f>
        <v/>
      </c>
      <c r="D200" t="str">
        <f>IFERROR(INDEX(EQA.Controllab_Dados!D$2:D$5000,MATCH(ROW()-4,EQA.Controllab_Dados!$S$2:$S$5000,0)),"")</f>
        <v/>
      </c>
      <c r="E200" t="str">
        <f>IFERROR(INDEX(EQA.Controllab_Dados!E$2:E$5000,MATCH(ROW()-4,EQA.Controllab_Dados!$S$2:$S$5000,0)),"")</f>
        <v/>
      </c>
      <c r="F200" s="137" t="str">
        <f>IFERROR(INDEX(EQA.Controllab_Dados!F$2:F$5000,MATCH(ROW()-4,EQA.Controllab_Dados!$S$2:$S$5000,0)),"")</f>
        <v/>
      </c>
      <c r="G200" s="138" t="str">
        <f>IFERROR(INDEX(EQA.Controllab_Dados!G$2:G$5000,MATCH(ROW()-4,EQA.Controllab_Dados!$S$2:$S$5000,0)),"")</f>
        <v/>
      </c>
      <c r="H200" s="138" t="str">
        <f>IFERROR(INDEX(EQA.Controllab_Dados!H$2:H$5000,MATCH(ROW()-4,EQA.Controllab_Dados!$S$2:$S$5000,0)),"")</f>
        <v/>
      </c>
      <c r="I200" s="139" t="str">
        <f>IFERROR(INDEX(EQA.Controllab_Dados!I$2:I$5000,MATCH(ROW()-4,EQA.Controllab_Dados!$S$2:$S$5000,0)),"")</f>
        <v/>
      </c>
      <c r="J200" s="137" t="str">
        <f>IFERROR(INDEX(EQA.Controllab_Dados!J$2:J$5000,MATCH(ROW()-4,EQA.Controllab_Dados!$S$2:$S$5000,0)),"")</f>
        <v/>
      </c>
      <c r="K200" s="137" t="str">
        <f>IFERROR(INDEX(EQA.Controllab_Dados!K$2:K$5000,MATCH(ROW()-4,EQA.Controllab_Dados!$S$2:$S$5000,0)),"")</f>
        <v/>
      </c>
      <c r="L200" t="str">
        <f>IFERROR(INDEX(EQA.Controllab_Dados!L$2:L$5000,MATCH(ROW()-4,EQA.Controllab_Dados!$S$2:$S$5000,0)),"")</f>
        <v/>
      </c>
      <c r="M200" s="126" t="str">
        <f>IFERROR(INDEX(EQA.Controllab_Dados!M$2:M$5000,MATCH(ROW()-4,EQA.Controllab_Dados!$S$2:$S$5000,0)),"")</f>
        <v/>
      </c>
      <c r="N200" t="str">
        <f>IFERROR(INDEX(EQA.Controllab_Dados!N$2:N$5000,MATCH(ROW()-4,EQA.Controllab_Dados!$S$2:$S$5000,0)),"")</f>
        <v/>
      </c>
      <c r="O200" s="137" t="str">
        <f>IFERROR(INDEX(EQA.Controllab_Dados!O$2:O$5000,MATCH(ROW()-4,EQA.Controllab_Dados!$S$2:$S$5000,0)),"")</f>
        <v/>
      </c>
      <c r="P200" s="137" t="str">
        <f>IFERROR(INDEX(EQA.Controllab_Dados!P$2:P$5000,MATCH(ROW()-4,EQA.Controllab_Dados!$S$2:$S$5000,0)),"")</f>
        <v/>
      </c>
      <c r="Q200" s="126" t="str">
        <f>IFERROR(INDEX(EQA.Controllab_Dados!Q$2:Q$5000,MATCH(ROW()-4,EQA.Controllab_Dados!$S$2:$S$5000,0)),"")</f>
        <v/>
      </c>
      <c r="R200" t="str">
        <f>IFERROR(INDEX(EQA.Controllab_Dados!R$2:R$5000,MATCH(ROW()-4,EQA.Controllab_Dados!$S$2:$S$5000,0)),"")</f>
        <v/>
      </c>
    </row>
    <row r="201" spans="1:18" x14ac:dyDescent="0.3">
      <c r="A201" t="str">
        <f>IFERROR(INDEX(EQA.Controllab_Dados!A$2:A$5000,MATCH(ROW()-4,EQA.Controllab_Dados!$S$2:$S$5000,0)),"")</f>
        <v/>
      </c>
      <c r="B201" t="str">
        <f>IFERROR(INDEX(EQA.Controllab_Dados!B$2:B$5000,MATCH(ROW()-4,EQA.Controllab_Dados!$S$2:$S$5000,0)),"")</f>
        <v/>
      </c>
      <c r="C201" s="126" t="str">
        <f>IFERROR(INDEX(EQA.Controllab_Dados!C$2:C$5000,MATCH(ROW()-4,EQA.Controllab_Dados!$S$2:$S$5000,0)),"")</f>
        <v/>
      </c>
      <c r="D201" t="str">
        <f>IFERROR(INDEX(EQA.Controllab_Dados!D$2:D$5000,MATCH(ROW()-4,EQA.Controllab_Dados!$S$2:$S$5000,0)),"")</f>
        <v/>
      </c>
      <c r="E201" t="str">
        <f>IFERROR(INDEX(EQA.Controllab_Dados!E$2:E$5000,MATCH(ROW()-4,EQA.Controllab_Dados!$S$2:$S$5000,0)),"")</f>
        <v/>
      </c>
      <c r="F201" s="137" t="str">
        <f>IFERROR(INDEX(EQA.Controllab_Dados!F$2:F$5000,MATCH(ROW()-4,EQA.Controllab_Dados!$S$2:$S$5000,0)),"")</f>
        <v/>
      </c>
      <c r="G201" s="138" t="str">
        <f>IFERROR(INDEX(EQA.Controllab_Dados!G$2:G$5000,MATCH(ROW()-4,EQA.Controllab_Dados!$S$2:$S$5000,0)),"")</f>
        <v/>
      </c>
      <c r="H201" s="138" t="str">
        <f>IFERROR(INDEX(EQA.Controllab_Dados!H$2:H$5000,MATCH(ROW()-4,EQA.Controllab_Dados!$S$2:$S$5000,0)),"")</f>
        <v/>
      </c>
      <c r="I201" s="139" t="str">
        <f>IFERROR(INDEX(EQA.Controllab_Dados!I$2:I$5000,MATCH(ROW()-4,EQA.Controllab_Dados!$S$2:$S$5000,0)),"")</f>
        <v/>
      </c>
      <c r="J201" s="137" t="str">
        <f>IFERROR(INDEX(EQA.Controllab_Dados!J$2:J$5000,MATCH(ROW()-4,EQA.Controllab_Dados!$S$2:$S$5000,0)),"")</f>
        <v/>
      </c>
      <c r="K201" s="137" t="str">
        <f>IFERROR(INDEX(EQA.Controllab_Dados!K$2:K$5000,MATCH(ROW()-4,EQA.Controllab_Dados!$S$2:$S$5000,0)),"")</f>
        <v/>
      </c>
      <c r="L201" t="str">
        <f>IFERROR(INDEX(EQA.Controllab_Dados!L$2:L$5000,MATCH(ROW()-4,EQA.Controllab_Dados!$S$2:$S$5000,0)),"")</f>
        <v/>
      </c>
      <c r="M201" s="126" t="str">
        <f>IFERROR(INDEX(EQA.Controllab_Dados!M$2:M$5000,MATCH(ROW()-4,EQA.Controllab_Dados!$S$2:$S$5000,0)),"")</f>
        <v/>
      </c>
      <c r="N201" t="str">
        <f>IFERROR(INDEX(EQA.Controllab_Dados!N$2:N$5000,MATCH(ROW()-4,EQA.Controllab_Dados!$S$2:$S$5000,0)),"")</f>
        <v/>
      </c>
      <c r="O201" s="137" t="str">
        <f>IFERROR(INDEX(EQA.Controllab_Dados!O$2:O$5000,MATCH(ROW()-4,EQA.Controllab_Dados!$S$2:$S$5000,0)),"")</f>
        <v/>
      </c>
      <c r="P201" s="137" t="str">
        <f>IFERROR(INDEX(EQA.Controllab_Dados!P$2:P$5000,MATCH(ROW()-4,EQA.Controllab_Dados!$S$2:$S$5000,0)),"")</f>
        <v/>
      </c>
      <c r="Q201" s="126" t="str">
        <f>IFERROR(INDEX(EQA.Controllab_Dados!Q$2:Q$5000,MATCH(ROW()-4,EQA.Controllab_Dados!$S$2:$S$5000,0)),"")</f>
        <v/>
      </c>
      <c r="R201" t="str">
        <f>IFERROR(INDEX(EQA.Controllab_Dados!R$2:R$5000,MATCH(ROW()-4,EQA.Controllab_Dados!$S$2:$S$5000,0)),"")</f>
        <v/>
      </c>
    </row>
    <row r="202" spans="1:18" x14ac:dyDescent="0.3">
      <c r="A202" t="str">
        <f>IFERROR(INDEX(EQA.Controllab_Dados!A$2:A$5000,MATCH(ROW()-4,EQA.Controllab_Dados!$S$2:$S$5000,0)),"")</f>
        <v/>
      </c>
      <c r="B202" t="str">
        <f>IFERROR(INDEX(EQA.Controllab_Dados!B$2:B$5000,MATCH(ROW()-4,EQA.Controllab_Dados!$S$2:$S$5000,0)),"")</f>
        <v/>
      </c>
      <c r="C202" s="126" t="str">
        <f>IFERROR(INDEX(EQA.Controllab_Dados!C$2:C$5000,MATCH(ROW()-4,EQA.Controllab_Dados!$S$2:$S$5000,0)),"")</f>
        <v/>
      </c>
      <c r="D202" t="str">
        <f>IFERROR(INDEX(EQA.Controllab_Dados!D$2:D$5000,MATCH(ROW()-4,EQA.Controllab_Dados!$S$2:$S$5000,0)),"")</f>
        <v/>
      </c>
      <c r="E202" t="str">
        <f>IFERROR(INDEX(EQA.Controllab_Dados!E$2:E$5000,MATCH(ROW()-4,EQA.Controllab_Dados!$S$2:$S$5000,0)),"")</f>
        <v/>
      </c>
      <c r="F202" s="137" t="str">
        <f>IFERROR(INDEX(EQA.Controllab_Dados!F$2:F$5000,MATCH(ROW()-4,EQA.Controllab_Dados!$S$2:$S$5000,0)),"")</f>
        <v/>
      </c>
      <c r="G202" s="138" t="str">
        <f>IFERROR(INDEX(EQA.Controllab_Dados!G$2:G$5000,MATCH(ROW()-4,EQA.Controllab_Dados!$S$2:$S$5000,0)),"")</f>
        <v/>
      </c>
      <c r="H202" s="138" t="str">
        <f>IFERROR(INDEX(EQA.Controllab_Dados!H$2:H$5000,MATCH(ROW()-4,EQA.Controllab_Dados!$S$2:$S$5000,0)),"")</f>
        <v/>
      </c>
      <c r="I202" s="139" t="str">
        <f>IFERROR(INDEX(EQA.Controllab_Dados!I$2:I$5000,MATCH(ROW()-4,EQA.Controllab_Dados!$S$2:$S$5000,0)),"")</f>
        <v/>
      </c>
      <c r="J202" s="137" t="str">
        <f>IFERROR(INDEX(EQA.Controllab_Dados!J$2:J$5000,MATCH(ROW()-4,EQA.Controllab_Dados!$S$2:$S$5000,0)),"")</f>
        <v/>
      </c>
      <c r="K202" s="137" t="str">
        <f>IFERROR(INDEX(EQA.Controllab_Dados!K$2:K$5000,MATCH(ROW()-4,EQA.Controllab_Dados!$S$2:$S$5000,0)),"")</f>
        <v/>
      </c>
      <c r="L202" t="str">
        <f>IFERROR(INDEX(EQA.Controllab_Dados!L$2:L$5000,MATCH(ROW()-4,EQA.Controllab_Dados!$S$2:$S$5000,0)),"")</f>
        <v/>
      </c>
      <c r="M202" s="126" t="str">
        <f>IFERROR(INDEX(EQA.Controllab_Dados!M$2:M$5000,MATCH(ROW()-4,EQA.Controllab_Dados!$S$2:$S$5000,0)),"")</f>
        <v/>
      </c>
      <c r="N202" t="str">
        <f>IFERROR(INDEX(EQA.Controllab_Dados!N$2:N$5000,MATCH(ROW()-4,EQA.Controllab_Dados!$S$2:$S$5000,0)),"")</f>
        <v/>
      </c>
      <c r="O202" s="137" t="str">
        <f>IFERROR(INDEX(EQA.Controllab_Dados!O$2:O$5000,MATCH(ROW()-4,EQA.Controllab_Dados!$S$2:$S$5000,0)),"")</f>
        <v/>
      </c>
      <c r="P202" s="137" t="str">
        <f>IFERROR(INDEX(EQA.Controllab_Dados!P$2:P$5000,MATCH(ROW()-4,EQA.Controllab_Dados!$S$2:$S$5000,0)),"")</f>
        <v/>
      </c>
      <c r="Q202" s="126" t="str">
        <f>IFERROR(INDEX(EQA.Controllab_Dados!Q$2:Q$5000,MATCH(ROW()-4,EQA.Controllab_Dados!$S$2:$S$5000,0)),"")</f>
        <v/>
      </c>
      <c r="R202" t="str">
        <f>IFERROR(INDEX(EQA.Controllab_Dados!R$2:R$5000,MATCH(ROW()-4,EQA.Controllab_Dados!$S$2:$S$5000,0)),"")</f>
        <v/>
      </c>
    </row>
    <row r="203" spans="1:18" x14ac:dyDescent="0.3">
      <c r="A203" t="str">
        <f>IFERROR(INDEX(EQA.Controllab_Dados!A$2:A$5000,MATCH(ROW()-4,EQA.Controllab_Dados!$S$2:$S$5000,0)),"")</f>
        <v/>
      </c>
      <c r="B203" t="str">
        <f>IFERROR(INDEX(EQA.Controllab_Dados!B$2:B$5000,MATCH(ROW()-4,EQA.Controllab_Dados!$S$2:$S$5000,0)),"")</f>
        <v/>
      </c>
      <c r="C203" s="126" t="str">
        <f>IFERROR(INDEX(EQA.Controllab_Dados!C$2:C$5000,MATCH(ROW()-4,EQA.Controllab_Dados!$S$2:$S$5000,0)),"")</f>
        <v/>
      </c>
      <c r="D203" t="str">
        <f>IFERROR(INDEX(EQA.Controllab_Dados!D$2:D$5000,MATCH(ROW()-4,EQA.Controllab_Dados!$S$2:$S$5000,0)),"")</f>
        <v/>
      </c>
      <c r="E203" t="str">
        <f>IFERROR(INDEX(EQA.Controllab_Dados!E$2:E$5000,MATCH(ROW()-4,EQA.Controllab_Dados!$S$2:$S$5000,0)),"")</f>
        <v/>
      </c>
      <c r="F203" s="137" t="str">
        <f>IFERROR(INDEX(EQA.Controllab_Dados!F$2:F$5000,MATCH(ROW()-4,EQA.Controllab_Dados!$S$2:$S$5000,0)),"")</f>
        <v/>
      </c>
      <c r="G203" s="138" t="str">
        <f>IFERROR(INDEX(EQA.Controllab_Dados!G$2:G$5000,MATCH(ROW()-4,EQA.Controllab_Dados!$S$2:$S$5000,0)),"")</f>
        <v/>
      </c>
      <c r="H203" s="138" t="str">
        <f>IFERROR(INDEX(EQA.Controllab_Dados!H$2:H$5000,MATCH(ROW()-4,EQA.Controllab_Dados!$S$2:$S$5000,0)),"")</f>
        <v/>
      </c>
      <c r="I203" s="139" t="str">
        <f>IFERROR(INDEX(EQA.Controllab_Dados!I$2:I$5000,MATCH(ROW()-4,EQA.Controllab_Dados!$S$2:$S$5000,0)),"")</f>
        <v/>
      </c>
      <c r="J203" s="137" t="str">
        <f>IFERROR(INDEX(EQA.Controllab_Dados!J$2:J$5000,MATCH(ROW()-4,EQA.Controllab_Dados!$S$2:$S$5000,0)),"")</f>
        <v/>
      </c>
      <c r="K203" s="137" t="str">
        <f>IFERROR(INDEX(EQA.Controllab_Dados!K$2:K$5000,MATCH(ROW()-4,EQA.Controllab_Dados!$S$2:$S$5000,0)),"")</f>
        <v/>
      </c>
      <c r="L203" t="str">
        <f>IFERROR(INDEX(EQA.Controllab_Dados!L$2:L$5000,MATCH(ROW()-4,EQA.Controllab_Dados!$S$2:$S$5000,0)),"")</f>
        <v/>
      </c>
      <c r="M203" s="126" t="str">
        <f>IFERROR(INDEX(EQA.Controllab_Dados!M$2:M$5000,MATCH(ROW()-4,EQA.Controllab_Dados!$S$2:$S$5000,0)),"")</f>
        <v/>
      </c>
      <c r="N203" t="str">
        <f>IFERROR(INDEX(EQA.Controllab_Dados!N$2:N$5000,MATCH(ROW()-4,EQA.Controllab_Dados!$S$2:$S$5000,0)),"")</f>
        <v/>
      </c>
      <c r="O203" s="137" t="str">
        <f>IFERROR(INDEX(EQA.Controllab_Dados!O$2:O$5000,MATCH(ROW()-4,EQA.Controllab_Dados!$S$2:$S$5000,0)),"")</f>
        <v/>
      </c>
      <c r="P203" s="137" t="str">
        <f>IFERROR(INDEX(EQA.Controllab_Dados!P$2:P$5000,MATCH(ROW()-4,EQA.Controllab_Dados!$S$2:$S$5000,0)),"")</f>
        <v/>
      </c>
      <c r="Q203" s="126" t="str">
        <f>IFERROR(INDEX(EQA.Controllab_Dados!Q$2:Q$5000,MATCH(ROW()-4,EQA.Controllab_Dados!$S$2:$S$5000,0)),"")</f>
        <v/>
      </c>
      <c r="R203" t="str">
        <f>IFERROR(INDEX(EQA.Controllab_Dados!R$2:R$5000,MATCH(ROW()-4,EQA.Controllab_Dados!$S$2:$S$5000,0)),"")</f>
        <v/>
      </c>
    </row>
    <row r="204" spans="1:18" x14ac:dyDescent="0.3">
      <c r="A204" t="str">
        <f>IFERROR(INDEX(EQA.Controllab_Dados!A$2:A$5000,MATCH(ROW()-4,EQA.Controllab_Dados!$S$2:$S$5000,0)),"")</f>
        <v/>
      </c>
      <c r="B204" t="str">
        <f>IFERROR(INDEX(EQA.Controllab_Dados!B$2:B$5000,MATCH(ROW()-4,EQA.Controllab_Dados!$S$2:$S$5000,0)),"")</f>
        <v/>
      </c>
      <c r="C204" s="126" t="str">
        <f>IFERROR(INDEX(EQA.Controllab_Dados!C$2:C$5000,MATCH(ROW()-4,EQA.Controllab_Dados!$S$2:$S$5000,0)),"")</f>
        <v/>
      </c>
      <c r="D204" t="str">
        <f>IFERROR(INDEX(EQA.Controllab_Dados!D$2:D$5000,MATCH(ROW()-4,EQA.Controllab_Dados!$S$2:$S$5000,0)),"")</f>
        <v/>
      </c>
      <c r="E204" t="str">
        <f>IFERROR(INDEX(EQA.Controllab_Dados!E$2:E$5000,MATCH(ROW()-4,EQA.Controllab_Dados!$S$2:$S$5000,0)),"")</f>
        <v/>
      </c>
      <c r="F204" s="137" t="str">
        <f>IFERROR(INDEX(EQA.Controllab_Dados!F$2:F$5000,MATCH(ROW()-4,EQA.Controllab_Dados!$S$2:$S$5000,0)),"")</f>
        <v/>
      </c>
      <c r="G204" s="138" t="str">
        <f>IFERROR(INDEX(EQA.Controllab_Dados!G$2:G$5000,MATCH(ROW()-4,EQA.Controllab_Dados!$S$2:$S$5000,0)),"")</f>
        <v/>
      </c>
      <c r="H204" s="138" t="str">
        <f>IFERROR(INDEX(EQA.Controllab_Dados!H$2:H$5000,MATCH(ROW()-4,EQA.Controllab_Dados!$S$2:$S$5000,0)),"")</f>
        <v/>
      </c>
      <c r="I204" s="139" t="str">
        <f>IFERROR(INDEX(EQA.Controllab_Dados!I$2:I$5000,MATCH(ROW()-4,EQA.Controllab_Dados!$S$2:$S$5000,0)),"")</f>
        <v/>
      </c>
      <c r="J204" s="137" t="str">
        <f>IFERROR(INDEX(EQA.Controllab_Dados!J$2:J$5000,MATCH(ROW()-4,EQA.Controllab_Dados!$S$2:$S$5000,0)),"")</f>
        <v/>
      </c>
      <c r="K204" s="137" t="str">
        <f>IFERROR(INDEX(EQA.Controllab_Dados!K$2:K$5000,MATCH(ROW()-4,EQA.Controllab_Dados!$S$2:$S$5000,0)),"")</f>
        <v/>
      </c>
      <c r="L204" t="str">
        <f>IFERROR(INDEX(EQA.Controllab_Dados!L$2:L$5000,MATCH(ROW()-4,EQA.Controllab_Dados!$S$2:$S$5000,0)),"")</f>
        <v/>
      </c>
      <c r="M204" s="126" t="str">
        <f>IFERROR(INDEX(EQA.Controllab_Dados!M$2:M$5000,MATCH(ROW()-4,EQA.Controllab_Dados!$S$2:$S$5000,0)),"")</f>
        <v/>
      </c>
      <c r="N204" t="str">
        <f>IFERROR(INDEX(EQA.Controllab_Dados!N$2:N$5000,MATCH(ROW()-4,EQA.Controllab_Dados!$S$2:$S$5000,0)),"")</f>
        <v/>
      </c>
      <c r="O204" s="137" t="str">
        <f>IFERROR(INDEX(EQA.Controllab_Dados!O$2:O$5000,MATCH(ROW()-4,EQA.Controllab_Dados!$S$2:$S$5000,0)),"")</f>
        <v/>
      </c>
      <c r="P204" s="137" t="str">
        <f>IFERROR(INDEX(EQA.Controllab_Dados!P$2:P$5000,MATCH(ROW()-4,EQA.Controllab_Dados!$S$2:$S$5000,0)),"")</f>
        <v/>
      </c>
      <c r="Q204" s="126" t="str">
        <f>IFERROR(INDEX(EQA.Controllab_Dados!Q$2:Q$5000,MATCH(ROW()-4,EQA.Controllab_Dados!$S$2:$S$5000,0)),"")</f>
        <v/>
      </c>
      <c r="R204" t="str">
        <f>IFERROR(INDEX(EQA.Controllab_Dados!R$2:R$5000,MATCH(ROW()-4,EQA.Controllab_Dados!$S$2:$S$5000,0)),"")</f>
        <v/>
      </c>
    </row>
    <row r="205" spans="1:18" x14ac:dyDescent="0.3">
      <c r="C205" s="126"/>
      <c r="F205" s="137"/>
      <c r="G205" s="138"/>
      <c r="H205" s="138"/>
      <c r="I205" s="139"/>
      <c r="J205" s="137"/>
      <c r="K205" s="137"/>
      <c r="M205" s="126"/>
      <c r="O205" s="137"/>
      <c r="P205" s="137"/>
      <c r="Q205" s="126"/>
    </row>
    <row r="206" spans="1:18" x14ac:dyDescent="0.3">
      <c r="C206" s="126"/>
      <c r="F206" s="137"/>
      <c r="G206" s="138"/>
      <c r="H206" s="138"/>
      <c r="I206" s="139"/>
      <c r="J206" s="137"/>
      <c r="K206" s="137"/>
      <c r="M206" s="126"/>
      <c r="O206" s="137"/>
      <c r="P206" s="137"/>
      <c r="Q206" s="126"/>
    </row>
    <row r="207" spans="1:18" x14ac:dyDescent="0.3">
      <c r="C207" s="126"/>
      <c r="F207" s="137"/>
      <c r="G207" s="138"/>
      <c r="H207" s="138"/>
      <c r="I207" s="139"/>
      <c r="J207" s="137"/>
      <c r="K207" s="137"/>
      <c r="M207" s="126"/>
      <c r="O207" s="137"/>
      <c r="P207" s="137"/>
      <c r="Q207" s="126"/>
    </row>
    <row r="208" spans="1:18" x14ac:dyDescent="0.3">
      <c r="C208" s="126"/>
      <c r="F208" s="137"/>
      <c r="G208" s="138"/>
      <c r="H208" s="138"/>
      <c r="I208" s="139"/>
      <c r="J208" s="137"/>
      <c r="K208" s="137"/>
      <c r="M208" s="126"/>
      <c r="O208" s="137"/>
      <c r="P208" s="137"/>
      <c r="Q208" s="126"/>
    </row>
    <row r="209" spans="3:17" x14ac:dyDescent="0.3">
      <c r="C209" s="126"/>
      <c r="F209" s="137"/>
      <c r="G209" s="138"/>
      <c r="H209" s="138"/>
      <c r="I209" s="139"/>
      <c r="J209" s="137"/>
      <c r="K209" s="137"/>
      <c r="M209" s="126"/>
      <c r="O209" s="137"/>
      <c r="P209" s="137"/>
      <c r="Q209" s="126"/>
    </row>
    <row r="210" spans="3:17" x14ac:dyDescent="0.3">
      <c r="C210" s="126"/>
      <c r="F210" s="137"/>
      <c r="G210" s="138"/>
      <c r="H210" s="138"/>
      <c r="I210" s="139"/>
      <c r="J210" s="137"/>
      <c r="K210" s="137"/>
      <c r="M210" s="126"/>
      <c r="O210" s="137"/>
      <c r="P210" s="137"/>
      <c r="Q210" s="126"/>
    </row>
  </sheetData>
  <sheetProtection algorithmName="SHA-512" hashValue="YNr8fvbp6+7Z7lUQBgbD019C//Erp/6CbeVsxa6XT/pWROob6I8grE4MiTkq2ye/z+910FGFJDArvr9ozhil+A==" saltValue="Tr/6FBNqd/LWiB0vN7CCiw==" spinCount="100000" sheet="1" scenarios="1"/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72C1D-943A-4306-BD6B-F4811245375B}">
  <sheetPr codeName="Planilha24">
    <tabColor rgb="FF707070"/>
  </sheetPr>
  <dimension ref="A1:Z5001"/>
  <sheetViews>
    <sheetView workbookViewId="0"/>
  </sheetViews>
  <sheetFormatPr defaultRowHeight="14.4" x14ac:dyDescent="0.3"/>
  <cols>
    <col min="1" max="3" width="16.77734375" customWidth="1"/>
    <col min="4" max="5" width="27.77734375" customWidth="1"/>
    <col min="6" max="12" width="16.77734375" customWidth="1"/>
    <col min="13" max="13" width="18.21875" customWidth="1"/>
    <col min="14" max="14" width="19.6640625" customWidth="1"/>
    <col min="15" max="18" width="16.77734375" customWidth="1"/>
    <col min="19" max="19" width="42.77734375" customWidth="1"/>
    <col min="20" max="20" width="16.77734375" customWidth="1"/>
    <col min="21" max="21" width="46.77734375" customWidth="1"/>
    <col min="23" max="25" width="28.77734375" customWidth="1"/>
    <col min="26" max="26" width="90.77734375" customWidth="1"/>
  </cols>
  <sheetData>
    <row r="1" spans="1:26" x14ac:dyDescent="0.3">
      <c r="A1" s="125" t="s">
        <v>243</v>
      </c>
      <c r="B1" s="125" t="s">
        <v>241</v>
      </c>
      <c r="C1" s="125" t="s">
        <v>242</v>
      </c>
      <c r="D1" s="125" t="s">
        <v>88</v>
      </c>
      <c r="E1" s="125" t="s">
        <v>452</v>
      </c>
      <c r="F1" s="125" t="s">
        <v>244</v>
      </c>
      <c r="G1" s="125" t="s">
        <v>295</v>
      </c>
      <c r="H1" s="125" t="s">
        <v>453</v>
      </c>
      <c r="I1" s="125" t="s">
        <v>438</v>
      </c>
      <c r="J1" s="125" t="s">
        <v>248</v>
      </c>
      <c r="K1" s="125" t="s">
        <v>454</v>
      </c>
      <c r="L1" s="125" t="s">
        <v>455</v>
      </c>
      <c r="M1" s="125" t="s">
        <v>456</v>
      </c>
      <c r="N1" s="125" t="s">
        <v>457</v>
      </c>
      <c r="O1" s="125" t="s">
        <v>443</v>
      </c>
      <c r="P1" s="125" t="s">
        <v>458</v>
      </c>
      <c r="Q1" s="125" t="s">
        <v>459</v>
      </c>
      <c r="R1" s="125" t="s">
        <v>460</v>
      </c>
      <c r="S1" s="125" t="s">
        <v>461</v>
      </c>
      <c r="T1" s="125" t="s">
        <v>462</v>
      </c>
      <c r="U1" s="125" t="s">
        <v>463</v>
      </c>
      <c r="W1" s="125" t="s">
        <v>243</v>
      </c>
      <c r="X1" s="125" t="s">
        <v>464</v>
      </c>
      <c r="Y1" s="125" t="s">
        <v>465</v>
      </c>
      <c r="Z1" t="s">
        <v>1074</v>
      </c>
    </row>
    <row r="2" spans="1:26" x14ac:dyDescent="0.3">
      <c r="A2" t="s">
        <v>402</v>
      </c>
      <c r="B2" s="126">
        <v>2025</v>
      </c>
      <c r="C2" t="s">
        <v>497</v>
      </c>
      <c r="D2" t="s">
        <v>467</v>
      </c>
      <c r="E2" t="s">
        <v>124</v>
      </c>
      <c r="F2" t="s">
        <v>498</v>
      </c>
      <c r="G2" s="137">
        <v>120</v>
      </c>
      <c r="H2" s="138">
        <v>122.6</v>
      </c>
      <c r="I2" s="138">
        <v>2.9</v>
      </c>
      <c r="J2" s="139">
        <v>-0.9</v>
      </c>
      <c r="K2" s="137">
        <v>104</v>
      </c>
      <c r="L2" s="137">
        <v>141</v>
      </c>
      <c r="M2" t="s">
        <v>499</v>
      </c>
      <c r="N2" t="s">
        <v>525</v>
      </c>
      <c r="O2" t="s">
        <v>123</v>
      </c>
      <c r="P2" s="137">
        <v>-2.1207177814029317</v>
      </c>
      <c r="Q2" s="137">
        <v>2.1207177814029317</v>
      </c>
      <c r="R2" s="126">
        <v>6</v>
      </c>
      <c r="S2" t="s">
        <v>521</v>
      </c>
      <c r="T2" t="s">
        <v>526</v>
      </c>
      <c r="U2" t="s">
        <v>527</v>
      </c>
      <c r="W2" t="s">
        <v>402</v>
      </c>
      <c r="X2" t="s">
        <v>467</v>
      </c>
      <c r="Y2" t="s">
        <v>124</v>
      </c>
    </row>
    <row r="3" spans="1:26" x14ac:dyDescent="0.3">
      <c r="A3" t="s">
        <v>402</v>
      </c>
      <c r="B3" s="126">
        <v>2025</v>
      </c>
      <c r="C3" t="s">
        <v>497</v>
      </c>
      <c r="D3" t="s">
        <v>467</v>
      </c>
      <c r="E3" t="s">
        <v>124</v>
      </c>
      <c r="F3" t="s">
        <v>500</v>
      </c>
      <c r="G3" s="137">
        <v>91</v>
      </c>
      <c r="H3" s="138">
        <v>96.1</v>
      </c>
      <c r="I3" s="138">
        <v>2.7</v>
      </c>
      <c r="J3" s="139">
        <v>-1.9</v>
      </c>
      <c r="K3" s="137">
        <v>81</v>
      </c>
      <c r="L3" s="137">
        <v>111</v>
      </c>
      <c r="M3" t="s">
        <v>499</v>
      </c>
      <c r="N3" t="s">
        <v>525</v>
      </c>
      <c r="O3" t="s">
        <v>123</v>
      </c>
      <c r="P3" s="137">
        <v>-5.3069719042663843</v>
      </c>
      <c r="Q3" s="137">
        <v>5.3069719042663843</v>
      </c>
      <c r="R3" s="126">
        <v>6</v>
      </c>
      <c r="S3" t="s">
        <v>521</v>
      </c>
      <c r="T3" t="s">
        <v>526</v>
      </c>
      <c r="U3" t="s">
        <v>528</v>
      </c>
      <c r="W3" t="s">
        <v>402</v>
      </c>
      <c r="X3" t="s">
        <v>468</v>
      </c>
      <c r="Y3" t="s">
        <v>122</v>
      </c>
    </row>
    <row r="4" spans="1:26" x14ac:dyDescent="0.3">
      <c r="A4" t="s">
        <v>402</v>
      </c>
      <c r="B4" s="126">
        <v>2025</v>
      </c>
      <c r="C4" t="s">
        <v>497</v>
      </c>
      <c r="D4" t="s">
        <v>467</v>
      </c>
      <c r="E4" t="s">
        <v>124</v>
      </c>
      <c r="F4" t="s">
        <v>501</v>
      </c>
      <c r="G4" s="137">
        <v>8</v>
      </c>
      <c r="H4" s="138">
        <v>12.9</v>
      </c>
      <c r="I4" s="138">
        <v>2.2000000000000002</v>
      </c>
      <c r="J4" s="139">
        <v>-2.2000000000000002</v>
      </c>
      <c r="K4" s="137">
        <v>6</v>
      </c>
      <c r="L4" s="137">
        <v>19</v>
      </c>
      <c r="M4" t="s">
        <v>499</v>
      </c>
      <c r="N4" t="s">
        <v>525</v>
      </c>
      <c r="O4" t="s">
        <v>123</v>
      </c>
      <c r="P4" s="137">
        <v>-37.984496124031011</v>
      </c>
      <c r="Q4" s="137">
        <v>37.984496124031011</v>
      </c>
      <c r="R4" s="126">
        <v>6</v>
      </c>
      <c r="S4" t="s">
        <v>521</v>
      </c>
      <c r="T4" t="s">
        <v>526</v>
      </c>
      <c r="U4" t="s">
        <v>529</v>
      </c>
      <c r="W4" t="s">
        <v>402</v>
      </c>
      <c r="X4" t="s">
        <v>469</v>
      </c>
      <c r="Y4" t="s">
        <v>130</v>
      </c>
    </row>
    <row r="5" spans="1:26" x14ac:dyDescent="0.3">
      <c r="A5" t="s">
        <v>402</v>
      </c>
      <c r="B5" s="126">
        <v>2025</v>
      </c>
      <c r="C5" t="s">
        <v>497</v>
      </c>
      <c r="D5" t="s">
        <v>467</v>
      </c>
      <c r="E5" t="s">
        <v>124</v>
      </c>
      <c r="F5" t="s">
        <v>502</v>
      </c>
      <c r="G5" s="137">
        <v>250</v>
      </c>
      <c r="H5" s="138">
        <v>241.5</v>
      </c>
      <c r="I5" s="138">
        <v>4.8</v>
      </c>
      <c r="J5" s="139">
        <v>1.8</v>
      </c>
      <c r="K5" s="137">
        <v>205</v>
      </c>
      <c r="L5" s="137">
        <v>278</v>
      </c>
      <c r="M5" t="s">
        <v>499</v>
      </c>
      <c r="N5" t="s">
        <v>525</v>
      </c>
      <c r="O5" t="s">
        <v>123</v>
      </c>
      <c r="P5" s="137">
        <v>3.5196687370600417</v>
      </c>
      <c r="Q5" s="137">
        <v>3.5196687370600417</v>
      </c>
      <c r="R5" s="126">
        <v>6</v>
      </c>
      <c r="S5" t="s">
        <v>521</v>
      </c>
      <c r="T5" t="s">
        <v>526</v>
      </c>
      <c r="U5" t="s">
        <v>530</v>
      </c>
      <c r="W5" t="s">
        <v>402</v>
      </c>
      <c r="X5" t="s">
        <v>470</v>
      </c>
      <c r="Y5" t="s">
        <v>125</v>
      </c>
    </row>
    <row r="6" spans="1:26" x14ac:dyDescent="0.3">
      <c r="A6" t="s">
        <v>402</v>
      </c>
      <c r="B6" s="126">
        <v>2025</v>
      </c>
      <c r="C6" t="s">
        <v>497</v>
      </c>
      <c r="D6" t="s">
        <v>467</v>
      </c>
      <c r="E6" t="s">
        <v>124</v>
      </c>
      <c r="F6" t="s">
        <v>503</v>
      </c>
      <c r="G6" s="137">
        <v>115</v>
      </c>
      <c r="H6" s="138">
        <v>118</v>
      </c>
      <c r="I6" s="138">
        <v>3.3</v>
      </c>
      <c r="J6" s="139">
        <v>-0.9</v>
      </c>
      <c r="K6" s="137">
        <v>100</v>
      </c>
      <c r="L6" s="137">
        <v>136</v>
      </c>
      <c r="M6" t="s">
        <v>499</v>
      </c>
      <c r="N6" t="s">
        <v>525</v>
      </c>
      <c r="O6" t="s">
        <v>123</v>
      </c>
      <c r="P6" s="137">
        <v>-2.5423728813559325</v>
      </c>
      <c r="Q6" s="137">
        <v>2.5423728813559325</v>
      </c>
      <c r="R6" s="126">
        <v>6</v>
      </c>
      <c r="S6" t="s">
        <v>521</v>
      </c>
      <c r="T6" t="s">
        <v>526</v>
      </c>
      <c r="U6" t="s">
        <v>531</v>
      </c>
      <c r="W6" t="s">
        <v>402</v>
      </c>
      <c r="X6" t="s">
        <v>471</v>
      </c>
      <c r="Y6" t="s">
        <v>137</v>
      </c>
    </row>
    <row r="7" spans="1:26" x14ac:dyDescent="0.3">
      <c r="A7" t="s">
        <v>402</v>
      </c>
      <c r="B7" s="126">
        <v>2025</v>
      </c>
      <c r="C7" t="s">
        <v>497</v>
      </c>
      <c r="D7" t="s">
        <v>468</v>
      </c>
      <c r="E7" t="s">
        <v>122</v>
      </c>
      <c r="F7" t="s">
        <v>498</v>
      </c>
      <c r="G7" s="137">
        <v>149</v>
      </c>
      <c r="H7" s="138">
        <v>144</v>
      </c>
      <c r="I7" s="138">
        <v>4</v>
      </c>
      <c r="J7" s="139">
        <v>1.2</v>
      </c>
      <c r="K7" s="137">
        <v>122</v>
      </c>
      <c r="L7" s="137">
        <v>166</v>
      </c>
      <c r="M7" t="s">
        <v>499</v>
      </c>
      <c r="N7" t="s">
        <v>525</v>
      </c>
      <c r="O7" t="s">
        <v>123</v>
      </c>
      <c r="P7" s="137">
        <v>3.4722222222222223</v>
      </c>
      <c r="Q7" s="137">
        <v>3.4722222222222223</v>
      </c>
      <c r="R7" s="126">
        <v>7</v>
      </c>
      <c r="S7" t="s">
        <v>521</v>
      </c>
      <c r="T7" t="s">
        <v>526</v>
      </c>
      <c r="U7" t="s">
        <v>532</v>
      </c>
      <c r="W7" t="s">
        <v>402</v>
      </c>
      <c r="X7" t="s">
        <v>472</v>
      </c>
      <c r="Y7" t="s">
        <v>341</v>
      </c>
    </row>
    <row r="8" spans="1:26" x14ac:dyDescent="0.3">
      <c r="A8" t="s">
        <v>402</v>
      </c>
      <c r="B8" s="126">
        <v>2025</v>
      </c>
      <c r="C8" t="s">
        <v>497</v>
      </c>
      <c r="D8" t="s">
        <v>468</v>
      </c>
      <c r="E8" t="s">
        <v>122</v>
      </c>
      <c r="F8" t="s">
        <v>500</v>
      </c>
      <c r="G8" s="137">
        <v>117</v>
      </c>
      <c r="H8" s="138">
        <v>112.7</v>
      </c>
      <c r="I8" s="138">
        <v>3.9</v>
      </c>
      <c r="J8" s="139">
        <v>1.1000000000000001</v>
      </c>
      <c r="K8" s="137">
        <v>95</v>
      </c>
      <c r="L8" s="137">
        <v>130</v>
      </c>
      <c r="M8" t="s">
        <v>499</v>
      </c>
      <c r="N8" t="s">
        <v>525</v>
      </c>
      <c r="O8" t="s">
        <v>123</v>
      </c>
      <c r="P8" s="137">
        <v>3.8154392191659245</v>
      </c>
      <c r="Q8" s="137">
        <v>3.8154392191659245</v>
      </c>
      <c r="R8" s="126">
        <v>7</v>
      </c>
      <c r="S8" t="s">
        <v>521</v>
      </c>
      <c r="T8" t="s">
        <v>526</v>
      </c>
      <c r="U8" t="s">
        <v>533</v>
      </c>
      <c r="W8" t="s">
        <v>402</v>
      </c>
      <c r="X8" t="s">
        <v>473</v>
      </c>
      <c r="Y8" t="s">
        <v>127</v>
      </c>
    </row>
    <row r="9" spans="1:26" x14ac:dyDescent="0.3">
      <c r="A9" t="s">
        <v>402</v>
      </c>
      <c r="B9" s="126">
        <v>2025</v>
      </c>
      <c r="C9" t="s">
        <v>497</v>
      </c>
      <c r="D9" t="s">
        <v>468</v>
      </c>
      <c r="E9" t="s">
        <v>122</v>
      </c>
      <c r="F9" t="s">
        <v>501</v>
      </c>
      <c r="G9" s="137">
        <v>11</v>
      </c>
      <c r="H9" s="138">
        <v>8</v>
      </c>
      <c r="I9" s="138">
        <v>1.7</v>
      </c>
      <c r="J9" s="139">
        <v>1.7</v>
      </c>
      <c r="K9" s="137">
        <v>2</v>
      </c>
      <c r="L9" s="137">
        <v>14</v>
      </c>
      <c r="M9" t="s">
        <v>499</v>
      </c>
      <c r="N9" t="s">
        <v>525</v>
      </c>
      <c r="O9" t="s">
        <v>123</v>
      </c>
      <c r="P9" s="137">
        <v>37.5</v>
      </c>
      <c r="Q9" s="137">
        <v>37.5</v>
      </c>
      <c r="R9" s="126">
        <v>7</v>
      </c>
      <c r="S9" t="s">
        <v>521</v>
      </c>
      <c r="T9" t="s">
        <v>526</v>
      </c>
      <c r="U9" t="s">
        <v>534</v>
      </c>
      <c r="W9" t="s">
        <v>402</v>
      </c>
      <c r="X9" t="s">
        <v>474</v>
      </c>
      <c r="Y9" t="s">
        <v>353</v>
      </c>
    </row>
    <row r="10" spans="1:26" x14ac:dyDescent="0.3">
      <c r="A10" t="s">
        <v>402</v>
      </c>
      <c r="B10" s="126">
        <v>2025</v>
      </c>
      <c r="C10" t="s">
        <v>497</v>
      </c>
      <c r="D10" t="s">
        <v>468</v>
      </c>
      <c r="E10" t="s">
        <v>122</v>
      </c>
      <c r="F10" t="s">
        <v>502</v>
      </c>
      <c r="G10" s="137">
        <v>315</v>
      </c>
      <c r="H10" s="138">
        <v>304.10000000000002</v>
      </c>
      <c r="I10" s="138">
        <v>7.5</v>
      </c>
      <c r="J10" s="139">
        <v>1.4</v>
      </c>
      <c r="K10" s="137">
        <v>258</v>
      </c>
      <c r="L10" s="137">
        <v>350</v>
      </c>
      <c r="M10" t="s">
        <v>499</v>
      </c>
      <c r="N10" t="s">
        <v>525</v>
      </c>
      <c r="O10" t="s">
        <v>123</v>
      </c>
      <c r="P10" s="137">
        <v>3.584347254192692</v>
      </c>
      <c r="Q10" s="137">
        <v>3.584347254192692</v>
      </c>
      <c r="R10" s="126">
        <v>7</v>
      </c>
      <c r="S10" t="s">
        <v>521</v>
      </c>
      <c r="T10" t="s">
        <v>526</v>
      </c>
      <c r="U10" t="s">
        <v>535</v>
      </c>
      <c r="W10" t="s">
        <v>402</v>
      </c>
      <c r="X10" t="s">
        <v>475</v>
      </c>
      <c r="Y10" t="s">
        <v>131</v>
      </c>
    </row>
    <row r="11" spans="1:26" x14ac:dyDescent="0.3">
      <c r="A11" t="s">
        <v>402</v>
      </c>
      <c r="B11" s="126">
        <v>2025</v>
      </c>
      <c r="C11" t="s">
        <v>497</v>
      </c>
      <c r="D11" t="s">
        <v>468</v>
      </c>
      <c r="E11" t="s">
        <v>122</v>
      </c>
      <c r="F11" t="s">
        <v>503</v>
      </c>
      <c r="G11" s="137">
        <v>143</v>
      </c>
      <c r="H11" s="138">
        <v>133.9</v>
      </c>
      <c r="I11" s="138">
        <v>4</v>
      </c>
      <c r="J11" s="139">
        <v>2.2999999999999998</v>
      </c>
      <c r="K11" s="137">
        <v>113</v>
      </c>
      <c r="L11" s="137">
        <v>154</v>
      </c>
      <c r="M11" t="s">
        <v>499</v>
      </c>
      <c r="N11" t="s">
        <v>525</v>
      </c>
      <c r="O11" t="s">
        <v>123</v>
      </c>
      <c r="P11" s="137">
        <v>6.7961165048543641</v>
      </c>
      <c r="Q11" s="137">
        <v>6.7961165048543641</v>
      </c>
      <c r="R11" s="126">
        <v>7</v>
      </c>
      <c r="S11" t="s">
        <v>521</v>
      </c>
      <c r="T11" t="s">
        <v>526</v>
      </c>
      <c r="U11" t="s">
        <v>536</v>
      </c>
      <c r="W11" t="s">
        <v>402</v>
      </c>
      <c r="X11" t="s">
        <v>476</v>
      </c>
      <c r="Y11" t="s">
        <v>136</v>
      </c>
    </row>
    <row r="12" spans="1:26" x14ac:dyDescent="0.3">
      <c r="A12" t="s">
        <v>402</v>
      </c>
      <c r="B12" s="126">
        <v>2025</v>
      </c>
      <c r="C12" t="s">
        <v>497</v>
      </c>
      <c r="D12" t="s">
        <v>469</v>
      </c>
      <c r="E12" t="s">
        <v>130</v>
      </c>
      <c r="F12" t="s">
        <v>498</v>
      </c>
      <c r="G12" s="137">
        <v>3.3</v>
      </c>
      <c r="H12" s="138">
        <v>3.13</v>
      </c>
      <c r="I12" s="138">
        <v>0.08</v>
      </c>
      <c r="J12" s="139">
        <v>2.1</v>
      </c>
      <c r="K12" s="137">
        <v>2.8</v>
      </c>
      <c r="L12" s="137">
        <v>3.4</v>
      </c>
      <c r="M12" t="s">
        <v>499</v>
      </c>
      <c r="N12" t="s">
        <v>525</v>
      </c>
      <c r="O12" t="s">
        <v>129</v>
      </c>
      <c r="P12" s="137">
        <v>5.4313099041533519</v>
      </c>
      <c r="Q12" s="137">
        <v>5.4313099041533519</v>
      </c>
      <c r="R12" s="126">
        <v>6</v>
      </c>
      <c r="S12" t="s">
        <v>521</v>
      </c>
      <c r="T12" t="s">
        <v>526</v>
      </c>
      <c r="U12" t="s">
        <v>537</v>
      </c>
      <c r="W12" t="s">
        <v>402</v>
      </c>
      <c r="X12" t="s">
        <v>477</v>
      </c>
      <c r="Y12" t="s">
        <v>119</v>
      </c>
    </row>
    <row r="13" spans="1:26" x14ac:dyDescent="0.3">
      <c r="A13" t="s">
        <v>402</v>
      </c>
      <c r="B13" s="126">
        <v>2025</v>
      </c>
      <c r="C13" t="s">
        <v>497</v>
      </c>
      <c r="D13" t="s">
        <v>469</v>
      </c>
      <c r="E13" t="s">
        <v>130</v>
      </c>
      <c r="F13" t="s">
        <v>500</v>
      </c>
      <c r="G13" s="137">
        <v>2.4</v>
      </c>
      <c r="H13" s="138">
        <v>2.3199999999999998</v>
      </c>
      <c r="I13" s="138">
        <v>0.06</v>
      </c>
      <c r="J13" s="139">
        <v>1.3</v>
      </c>
      <c r="K13" s="137">
        <v>2.1</v>
      </c>
      <c r="L13" s="137">
        <v>2.6</v>
      </c>
      <c r="M13" t="s">
        <v>499</v>
      </c>
      <c r="N13" t="s">
        <v>525</v>
      </c>
      <c r="O13" t="s">
        <v>129</v>
      </c>
      <c r="P13" s="137">
        <v>3.4482758620689689</v>
      </c>
      <c r="Q13" s="137">
        <v>3.4482758620689689</v>
      </c>
      <c r="R13" s="126">
        <v>6</v>
      </c>
      <c r="S13" t="s">
        <v>521</v>
      </c>
      <c r="T13" t="s">
        <v>526</v>
      </c>
      <c r="U13" t="s">
        <v>538</v>
      </c>
      <c r="W13" t="s">
        <v>402</v>
      </c>
      <c r="X13" t="s">
        <v>478</v>
      </c>
      <c r="Y13" t="s">
        <v>348</v>
      </c>
    </row>
    <row r="14" spans="1:26" x14ac:dyDescent="0.3">
      <c r="A14" t="s">
        <v>402</v>
      </c>
      <c r="B14" s="126">
        <v>2025</v>
      </c>
      <c r="C14" t="s">
        <v>497</v>
      </c>
      <c r="D14" t="s">
        <v>469</v>
      </c>
      <c r="E14" t="s">
        <v>130</v>
      </c>
      <c r="F14" t="s">
        <v>501</v>
      </c>
      <c r="G14" s="137">
        <v>1.3</v>
      </c>
      <c r="H14" s="138">
        <v>1.24</v>
      </c>
      <c r="I14" s="138">
        <v>0.06</v>
      </c>
      <c r="J14" s="139">
        <v>1</v>
      </c>
      <c r="K14" s="137">
        <v>1.1000000000000001</v>
      </c>
      <c r="L14" s="137">
        <v>1.4</v>
      </c>
      <c r="M14" t="s">
        <v>499</v>
      </c>
      <c r="N14" t="s">
        <v>525</v>
      </c>
      <c r="O14" t="s">
        <v>129</v>
      </c>
      <c r="P14" s="137">
        <v>4.8387096774193585</v>
      </c>
      <c r="Q14" s="137">
        <v>4.8387096774193585</v>
      </c>
      <c r="R14" s="126">
        <v>6</v>
      </c>
      <c r="S14" t="s">
        <v>521</v>
      </c>
      <c r="T14" t="s">
        <v>526</v>
      </c>
      <c r="U14" t="s">
        <v>539</v>
      </c>
      <c r="W14" t="s">
        <v>402</v>
      </c>
      <c r="X14" t="s">
        <v>479</v>
      </c>
      <c r="Y14" t="s">
        <v>117</v>
      </c>
    </row>
    <row r="15" spans="1:26" x14ac:dyDescent="0.3">
      <c r="A15" t="s">
        <v>402</v>
      </c>
      <c r="B15" s="126">
        <v>2025</v>
      </c>
      <c r="C15" t="s">
        <v>497</v>
      </c>
      <c r="D15" t="s">
        <v>469</v>
      </c>
      <c r="E15" t="s">
        <v>130</v>
      </c>
      <c r="F15" t="s">
        <v>502</v>
      </c>
      <c r="G15" s="137">
        <v>2.4</v>
      </c>
      <c r="H15" s="138">
        <v>2.2599999999999998</v>
      </c>
      <c r="I15" s="138">
        <v>0.06</v>
      </c>
      <c r="J15" s="139">
        <v>2.2999999999999998</v>
      </c>
      <c r="K15" s="137">
        <v>2</v>
      </c>
      <c r="L15" s="137">
        <v>2.5</v>
      </c>
      <c r="M15" t="s">
        <v>499</v>
      </c>
      <c r="N15" t="s">
        <v>525</v>
      </c>
      <c r="O15" t="s">
        <v>129</v>
      </c>
      <c r="P15" s="137">
        <v>6.1946902654867317</v>
      </c>
      <c r="Q15" s="137">
        <v>6.1946902654867317</v>
      </c>
      <c r="R15" s="126">
        <v>6</v>
      </c>
      <c r="S15" t="s">
        <v>521</v>
      </c>
      <c r="T15" t="s">
        <v>526</v>
      </c>
      <c r="U15" t="s">
        <v>540</v>
      </c>
      <c r="W15" t="s">
        <v>402</v>
      </c>
      <c r="X15" t="s">
        <v>480</v>
      </c>
    </row>
    <row r="16" spans="1:26" x14ac:dyDescent="0.3">
      <c r="A16" t="s">
        <v>402</v>
      </c>
      <c r="B16" s="126">
        <v>2025</v>
      </c>
      <c r="C16" t="s">
        <v>497</v>
      </c>
      <c r="D16" t="s">
        <v>469</v>
      </c>
      <c r="E16" t="s">
        <v>130</v>
      </c>
      <c r="F16" t="s">
        <v>503</v>
      </c>
      <c r="G16" s="137">
        <v>4.9000000000000004</v>
      </c>
      <c r="H16" s="138">
        <v>4.5999999999999996</v>
      </c>
      <c r="I16" s="138">
        <v>0.09</v>
      </c>
      <c r="J16" s="139">
        <v>3.4</v>
      </c>
      <c r="K16" s="137">
        <v>4.2</v>
      </c>
      <c r="L16" s="137">
        <v>5</v>
      </c>
      <c r="M16" t="s">
        <v>499</v>
      </c>
      <c r="N16" t="s">
        <v>525</v>
      </c>
      <c r="O16" t="s">
        <v>129</v>
      </c>
      <c r="P16" s="137">
        <v>6.5217391304347991</v>
      </c>
      <c r="Q16" s="137">
        <v>6.5217391304347991</v>
      </c>
      <c r="R16" s="126">
        <v>6</v>
      </c>
      <c r="S16" t="s">
        <v>521</v>
      </c>
      <c r="T16" t="s">
        <v>526</v>
      </c>
      <c r="U16" t="s">
        <v>541</v>
      </c>
      <c r="W16" t="s">
        <v>402</v>
      </c>
      <c r="X16" t="s">
        <v>481</v>
      </c>
      <c r="Y16" t="s">
        <v>126</v>
      </c>
    </row>
    <row r="17" spans="1:25" x14ac:dyDescent="0.3">
      <c r="A17" t="s">
        <v>402</v>
      </c>
      <c r="B17" s="126">
        <v>2025</v>
      </c>
      <c r="C17" t="s">
        <v>497</v>
      </c>
      <c r="D17" t="s">
        <v>470</v>
      </c>
      <c r="E17" t="s">
        <v>125</v>
      </c>
      <c r="F17" t="s">
        <v>498</v>
      </c>
      <c r="G17" s="137">
        <v>236</v>
      </c>
      <c r="H17" s="138">
        <v>205.8</v>
      </c>
      <c r="I17" s="138">
        <v>7.7</v>
      </c>
      <c r="J17" s="139">
        <v>3.9</v>
      </c>
      <c r="K17" s="137">
        <v>164</v>
      </c>
      <c r="L17" s="137">
        <v>247</v>
      </c>
      <c r="M17" t="s">
        <v>499</v>
      </c>
      <c r="N17" t="s">
        <v>525</v>
      </c>
      <c r="O17" t="s">
        <v>123</v>
      </c>
      <c r="P17" s="137">
        <v>14.674441205053443</v>
      </c>
      <c r="Q17" s="137">
        <v>14.674441205053443</v>
      </c>
      <c r="R17" s="126">
        <v>7</v>
      </c>
      <c r="S17" t="s">
        <v>521</v>
      </c>
      <c r="T17" t="s">
        <v>526</v>
      </c>
      <c r="U17" t="s">
        <v>542</v>
      </c>
      <c r="W17" t="s">
        <v>402</v>
      </c>
      <c r="X17" t="s">
        <v>482</v>
      </c>
      <c r="Y17" t="s">
        <v>111</v>
      </c>
    </row>
    <row r="18" spans="1:25" x14ac:dyDescent="0.3">
      <c r="A18" t="s">
        <v>402</v>
      </c>
      <c r="B18" s="126">
        <v>2025</v>
      </c>
      <c r="C18" t="s">
        <v>497</v>
      </c>
      <c r="D18" t="s">
        <v>470</v>
      </c>
      <c r="E18" t="s">
        <v>125</v>
      </c>
      <c r="F18" t="s">
        <v>500</v>
      </c>
      <c r="G18" s="137">
        <v>193</v>
      </c>
      <c r="H18" s="138">
        <v>169.2</v>
      </c>
      <c r="I18" s="138">
        <v>6.1</v>
      </c>
      <c r="J18" s="139">
        <v>3.9</v>
      </c>
      <c r="K18" s="137">
        <v>135</v>
      </c>
      <c r="L18" s="137">
        <v>204</v>
      </c>
      <c r="M18" t="s">
        <v>499</v>
      </c>
      <c r="N18" t="s">
        <v>525</v>
      </c>
      <c r="O18" t="s">
        <v>123</v>
      </c>
      <c r="P18" s="137">
        <v>14.066193853427903</v>
      </c>
      <c r="Q18" s="137">
        <v>14.066193853427903</v>
      </c>
      <c r="R18" s="126">
        <v>7</v>
      </c>
      <c r="S18" t="s">
        <v>521</v>
      </c>
      <c r="T18" t="s">
        <v>526</v>
      </c>
      <c r="U18" t="s">
        <v>543</v>
      </c>
      <c r="W18" t="s">
        <v>402</v>
      </c>
      <c r="X18" t="s">
        <v>483</v>
      </c>
      <c r="Y18" t="s">
        <v>120</v>
      </c>
    </row>
    <row r="19" spans="1:25" x14ac:dyDescent="0.3">
      <c r="A19" t="s">
        <v>402</v>
      </c>
      <c r="B19" s="126">
        <v>2025</v>
      </c>
      <c r="C19" t="s">
        <v>497</v>
      </c>
      <c r="D19" t="s">
        <v>470</v>
      </c>
      <c r="E19" t="s">
        <v>125</v>
      </c>
      <c r="F19" t="s">
        <v>501</v>
      </c>
      <c r="G19" s="137">
        <v>30</v>
      </c>
      <c r="H19" s="138">
        <v>26.8</v>
      </c>
      <c r="I19" s="138">
        <v>2.7</v>
      </c>
      <c r="J19" s="139">
        <v>1.2</v>
      </c>
      <c r="K19" s="137">
        <v>21</v>
      </c>
      <c r="L19" s="137">
        <v>33</v>
      </c>
      <c r="M19" t="s">
        <v>499</v>
      </c>
      <c r="N19" t="s">
        <v>525</v>
      </c>
      <c r="O19" t="s">
        <v>123</v>
      </c>
      <c r="P19" s="137">
        <v>11.940298507462684</v>
      </c>
      <c r="Q19" s="137">
        <v>11.940298507462684</v>
      </c>
      <c r="R19" s="126">
        <v>7</v>
      </c>
      <c r="S19" t="s">
        <v>521</v>
      </c>
      <c r="T19" t="s">
        <v>526</v>
      </c>
      <c r="U19" t="s">
        <v>544</v>
      </c>
      <c r="W19" t="s">
        <v>402</v>
      </c>
      <c r="X19" t="s">
        <v>484</v>
      </c>
      <c r="Y19" t="s">
        <v>344</v>
      </c>
    </row>
    <row r="20" spans="1:25" x14ac:dyDescent="0.3">
      <c r="A20" t="s">
        <v>402</v>
      </c>
      <c r="B20" s="126">
        <v>2025</v>
      </c>
      <c r="C20" t="s">
        <v>497</v>
      </c>
      <c r="D20" t="s">
        <v>470</v>
      </c>
      <c r="E20" t="s">
        <v>125</v>
      </c>
      <c r="F20" t="s">
        <v>502</v>
      </c>
      <c r="G20" s="137">
        <v>561</v>
      </c>
      <c r="H20" s="138">
        <v>484.5</v>
      </c>
      <c r="I20" s="138">
        <v>15.4</v>
      </c>
      <c r="J20" s="139">
        <v>5</v>
      </c>
      <c r="K20" s="137">
        <v>387</v>
      </c>
      <c r="L20" s="137">
        <v>582</v>
      </c>
      <c r="M20" t="s">
        <v>499</v>
      </c>
      <c r="N20" t="s">
        <v>525</v>
      </c>
      <c r="O20" t="s">
        <v>123</v>
      </c>
      <c r="P20" s="137">
        <v>15.789473684210526</v>
      </c>
      <c r="Q20" s="137">
        <v>15.789473684210526</v>
      </c>
      <c r="R20" s="126">
        <v>7</v>
      </c>
      <c r="S20" t="s">
        <v>521</v>
      </c>
      <c r="T20" t="s">
        <v>526</v>
      </c>
      <c r="U20" t="s">
        <v>545</v>
      </c>
      <c r="W20" t="s">
        <v>402</v>
      </c>
      <c r="X20" t="s">
        <v>485</v>
      </c>
      <c r="Y20" t="s">
        <v>339</v>
      </c>
    </row>
    <row r="21" spans="1:25" x14ac:dyDescent="0.3">
      <c r="A21" t="s">
        <v>402</v>
      </c>
      <c r="B21" s="126">
        <v>2025</v>
      </c>
      <c r="C21" t="s">
        <v>497</v>
      </c>
      <c r="D21" t="s">
        <v>470</v>
      </c>
      <c r="E21" t="s">
        <v>125</v>
      </c>
      <c r="F21" t="s">
        <v>503</v>
      </c>
      <c r="G21" s="137">
        <v>190</v>
      </c>
      <c r="H21" s="138">
        <v>167.1</v>
      </c>
      <c r="I21" s="138">
        <v>7.9</v>
      </c>
      <c r="J21" s="139">
        <v>2.9</v>
      </c>
      <c r="K21" s="137">
        <v>133</v>
      </c>
      <c r="L21" s="137">
        <v>201</v>
      </c>
      <c r="M21" t="s">
        <v>499</v>
      </c>
      <c r="N21" t="s">
        <v>525</v>
      </c>
      <c r="O21" t="s">
        <v>123</v>
      </c>
      <c r="P21" s="137">
        <v>13.704368641532019</v>
      </c>
      <c r="Q21" s="137">
        <v>13.704368641532019</v>
      </c>
      <c r="R21" s="126">
        <v>7</v>
      </c>
      <c r="S21" t="s">
        <v>521</v>
      </c>
      <c r="T21" t="s">
        <v>526</v>
      </c>
      <c r="U21" t="s">
        <v>546</v>
      </c>
      <c r="W21" t="s">
        <v>402</v>
      </c>
      <c r="X21" t="s">
        <v>486</v>
      </c>
      <c r="Y21" t="s">
        <v>349</v>
      </c>
    </row>
    <row r="22" spans="1:25" x14ac:dyDescent="0.3">
      <c r="A22" t="s">
        <v>402</v>
      </c>
      <c r="B22" s="126">
        <v>2025</v>
      </c>
      <c r="C22" t="s">
        <v>497</v>
      </c>
      <c r="D22" t="s">
        <v>471</v>
      </c>
      <c r="E22" t="s">
        <v>137</v>
      </c>
      <c r="F22" t="s">
        <v>498</v>
      </c>
      <c r="G22" s="137">
        <v>198</v>
      </c>
      <c r="H22" s="138">
        <v>191.3</v>
      </c>
      <c r="I22" s="138">
        <v>3.1</v>
      </c>
      <c r="J22" s="139">
        <v>2.2000000000000002</v>
      </c>
      <c r="K22" s="137">
        <v>153</v>
      </c>
      <c r="L22" s="137">
        <v>230</v>
      </c>
      <c r="M22" t="s">
        <v>499</v>
      </c>
      <c r="N22" t="s">
        <v>525</v>
      </c>
      <c r="O22" t="s">
        <v>123</v>
      </c>
      <c r="P22" s="137">
        <v>3.5023523261892251</v>
      </c>
      <c r="Q22" s="137">
        <v>3.5023523261892251</v>
      </c>
      <c r="R22" s="126">
        <v>7</v>
      </c>
      <c r="S22" t="s">
        <v>521</v>
      </c>
      <c r="T22" t="s">
        <v>526</v>
      </c>
      <c r="U22" t="s">
        <v>547</v>
      </c>
      <c r="W22" t="s">
        <v>402</v>
      </c>
      <c r="X22" t="s">
        <v>350</v>
      </c>
      <c r="Y22" t="s">
        <v>350</v>
      </c>
    </row>
    <row r="23" spans="1:25" x14ac:dyDescent="0.3">
      <c r="A23" t="s">
        <v>402</v>
      </c>
      <c r="B23" s="126">
        <v>2025</v>
      </c>
      <c r="C23" t="s">
        <v>497</v>
      </c>
      <c r="D23" t="s">
        <v>471</v>
      </c>
      <c r="E23" t="s">
        <v>137</v>
      </c>
      <c r="F23" t="s">
        <v>500</v>
      </c>
      <c r="G23" s="137">
        <v>162</v>
      </c>
      <c r="H23" s="138">
        <v>162.5</v>
      </c>
      <c r="I23" s="138">
        <v>2.6</v>
      </c>
      <c r="J23" s="139">
        <v>-0.2</v>
      </c>
      <c r="K23" s="137">
        <v>130</v>
      </c>
      <c r="L23" s="137">
        <v>195</v>
      </c>
      <c r="M23" t="s">
        <v>499</v>
      </c>
      <c r="N23" t="s">
        <v>525</v>
      </c>
      <c r="O23" t="s">
        <v>123</v>
      </c>
      <c r="P23" s="137">
        <v>-0.30769230769230771</v>
      </c>
      <c r="Q23" s="137">
        <v>0.30769230769230771</v>
      </c>
      <c r="R23" s="126">
        <v>7</v>
      </c>
      <c r="S23" t="s">
        <v>521</v>
      </c>
      <c r="T23" t="s">
        <v>526</v>
      </c>
      <c r="U23" t="s">
        <v>548</v>
      </c>
      <c r="W23" t="s">
        <v>402</v>
      </c>
      <c r="X23" t="s">
        <v>487</v>
      </c>
      <c r="Y23" t="s">
        <v>347</v>
      </c>
    </row>
    <row r="24" spans="1:25" x14ac:dyDescent="0.3">
      <c r="A24" t="s">
        <v>402</v>
      </c>
      <c r="B24" s="126">
        <v>2025</v>
      </c>
      <c r="C24" t="s">
        <v>497</v>
      </c>
      <c r="D24" t="s">
        <v>471</v>
      </c>
      <c r="E24" t="s">
        <v>137</v>
      </c>
      <c r="F24" t="s">
        <v>501</v>
      </c>
      <c r="G24" s="137">
        <v>28</v>
      </c>
      <c r="H24" s="138">
        <v>29.3</v>
      </c>
      <c r="I24" s="138">
        <v>1.2</v>
      </c>
      <c r="J24" s="139">
        <v>-1.1000000000000001</v>
      </c>
      <c r="K24" s="137">
        <v>23</v>
      </c>
      <c r="L24" s="137">
        <v>36</v>
      </c>
      <c r="M24" t="s">
        <v>499</v>
      </c>
      <c r="N24" t="s">
        <v>525</v>
      </c>
      <c r="O24" t="s">
        <v>123</v>
      </c>
      <c r="P24" s="137">
        <v>-4.4368600682593877</v>
      </c>
      <c r="Q24" s="137">
        <v>4.4368600682593877</v>
      </c>
      <c r="R24" s="126">
        <v>7</v>
      </c>
      <c r="S24" t="s">
        <v>521</v>
      </c>
      <c r="T24" t="s">
        <v>526</v>
      </c>
      <c r="U24" t="s">
        <v>549</v>
      </c>
      <c r="W24" t="s">
        <v>402</v>
      </c>
      <c r="X24" t="s">
        <v>488</v>
      </c>
      <c r="Y24" t="s">
        <v>132</v>
      </c>
    </row>
    <row r="25" spans="1:25" x14ac:dyDescent="0.3">
      <c r="A25" t="s">
        <v>402</v>
      </c>
      <c r="B25" s="126">
        <v>2025</v>
      </c>
      <c r="C25" t="s">
        <v>497</v>
      </c>
      <c r="D25" t="s">
        <v>471</v>
      </c>
      <c r="E25" t="s">
        <v>137</v>
      </c>
      <c r="F25" t="s">
        <v>502</v>
      </c>
      <c r="G25" s="137">
        <v>451</v>
      </c>
      <c r="H25" s="138">
        <v>449.7</v>
      </c>
      <c r="I25" s="138">
        <v>7</v>
      </c>
      <c r="J25" s="139">
        <v>0.2</v>
      </c>
      <c r="K25" s="137">
        <v>359</v>
      </c>
      <c r="L25" s="137">
        <v>540</v>
      </c>
      <c r="M25" t="s">
        <v>499</v>
      </c>
      <c r="N25" t="s">
        <v>525</v>
      </c>
      <c r="O25" t="s">
        <v>123</v>
      </c>
      <c r="P25" s="137">
        <v>0.28908160996219956</v>
      </c>
      <c r="Q25" s="137">
        <v>0.28908160996219956</v>
      </c>
      <c r="R25" s="126">
        <v>7</v>
      </c>
      <c r="S25" t="s">
        <v>521</v>
      </c>
      <c r="T25" t="s">
        <v>526</v>
      </c>
      <c r="U25" t="s">
        <v>550</v>
      </c>
      <c r="W25" t="s">
        <v>402</v>
      </c>
      <c r="X25" t="s">
        <v>489</v>
      </c>
      <c r="Y25" t="s">
        <v>135</v>
      </c>
    </row>
    <row r="26" spans="1:25" x14ac:dyDescent="0.3">
      <c r="A26" t="s">
        <v>402</v>
      </c>
      <c r="B26" s="126">
        <v>2025</v>
      </c>
      <c r="C26" t="s">
        <v>497</v>
      </c>
      <c r="D26" t="s">
        <v>471</v>
      </c>
      <c r="E26" t="s">
        <v>137</v>
      </c>
      <c r="F26" t="s">
        <v>503</v>
      </c>
      <c r="G26" s="137">
        <v>143</v>
      </c>
      <c r="H26" s="138">
        <v>141.6</v>
      </c>
      <c r="I26" s="138">
        <v>2.2999999999999998</v>
      </c>
      <c r="J26" s="139">
        <v>0.6</v>
      </c>
      <c r="K26" s="137">
        <v>113</v>
      </c>
      <c r="L26" s="137">
        <v>170</v>
      </c>
      <c r="M26" t="s">
        <v>499</v>
      </c>
      <c r="N26" t="s">
        <v>525</v>
      </c>
      <c r="O26" t="s">
        <v>123</v>
      </c>
      <c r="P26" s="137">
        <v>0.98870056497175551</v>
      </c>
      <c r="Q26" s="137">
        <v>0.98870056497175551</v>
      </c>
      <c r="R26" s="126">
        <v>7</v>
      </c>
      <c r="S26" t="s">
        <v>521</v>
      </c>
      <c r="T26" t="s">
        <v>526</v>
      </c>
      <c r="U26" t="s">
        <v>551</v>
      </c>
      <c r="W26" t="s">
        <v>402</v>
      </c>
      <c r="X26" t="s">
        <v>490</v>
      </c>
      <c r="Y26" t="s">
        <v>128</v>
      </c>
    </row>
    <row r="27" spans="1:25" x14ac:dyDescent="0.3">
      <c r="A27" t="s">
        <v>402</v>
      </c>
      <c r="B27" s="126">
        <v>2025</v>
      </c>
      <c r="C27" t="s">
        <v>497</v>
      </c>
      <c r="D27" t="s">
        <v>472</v>
      </c>
      <c r="E27" t="s">
        <v>341</v>
      </c>
      <c r="F27" t="s">
        <v>498</v>
      </c>
      <c r="G27" s="137">
        <v>0.2</v>
      </c>
      <c r="H27" s="138">
        <v>0.34</v>
      </c>
      <c r="I27" s="138">
        <v>7.0000000000000007E-2</v>
      </c>
      <c r="J27" s="139">
        <v>-1.9</v>
      </c>
      <c r="K27" s="137">
        <v>0</v>
      </c>
      <c r="L27" s="137">
        <v>0.8</v>
      </c>
      <c r="M27" t="s">
        <v>499</v>
      </c>
      <c r="N27" t="s">
        <v>525</v>
      </c>
      <c r="O27" t="s">
        <v>112</v>
      </c>
      <c r="P27" s="137">
        <v>-41.176470588235297</v>
      </c>
      <c r="Q27" s="137">
        <v>41.176470588235297</v>
      </c>
      <c r="R27" s="126">
        <v>2</v>
      </c>
      <c r="S27" t="s">
        <v>521</v>
      </c>
      <c r="T27" t="s">
        <v>526</v>
      </c>
      <c r="U27" t="s">
        <v>552</v>
      </c>
      <c r="W27" t="s">
        <v>402</v>
      </c>
      <c r="X27" t="s">
        <v>491</v>
      </c>
      <c r="Y27" t="s">
        <v>133</v>
      </c>
    </row>
    <row r="28" spans="1:25" x14ac:dyDescent="0.3">
      <c r="A28" t="s">
        <v>402</v>
      </c>
      <c r="B28" s="126">
        <v>2025</v>
      </c>
      <c r="C28" t="s">
        <v>497</v>
      </c>
      <c r="D28" t="s">
        <v>472</v>
      </c>
      <c r="E28" t="s">
        <v>341</v>
      </c>
      <c r="F28" t="s">
        <v>500</v>
      </c>
      <c r="G28" s="137">
        <v>0.3</v>
      </c>
      <c r="H28" s="138">
        <v>0.47</v>
      </c>
      <c r="I28" s="138">
        <v>0.09</v>
      </c>
      <c r="J28" s="139">
        <v>-2</v>
      </c>
      <c r="K28" s="137">
        <v>0</v>
      </c>
      <c r="L28" s="137">
        <v>0.9</v>
      </c>
      <c r="M28" t="s">
        <v>499</v>
      </c>
      <c r="N28" t="s">
        <v>525</v>
      </c>
      <c r="O28" t="s">
        <v>112</v>
      </c>
      <c r="P28" s="137">
        <v>-36.170212765957444</v>
      </c>
      <c r="Q28" s="137">
        <v>36.170212765957444</v>
      </c>
      <c r="R28" s="126">
        <v>2</v>
      </c>
      <c r="S28" t="s">
        <v>521</v>
      </c>
      <c r="T28" t="s">
        <v>526</v>
      </c>
      <c r="U28" t="s">
        <v>553</v>
      </c>
      <c r="W28" t="s">
        <v>402</v>
      </c>
      <c r="X28" t="s">
        <v>492</v>
      </c>
      <c r="Y28" t="s">
        <v>342</v>
      </c>
    </row>
    <row r="29" spans="1:25" x14ac:dyDescent="0.3">
      <c r="A29" t="s">
        <v>402</v>
      </c>
      <c r="B29" s="126">
        <v>2025</v>
      </c>
      <c r="C29" t="s">
        <v>497</v>
      </c>
      <c r="D29" t="s">
        <v>472</v>
      </c>
      <c r="E29" t="s">
        <v>341</v>
      </c>
      <c r="F29" t="s">
        <v>501</v>
      </c>
      <c r="G29" s="137">
        <v>0.8</v>
      </c>
      <c r="H29" s="138">
        <v>0.98</v>
      </c>
      <c r="I29" s="138">
        <v>0.11</v>
      </c>
      <c r="J29" s="139">
        <v>-1.7</v>
      </c>
      <c r="K29" s="137">
        <v>0.5</v>
      </c>
      <c r="L29" s="137">
        <v>1.4</v>
      </c>
      <c r="M29" t="s">
        <v>499</v>
      </c>
      <c r="N29" t="s">
        <v>525</v>
      </c>
      <c r="O29" t="s">
        <v>112</v>
      </c>
      <c r="P29" s="137">
        <v>-18.367346938775501</v>
      </c>
      <c r="Q29" s="137">
        <v>18.367346938775501</v>
      </c>
      <c r="R29" s="126">
        <v>2</v>
      </c>
      <c r="S29" t="s">
        <v>521</v>
      </c>
      <c r="T29" t="s">
        <v>526</v>
      </c>
      <c r="U29" t="s">
        <v>554</v>
      </c>
      <c r="W29" t="s">
        <v>402</v>
      </c>
      <c r="X29" t="s">
        <v>493</v>
      </c>
    </row>
    <row r="30" spans="1:25" x14ac:dyDescent="0.3">
      <c r="A30" t="s">
        <v>402</v>
      </c>
      <c r="B30" s="126">
        <v>2025</v>
      </c>
      <c r="C30" t="s">
        <v>497</v>
      </c>
      <c r="D30" t="s">
        <v>472</v>
      </c>
      <c r="E30" t="s">
        <v>341</v>
      </c>
      <c r="F30" t="s">
        <v>502</v>
      </c>
      <c r="G30" s="137">
        <v>0</v>
      </c>
      <c r="H30" s="138">
        <v>0.05</v>
      </c>
      <c r="I30" s="138">
        <v>0.05</v>
      </c>
      <c r="J30" s="139">
        <v>-1</v>
      </c>
      <c r="K30" s="137">
        <v>0</v>
      </c>
      <c r="L30" s="137">
        <v>0.5</v>
      </c>
      <c r="M30" t="s">
        <v>499</v>
      </c>
      <c r="N30" t="s">
        <v>525</v>
      </c>
      <c r="O30" t="s">
        <v>112</v>
      </c>
      <c r="P30" s="137">
        <v>-100</v>
      </c>
      <c r="Q30" s="137">
        <v>100</v>
      </c>
      <c r="R30" s="126">
        <v>2</v>
      </c>
      <c r="S30" t="s">
        <v>521</v>
      </c>
      <c r="T30" t="s">
        <v>526</v>
      </c>
      <c r="U30" t="s">
        <v>555</v>
      </c>
      <c r="W30" t="s">
        <v>402</v>
      </c>
      <c r="X30" t="s">
        <v>494</v>
      </c>
      <c r="Y30" t="s">
        <v>121</v>
      </c>
    </row>
    <row r="31" spans="1:25" x14ac:dyDescent="0.3">
      <c r="A31" t="s">
        <v>402</v>
      </c>
      <c r="B31" s="126">
        <v>2025</v>
      </c>
      <c r="C31" t="s">
        <v>497</v>
      </c>
      <c r="D31" t="s">
        <v>472</v>
      </c>
      <c r="E31" t="s">
        <v>341</v>
      </c>
      <c r="F31" t="s">
        <v>503</v>
      </c>
      <c r="G31" s="137">
        <v>0.3</v>
      </c>
      <c r="H31" s="138">
        <v>0.42</v>
      </c>
      <c r="I31" s="138">
        <v>7.0000000000000007E-2</v>
      </c>
      <c r="J31" s="139">
        <v>-1.8</v>
      </c>
      <c r="K31" s="137">
        <v>0</v>
      </c>
      <c r="L31" s="137">
        <v>0.9</v>
      </c>
      <c r="M31" t="s">
        <v>499</v>
      </c>
      <c r="N31" t="s">
        <v>525</v>
      </c>
      <c r="O31" t="s">
        <v>112</v>
      </c>
      <c r="P31" s="137">
        <v>-28.571428571428569</v>
      </c>
      <c r="Q31" s="137">
        <v>28.571428571428569</v>
      </c>
      <c r="R31" s="126">
        <v>2</v>
      </c>
      <c r="S31" t="s">
        <v>521</v>
      </c>
      <c r="T31" t="s">
        <v>526</v>
      </c>
      <c r="U31" t="s">
        <v>556</v>
      </c>
      <c r="W31" t="s">
        <v>402</v>
      </c>
      <c r="X31" t="s">
        <v>495</v>
      </c>
      <c r="Y31" t="s">
        <v>115</v>
      </c>
    </row>
    <row r="32" spans="1:25" x14ac:dyDescent="0.3">
      <c r="A32" t="s">
        <v>402</v>
      </c>
      <c r="B32" s="126">
        <v>2025</v>
      </c>
      <c r="C32" t="s">
        <v>497</v>
      </c>
      <c r="D32" t="s">
        <v>473</v>
      </c>
      <c r="E32" t="s">
        <v>127</v>
      </c>
      <c r="F32" t="s">
        <v>498</v>
      </c>
      <c r="G32" s="137">
        <v>1.7</v>
      </c>
      <c r="H32" s="138">
        <v>2.04</v>
      </c>
      <c r="I32" s="138">
        <v>0.26</v>
      </c>
      <c r="J32" s="139">
        <v>-1.3</v>
      </c>
      <c r="K32" s="137">
        <v>1.6</v>
      </c>
      <c r="L32" s="137">
        <v>2.5</v>
      </c>
      <c r="M32" t="s">
        <v>499</v>
      </c>
      <c r="N32" t="s">
        <v>525</v>
      </c>
      <c r="O32" t="s">
        <v>112</v>
      </c>
      <c r="P32" s="137">
        <v>-16.666666666666671</v>
      </c>
      <c r="Q32" s="137">
        <v>16.666666666666671</v>
      </c>
      <c r="R32" s="126">
        <v>2</v>
      </c>
      <c r="S32" t="s">
        <v>521</v>
      </c>
      <c r="T32" t="s">
        <v>526</v>
      </c>
      <c r="U32" t="s">
        <v>557</v>
      </c>
      <c r="W32" t="s">
        <v>402</v>
      </c>
      <c r="X32" t="s">
        <v>496</v>
      </c>
      <c r="Y32" t="s">
        <v>118</v>
      </c>
    </row>
    <row r="33" spans="1:25" x14ac:dyDescent="0.3">
      <c r="A33" t="s">
        <v>402</v>
      </c>
      <c r="B33" s="126">
        <v>2025</v>
      </c>
      <c r="C33" t="s">
        <v>497</v>
      </c>
      <c r="D33" t="s">
        <v>473</v>
      </c>
      <c r="E33" t="s">
        <v>127</v>
      </c>
      <c r="F33" t="s">
        <v>500</v>
      </c>
      <c r="G33" s="137">
        <v>2.2999999999999998</v>
      </c>
      <c r="H33" s="138">
        <v>2.81</v>
      </c>
      <c r="I33" s="138">
        <v>0.26</v>
      </c>
      <c r="J33" s="139">
        <v>-1.9</v>
      </c>
      <c r="K33" s="137">
        <v>2.2000000000000002</v>
      </c>
      <c r="L33" s="137">
        <v>3.4</v>
      </c>
      <c r="M33" t="s">
        <v>499</v>
      </c>
      <c r="N33" t="s">
        <v>525</v>
      </c>
      <c r="O33" t="s">
        <v>112</v>
      </c>
      <c r="P33" s="137">
        <v>-18.149466192170827</v>
      </c>
      <c r="Q33" s="137">
        <v>18.149466192170827</v>
      </c>
      <c r="R33" s="126">
        <v>2</v>
      </c>
      <c r="S33" t="s">
        <v>521</v>
      </c>
      <c r="T33" t="s">
        <v>526</v>
      </c>
      <c r="U33" t="s">
        <v>558</v>
      </c>
      <c r="W33" t="s">
        <v>402</v>
      </c>
      <c r="X33" t="s">
        <v>119</v>
      </c>
      <c r="Y33" t="s">
        <v>119</v>
      </c>
    </row>
    <row r="34" spans="1:25" x14ac:dyDescent="0.3">
      <c r="A34" t="s">
        <v>402</v>
      </c>
      <c r="B34" s="126">
        <v>2025</v>
      </c>
      <c r="C34" t="s">
        <v>497</v>
      </c>
      <c r="D34" t="s">
        <v>473</v>
      </c>
      <c r="E34" t="s">
        <v>127</v>
      </c>
      <c r="F34" t="s">
        <v>501</v>
      </c>
      <c r="G34" s="137">
        <v>4.8</v>
      </c>
      <c r="H34" s="138">
        <v>5.37</v>
      </c>
      <c r="I34" s="138">
        <v>0.27</v>
      </c>
      <c r="J34" s="139">
        <v>-2.1</v>
      </c>
      <c r="K34" s="137">
        <v>4.2</v>
      </c>
      <c r="L34" s="137">
        <v>6.5</v>
      </c>
      <c r="M34" t="s">
        <v>499</v>
      </c>
      <c r="N34" t="s">
        <v>525</v>
      </c>
      <c r="O34" t="s">
        <v>112</v>
      </c>
      <c r="P34" s="137">
        <v>-10.61452513966481</v>
      </c>
      <c r="Q34" s="137">
        <v>10.61452513966481</v>
      </c>
      <c r="R34" s="126">
        <v>2</v>
      </c>
      <c r="S34" t="s">
        <v>521</v>
      </c>
      <c r="T34" t="s">
        <v>526</v>
      </c>
      <c r="U34" t="s">
        <v>559</v>
      </c>
      <c r="W34" t="s">
        <v>402</v>
      </c>
      <c r="X34" t="s">
        <v>117</v>
      </c>
      <c r="Y34" t="s">
        <v>117</v>
      </c>
    </row>
    <row r="35" spans="1:25" x14ac:dyDescent="0.3">
      <c r="A35" t="s">
        <v>402</v>
      </c>
      <c r="B35" s="126">
        <v>2025</v>
      </c>
      <c r="C35" t="s">
        <v>497</v>
      </c>
      <c r="D35" t="s">
        <v>473</v>
      </c>
      <c r="E35" t="s">
        <v>127</v>
      </c>
      <c r="F35" t="s">
        <v>502</v>
      </c>
      <c r="G35" s="137">
        <v>0.1</v>
      </c>
      <c r="H35" s="138">
        <v>0.16</v>
      </c>
      <c r="I35" s="138">
        <v>0.05</v>
      </c>
      <c r="J35" s="139">
        <v>-1.1000000000000001</v>
      </c>
      <c r="K35" s="137">
        <v>0</v>
      </c>
      <c r="L35" s="137">
        <v>0.6</v>
      </c>
      <c r="M35" t="s">
        <v>499</v>
      </c>
      <c r="N35" t="s">
        <v>525</v>
      </c>
      <c r="O35" t="s">
        <v>112</v>
      </c>
      <c r="P35" s="137">
        <v>-37.5</v>
      </c>
      <c r="Q35" s="137">
        <v>37.5</v>
      </c>
      <c r="R35" s="126">
        <v>2</v>
      </c>
      <c r="S35" t="s">
        <v>521</v>
      </c>
      <c r="T35" t="s">
        <v>526</v>
      </c>
      <c r="U35" t="s">
        <v>560</v>
      </c>
      <c r="W35" t="s">
        <v>402</v>
      </c>
      <c r="X35" t="s">
        <v>111</v>
      </c>
      <c r="Y35" t="s">
        <v>111</v>
      </c>
    </row>
    <row r="36" spans="1:25" x14ac:dyDescent="0.3">
      <c r="A36" t="s">
        <v>402</v>
      </c>
      <c r="B36" s="126">
        <v>2025</v>
      </c>
      <c r="C36" t="s">
        <v>497</v>
      </c>
      <c r="D36" t="s">
        <v>473</v>
      </c>
      <c r="E36" t="s">
        <v>127</v>
      </c>
      <c r="F36" t="s">
        <v>503</v>
      </c>
      <c r="G36" s="137">
        <v>2</v>
      </c>
      <c r="H36" s="138">
        <v>2.4700000000000002</v>
      </c>
      <c r="I36" s="138">
        <v>0.22</v>
      </c>
      <c r="J36" s="139">
        <v>-2.1</v>
      </c>
      <c r="K36" s="137">
        <v>1.9</v>
      </c>
      <c r="L36" s="137">
        <v>3</v>
      </c>
      <c r="M36" t="s">
        <v>499</v>
      </c>
      <c r="N36" t="s">
        <v>525</v>
      </c>
      <c r="O36" t="s">
        <v>112</v>
      </c>
      <c r="P36" s="137">
        <v>-19.028340080971667</v>
      </c>
      <c r="Q36" s="137">
        <v>19.028340080971667</v>
      </c>
      <c r="R36" s="126">
        <v>2</v>
      </c>
      <c r="S36" t="s">
        <v>521</v>
      </c>
      <c r="T36" t="s">
        <v>526</v>
      </c>
      <c r="U36" t="s">
        <v>561</v>
      </c>
      <c r="W36" t="s">
        <v>402</v>
      </c>
      <c r="X36" t="s">
        <v>120</v>
      </c>
      <c r="Y36" t="s">
        <v>120</v>
      </c>
    </row>
    <row r="37" spans="1:25" x14ac:dyDescent="0.3">
      <c r="A37" t="s">
        <v>402</v>
      </c>
      <c r="B37" s="126">
        <v>2025</v>
      </c>
      <c r="C37" t="s">
        <v>497</v>
      </c>
      <c r="D37" t="s">
        <v>474</v>
      </c>
      <c r="E37" t="s">
        <v>353</v>
      </c>
      <c r="F37" t="s">
        <v>498</v>
      </c>
      <c r="G37" s="137">
        <v>30</v>
      </c>
      <c r="H37" s="138">
        <v>30.3</v>
      </c>
      <c r="I37" s="138">
        <v>1.5</v>
      </c>
      <c r="J37" s="139">
        <v>-0.2</v>
      </c>
      <c r="K37" s="137">
        <v>24</v>
      </c>
      <c r="L37" s="137">
        <v>37</v>
      </c>
      <c r="M37" t="s">
        <v>499</v>
      </c>
      <c r="N37" t="s">
        <v>525</v>
      </c>
      <c r="O37" t="s">
        <v>134</v>
      </c>
      <c r="P37" s="137">
        <v>-0.99009900990099231</v>
      </c>
      <c r="Q37" s="137">
        <v>0.99009900990099231</v>
      </c>
      <c r="R37" s="126">
        <v>3</v>
      </c>
      <c r="S37" t="s">
        <v>521</v>
      </c>
      <c r="T37" t="s">
        <v>526</v>
      </c>
      <c r="U37" t="s">
        <v>562</v>
      </c>
      <c r="W37" t="s">
        <v>402</v>
      </c>
      <c r="X37" t="s">
        <v>115</v>
      </c>
      <c r="Y37" t="s">
        <v>115</v>
      </c>
    </row>
    <row r="38" spans="1:25" x14ac:dyDescent="0.3">
      <c r="A38" t="s">
        <v>402</v>
      </c>
      <c r="B38" s="126">
        <v>2025</v>
      </c>
      <c r="C38" t="s">
        <v>497</v>
      </c>
      <c r="D38" t="s">
        <v>474</v>
      </c>
      <c r="E38" t="s">
        <v>353</v>
      </c>
      <c r="F38" t="s">
        <v>500</v>
      </c>
      <c r="G38" s="137">
        <v>29</v>
      </c>
      <c r="H38" s="138">
        <v>29.4</v>
      </c>
      <c r="I38" s="138">
        <v>1.5</v>
      </c>
      <c r="J38" s="139">
        <v>-0.2</v>
      </c>
      <c r="K38" s="137">
        <v>23</v>
      </c>
      <c r="L38" s="137">
        <v>36</v>
      </c>
      <c r="M38" t="s">
        <v>499</v>
      </c>
      <c r="N38" t="s">
        <v>525</v>
      </c>
      <c r="O38" t="s">
        <v>134</v>
      </c>
      <c r="P38" s="137">
        <v>-1.3605442176870701</v>
      </c>
      <c r="Q38" s="137">
        <v>1.3605442176870701</v>
      </c>
      <c r="R38" s="126">
        <v>3</v>
      </c>
      <c r="S38" t="s">
        <v>521</v>
      </c>
      <c r="T38" t="s">
        <v>526</v>
      </c>
      <c r="U38" t="s">
        <v>563</v>
      </c>
      <c r="W38" t="s">
        <v>402</v>
      </c>
      <c r="X38" t="s">
        <v>118</v>
      </c>
      <c r="Y38" t="s">
        <v>118</v>
      </c>
    </row>
    <row r="39" spans="1:25" x14ac:dyDescent="0.3">
      <c r="A39" t="s">
        <v>402</v>
      </c>
      <c r="B39" s="126">
        <v>2025</v>
      </c>
      <c r="C39" t="s">
        <v>497</v>
      </c>
      <c r="D39" t="s">
        <v>474</v>
      </c>
      <c r="E39" t="s">
        <v>353</v>
      </c>
      <c r="F39" t="s">
        <v>501</v>
      </c>
      <c r="G39" s="137">
        <v>31</v>
      </c>
      <c r="H39" s="138">
        <v>31.5</v>
      </c>
      <c r="I39" s="138">
        <v>1.4</v>
      </c>
      <c r="J39" s="139">
        <v>-0.3</v>
      </c>
      <c r="K39" s="137">
        <v>25</v>
      </c>
      <c r="L39" s="137">
        <v>38</v>
      </c>
      <c r="M39" t="s">
        <v>499</v>
      </c>
      <c r="N39" t="s">
        <v>525</v>
      </c>
      <c r="O39" t="s">
        <v>134</v>
      </c>
      <c r="P39" s="137">
        <v>-1.5873015873015872</v>
      </c>
      <c r="Q39" s="137">
        <v>1.5873015873015872</v>
      </c>
      <c r="R39" s="126">
        <v>3</v>
      </c>
      <c r="S39" t="s">
        <v>521</v>
      </c>
      <c r="T39" t="s">
        <v>526</v>
      </c>
      <c r="U39" t="s">
        <v>564</v>
      </c>
    </row>
    <row r="40" spans="1:25" x14ac:dyDescent="0.3">
      <c r="A40" t="s">
        <v>402</v>
      </c>
      <c r="B40" s="126">
        <v>2025</v>
      </c>
      <c r="C40" t="s">
        <v>497</v>
      </c>
      <c r="D40" t="s">
        <v>474</v>
      </c>
      <c r="E40" t="s">
        <v>353</v>
      </c>
      <c r="F40" t="s">
        <v>502</v>
      </c>
      <c r="G40" s="137">
        <v>16</v>
      </c>
      <c r="H40" s="138">
        <v>17.7</v>
      </c>
      <c r="I40" s="138">
        <v>1.4</v>
      </c>
      <c r="J40" s="139">
        <v>-1.3</v>
      </c>
      <c r="K40" s="137">
        <v>14</v>
      </c>
      <c r="L40" s="137">
        <v>22</v>
      </c>
      <c r="M40" t="s">
        <v>499</v>
      </c>
      <c r="N40" t="s">
        <v>525</v>
      </c>
      <c r="O40" t="s">
        <v>134</v>
      </c>
      <c r="P40" s="137">
        <v>-9.6045197740112958</v>
      </c>
      <c r="Q40" s="137">
        <v>9.6045197740112958</v>
      </c>
      <c r="R40" s="126">
        <v>3</v>
      </c>
      <c r="S40" t="s">
        <v>521</v>
      </c>
      <c r="T40" t="s">
        <v>526</v>
      </c>
      <c r="U40" t="s">
        <v>565</v>
      </c>
    </row>
    <row r="41" spans="1:25" x14ac:dyDescent="0.3">
      <c r="A41" t="s">
        <v>402</v>
      </c>
      <c r="B41" s="126">
        <v>2025</v>
      </c>
      <c r="C41" t="s">
        <v>497</v>
      </c>
      <c r="D41" t="s">
        <v>474</v>
      </c>
      <c r="E41" t="s">
        <v>353</v>
      </c>
      <c r="F41" t="s">
        <v>503</v>
      </c>
      <c r="G41" s="137">
        <v>36</v>
      </c>
      <c r="H41" s="138">
        <v>36.4</v>
      </c>
      <c r="I41" s="138">
        <v>1.9</v>
      </c>
      <c r="J41" s="139">
        <v>-0.2</v>
      </c>
      <c r="K41" s="137">
        <v>29</v>
      </c>
      <c r="L41" s="137">
        <v>44</v>
      </c>
      <c r="M41" t="s">
        <v>499</v>
      </c>
      <c r="N41" t="s">
        <v>525</v>
      </c>
      <c r="O41" t="s">
        <v>134</v>
      </c>
      <c r="P41" s="137">
        <v>-1.098901098901095</v>
      </c>
      <c r="Q41" s="137">
        <v>1.098901098901095</v>
      </c>
      <c r="R41" s="126">
        <v>3</v>
      </c>
      <c r="S41" t="s">
        <v>521</v>
      </c>
      <c r="T41" t="s">
        <v>526</v>
      </c>
      <c r="U41" t="s">
        <v>566</v>
      </c>
    </row>
    <row r="42" spans="1:25" x14ac:dyDescent="0.3">
      <c r="A42" t="s">
        <v>402</v>
      </c>
      <c r="B42" s="126">
        <v>2025</v>
      </c>
      <c r="C42" t="s">
        <v>497</v>
      </c>
      <c r="D42" t="s">
        <v>475</v>
      </c>
      <c r="E42" t="s">
        <v>131</v>
      </c>
      <c r="F42" t="s">
        <v>498</v>
      </c>
      <c r="G42" s="137">
        <v>8.5</v>
      </c>
      <c r="H42" s="138">
        <v>8.3640000000000008</v>
      </c>
      <c r="I42" s="138">
        <v>0.17899999999999999</v>
      </c>
      <c r="J42" s="139">
        <v>0.8</v>
      </c>
      <c r="K42" s="137">
        <v>7.36</v>
      </c>
      <c r="L42" s="137">
        <v>9.3699999999999992</v>
      </c>
      <c r="M42" t="s">
        <v>499</v>
      </c>
      <c r="N42" t="s">
        <v>525</v>
      </c>
      <c r="O42" t="s">
        <v>112</v>
      </c>
      <c r="P42" s="137">
        <v>1.6260162601625925</v>
      </c>
      <c r="Q42" s="137">
        <v>1.6260162601625925</v>
      </c>
      <c r="R42" s="126">
        <v>2</v>
      </c>
      <c r="S42" t="s">
        <v>521</v>
      </c>
      <c r="T42" t="s">
        <v>526</v>
      </c>
      <c r="U42" t="s">
        <v>567</v>
      </c>
    </row>
    <row r="43" spans="1:25" x14ac:dyDescent="0.3">
      <c r="A43" t="s">
        <v>402</v>
      </c>
      <c r="B43" s="126">
        <v>2025</v>
      </c>
      <c r="C43" t="s">
        <v>497</v>
      </c>
      <c r="D43" t="s">
        <v>475</v>
      </c>
      <c r="E43" t="s">
        <v>131</v>
      </c>
      <c r="F43" t="s">
        <v>500</v>
      </c>
      <c r="G43" s="137">
        <v>9.67</v>
      </c>
      <c r="H43" s="138">
        <v>9.4079999999999995</v>
      </c>
      <c r="I43" s="138">
        <v>0.192</v>
      </c>
      <c r="J43" s="139">
        <v>1.4</v>
      </c>
      <c r="K43" s="137">
        <v>8.4</v>
      </c>
      <c r="L43" s="137">
        <v>10.41</v>
      </c>
      <c r="M43" t="s">
        <v>499</v>
      </c>
      <c r="N43" t="s">
        <v>525</v>
      </c>
      <c r="O43" t="s">
        <v>112</v>
      </c>
      <c r="P43" s="137">
        <v>2.7848639455782362</v>
      </c>
      <c r="Q43" s="137">
        <v>2.7848639455782362</v>
      </c>
      <c r="R43" s="126">
        <v>2</v>
      </c>
      <c r="S43" t="s">
        <v>521</v>
      </c>
      <c r="T43" t="s">
        <v>526</v>
      </c>
      <c r="U43" t="s">
        <v>568</v>
      </c>
    </row>
    <row r="44" spans="1:25" x14ac:dyDescent="0.3">
      <c r="A44" t="s">
        <v>402</v>
      </c>
      <c r="B44" s="126">
        <v>2025</v>
      </c>
      <c r="C44" t="s">
        <v>497</v>
      </c>
      <c r="D44" t="s">
        <v>475</v>
      </c>
      <c r="E44" t="s">
        <v>131</v>
      </c>
      <c r="F44" t="s">
        <v>501</v>
      </c>
      <c r="G44" s="137">
        <v>10.039999999999999</v>
      </c>
      <c r="H44" s="138">
        <v>9.6950000000000003</v>
      </c>
      <c r="I44" s="138">
        <v>0.187</v>
      </c>
      <c r="J44" s="139">
        <v>1.8</v>
      </c>
      <c r="K44" s="137">
        <v>8.69</v>
      </c>
      <c r="L44" s="137">
        <v>10.7</v>
      </c>
      <c r="M44" t="s">
        <v>499</v>
      </c>
      <c r="N44" t="s">
        <v>525</v>
      </c>
      <c r="O44" t="s">
        <v>112</v>
      </c>
      <c r="P44" s="137">
        <v>3.5585353274883844</v>
      </c>
      <c r="Q44" s="137">
        <v>3.5585353274883844</v>
      </c>
      <c r="R44" s="126">
        <v>2</v>
      </c>
      <c r="S44" t="s">
        <v>521</v>
      </c>
      <c r="T44" t="s">
        <v>526</v>
      </c>
      <c r="U44" t="s">
        <v>569</v>
      </c>
    </row>
    <row r="45" spans="1:25" x14ac:dyDescent="0.3">
      <c r="A45" t="s">
        <v>402</v>
      </c>
      <c r="B45" s="126">
        <v>2025</v>
      </c>
      <c r="C45" t="s">
        <v>497</v>
      </c>
      <c r="D45" t="s">
        <v>475</v>
      </c>
      <c r="E45" t="s">
        <v>131</v>
      </c>
      <c r="F45" t="s">
        <v>502</v>
      </c>
      <c r="G45" s="137">
        <v>13</v>
      </c>
      <c r="H45" s="138">
        <v>12.752000000000001</v>
      </c>
      <c r="I45" s="138">
        <v>0.25</v>
      </c>
      <c r="J45" s="139">
        <v>1</v>
      </c>
      <c r="K45" s="137">
        <v>11.75</v>
      </c>
      <c r="L45" s="137">
        <v>13.76</v>
      </c>
      <c r="M45" t="s">
        <v>499</v>
      </c>
      <c r="N45" t="s">
        <v>525</v>
      </c>
      <c r="O45" t="s">
        <v>112</v>
      </c>
      <c r="P45" s="137">
        <v>1.9447929736511864</v>
      </c>
      <c r="Q45" s="137">
        <v>1.9447929736511864</v>
      </c>
      <c r="R45" s="126">
        <v>2</v>
      </c>
      <c r="S45" t="s">
        <v>521</v>
      </c>
      <c r="T45" t="s">
        <v>526</v>
      </c>
      <c r="U45" t="s">
        <v>570</v>
      </c>
    </row>
    <row r="46" spans="1:25" x14ac:dyDescent="0.3">
      <c r="A46" t="s">
        <v>402</v>
      </c>
      <c r="B46" s="126">
        <v>2025</v>
      </c>
      <c r="C46" t="s">
        <v>497</v>
      </c>
      <c r="D46" t="s">
        <v>475</v>
      </c>
      <c r="E46" t="s">
        <v>131</v>
      </c>
      <c r="F46" t="s">
        <v>503</v>
      </c>
      <c r="G46" s="137">
        <v>5.99</v>
      </c>
      <c r="H46" s="138">
        <v>5.609</v>
      </c>
      <c r="I46" s="138">
        <v>0.17699999999999999</v>
      </c>
      <c r="J46" s="139">
        <v>2.2000000000000002</v>
      </c>
      <c r="K46" s="137">
        <v>4.5999999999999996</v>
      </c>
      <c r="L46" s="137">
        <v>6.61</v>
      </c>
      <c r="M46" t="s">
        <v>499</v>
      </c>
      <c r="N46" t="s">
        <v>525</v>
      </c>
      <c r="O46" t="s">
        <v>112</v>
      </c>
      <c r="P46" s="137">
        <v>6.7926546621501203</v>
      </c>
      <c r="Q46" s="137">
        <v>6.7926546621501203</v>
      </c>
      <c r="R46" s="126">
        <v>2</v>
      </c>
      <c r="S46" t="s">
        <v>521</v>
      </c>
      <c r="T46" t="s">
        <v>526</v>
      </c>
      <c r="U46" t="s">
        <v>571</v>
      </c>
    </row>
    <row r="47" spans="1:25" x14ac:dyDescent="0.3">
      <c r="A47" t="s">
        <v>402</v>
      </c>
      <c r="B47" s="126">
        <v>2025</v>
      </c>
      <c r="C47" t="s">
        <v>497</v>
      </c>
      <c r="D47" t="s">
        <v>476</v>
      </c>
      <c r="E47" t="s">
        <v>136</v>
      </c>
      <c r="F47" t="s">
        <v>498</v>
      </c>
      <c r="G47" s="137">
        <v>108</v>
      </c>
      <c r="H47" s="138">
        <v>105.6</v>
      </c>
      <c r="I47" s="138">
        <v>1.7</v>
      </c>
      <c r="J47" s="139">
        <v>1.5</v>
      </c>
      <c r="K47" s="137">
        <v>100</v>
      </c>
      <c r="L47" s="137">
        <v>111</v>
      </c>
      <c r="M47" t="s">
        <v>499</v>
      </c>
      <c r="N47" t="s">
        <v>525</v>
      </c>
      <c r="O47" t="s">
        <v>134</v>
      </c>
      <c r="P47" s="137">
        <v>2.2727272727272783</v>
      </c>
      <c r="Q47" s="137">
        <v>2.2727272727272783</v>
      </c>
      <c r="R47" s="126">
        <v>3</v>
      </c>
      <c r="S47" t="s">
        <v>521</v>
      </c>
      <c r="T47" t="s">
        <v>526</v>
      </c>
      <c r="U47" t="s">
        <v>572</v>
      </c>
    </row>
    <row r="48" spans="1:25" x14ac:dyDescent="0.3">
      <c r="A48" t="s">
        <v>402</v>
      </c>
      <c r="B48" s="126">
        <v>2025</v>
      </c>
      <c r="C48" t="s">
        <v>497</v>
      </c>
      <c r="D48" t="s">
        <v>476</v>
      </c>
      <c r="E48" t="s">
        <v>136</v>
      </c>
      <c r="F48" t="s">
        <v>500</v>
      </c>
      <c r="G48" s="137">
        <v>105</v>
      </c>
      <c r="H48" s="138">
        <v>103.1</v>
      </c>
      <c r="I48" s="138">
        <v>1.5</v>
      </c>
      <c r="J48" s="139">
        <v>1.3</v>
      </c>
      <c r="K48" s="137">
        <v>97</v>
      </c>
      <c r="L48" s="137">
        <v>109</v>
      </c>
      <c r="M48" t="s">
        <v>499</v>
      </c>
      <c r="N48" t="s">
        <v>525</v>
      </c>
      <c r="O48" t="s">
        <v>134</v>
      </c>
      <c r="P48" s="137">
        <v>1.8428709990300736</v>
      </c>
      <c r="Q48" s="137">
        <v>1.8428709990300736</v>
      </c>
      <c r="R48" s="126">
        <v>3</v>
      </c>
      <c r="S48" t="s">
        <v>521</v>
      </c>
      <c r="T48" t="s">
        <v>526</v>
      </c>
      <c r="U48" t="s">
        <v>573</v>
      </c>
    </row>
    <row r="49" spans="1:21" x14ac:dyDescent="0.3">
      <c r="A49" t="s">
        <v>402</v>
      </c>
      <c r="B49" s="126">
        <v>2025</v>
      </c>
      <c r="C49" t="s">
        <v>497</v>
      </c>
      <c r="D49" t="s">
        <v>476</v>
      </c>
      <c r="E49" t="s">
        <v>136</v>
      </c>
      <c r="F49" t="s">
        <v>501</v>
      </c>
      <c r="G49" s="137">
        <v>107</v>
      </c>
      <c r="H49" s="138">
        <v>104.8</v>
      </c>
      <c r="I49" s="138">
        <v>1.6</v>
      </c>
      <c r="J49" s="139">
        <v>1.4</v>
      </c>
      <c r="K49" s="137">
        <v>99</v>
      </c>
      <c r="L49" s="137">
        <v>111</v>
      </c>
      <c r="M49" t="s">
        <v>499</v>
      </c>
      <c r="N49" t="s">
        <v>525</v>
      </c>
      <c r="O49" t="s">
        <v>134</v>
      </c>
      <c r="P49" s="137">
        <v>2.0992366412213768</v>
      </c>
      <c r="Q49" s="137">
        <v>2.0992366412213768</v>
      </c>
      <c r="R49" s="126">
        <v>3</v>
      </c>
      <c r="S49" t="s">
        <v>521</v>
      </c>
      <c r="T49" t="s">
        <v>526</v>
      </c>
      <c r="U49" t="s">
        <v>574</v>
      </c>
    </row>
    <row r="50" spans="1:21" x14ac:dyDescent="0.3">
      <c r="A50" t="s">
        <v>402</v>
      </c>
      <c r="B50" s="126">
        <v>2025</v>
      </c>
      <c r="C50" t="s">
        <v>497</v>
      </c>
      <c r="D50" t="s">
        <v>476</v>
      </c>
      <c r="E50" t="s">
        <v>136</v>
      </c>
      <c r="F50" t="s">
        <v>502</v>
      </c>
      <c r="G50" s="137">
        <v>86</v>
      </c>
      <c r="H50" s="138">
        <v>88.1</v>
      </c>
      <c r="I50" s="138">
        <v>1.5</v>
      </c>
      <c r="J50" s="139">
        <v>-1.4</v>
      </c>
      <c r="K50" s="137">
        <v>83</v>
      </c>
      <c r="L50" s="137">
        <v>93</v>
      </c>
      <c r="M50" t="s">
        <v>499</v>
      </c>
      <c r="N50" t="s">
        <v>525</v>
      </c>
      <c r="O50" t="s">
        <v>134</v>
      </c>
      <c r="P50" s="137">
        <v>-2.3836549375709359</v>
      </c>
      <c r="Q50" s="137">
        <v>2.3836549375709359</v>
      </c>
      <c r="R50" s="126">
        <v>3</v>
      </c>
      <c r="S50" t="s">
        <v>521</v>
      </c>
      <c r="T50" t="s">
        <v>526</v>
      </c>
      <c r="U50" t="s">
        <v>575</v>
      </c>
    </row>
    <row r="51" spans="1:21" x14ac:dyDescent="0.3">
      <c r="A51" t="s">
        <v>402</v>
      </c>
      <c r="B51" s="126">
        <v>2025</v>
      </c>
      <c r="C51" t="s">
        <v>497</v>
      </c>
      <c r="D51" t="s">
        <v>476</v>
      </c>
      <c r="E51" t="s">
        <v>136</v>
      </c>
      <c r="F51" t="s">
        <v>503</v>
      </c>
      <c r="G51" s="137">
        <v>122</v>
      </c>
      <c r="H51" s="138">
        <v>116.2</v>
      </c>
      <c r="I51" s="138">
        <v>2</v>
      </c>
      <c r="J51" s="139">
        <v>2.9</v>
      </c>
      <c r="K51" s="137">
        <v>110</v>
      </c>
      <c r="L51" s="137">
        <v>122</v>
      </c>
      <c r="M51" t="s">
        <v>499</v>
      </c>
      <c r="N51" t="s">
        <v>525</v>
      </c>
      <c r="O51" t="s">
        <v>134</v>
      </c>
      <c r="P51" s="137">
        <v>4.9913941480206514</v>
      </c>
      <c r="Q51" s="137">
        <v>4.9913941480206514</v>
      </c>
      <c r="R51" s="126">
        <v>3</v>
      </c>
      <c r="S51" t="s">
        <v>521</v>
      </c>
      <c r="T51" t="s">
        <v>526</v>
      </c>
      <c r="U51" t="s">
        <v>576</v>
      </c>
    </row>
    <row r="52" spans="1:21" x14ac:dyDescent="0.3">
      <c r="A52" t="s">
        <v>402</v>
      </c>
      <c r="B52" s="126">
        <v>2025</v>
      </c>
      <c r="C52" t="s">
        <v>497</v>
      </c>
      <c r="D52" t="s">
        <v>477</v>
      </c>
      <c r="E52" t="s">
        <v>119</v>
      </c>
      <c r="F52" t="s">
        <v>498</v>
      </c>
      <c r="G52" s="137">
        <v>202</v>
      </c>
      <c r="H52" s="138">
        <v>199.614</v>
      </c>
      <c r="I52" s="138">
        <v>4.9969999999999999</v>
      </c>
      <c r="J52" s="139">
        <v>0.5</v>
      </c>
      <c r="K52" s="137">
        <v>179.65</v>
      </c>
      <c r="L52" s="137">
        <v>219.58</v>
      </c>
      <c r="M52" t="s">
        <v>499</v>
      </c>
      <c r="N52" t="s">
        <v>525</v>
      </c>
      <c r="O52" t="s">
        <v>112</v>
      </c>
      <c r="P52" s="137">
        <v>1.1953069423988276</v>
      </c>
      <c r="Q52" s="137">
        <v>1.1953069423988276</v>
      </c>
      <c r="R52" s="126">
        <v>3</v>
      </c>
      <c r="S52" t="s">
        <v>521</v>
      </c>
      <c r="T52" t="s">
        <v>526</v>
      </c>
      <c r="U52" t="s">
        <v>577</v>
      </c>
    </row>
    <row r="53" spans="1:21" x14ac:dyDescent="0.3">
      <c r="A53" t="s">
        <v>402</v>
      </c>
      <c r="B53" s="126">
        <v>2025</v>
      </c>
      <c r="C53" t="s">
        <v>497</v>
      </c>
      <c r="D53" t="s">
        <v>477</v>
      </c>
      <c r="E53" t="s">
        <v>119</v>
      </c>
      <c r="F53" t="s">
        <v>500</v>
      </c>
      <c r="G53" s="137">
        <v>160</v>
      </c>
      <c r="H53" s="138">
        <v>157.61199999999999</v>
      </c>
      <c r="I53" s="138">
        <v>4.3899999999999997</v>
      </c>
      <c r="J53" s="139">
        <v>0.5</v>
      </c>
      <c r="K53" s="137">
        <v>141.85</v>
      </c>
      <c r="L53" s="137">
        <v>173.38</v>
      </c>
      <c r="M53" t="s">
        <v>499</v>
      </c>
      <c r="N53" t="s">
        <v>525</v>
      </c>
      <c r="O53" t="s">
        <v>112</v>
      </c>
      <c r="P53" s="137">
        <v>1.5151130624571767</v>
      </c>
      <c r="Q53" s="137">
        <v>1.5151130624571767</v>
      </c>
      <c r="R53" s="126">
        <v>3</v>
      </c>
      <c r="S53" t="s">
        <v>521</v>
      </c>
      <c r="T53" t="s">
        <v>526</v>
      </c>
      <c r="U53" t="s">
        <v>578</v>
      </c>
    </row>
    <row r="54" spans="1:21" x14ac:dyDescent="0.3">
      <c r="A54" t="s">
        <v>402</v>
      </c>
      <c r="B54" s="126">
        <v>2025</v>
      </c>
      <c r="C54" t="s">
        <v>497</v>
      </c>
      <c r="D54" t="s">
        <v>477</v>
      </c>
      <c r="E54" t="s">
        <v>119</v>
      </c>
      <c r="F54" t="s">
        <v>501</v>
      </c>
      <c r="G54" s="137">
        <v>87</v>
      </c>
      <c r="H54" s="138">
        <v>88.555000000000007</v>
      </c>
      <c r="I54" s="138">
        <v>5.05</v>
      </c>
      <c r="J54" s="139">
        <v>-0.3</v>
      </c>
      <c r="K54" s="137">
        <v>79.69</v>
      </c>
      <c r="L54" s="137">
        <v>97.42</v>
      </c>
      <c r="M54" t="s">
        <v>499</v>
      </c>
      <c r="N54" t="s">
        <v>525</v>
      </c>
      <c r="O54" t="s">
        <v>112</v>
      </c>
      <c r="P54" s="137">
        <v>-1.7559708655637816</v>
      </c>
      <c r="Q54" s="137">
        <v>1.7559708655637816</v>
      </c>
      <c r="R54" s="126">
        <v>3</v>
      </c>
      <c r="S54" t="s">
        <v>521</v>
      </c>
      <c r="T54" t="s">
        <v>526</v>
      </c>
      <c r="U54" t="s">
        <v>579</v>
      </c>
    </row>
    <row r="55" spans="1:21" x14ac:dyDescent="0.3">
      <c r="A55" t="s">
        <v>402</v>
      </c>
      <c r="B55" s="126">
        <v>2025</v>
      </c>
      <c r="C55" t="s">
        <v>497</v>
      </c>
      <c r="D55" t="s">
        <v>477</v>
      </c>
      <c r="E55" t="s">
        <v>119</v>
      </c>
      <c r="F55" t="s">
        <v>502</v>
      </c>
      <c r="G55" s="137">
        <v>206</v>
      </c>
      <c r="H55" s="138">
        <v>201.78</v>
      </c>
      <c r="I55" s="138">
        <v>5.31</v>
      </c>
      <c r="J55" s="139">
        <v>0.8</v>
      </c>
      <c r="K55" s="137">
        <v>181.6</v>
      </c>
      <c r="L55" s="137">
        <v>221.96</v>
      </c>
      <c r="M55" t="s">
        <v>499</v>
      </c>
      <c r="N55" t="s">
        <v>525</v>
      </c>
      <c r="O55" t="s">
        <v>112</v>
      </c>
      <c r="P55" s="137">
        <v>2.0913866587372381</v>
      </c>
      <c r="Q55" s="137">
        <v>2.0913866587372381</v>
      </c>
      <c r="R55" s="126">
        <v>3</v>
      </c>
      <c r="S55" t="s">
        <v>521</v>
      </c>
      <c r="T55" t="s">
        <v>526</v>
      </c>
      <c r="U55" t="s">
        <v>580</v>
      </c>
    </row>
    <row r="56" spans="1:21" x14ac:dyDescent="0.3">
      <c r="A56" t="s">
        <v>402</v>
      </c>
      <c r="B56" s="126">
        <v>2025</v>
      </c>
      <c r="C56" t="s">
        <v>497</v>
      </c>
      <c r="D56" t="s">
        <v>477</v>
      </c>
      <c r="E56" t="s">
        <v>119</v>
      </c>
      <c r="F56" t="s">
        <v>503</v>
      </c>
      <c r="G56" s="137">
        <v>260</v>
      </c>
      <c r="H56" s="138">
        <v>253.33699999999999</v>
      </c>
      <c r="I56" s="138">
        <v>6.4740000000000002</v>
      </c>
      <c r="J56" s="139">
        <v>1</v>
      </c>
      <c r="K56" s="137">
        <v>228</v>
      </c>
      <c r="L56" s="137">
        <v>278.68</v>
      </c>
      <c r="M56" t="s">
        <v>499</v>
      </c>
      <c r="N56" t="s">
        <v>525</v>
      </c>
      <c r="O56" t="s">
        <v>112</v>
      </c>
      <c r="P56" s="137">
        <v>2.6300935118044388</v>
      </c>
      <c r="Q56" s="137">
        <v>2.6300935118044388</v>
      </c>
      <c r="R56" s="126">
        <v>3</v>
      </c>
      <c r="S56" t="s">
        <v>521</v>
      </c>
      <c r="T56" t="s">
        <v>526</v>
      </c>
      <c r="U56" t="s">
        <v>581</v>
      </c>
    </row>
    <row r="57" spans="1:21" x14ac:dyDescent="0.3">
      <c r="A57" t="s">
        <v>402</v>
      </c>
      <c r="B57" s="126">
        <v>2025</v>
      </c>
      <c r="C57" t="s">
        <v>497</v>
      </c>
      <c r="D57" t="s">
        <v>478</v>
      </c>
      <c r="E57" t="s">
        <v>348</v>
      </c>
      <c r="F57" t="s">
        <v>498</v>
      </c>
      <c r="G57" s="137">
        <v>307</v>
      </c>
      <c r="H57" s="138">
        <v>315.2</v>
      </c>
      <c r="I57" s="138">
        <v>12.5</v>
      </c>
      <c r="J57" s="139">
        <v>-0.7</v>
      </c>
      <c r="K57" s="137">
        <v>252</v>
      </c>
      <c r="L57" s="137">
        <v>379</v>
      </c>
      <c r="M57" t="s">
        <v>499</v>
      </c>
      <c r="N57" t="s">
        <v>525</v>
      </c>
      <c r="O57" t="s">
        <v>123</v>
      </c>
      <c r="P57" s="137">
        <v>-2.6015228426395902</v>
      </c>
      <c r="Q57" s="137">
        <v>2.6015228426395902</v>
      </c>
      <c r="R57" s="126">
        <v>7</v>
      </c>
      <c r="S57" t="s">
        <v>521</v>
      </c>
      <c r="T57" t="s">
        <v>526</v>
      </c>
      <c r="U57" t="s">
        <v>582</v>
      </c>
    </row>
    <row r="58" spans="1:21" x14ac:dyDescent="0.3">
      <c r="A58" t="s">
        <v>402</v>
      </c>
      <c r="B58" s="126">
        <v>2025</v>
      </c>
      <c r="C58" t="s">
        <v>497</v>
      </c>
      <c r="D58" t="s">
        <v>478</v>
      </c>
      <c r="E58" t="s">
        <v>348</v>
      </c>
      <c r="F58" t="s">
        <v>500</v>
      </c>
      <c r="G58" s="137">
        <v>183</v>
      </c>
      <c r="H58" s="138">
        <v>189.3</v>
      </c>
      <c r="I58" s="138">
        <v>6.6</v>
      </c>
      <c r="J58" s="139">
        <v>-0.9</v>
      </c>
      <c r="K58" s="137">
        <v>151</v>
      </c>
      <c r="L58" s="137">
        <v>228</v>
      </c>
      <c r="M58" t="s">
        <v>499</v>
      </c>
      <c r="N58" t="s">
        <v>525</v>
      </c>
      <c r="O58" t="s">
        <v>123</v>
      </c>
      <c r="P58" s="137">
        <v>-3.3280507131537305</v>
      </c>
      <c r="Q58" s="137">
        <v>3.3280507131537305</v>
      </c>
      <c r="R58" s="126">
        <v>7</v>
      </c>
      <c r="S58" t="s">
        <v>521</v>
      </c>
      <c r="T58" t="s">
        <v>526</v>
      </c>
      <c r="U58" t="s">
        <v>583</v>
      </c>
    </row>
    <row r="59" spans="1:21" x14ac:dyDescent="0.3">
      <c r="A59" t="s">
        <v>402</v>
      </c>
      <c r="B59" s="126">
        <v>2025</v>
      </c>
      <c r="C59" t="s">
        <v>497</v>
      </c>
      <c r="D59" t="s">
        <v>478</v>
      </c>
      <c r="E59" t="s">
        <v>348</v>
      </c>
      <c r="F59" t="s">
        <v>501</v>
      </c>
      <c r="G59" s="137">
        <v>22</v>
      </c>
      <c r="H59" s="138">
        <v>24.5</v>
      </c>
      <c r="I59" s="138">
        <v>2.4</v>
      </c>
      <c r="J59" s="139">
        <v>-1.1000000000000001</v>
      </c>
      <c r="K59" s="137">
        <v>19</v>
      </c>
      <c r="L59" s="137">
        <v>30</v>
      </c>
      <c r="M59" t="s">
        <v>499</v>
      </c>
      <c r="N59" t="s">
        <v>525</v>
      </c>
      <c r="O59" t="s">
        <v>123</v>
      </c>
      <c r="P59" s="137">
        <v>-10.204081632653061</v>
      </c>
      <c r="Q59" s="137">
        <v>10.204081632653061</v>
      </c>
      <c r="R59" s="126">
        <v>7</v>
      </c>
      <c r="S59" t="s">
        <v>521</v>
      </c>
      <c r="T59" t="s">
        <v>526</v>
      </c>
      <c r="U59" t="s">
        <v>584</v>
      </c>
    </row>
    <row r="60" spans="1:21" x14ac:dyDescent="0.3">
      <c r="A60" t="s">
        <v>402</v>
      </c>
      <c r="B60" s="126">
        <v>2025</v>
      </c>
      <c r="C60" t="s">
        <v>497</v>
      </c>
      <c r="D60" t="s">
        <v>478</v>
      </c>
      <c r="E60" t="s">
        <v>348</v>
      </c>
      <c r="F60" t="s">
        <v>502</v>
      </c>
      <c r="G60" s="137">
        <v>155</v>
      </c>
      <c r="H60" s="138">
        <v>151.1</v>
      </c>
      <c r="I60" s="138">
        <v>8.6</v>
      </c>
      <c r="J60" s="139">
        <v>0.5</v>
      </c>
      <c r="K60" s="137">
        <v>120</v>
      </c>
      <c r="L60" s="137">
        <v>182</v>
      </c>
      <c r="M60" t="s">
        <v>499</v>
      </c>
      <c r="N60" t="s">
        <v>525</v>
      </c>
      <c r="O60" t="s">
        <v>123</v>
      </c>
      <c r="P60" s="137">
        <v>2.5810721376571846</v>
      </c>
      <c r="Q60" s="137">
        <v>2.5810721376571846</v>
      </c>
      <c r="R60" s="126">
        <v>7</v>
      </c>
      <c r="S60" t="s">
        <v>521</v>
      </c>
      <c r="T60" t="s">
        <v>526</v>
      </c>
      <c r="U60" t="s">
        <v>585</v>
      </c>
    </row>
    <row r="61" spans="1:21" x14ac:dyDescent="0.3">
      <c r="A61" t="s">
        <v>402</v>
      </c>
      <c r="B61" s="126">
        <v>2025</v>
      </c>
      <c r="C61" t="s">
        <v>497</v>
      </c>
      <c r="D61" t="s">
        <v>478</v>
      </c>
      <c r="E61" t="s">
        <v>348</v>
      </c>
      <c r="F61" t="s">
        <v>503</v>
      </c>
      <c r="G61" s="137">
        <v>521</v>
      </c>
      <c r="H61" s="138">
        <v>544.4</v>
      </c>
      <c r="I61" s="138">
        <v>17.399999999999999</v>
      </c>
      <c r="J61" s="139">
        <v>-1.3</v>
      </c>
      <c r="K61" s="137">
        <v>435</v>
      </c>
      <c r="L61" s="137">
        <v>654</v>
      </c>
      <c r="M61" t="s">
        <v>499</v>
      </c>
      <c r="N61" t="s">
        <v>525</v>
      </c>
      <c r="O61" t="s">
        <v>123</v>
      </c>
      <c r="P61" s="137">
        <v>-4.2983100661278435</v>
      </c>
      <c r="Q61" s="137">
        <v>4.2983100661278435</v>
      </c>
      <c r="R61" s="126">
        <v>7</v>
      </c>
      <c r="S61" t="s">
        <v>521</v>
      </c>
      <c r="T61" t="s">
        <v>526</v>
      </c>
      <c r="U61" t="s">
        <v>586</v>
      </c>
    </row>
    <row r="62" spans="1:21" x14ac:dyDescent="0.3">
      <c r="A62" t="s">
        <v>402</v>
      </c>
      <c r="B62" s="126">
        <v>2025</v>
      </c>
      <c r="C62" t="s">
        <v>497</v>
      </c>
      <c r="D62" t="s">
        <v>479</v>
      </c>
      <c r="E62" t="s">
        <v>117</v>
      </c>
      <c r="F62" t="s">
        <v>498</v>
      </c>
      <c r="G62" s="137">
        <v>2.79</v>
      </c>
      <c r="H62" s="138">
        <v>2.7549999999999999</v>
      </c>
      <c r="I62" s="138">
        <v>6.8000000000000005E-2</v>
      </c>
      <c r="J62" s="139">
        <v>0.5</v>
      </c>
      <c r="K62" s="137">
        <v>2.4700000000000002</v>
      </c>
      <c r="L62" s="137">
        <v>3.03</v>
      </c>
      <c r="M62" t="s">
        <v>499</v>
      </c>
      <c r="N62" t="s">
        <v>525</v>
      </c>
      <c r="O62" t="s">
        <v>112</v>
      </c>
      <c r="P62" s="137">
        <v>1.2704174228675189</v>
      </c>
      <c r="Q62" s="137">
        <v>1.2704174228675189</v>
      </c>
      <c r="R62" s="126">
        <v>4</v>
      </c>
      <c r="S62" t="s">
        <v>521</v>
      </c>
      <c r="T62" t="s">
        <v>526</v>
      </c>
      <c r="U62" t="s">
        <v>587</v>
      </c>
    </row>
    <row r="63" spans="1:21" x14ac:dyDescent="0.3">
      <c r="A63" t="s">
        <v>402</v>
      </c>
      <c r="B63" s="126">
        <v>2025</v>
      </c>
      <c r="C63" t="s">
        <v>497</v>
      </c>
      <c r="D63" t="s">
        <v>479</v>
      </c>
      <c r="E63" t="s">
        <v>117</v>
      </c>
      <c r="F63" t="s">
        <v>500</v>
      </c>
      <c r="G63" s="137">
        <v>4.4800000000000004</v>
      </c>
      <c r="H63" s="138">
        <v>4.4800000000000004</v>
      </c>
      <c r="I63" s="138">
        <v>0.1</v>
      </c>
      <c r="J63" s="139">
        <v>0</v>
      </c>
      <c r="K63" s="137">
        <v>4.03</v>
      </c>
      <c r="L63" s="137">
        <v>4.93</v>
      </c>
      <c r="M63" t="s">
        <v>499</v>
      </c>
      <c r="N63" t="s">
        <v>525</v>
      </c>
      <c r="O63" t="s">
        <v>112</v>
      </c>
      <c r="P63" s="137">
        <v>0</v>
      </c>
      <c r="Q63" s="137">
        <v>0</v>
      </c>
      <c r="R63" s="126">
        <v>4</v>
      </c>
      <c r="S63" t="s">
        <v>521</v>
      </c>
      <c r="T63" t="s">
        <v>526</v>
      </c>
      <c r="U63" t="s">
        <v>588</v>
      </c>
    </row>
    <row r="64" spans="1:21" x14ac:dyDescent="0.3">
      <c r="A64" t="s">
        <v>402</v>
      </c>
      <c r="B64" s="126">
        <v>2025</v>
      </c>
      <c r="C64" t="s">
        <v>497</v>
      </c>
      <c r="D64" t="s">
        <v>479</v>
      </c>
      <c r="E64" t="s">
        <v>117</v>
      </c>
      <c r="F64" t="s">
        <v>501</v>
      </c>
      <c r="G64" s="137">
        <v>7.59</v>
      </c>
      <c r="H64" s="138">
        <v>7.4829999999999997</v>
      </c>
      <c r="I64" s="138">
        <v>0.14699999999999999</v>
      </c>
      <c r="J64" s="139">
        <v>0.7</v>
      </c>
      <c r="K64" s="137">
        <v>6.73</v>
      </c>
      <c r="L64" s="137">
        <v>8.24</v>
      </c>
      <c r="M64" t="s">
        <v>499</v>
      </c>
      <c r="N64" t="s">
        <v>525</v>
      </c>
      <c r="O64" t="s">
        <v>112</v>
      </c>
      <c r="P64" s="137">
        <v>1.4299077909929201</v>
      </c>
      <c r="Q64" s="137">
        <v>1.4299077909929201</v>
      </c>
      <c r="R64" s="126">
        <v>4</v>
      </c>
      <c r="S64" t="s">
        <v>521</v>
      </c>
      <c r="T64" t="s">
        <v>526</v>
      </c>
      <c r="U64" t="s">
        <v>589</v>
      </c>
    </row>
    <row r="65" spans="1:21" x14ac:dyDescent="0.3">
      <c r="A65" t="s">
        <v>402</v>
      </c>
      <c r="B65" s="126">
        <v>2025</v>
      </c>
      <c r="C65" t="s">
        <v>497</v>
      </c>
      <c r="D65" t="s">
        <v>479</v>
      </c>
      <c r="E65" t="s">
        <v>117</v>
      </c>
      <c r="F65" t="s">
        <v>502</v>
      </c>
      <c r="G65" s="137">
        <v>2.16</v>
      </c>
      <c r="H65" s="138">
        <v>2.0979999999999999</v>
      </c>
      <c r="I65" s="138">
        <v>6.5000000000000002E-2</v>
      </c>
      <c r="J65" s="139">
        <v>1</v>
      </c>
      <c r="K65" s="137">
        <v>1.88</v>
      </c>
      <c r="L65" s="137">
        <v>2.31</v>
      </c>
      <c r="M65" t="s">
        <v>499</v>
      </c>
      <c r="N65" t="s">
        <v>525</v>
      </c>
      <c r="O65" t="s">
        <v>112</v>
      </c>
      <c r="P65" s="137">
        <v>2.9551954242135503</v>
      </c>
      <c r="Q65" s="137">
        <v>2.9551954242135503</v>
      </c>
      <c r="R65" s="126">
        <v>4</v>
      </c>
      <c r="S65" t="s">
        <v>521</v>
      </c>
      <c r="T65" t="s">
        <v>526</v>
      </c>
      <c r="U65" t="s">
        <v>590</v>
      </c>
    </row>
    <row r="66" spans="1:21" x14ac:dyDescent="0.3">
      <c r="A66" t="s">
        <v>402</v>
      </c>
      <c r="B66" s="126">
        <v>2025</v>
      </c>
      <c r="C66" t="s">
        <v>497</v>
      </c>
      <c r="D66" t="s">
        <v>479</v>
      </c>
      <c r="E66" t="s">
        <v>117</v>
      </c>
      <c r="F66" t="s">
        <v>503</v>
      </c>
      <c r="G66" s="137">
        <v>0.81</v>
      </c>
      <c r="H66" s="138">
        <v>0.74099999999999999</v>
      </c>
      <c r="I66" s="138">
        <v>5.2999999999999999E-2</v>
      </c>
      <c r="J66" s="139">
        <v>1.3</v>
      </c>
      <c r="K66" s="137">
        <v>0.54</v>
      </c>
      <c r="L66" s="137">
        <v>0.95</v>
      </c>
      <c r="M66" t="s">
        <v>499</v>
      </c>
      <c r="N66" t="s">
        <v>525</v>
      </c>
      <c r="O66" t="s">
        <v>112</v>
      </c>
      <c r="P66" s="137">
        <v>9.3117408906882684</v>
      </c>
      <c r="Q66" s="137">
        <v>9.3117408906882684</v>
      </c>
      <c r="R66" s="126">
        <v>4</v>
      </c>
      <c r="S66" t="s">
        <v>521</v>
      </c>
      <c r="T66" t="s">
        <v>526</v>
      </c>
      <c r="U66" t="s">
        <v>591</v>
      </c>
    </row>
    <row r="67" spans="1:21" x14ac:dyDescent="0.3">
      <c r="A67" t="s">
        <v>402</v>
      </c>
      <c r="B67" s="126">
        <v>2025</v>
      </c>
      <c r="C67" t="s">
        <v>497</v>
      </c>
      <c r="D67" t="s">
        <v>480</v>
      </c>
      <c r="F67" t="s">
        <v>498</v>
      </c>
      <c r="G67" s="137">
        <v>140</v>
      </c>
      <c r="H67" s="138">
        <v>132.9</v>
      </c>
      <c r="I67" s="138">
        <v>4.8</v>
      </c>
      <c r="J67" s="139">
        <v>1.5</v>
      </c>
      <c r="K67" s="137">
        <v>106</v>
      </c>
      <c r="L67" s="137">
        <v>160</v>
      </c>
      <c r="M67" t="s">
        <v>499</v>
      </c>
      <c r="N67" t="s">
        <v>525</v>
      </c>
      <c r="O67" t="s">
        <v>504</v>
      </c>
      <c r="P67" s="137">
        <v>5.342362678705789</v>
      </c>
      <c r="Q67" s="137">
        <v>5.342362678705789</v>
      </c>
      <c r="R67" s="126">
        <v>9</v>
      </c>
      <c r="S67" t="s">
        <v>521</v>
      </c>
      <c r="T67" t="s">
        <v>526</v>
      </c>
      <c r="U67" t="s">
        <v>592</v>
      </c>
    </row>
    <row r="68" spans="1:21" x14ac:dyDescent="0.3">
      <c r="A68" t="s">
        <v>402</v>
      </c>
      <c r="B68" s="126">
        <v>2025</v>
      </c>
      <c r="C68" t="s">
        <v>497</v>
      </c>
      <c r="D68" t="s">
        <v>480</v>
      </c>
      <c r="F68" t="s">
        <v>500</v>
      </c>
      <c r="G68" s="137">
        <v>87</v>
      </c>
      <c r="H68" s="138">
        <v>82.7</v>
      </c>
      <c r="I68" s="138">
        <v>3.4</v>
      </c>
      <c r="J68" s="139">
        <v>1.3</v>
      </c>
      <c r="K68" s="137">
        <v>66</v>
      </c>
      <c r="L68" s="137">
        <v>100</v>
      </c>
      <c r="M68" t="s">
        <v>499</v>
      </c>
      <c r="N68" t="s">
        <v>525</v>
      </c>
      <c r="O68" t="s">
        <v>504</v>
      </c>
      <c r="P68" s="137">
        <v>5.1995163240628743</v>
      </c>
      <c r="Q68" s="137">
        <v>5.1995163240628743</v>
      </c>
      <c r="R68" s="126">
        <v>9</v>
      </c>
      <c r="S68" t="s">
        <v>521</v>
      </c>
      <c r="T68" t="s">
        <v>526</v>
      </c>
      <c r="U68" t="s">
        <v>593</v>
      </c>
    </row>
    <row r="69" spans="1:21" x14ac:dyDescent="0.3">
      <c r="A69" t="s">
        <v>402</v>
      </c>
      <c r="B69" s="126">
        <v>2025</v>
      </c>
      <c r="C69" t="s">
        <v>497</v>
      </c>
      <c r="D69" t="s">
        <v>480</v>
      </c>
      <c r="F69" t="s">
        <v>501</v>
      </c>
      <c r="G69" s="137">
        <v>19</v>
      </c>
      <c r="H69" s="138">
        <v>17.7</v>
      </c>
      <c r="I69" s="138">
        <v>0.9</v>
      </c>
      <c r="J69" s="139">
        <v>1.5</v>
      </c>
      <c r="K69" s="137">
        <v>14</v>
      </c>
      <c r="L69" s="137">
        <v>22</v>
      </c>
      <c r="M69" t="s">
        <v>499</v>
      </c>
      <c r="N69" t="s">
        <v>525</v>
      </c>
      <c r="O69" t="s">
        <v>504</v>
      </c>
      <c r="P69" s="137">
        <v>7.3446327683615866</v>
      </c>
      <c r="Q69" s="137">
        <v>7.3446327683615866</v>
      </c>
      <c r="R69" s="126">
        <v>9</v>
      </c>
      <c r="S69" t="s">
        <v>521</v>
      </c>
      <c r="T69" t="s">
        <v>526</v>
      </c>
      <c r="U69" t="s">
        <v>594</v>
      </c>
    </row>
    <row r="70" spans="1:21" x14ac:dyDescent="0.3">
      <c r="A70" t="s">
        <v>402</v>
      </c>
      <c r="B70" s="126">
        <v>2025</v>
      </c>
      <c r="C70" t="s">
        <v>497</v>
      </c>
      <c r="D70" t="s">
        <v>480</v>
      </c>
      <c r="F70" t="s">
        <v>502</v>
      </c>
      <c r="G70" s="137">
        <v>63</v>
      </c>
      <c r="H70" s="138">
        <v>57.9</v>
      </c>
      <c r="I70" s="138">
        <v>2.5</v>
      </c>
      <c r="J70" s="139">
        <v>2.1</v>
      </c>
      <c r="K70" s="137">
        <v>46</v>
      </c>
      <c r="L70" s="137">
        <v>70</v>
      </c>
      <c r="M70" t="s">
        <v>499</v>
      </c>
      <c r="N70" t="s">
        <v>525</v>
      </c>
      <c r="O70" t="s">
        <v>504</v>
      </c>
      <c r="P70" s="137">
        <v>8.8082901554404174</v>
      </c>
      <c r="Q70" s="137">
        <v>8.8082901554404174</v>
      </c>
      <c r="R70" s="126">
        <v>9</v>
      </c>
      <c r="S70" t="s">
        <v>521</v>
      </c>
      <c r="T70" t="s">
        <v>526</v>
      </c>
      <c r="U70" t="s">
        <v>595</v>
      </c>
    </row>
    <row r="71" spans="1:21" x14ac:dyDescent="0.3">
      <c r="A71" t="s">
        <v>402</v>
      </c>
      <c r="B71" s="126">
        <v>2025</v>
      </c>
      <c r="C71" t="s">
        <v>497</v>
      </c>
      <c r="D71" t="s">
        <v>480</v>
      </c>
      <c r="F71" t="s">
        <v>503</v>
      </c>
      <c r="G71" s="137">
        <v>230</v>
      </c>
      <c r="H71" s="138">
        <v>218.8</v>
      </c>
      <c r="I71" s="138">
        <v>8.1999999999999993</v>
      </c>
      <c r="J71" s="139">
        <v>1.4</v>
      </c>
      <c r="K71" s="137">
        <v>175</v>
      </c>
      <c r="L71" s="137">
        <v>263</v>
      </c>
      <c r="M71" t="s">
        <v>499</v>
      </c>
      <c r="N71" t="s">
        <v>525</v>
      </c>
      <c r="O71" t="s">
        <v>504</v>
      </c>
      <c r="P71" s="137">
        <v>5.1188299817184593</v>
      </c>
      <c r="Q71" s="137">
        <v>5.1188299817184593</v>
      </c>
      <c r="R71" s="126">
        <v>9</v>
      </c>
      <c r="S71" t="s">
        <v>521</v>
      </c>
      <c r="T71" t="s">
        <v>526</v>
      </c>
      <c r="U71" t="s">
        <v>596</v>
      </c>
    </row>
    <row r="72" spans="1:21" x14ac:dyDescent="0.3">
      <c r="A72" t="s">
        <v>402</v>
      </c>
      <c r="B72" s="126">
        <v>2025</v>
      </c>
      <c r="C72" t="s">
        <v>497</v>
      </c>
      <c r="D72" t="s">
        <v>481</v>
      </c>
      <c r="E72" t="s">
        <v>126</v>
      </c>
      <c r="F72" t="s">
        <v>498</v>
      </c>
      <c r="G72" s="137">
        <v>165</v>
      </c>
      <c r="H72" s="138">
        <v>161.4</v>
      </c>
      <c r="I72" s="138">
        <v>3.9</v>
      </c>
      <c r="J72" s="139">
        <v>0.9</v>
      </c>
      <c r="K72" s="137">
        <v>137</v>
      </c>
      <c r="L72" s="137">
        <v>186</v>
      </c>
      <c r="M72" t="s">
        <v>499</v>
      </c>
      <c r="N72" t="s">
        <v>525</v>
      </c>
      <c r="O72" t="s">
        <v>123</v>
      </c>
      <c r="P72" s="137">
        <v>2.2304832713754612</v>
      </c>
      <c r="Q72" s="137">
        <v>2.2304832713754612</v>
      </c>
      <c r="R72" s="126">
        <v>8</v>
      </c>
      <c r="S72" t="s">
        <v>521</v>
      </c>
      <c r="T72" t="s">
        <v>526</v>
      </c>
      <c r="U72" t="s">
        <v>597</v>
      </c>
    </row>
    <row r="73" spans="1:21" x14ac:dyDescent="0.3">
      <c r="A73" t="s">
        <v>402</v>
      </c>
      <c r="B73" s="126">
        <v>2025</v>
      </c>
      <c r="C73" t="s">
        <v>497</v>
      </c>
      <c r="D73" t="s">
        <v>481</v>
      </c>
      <c r="E73" t="s">
        <v>126</v>
      </c>
      <c r="F73" t="s">
        <v>500</v>
      </c>
      <c r="G73" s="137">
        <v>133</v>
      </c>
      <c r="H73" s="138">
        <v>131.80000000000001</v>
      </c>
      <c r="I73" s="138">
        <v>3.5</v>
      </c>
      <c r="J73" s="139">
        <v>0.4</v>
      </c>
      <c r="K73" s="137">
        <v>112</v>
      </c>
      <c r="L73" s="137">
        <v>152</v>
      </c>
      <c r="M73" t="s">
        <v>499</v>
      </c>
      <c r="N73" t="s">
        <v>525</v>
      </c>
      <c r="O73" t="s">
        <v>123</v>
      </c>
      <c r="P73" s="137">
        <v>0.9104704097116757</v>
      </c>
      <c r="Q73" s="137">
        <v>0.9104704097116757</v>
      </c>
      <c r="R73" s="126">
        <v>8</v>
      </c>
      <c r="S73" t="s">
        <v>521</v>
      </c>
      <c r="T73" t="s">
        <v>526</v>
      </c>
      <c r="U73" t="s">
        <v>598</v>
      </c>
    </row>
    <row r="74" spans="1:21" x14ac:dyDescent="0.3">
      <c r="A74" t="s">
        <v>402</v>
      </c>
      <c r="B74" s="126">
        <v>2025</v>
      </c>
      <c r="C74" t="s">
        <v>497</v>
      </c>
      <c r="D74" t="s">
        <v>481</v>
      </c>
      <c r="E74" t="s">
        <v>126</v>
      </c>
      <c r="F74" t="s">
        <v>501</v>
      </c>
      <c r="G74" s="137">
        <v>40</v>
      </c>
      <c r="H74" s="138">
        <v>42.2</v>
      </c>
      <c r="I74" s="138">
        <v>2</v>
      </c>
      <c r="J74" s="139">
        <v>-1.1000000000000001</v>
      </c>
      <c r="K74" s="137">
        <v>35</v>
      </c>
      <c r="L74" s="137">
        <v>49</v>
      </c>
      <c r="M74" t="s">
        <v>499</v>
      </c>
      <c r="N74" t="s">
        <v>525</v>
      </c>
      <c r="O74" t="s">
        <v>123</v>
      </c>
      <c r="P74" s="137">
        <v>-5.2132701421801011</v>
      </c>
      <c r="Q74" s="137">
        <v>5.2132701421801011</v>
      </c>
      <c r="R74" s="126">
        <v>8</v>
      </c>
      <c r="S74" t="s">
        <v>521</v>
      </c>
      <c r="T74" t="s">
        <v>526</v>
      </c>
      <c r="U74" t="s">
        <v>599</v>
      </c>
    </row>
    <row r="75" spans="1:21" x14ac:dyDescent="0.3">
      <c r="A75" t="s">
        <v>402</v>
      </c>
      <c r="B75" s="126">
        <v>2025</v>
      </c>
      <c r="C75" t="s">
        <v>497</v>
      </c>
      <c r="D75" t="s">
        <v>481</v>
      </c>
      <c r="E75" t="s">
        <v>126</v>
      </c>
      <c r="F75" t="s">
        <v>502</v>
      </c>
      <c r="G75" s="137">
        <v>297</v>
      </c>
      <c r="H75" s="138">
        <v>286.60000000000002</v>
      </c>
      <c r="I75" s="138">
        <v>6.5</v>
      </c>
      <c r="J75" s="139">
        <v>1.6</v>
      </c>
      <c r="K75" s="137">
        <v>243</v>
      </c>
      <c r="L75" s="137">
        <v>330</v>
      </c>
      <c r="M75" t="s">
        <v>499</v>
      </c>
      <c r="N75" t="s">
        <v>525</v>
      </c>
      <c r="O75" t="s">
        <v>123</v>
      </c>
      <c r="P75" s="137">
        <v>3.6287508722958743</v>
      </c>
      <c r="Q75" s="137">
        <v>3.6287508722958743</v>
      </c>
      <c r="R75" s="126">
        <v>8</v>
      </c>
      <c r="S75" t="s">
        <v>521</v>
      </c>
      <c r="T75" t="s">
        <v>526</v>
      </c>
      <c r="U75" t="s">
        <v>600</v>
      </c>
    </row>
    <row r="76" spans="1:21" x14ac:dyDescent="0.3">
      <c r="A76" t="s">
        <v>402</v>
      </c>
      <c r="B76" s="126">
        <v>2025</v>
      </c>
      <c r="C76" t="s">
        <v>497</v>
      </c>
      <c r="D76" t="s">
        <v>481</v>
      </c>
      <c r="E76" t="s">
        <v>126</v>
      </c>
      <c r="F76" t="s">
        <v>503</v>
      </c>
      <c r="G76" s="137">
        <v>164</v>
      </c>
      <c r="H76" s="138">
        <v>158</v>
      </c>
      <c r="I76" s="138">
        <v>4</v>
      </c>
      <c r="J76" s="139">
        <v>1.5</v>
      </c>
      <c r="K76" s="137">
        <v>134</v>
      </c>
      <c r="L76" s="137">
        <v>182</v>
      </c>
      <c r="M76" t="s">
        <v>499</v>
      </c>
      <c r="N76" t="s">
        <v>525</v>
      </c>
      <c r="O76" t="s">
        <v>123</v>
      </c>
      <c r="P76" s="137">
        <v>3.79746835443038</v>
      </c>
      <c r="Q76" s="137">
        <v>3.79746835443038</v>
      </c>
      <c r="R76" s="126">
        <v>8</v>
      </c>
      <c r="S76" t="s">
        <v>521</v>
      </c>
      <c r="T76" t="s">
        <v>526</v>
      </c>
      <c r="U76" t="s">
        <v>601</v>
      </c>
    </row>
    <row r="77" spans="1:21" x14ac:dyDescent="0.3">
      <c r="A77" t="s">
        <v>402</v>
      </c>
      <c r="B77" s="126">
        <v>2025</v>
      </c>
      <c r="C77" t="s">
        <v>497</v>
      </c>
      <c r="D77" t="s">
        <v>482</v>
      </c>
      <c r="E77" t="s">
        <v>111</v>
      </c>
      <c r="F77" t="s">
        <v>498</v>
      </c>
      <c r="G77" s="137">
        <v>118</v>
      </c>
      <c r="H77" s="138">
        <v>120.53</v>
      </c>
      <c r="I77" s="138">
        <v>2.11</v>
      </c>
      <c r="J77" s="139">
        <v>-1.2</v>
      </c>
      <c r="K77" s="137">
        <v>110.8</v>
      </c>
      <c r="L77" s="137">
        <v>130.19999999999999</v>
      </c>
      <c r="M77" t="s">
        <v>499</v>
      </c>
      <c r="N77" t="s">
        <v>525</v>
      </c>
      <c r="O77" t="s">
        <v>112</v>
      </c>
      <c r="P77" s="137">
        <v>-2.0990624740728459</v>
      </c>
      <c r="Q77" s="137">
        <v>2.0990624740728459</v>
      </c>
      <c r="R77" s="126">
        <v>4</v>
      </c>
      <c r="S77" t="s">
        <v>521</v>
      </c>
      <c r="T77" t="s">
        <v>526</v>
      </c>
      <c r="U77" t="s">
        <v>602</v>
      </c>
    </row>
    <row r="78" spans="1:21" x14ac:dyDescent="0.3">
      <c r="A78" t="s">
        <v>402</v>
      </c>
      <c r="B78" s="126">
        <v>2025</v>
      </c>
      <c r="C78" t="s">
        <v>497</v>
      </c>
      <c r="D78" t="s">
        <v>482</v>
      </c>
      <c r="E78" t="s">
        <v>111</v>
      </c>
      <c r="F78" t="s">
        <v>500</v>
      </c>
      <c r="G78" s="137">
        <v>127</v>
      </c>
      <c r="H78" s="138">
        <v>127.67</v>
      </c>
      <c r="I78" s="138">
        <v>2.34</v>
      </c>
      <c r="J78" s="139">
        <v>-0.3</v>
      </c>
      <c r="K78" s="137">
        <v>117.4</v>
      </c>
      <c r="L78" s="137">
        <v>137.9</v>
      </c>
      <c r="M78" t="s">
        <v>499</v>
      </c>
      <c r="N78" t="s">
        <v>525</v>
      </c>
      <c r="O78" t="s">
        <v>112</v>
      </c>
      <c r="P78" s="137">
        <v>-0.52479047544450663</v>
      </c>
      <c r="Q78" s="137">
        <v>0.52479047544450663</v>
      </c>
      <c r="R78" s="126">
        <v>4</v>
      </c>
      <c r="S78" t="s">
        <v>521</v>
      </c>
      <c r="T78" t="s">
        <v>526</v>
      </c>
      <c r="U78" t="s">
        <v>603</v>
      </c>
    </row>
    <row r="79" spans="1:21" x14ac:dyDescent="0.3">
      <c r="A79" t="s">
        <v>402</v>
      </c>
      <c r="B79" s="126">
        <v>2025</v>
      </c>
      <c r="C79" t="s">
        <v>497</v>
      </c>
      <c r="D79" t="s">
        <v>482</v>
      </c>
      <c r="E79" t="s">
        <v>111</v>
      </c>
      <c r="F79" t="s">
        <v>501</v>
      </c>
      <c r="G79" s="137">
        <v>92</v>
      </c>
      <c r="H79" s="138">
        <v>90.1</v>
      </c>
      <c r="I79" s="138">
        <v>1.83</v>
      </c>
      <c r="J79" s="139">
        <v>1</v>
      </c>
      <c r="K79" s="137">
        <v>82.8</v>
      </c>
      <c r="L79" s="137">
        <v>97.4</v>
      </c>
      <c r="M79" t="s">
        <v>499</v>
      </c>
      <c r="N79" t="s">
        <v>525</v>
      </c>
      <c r="O79" t="s">
        <v>112</v>
      </c>
      <c r="P79" s="137">
        <v>2.1087680355160994</v>
      </c>
      <c r="Q79" s="137">
        <v>2.1087680355160994</v>
      </c>
      <c r="R79" s="126">
        <v>4</v>
      </c>
      <c r="S79" t="s">
        <v>521</v>
      </c>
      <c r="T79" t="s">
        <v>526</v>
      </c>
      <c r="U79" t="s">
        <v>604</v>
      </c>
    </row>
    <row r="80" spans="1:21" x14ac:dyDescent="0.3">
      <c r="A80" t="s">
        <v>402</v>
      </c>
      <c r="B80" s="126">
        <v>2025</v>
      </c>
      <c r="C80" t="s">
        <v>497</v>
      </c>
      <c r="D80" t="s">
        <v>482</v>
      </c>
      <c r="E80" t="s">
        <v>111</v>
      </c>
      <c r="F80" t="s">
        <v>502</v>
      </c>
      <c r="G80" s="137">
        <v>272</v>
      </c>
      <c r="H80" s="138">
        <v>267.87</v>
      </c>
      <c r="I80" s="138">
        <v>4.7</v>
      </c>
      <c r="J80" s="139">
        <v>0.9</v>
      </c>
      <c r="K80" s="137">
        <v>246.4</v>
      </c>
      <c r="L80" s="137">
        <v>289.3</v>
      </c>
      <c r="M80" t="s">
        <v>499</v>
      </c>
      <c r="N80" t="s">
        <v>525</v>
      </c>
      <c r="O80" t="s">
        <v>112</v>
      </c>
      <c r="P80" s="137">
        <v>1.5417926606189551</v>
      </c>
      <c r="Q80" s="137">
        <v>1.5417926606189551</v>
      </c>
      <c r="R80" s="126">
        <v>4</v>
      </c>
      <c r="S80" t="s">
        <v>521</v>
      </c>
      <c r="T80" t="s">
        <v>526</v>
      </c>
      <c r="U80" t="s">
        <v>605</v>
      </c>
    </row>
    <row r="81" spans="1:21" x14ac:dyDescent="0.3">
      <c r="A81" t="s">
        <v>402</v>
      </c>
      <c r="B81" s="126">
        <v>2025</v>
      </c>
      <c r="C81" t="s">
        <v>497</v>
      </c>
      <c r="D81" t="s">
        <v>482</v>
      </c>
      <c r="E81" t="s">
        <v>111</v>
      </c>
      <c r="F81" t="s">
        <v>503</v>
      </c>
      <c r="G81" s="137">
        <v>60</v>
      </c>
      <c r="H81" s="138">
        <v>59.3</v>
      </c>
      <c r="I81" s="138">
        <v>1.53</v>
      </c>
      <c r="J81" s="139">
        <v>0.5</v>
      </c>
      <c r="K81" s="137">
        <v>53.2</v>
      </c>
      <c r="L81" s="137">
        <v>65.3</v>
      </c>
      <c r="M81" t="s">
        <v>499</v>
      </c>
      <c r="N81" t="s">
        <v>525</v>
      </c>
      <c r="O81" t="s">
        <v>112</v>
      </c>
      <c r="P81" s="137">
        <v>1.1804384485666153</v>
      </c>
      <c r="Q81" s="137">
        <v>1.1804384485666153</v>
      </c>
      <c r="R81" s="126">
        <v>4</v>
      </c>
      <c r="S81" t="s">
        <v>521</v>
      </c>
      <c r="T81" t="s">
        <v>526</v>
      </c>
      <c r="U81" t="s">
        <v>606</v>
      </c>
    </row>
    <row r="82" spans="1:21" x14ac:dyDescent="0.3">
      <c r="A82" t="s">
        <v>402</v>
      </c>
      <c r="B82" s="126">
        <v>2025</v>
      </c>
      <c r="C82" t="s">
        <v>497</v>
      </c>
      <c r="D82" t="s">
        <v>483</v>
      </c>
      <c r="E82" t="s">
        <v>120</v>
      </c>
      <c r="F82" t="s">
        <v>498</v>
      </c>
      <c r="G82" s="137">
        <v>54</v>
      </c>
      <c r="H82" s="138">
        <v>55.689</v>
      </c>
      <c r="I82" s="138">
        <v>2.2829999999999999</v>
      </c>
      <c r="J82" s="139">
        <v>-0.7</v>
      </c>
      <c r="K82" s="137">
        <v>44.55</v>
      </c>
      <c r="L82" s="137">
        <v>66.83</v>
      </c>
      <c r="M82" t="s">
        <v>499</v>
      </c>
      <c r="N82" t="s">
        <v>525</v>
      </c>
      <c r="O82" t="s">
        <v>112</v>
      </c>
      <c r="P82" s="137">
        <v>-3.0329149383181599</v>
      </c>
      <c r="Q82" s="137">
        <v>3.0329149383181599</v>
      </c>
      <c r="R82" s="126">
        <v>4</v>
      </c>
      <c r="S82" t="s">
        <v>521</v>
      </c>
      <c r="T82" t="s">
        <v>526</v>
      </c>
      <c r="U82" t="s">
        <v>607</v>
      </c>
    </row>
    <row r="83" spans="1:21" x14ac:dyDescent="0.3">
      <c r="A83" t="s">
        <v>402</v>
      </c>
      <c r="B83" s="126">
        <v>2025</v>
      </c>
      <c r="C83" t="s">
        <v>497</v>
      </c>
      <c r="D83" t="s">
        <v>483</v>
      </c>
      <c r="E83" t="s">
        <v>120</v>
      </c>
      <c r="F83" t="s">
        <v>500</v>
      </c>
      <c r="G83" s="137">
        <v>51</v>
      </c>
      <c r="H83" s="138">
        <v>51.649000000000001</v>
      </c>
      <c r="I83" s="138">
        <v>1.772</v>
      </c>
      <c r="J83" s="139">
        <v>-0.4</v>
      </c>
      <c r="K83" s="137">
        <v>41.31</v>
      </c>
      <c r="L83" s="137">
        <v>61.98</v>
      </c>
      <c r="M83" t="s">
        <v>499</v>
      </c>
      <c r="N83" t="s">
        <v>525</v>
      </c>
      <c r="O83" t="s">
        <v>112</v>
      </c>
      <c r="P83" s="137">
        <v>-1.2565586942632014</v>
      </c>
      <c r="Q83" s="137">
        <v>1.2565586942632014</v>
      </c>
      <c r="R83" s="126">
        <v>4</v>
      </c>
      <c r="S83" t="s">
        <v>521</v>
      </c>
      <c r="T83" t="s">
        <v>526</v>
      </c>
      <c r="U83" t="s">
        <v>608</v>
      </c>
    </row>
    <row r="84" spans="1:21" x14ac:dyDescent="0.3">
      <c r="A84" t="s">
        <v>402</v>
      </c>
      <c r="B84" s="126">
        <v>2025</v>
      </c>
      <c r="C84" t="s">
        <v>497</v>
      </c>
      <c r="D84" t="s">
        <v>483</v>
      </c>
      <c r="E84" t="s">
        <v>120</v>
      </c>
      <c r="F84" t="s">
        <v>501</v>
      </c>
      <c r="G84" s="137">
        <v>41</v>
      </c>
      <c r="H84" s="138">
        <v>40.024000000000001</v>
      </c>
      <c r="I84" s="138">
        <v>1.32</v>
      </c>
      <c r="J84" s="139">
        <v>0.7</v>
      </c>
      <c r="K84" s="137">
        <v>32.01</v>
      </c>
      <c r="L84" s="137">
        <v>48.03</v>
      </c>
      <c r="M84" t="s">
        <v>499</v>
      </c>
      <c r="N84" t="s">
        <v>525</v>
      </c>
      <c r="O84" t="s">
        <v>112</v>
      </c>
      <c r="P84" s="137">
        <v>2.4385368778732737</v>
      </c>
      <c r="Q84" s="137">
        <v>2.4385368778732737</v>
      </c>
      <c r="R84" s="126">
        <v>4</v>
      </c>
      <c r="S84" t="s">
        <v>521</v>
      </c>
      <c r="T84" t="s">
        <v>526</v>
      </c>
      <c r="U84" t="s">
        <v>609</v>
      </c>
    </row>
    <row r="85" spans="1:21" x14ac:dyDescent="0.3">
      <c r="A85" t="s">
        <v>402</v>
      </c>
      <c r="B85" s="126">
        <v>2025</v>
      </c>
      <c r="C85" t="s">
        <v>497</v>
      </c>
      <c r="D85" t="s">
        <v>483</v>
      </c>
      <c r="E85" t="s">
        <v>120</v>
      </c>
      <c r="F85" t="s">
        <v>502</v>
      </c>
      <c r="G85" s="137">
        <v>71</v>
      </c>
      <c r="H85" s="138">
        <v>69.584000000000003</v>
      </c>
      <c r="I85" s="138">
        <v>2.35</v>
      </c>
      <c r="J85" s="139">
        <v>0.6</v>
      </c>
      <c r="K85" s="137">
        <v>55.66</v>
      </c>
      <c r="L85" s="137">
        <v>83.51</v>
      </c>
      <c r="M85" t="s">
        <v>499</v>
      </c>
      <c r="N85" t="s">
        <v>525</v>
      </c>
      <c r="O85" t="s">
        <v>112</v>
      </c>
      <c r="P85" s="137">
        <v>2.0349505633478917</v>
      </c>
      <c r="Q85" s="137">
        <v>2.0349505633478917</v>
      </c>
      <c r="R85" s="126">
        <v>4</v>
      </c>
      <c r="S85" t="s">
        <v>521</v>
      </c>
      <c r="T85" t="s">
        <v>526</v>
      </c>
      <c r="U85" t="s">
        <v>610</v>
      </c>
    </row>
    <row r="86" spans="1:21" x14ac:dyDescent="0.3">
      <c r="A86" t="s">
        <v>402</v>
      </c>
      <c r="B86" s="126">
        <v>2025</v>
      </c>
      <c r="C86" t="s">
        <v>497</v>
      </c>
      <c r="D86" t="s">
        <v>483</v>
      </c>
      <c r="E86" t="s">
        <v>120</v>
      </c>
      <c r="F86" t="s">
        <v>503</v>
      </c>
      <c r="G86" s="137">
        <v>53</v>
      </c>
      <c r="H86" s="138">
        <v>56.747999999999998</v>
      </c>
      <c r="I86" s="138">
        <v>2.669</v>
      </c>
      <c r="J86" s="139">
        <v>-1.4</v>
      </c>
      <c r="K86" s="137">
        <v>45.39</v>
      </c>
      <c r="L86" s="137">
        <v>68.099999999999994</v>
      </c>
      <c r="M86" t="s">
        <v>499</v>
      </c>
      <c r="N86" t="s">
        <v>525</v>
      </c>
      <c r="O86" t="s">
        <v>112</v>
      </c>
      <c r="P86" s="137">
        <v>-6.6046380489180194</v>
      </c>
      <c r="Q86" s="137">
        <v>6.6046380489180194</v>
      </c>
      <c r="R86" s="126">
        <v>4</v>
      </c>
      <c r="S86" t="s">
        <v>521</v>
      </c>
      <c r="T86" t="s">
        <v>526</v>
      </c>
      <c r="U86" t="s">
        <v>611</v>
      </c>
    </row>
    <row r="87" spans="1:21" x14ac:dyDescent="0.3">
      <c r="A87" t="s">
        <v>402</v>
      </c>
      <c r="B87" s="126">
        <v>2025</v>
      </c>
      <c r="C87" t="s">
        <v>497</v>
      </c>
      <c r="D87" t="s">
        <v>484</v>
      </c>
      <c r="E87" t="s">
        <v>344</v>
      </c>
      <c r="F87" t="s">
        <v>498</v>
      </c>
      <c r="G87" s="137">
        <v>155</v>
      </c>
      <c r="H87" s="138">
        <v>156.6</v>
      </c>
      <c r="I87" s="138">
        <v>2.2000000000000002</v>
      </c>
      <c r="J87" s="139">
        <v>-0.7</v>
      </c>
      <c r="K87" s="137">
        <v>133</v>
      </c>
      <c r="L87" s="137">
        <v>181</v>
      </c>
      <c r="M87" t="s">
        <v>499</v>
      </c>
      <c r="N87" t="s">
        <v>525</v>
      </c>
      <c r="O87" t="s">
        <v>505</v>
      </c>
      <c r="P87" s="137">
        <v>-1.0217113665389492</v>
      </c>
      <c r="Q87" s="137">
        <v>1.0217113665389492</v>
      </c>
      <c r="R87" s="126">
        <v>8</v>
      </c>
      <c r="S87" t="s">
        <v>521</v>
      </c>
      <c r="T87" t="s">
        <v>526</v>
      </c>
      <c r="U87" t="s">
        <v>612</v>
      </c>
    </row>
    <row r="88" spans="1:21" x14ac:dyDescent="0.3">
      <c r="A88" t="s">
        <v>402</v>
      </c>
      <c r="B88" s="126">
        <v>2025</v>
      </c>
      <c r="C88" t="s">
        <v>497</v>
      </c>
      <c r="D88" t="s">
        <v>484</v>
      </c>
      <c r="E88" t="s">
        <v>344</v>
      </c>
      <c r="F88" t="s">
        <v>500</v>
      </c>
      <c r="G88" s="137">
        <v>107</v>
      </c>
      <c r="H88" s="138">
        <v>108.1</v>
      </c>
      <c r="I88" s="138">
        <v>1.8</v>
      </c>
      <c r="J88" s="139">
        <v>-0.6</v>
      </c>
      <c r="K88" s="137">
        <v>91</v>
      </c>
      <c r="L88" s="137">
        <v>125</v>
      </c>
      <c r="M88" t="s">
        <v>499</v>
      </c>
      <c r="N88" t="s">
        <v>525</v>
      </c>
      <c r="O88" t="s">
        <v>505</v>
      </c>
      <c r="P88" s="137">
        <v>-1.0175763182238615</v>
      </c>
      <c r="Q88" s="137">
        <v>1.0175763182238615</v>
      </c>
      <c r="R88" s="126">
        <v>8</v>
      </c>
      <c r="S88" t="s">
        <v>521</v>
      </c>
      <c r="T88" t="s">
        <v>526</v>
      </c>
      <c r="U88" t="s">
        <v>613</v>
      </c>
    </row>
    <row r="89" spans="1:21" x14ac:dyDescent="0.3">
      <c r="A89" t="s">
        <v>402</v>
      </c>
      <c r="B89" s="126">
        <v>2025</v>
      </c>
      <c r="C89" t="s">
        <v>497</v>
      </c>
      <c r="D89" t="s">
        <v>484</v>
      </c>
      <c r="E89" t="s">
        <v>344</v>
      </c>
      <c r="F89" t="s">
        <v>501</v>
      </c>
      <c r="G89" s="137">
        <v>32</v>
      </c>
      <c r="H89" s="138">
        <v>33.5</v>
      </c>
      <c r="I89" s="138">
        <v>1.5</v>
      </c>
      <c r="J89" s="139">
        <v>-1</v>
      </c>
      <c r="K89" s="137">
        <v>28</v>
      </c>
      <c r="L89" s="137">
        <v>39</v>
      </c>
      <c r="M89" t="s">
        <v>499</v>
      </c>
      <c r="N89" t="s">
        <v>525</v>
      </c>
      <c r="O89" t="s">
        <v>505</v>
      </c>
      <c r="P89" s="137">
        <v>-4.4776119402985071</v>
      </c>
      <c r="Q89" s="137">
        <v>4.4776119402985071</v>
      </c>
      <c r="R89" s="126">
        <v>8</v>
      </c>
      <c r="S89" t="s">
        <v>521</v>
      </c>
      <c r="T89" t="s">
        <v>526</v>
      </c>
      <c r="U89" t="s">
        <v>614</v>
      </c>
    </row>
    <row r="90" spans="1:21" x14ac:dyDescent="0.3">
      <c r="A90" t="s">
        <v>402</v>
      </c>
      <c r="B90" s="126">
        <v>2025</v>
      </c>
      <c r="C90" t="s">
        <v>497</v>
      </c>
      <c r="D90" t="s">
        <v>484</v>
      </c>
      <c r="E90" t="s">
        <v>344</v>
      </c>
      <c r="F90" t="s">
        <v>502</v>
      </c>
      <c r="G90" s="137">
        <v>141</v>
      </c>
      <c r="H90" s="138">
        <v>139.80000000000001</v>
      </c>
      <c r="I90" s="138">
        <v>2.1</v>
      </c>
      <c r="J90" s="139">
        <v>0.6</v>
      </c>
      <c r="K90" s="137">
        <v>118</v>
      </c>
      <c r="L90" s="137">
        <v>161</v>
      </c>
      <c r="M90" t="s">
        <v>499</v>
      </c>
      <c r="N90" t="s">
        <v>525</v>
      </c>
      <c r="O90" t="s">
        <v>505</v>
      </c>
      <c r="P90" s="137">
        <v>0.85836909871243816</v>
      </c>
      <c r="Q90" s="137">
        <v>0.85836909871243816</v>
      </c>
      <c r="R90" s="126">
        <v>8</v>
      </c>
      <c r="S90" t="s">
        <v>521</v>
      </c>
      <c r="T90" t="s">
        <v>526</v>
      </c>
      <c r="U90" t="s">
        <v>615</v>
      </c>
    </row>
    <row r="91" spans="1:21" x14ac:dyDescent="0.3">
      <c r="A91" t="s">
        <v>402</v>
      </c>
      <c r="B91" s="126">
        <v>2025</v>
      </c>
      <c r="C91" t="s">
        <v>497</v>
      </c>
      <c r="D91" t="s">
        <v>484</v>
      </c>
      <c r="E91" t="s">
        <v>344</v>
      </c>
      <c r="F91" t="s">
        <v>503</v>
      </c>
      <c r="G91" s="137">
        <v>231</v>
      </c>
      <c r="H91" s="138">
        <v>227.3</v>
      </c>
      <c r="I91" s="138">
        <v>3</v>
      </c>
      <c r="J91" s="139">
        <v>1.2</v>
      </c>
      <c r="K91" s="137">
        <v>193</v>
      </c>
      <c r="L91" s="137">
        <v>262</v>
      </c>
      <c r="M91" t="s">
        <v>499</v>
      </c>
      <c r="N91" t="s">
        <v>525</v>
      </c>
      <c r="O91" t="s">
        <v>505</v>
      </c>
      <c r="P91" s="137">
        <v>1.6278046634403822</v>
      </c>
      <c r="Q91" s="137">
        <v>1.6278046634403822</v>
      </c>
      <c r="R91" s="126">
        <v>8</v>
      </c>
      <c r="S91" t="s">
        <v>521</v>
      </c>
      <c r="T91" t="s">
        <v>526</v>
      </c>
      <c r="U91" t="s">
        <v>616</v>
      </c>
    </row>
    <row r="92" spans="1:21" x14ac:dyDescent="0.3">
      <c r="A92" t="s">
        <v>402</v>
      </c>
      <c r="B92" s="126">
        <v>2025</v>
      </c>
      <c r="C92" t="s">
        <v>497</v>
      </c>
      <c r="D92" t="s">
        <v>485</v>
      </c>
      <c r="E92" t="s">
        <v>339</v>
      </c>
      <c r="F92" t="s">
        <v>498</v>
      </c>
      <c r="G92" s="137">
        <v>7.8</v>
      </c>
      <c r="H92" s="138">
        <v>7.74</v>
      </c>
      <c r="I92" s="138">
        <v>0.26</v>
      </c>
      <c r="J92" s="139">
        <v>0.2</v>
      </c>
      <c r="K92" s="137">
        <v>6.9</v>
      </c>
      <c r="L92" s="137">
        <v>8.6</v>
      </c>
      <c r="M92" t="s">
        <v>499</v>
      </c>
      <c r="N92" t="s">
        <v>525</v>
      </c>
      <c r="O92" t="s">
        <v>134</v>
      </c>
      <c r="P92" s="137">
        <v>0.77519379844960734</v>
      </c>
      <c r="Q92" s="137">
        <v>0.77519379844960734</v>
      </c>
      <c r="R92" s="126">
        <v>9</v>
      </c>
      <c r="S92" t="s">
        <v>521</v>
      </c>
      <c r="T92" t="s">
        <v>526</v>
      </c>
      <c r="U92" t="s">
        <v>617</v>
      </c>
    </row>
    <row r="93" spans="1:21" x14ac:dyDescent="0.3">
      <c r="A93" t="s">
        <v>402</v>
      </c>
      <c r="B93" s="126">
        <v>2025</v>
      </c>
      <c r="C93" t="s">
        <v>497</v>
      </c>
      <c r="D93" t="s">
        <v>485</v>
      </c>
      <c r="E93" t="s">
        <v>339</v>
      </c>
      <c r="F93" t="s">
        <v>500</v>
      </c>
      <c r="G93" s="137">
        <v>5</v>
      </c>
      <c r="H93" s="138">
        <v>5</v>
      </c>
      <c r="I93" s="138">
        <v>0.19</v>
      </c>
      <c r="J93" s="139">
        <v>0</v>
      </c>
      <c r="K93" s="137">
        <v>4.4000000000000004</v>
      </c>
      <c r="L93" s="137">
        <v>5.6</v>
      </c>
      <c r="M93" t="s">
        <v>499</v>
      </c>
      <c r="N93" t="s">
        <v>525</v>
      </c>
      <c r="O93" t="s">
        <v>134</v>
      </c>
      <c r="P93" s="137">
        <v>0</v>
      </c>
      <c r="Q93" s="137">
        <v>0</v>
      </c>
      <c r="R93" s="126">
        <v>9</v>
      </c>
      <c r="S93" t="s">
        <v>521</v>
      </c>
      <c r="T93" t="s">
        <v>526</v>
      </c>
      <c r="U93" t="s">
        <v>618</v>
      </c>
    </row>
    <row r="94" spans="1:21" x14ac:dyDescent="0.3">
      <c r="A94" t="s">
        <v>402</v>
      </c>
      <c r="B94" s="126">
        <v>2025</v>
      </c>
      <c r="C94" t="s">
        <v>497</v>
      </c>
      <c r="D94" t="s">
        <v>485</v>
      </c>
      <c r="E94" t="s">
        <v>339</v>
      </c>
      <c r="F94" t="s">
        <v>501</v>
      </c>
      <c r="G94" s="137">
        <v>1.7</v>
      </c>
      <c r="H94" s="138">
        <v>1.58</v>
      </c>
      <c r="I94" s="138">
        <v>0.11</v>
      </c>
      <c r="J94" s="139">
        <v>1.1000000000000001</v>
      </c>
      <c r="K94" s="137">
        <v>1.1000000000000001</v>
      </c>
      <c r="L94" s="137">
        <v>2</v>
      </c>
      <c r="M94" t="s">
        <v>499</v>
      </c>
      <c r="N94" t="s">
        <v>525</v>
      </c>
      <c r="O94" t="s">
        <v>134</v>
      </c>
      <c r="P94" s="137">
        <v>7.5949367088607511</v>
      </c>
      <c r="Q94" s="137">
        <v>7.5949367088607511</v>
      </c>
      <c r="R94" s="126">
        <v>9</v>
      </c>
      <c r="S94" t="s">
        <v>521</v>
      </c>
      <c r="T94" t="s">
        <v>526</v>
      </c>
      <c r="U94" t="s">
        <v>619</v>
      </c>
    </row>
    <row r="95" spans="1:21" x14ac:dyDescent="0.3">
      <c r="A95" t="s">
        <v>402</v>
      </c>
      <c r="B95" s="126">
        <v>2025</v>
      </c>
      <c r="C95" t="s">
        <v>497</v>
      </c>
      <c r="D95" t="s">
        <v>485</v>
      </c>
      <c r="E95" t="s">
        <v>339</v>
      </c>
      <c r="F95" t="s">
        <v>502</v>
      </c>
      <c r="G95" s="137">
        <v>4.3</v>
      </c>
      <c r="H95" s="138">
        <v>4.25</v>
      </c>
      <c r="I95" s="138">
        <v>0.18</v>
      </c>
      <c r="J95" s="139">
        <v>0.3</v>
      </c>
      <c r="K95" s="137">
        <v>3.7</v>
      </c>
      <c r="L95" s="137">
        <v>4.8</v>
      </c>
      <c r="M95" t="s">
        <v>499</v>
      </c>
      <c r="N95" t="s">
        <v>525</v>
      </c>
      <c r="O95" t="s">
        <v>134</v>
      </c>
      <c r="P95" s="137">
        <v>1.1764705882352899</v>
      </c>
      <c r="Q95" s="137">
        <v>1.1764705882352899</v>
      </c>
      <c r="R95" s="126">
        <v>9</v>
      </c>
      <c r="S95" t="s">
        <v>521</v>
      </c>
      <c r="T95" t="s">
        <v>526</v>
      </c>
      <c r="U95" t="s">
        <v>620</v>
      </c>
    </row>
    <row r="96" spans="1:21" x14ac:dyDescent="0.3">
      <c r="A96" t="s">
        <v>402</v>
      </c>
      <c r="B96" s="126">
        <v>2025</v>
      </c>
      <c r="C96" t="s">
        <v>497</v>
      </c>
      <c r="D96" t="s">
        <v>485</v>
      </c>
      <c r="E96" t="s">
        <v>339</v>
      </c>
      <c r="F96" t="s">
        <v>503</v>
      </c>
      <c r="G96" s="137">
        <v>13.5</v>
      </c>
      <c r="H96" s="138">
        <v>12.64</v>
      </c>
      <c r="I96" s="138">
        <v>0.44</v>
      </c>
      <c r="J96" s="139">
        <v>2</v>
      </c>
      <c r="K96" s="137">
        <v>11.3</v>
      </c>
      <c r="L96" s="137">
        <v>14</v>
      </c>
      <c r="M96" t="s">
        <v>499</v>
      </c>
      <c r="N96" t="s">
        <v>525</v>
      </c>
      <c r="O96" t="s">
        <v>134</v>
      </c>
      <c r="P96" s="137">
        <v>6.8037974683544249</v>
      </c>
      <c r="Q96" s="137">
        <v>6.8037974683544249</v>
      </c>
      <c r="R96" s="126">
        <v>9</v>
      </c>
      <c r="S96" t="s">
        <v>521</v>
      </c>
      <c r="T96" t="s">
        <v>526</v>
      </c>
      <c r="U96" t="s">
        <v>621</v>
      </c>
    </row>
    <row r="97" spans="1:21" x14ac:dyDescent="0.3">
      <c r="A97" t="s">
        <v>402</v>
      </c>
      <c r="B97" s="126">
        <v>2025</v>
      </c>
      <c r="C97" t="s">
        <v>497</v>
      </c>
      <c r="D97" t="s">
        <v>486</v>
      </c>
      <c r="E97" t="s">
        <v>349</v>
      </c>
      <c r="F97" t="s">
        <v>498</v>
      </c>
      <c r="G97" s="137">
        <v>277</v>
      </c>
      <c r="H97" s="138">
        <v>280</v>
      </c>
      <c r="I97" s="138">
        <v>9.6</v>
      </c>
      <c r="J97" s="139">
        <v>-0.3</v>
      </c>
      <c r="K97" s="137">
        <v>238</v>
      </c>
      <c r="L97" s="137">
        <v>323</v>
      </c>
      <c r="M97" t="s">
        <v>499</v>
      </c>
      <c r="N97" t="s">
        <v>525</v>
      </c>
      <c r="O97" t="s">
        <v>123</v>
      </c>
      <c r="P97" s="137">
        <v>-1.0714285714285714</v>
      </c>
      <c r="Q97" s="137">
        <v>1.0714285714285714</v>
      </c>
      <c r="R97" s="126">
        <v>8</v>
      </c>
      <c r="S97" t="s">
        <v>521</v>
      </c>
      <c r="T97" t="s">
        <v>526</v>
      </c>
      <c r="U97" t="s">
        <v>622</v>
      </c>
    </row>
    <row r="98" spans="1:21" x14ac:dyDescent="0.3">
      <c r="A98" t="s">
        <v>402</v>
      </c>
      <c r="B98" s="126">
        <v>2025</v>
      </c>
      <c r="C98" t="s">
        <v>497</v>
      </c>
      <c r="D98" t="s">
        <v>486</v>
      </c>
      <c r="E98" t="s">
        <v>349</v>
      </c>
      <c r="F98" t="s">
        <v>500</v>
      </c>
      <c r="G98" s="137">
        <v>247</v>
      </c>
      <c r="H98" s="138">
        <v>251.5</v>
      </c>
      <c r="I98" s="138">
        <v>8.9</v>
      </c>
      <c r="J98" s="139">
        <v>-0.5</v>
      </c>
      <c r="K98" s="137">
        <v>213</v>
      </c>
      <c r="L98" s="137">
        <v>290</v>
      </c>
      <c r="M98" t="s">
        <v>499</v>
      </c>
      <c r="N98" t="s">
        <v>525</v>
      </c>
      <c r="O98" t="s">
        <v>123</v>
      </c>
      <c r="P98" s="137">
        <v>-1.7892644135188867</v>
      </c>
      <c r="Q98" s="137">
        <v>1.7892644135188867</v>
      </c>
      <c r="R98" s="126">
        <v>8</v>
      </c>
      <c r="S98" t="s">
        <v>521</v>
      </c>
      <c r="T98" t="s">
        <v>526</v>
      </c>
      <c r="U98" t="s">
        <v>623</v>
      </c>
    </row>
    <row r="99" spans="1:21" x14ac:dyDescent="0.3">
      <c r="A99" t="s">
        <v>402</v>
      </c>
      <c r="B99" s="126">
        <v>2025</v>
      </c>
      <c r="C99" t="s">
        <v>497</v>
      </c>
      <c r="D99" t="s">
        <v>486</v>
      </c>
      <c r="E99" t="s">
        <v>349</v>
      </c>
      <c r="F99" t="s">
        <v>501</v>
      </c>
      <c r="G99" s="137">
        <v>141</v>
      </c>
      <c r="H99" s="138">
        <v>137</v>
      </c>
      <c r="I99" s="138">
        <v>7.1</v>
      </c>
      <c r="J99" s="139">
        <v>0.6</v>
      </c>
      <c r="K99" s="137">
        <v>116</v>
      </c>
      <c r="L99" s="137">
        <v>158</v>
      </c>
      <c r="M99" t="s">
        <v>499</v>
      </c>
      <c r="N99" t="s">
        <v>525</v>
      </c>
      <c r="O99" t="s">
        <v>123</v>
      </c>
      <c r="P99" s="137">
        <v>2.9197080291970803</v>
      </c>
      <c r="Q99" s="137">
        <v>2.9197080291970803</v>
      </c>
      <c r="R99" s="126">
        <v>8</v>
      </c>
      <c r="S99" t="s">
        <v>521</v>
      </c>
      <c r="T99" t="s">
        <v>526</v>
      </c>
      <c r="U99" t="s">
        <v>624</v>
      </c>
    </row>
    <row r="100" spans="1:21" x14ac:dyDescent="0.3">
      <c r="A100" t="s">
        <v>402</v>
      </c>
      <c r="B100" s="126">
        <v>2025</v>
      </c>
      <c r="C100" t="s">
        <v>497</v>
      </c>
      <c r="D100" t="s">
        <v>486</v>
      </c>
      <c r="E100" t="s">
        <v>349</v>
      </c>
      <c r="F100" t="s">
        <v>502</v>
      </c>
      <c r="G100" s="137">
        <v>489</v>
      </c>
      <c r="H100" s="138">
        <v>478.4</v>
      </c>
      <c r="I100" s="138">
        <v>14.3</v>
      </c>
      <c r="J100" s="139">
        <v>0.7</v>
      </c>
      <c r="K100" s="137">
        <v>406</v>
      </c>
      <c r="L100" s="137">
        <v>551</v>
      </c>
      <c r="M100" t="s">
        <v>499</v>
      </c>
      <c r="N100" t="s">
        <v>525</v>
      </c>
      <c r="O100" t="s">
        <v>123</v>
      </c>
      <c r="P100" s="137">
        <v>2.2157190635451554</v>
      </c>
      <c r="Q100" s="137">
        <v>2.2157190635451554</v>
      </c>
      <c r="R100" s="126">
        <v>8</v>
      </c>
      <c r="S100" t="s">
        <v>521</v>
      </c>
      <c r="T100" t="s">
        <v>526</v>
      </c>
      <c r="U100" t="s">
        <v>625</v>
      </c>
    </row>
    <row r="101" spans="1:21" x14ac:dyDescent="0.3">
      <c r="A101" t="s">
        <v>402</v>
      </c>
      <c r="B101" s="126">
        <v>2025</v>
      </c>
      <c r="C101" t="s">
        <v>497</v>
      </c>
      <c r="D101" t="s">
        <v>486</v>
      </c>
      <c r="E101" t="s">
        <v>349</v>
      </c>
      <c r="F101" t="s">
        <v>503</v>
      </c>
      <c r="G101" s="137">
        <v>249</v>
      </c>
      <c r="H101" s="138">
        <v>251.1</v>
      </c>
      <c r="I101" s="138">
        <v>8.6</v>
      </c>
      <c r="J101" s="139">
        <v>-0.2</v>
      </c>
      <c r="K101" s="137">
        <v>213</v>
      </c>
      <c r="L101" s="137">
        <v>289</v>
      </c>
      <c r="M101" t="s">
        <v>499</v>
      </c>
      <c r="N101" t="s">
        <v>525</v>
      </c>
      <c r="O101" t="s">
        <v>123</v>
      </c>
      <c r="P101" s="137">
        <v>-0.83632019115889855</v>
      </c>
      <c r="Q101" s="137">
        <v>0.83632019115889855</v>
      </c>
      <c r="R101" s="126">
        <v>8</v>
      </c>
      <c r="S101" t="s">
        <v>521</v>
      </c>
      <c r="T101" t="s">
        <v>526</v>
      </c>
      <c r="U101" t="s">
        <v>626</v>
      </c>
    </row>
    <row r="102" spans="1:21" x14ac:dyDescent="0.3">
      <c r="A102" t="s">
        <v>402</v>
      </c>
      <c r="B102" s="126">
        <v>2025</v>
      </c>
      <c r="C102" t="s">
        <v>497</v>
      </c>
      <c r="D102" t="s">
        <v>350</v>
      </c>
      <c r="E102" t="s">
        <v>350</v>
      </c>
      <c r="F102" t="s">
        <v>498</v>
      </c>
      <c r="G102" s="137">
        <v>106</v>
      </c>
      <c r="H102" s="138">
        <v>117.9</v>
      </c>
      <c r="I102" s="138">
        <v>5.0999999999999996</v>
      </c>
      <c r="J102" s="139">
        <v>-2.2999999999999998</v>
      </c>
      <c r="K102" s="137">
        <v>82</v>
      </c>
      <c r="L102" s="137">
        <v>154</v>
      </c>
      <c r="M102" t="s">
        <v>499</v>
      </c>
      <c r="N102" t="s">
        <v>525</v>
      </c>
      <c r="O102" t="s">
        <v>123</v>
      </c>
      <c r="P102" s="137">
        <v>-10.093299406276509</v>
      </c>
      <c r="Q102" s="137">
        <v>10.093299406276509</v>
      </c>
      <c r="R102" s="126">
        <v>10</v>
      </c>
      <c r="S102" t="s">
        <v>521</v>
      </c>
      <c r="T102" t="s">
        <v>526</v>
      </c>
      <c r="U102" t="s">
        <v>627</v>
      </c>
    </row>
    <row r="103" spans="1:21" x14ac:dyDescent="0.3">
      <c r="A103" t="s">
        <v>402</v>
      </c>
      <c r="B103" s="126">
        <v>2025</v>
      </c>
      <c r="C103" t="s">
        <v>497</v>
      </c>
      <c r="D103" t="s">
        <v>350</v>
      </c>
      <c r="E103" t="s">
        <v>350</v>
      </c>
      <c r="F103" t="s">
        <v>500</v>
      </c>
      <c r="G103" s="137">
        <v>60</v>
      </c>
      <c r="H103" s="138">
        <v>67.900000000000006</v>
      </c>
      <c r="I103" s="138">
        <v>3.1</v>
      </c>
      <c r="J103" s="139">
        <v>-2.6</v>
      </c>
      <c r="K103" s="137">
        <v>47</v>
      </c>
      <c r="L103" s="137">
        <v>89</v>
      </c>
      <c r="M103" t="s">
        <v>499</v>
      </c>
      <c r="N103" t="s">
        <v>525</v>
      </c>
      <c r="O103" t="s">
        <v>123</v>
      </c>
      <c r="P103" s="137">
        <v>-11.634756995581744</v>
      </c>
      <c r="Q103" s="137">
        <v>11.634756995581744</v>
      </c>
      <c r="R103" s="126">
        <v>10</v>
      </c>
      <c r="S103" t="s">
        <v>521</v>
      </c>
      <c r="T103" t="s">
        <v>526</v>
      </c>
      <c r="U103" t="s">
        <v>628</v>
      </c>
    </row>
    <row r="104" spans="1:21" x14ac:dyDescent="0.3">
      <c r="A104" t="s">
        <v>402</v>
      </c>
      <c r="B104" s="126">
        <v>2025</v>
      </c>
      <c r="C104" t="s">
        <v>497</v>
      </c>
      <c r="D104" t="s">
        <v>350</v>
      </c>
      <c r="E104" t="s">
        <v>350</v>
      </c>
      <c r="F104" t="s">
        <v>501</v>
      </c>
      <c r="G104" s="137">
        <v>9</v>
      </c>
      <c r="H104" s="138">
        <v>10.6</v>
      </c>
      <c r="I104" s="138">
        <v>0.8</v>
      </c>
      <c r="J104" s="139">
        <v>-2.1</v>
      </c>
      <c r="K104" s="137">
        <v>7</v>
      </c>
      <c r="L104" s="137">
        <v>14</v>
      </c>
      <c r="M104" t="s">
        <v>499</v>
      </c>
      <c r="N104" t="s">
        <v>525</v>
      </c>
      <c r="O104" t="s">
        <v>123</v>
      </c>
      <c r="P104" s="137">
        <v>-15.094339622641506</v>
      </c>
      <c r="Q104" s="137">
        <v>15.094339622641506</v>
      </c>
      <c r="R104" s="126">
        <v>10</v>
      </c>
      <c r="S104" t="s">
        <v>521</v>
      </c>
      <c r="T104" t="s">
        <v>526</v>
      </c>
      <c r="U104" t="s">
        <v>629</v>
      </c>
    </row>
    <row r="105" spans="1:21" x14ac:dyDescent="0.3">
      <c r="A105" t="s">
        <v>402</v>
      </c>
      <c r="B105" s="126">
        <v>2025</v>
      </c>
      <c r="C105" t="s">
        <v>497</v>
      </c>
      <c r="D105" t="s">
        <v>350</v>
      </c>
      <c r="E105" t="s">
        <v>350</v>
      </c>
      <c r="F105" t="s">
        <v>502</v>
      </c>
      <c r="G105" s="137">
        <v>27</v>
      </c>
      <c r="H105" s="138">
        <v>30.9</v>
      </c>
      <c r="I105" s="138">
        <v>1.5</v>
      </c>
      <c r="J105" s="139">
        <v>-2.7</v>
      </c>
      <c r="K105" s="137">
        <v>21</v>
      </c>
      <c r="L105" s="137">
        <v>41</v>
      </c>
      <c r="M105" t="s">
        <v>499</v>
      </c>
      <c r="N105" t="s">
        <v>525</v>
      </c>
      <c r="O105" t="s">
        <v>123</v>
      </c>
      <c r="P105" s="137">
        <v>-12.621359223300969</v>
      </c>
      <c r="Q105" s="137">
        <v>12.621359223300969</v>
      </c>
      <c r="R105" s="126">
        <v>10</v>
      </c>
      <c r="S105" t="s">
        <v>521</v>
      </c>
      <c r="T105" t="s">
        <v>526</v>
      </c>
      <c r="U105" t="s">
        <v>630</v>
      </c>
    </row>
    <row r="106" spans="1:21" x14ac:dyDescent="0.3">
      <c r="A106" t="s">
        <v>402</v>
      </c>
      <c r="B106" s="126">
        <v>2025</v>
      </c>
      <c r="C106" t="s">
        <v>497</v>
      </c>
      <c r="D106" t="s">
        <v>350</v>
      </c>
      <c r="E106" t="s">
        <v>350</v>
      </c>
      <c r="F106" t="s">
        <v>503</v>
      </c>
      <c r="G106" s="137">
        <v>189</v>
      </c>
      <c r="H106" s="138">
        <v>209.9</v>
      </c>
      <c r="I106" s="138">
        <v>9.1</v>
      </c>
      <c r="J106" s="139">
        <v>-2.2999999999999998</v>
      </c>
      <c r="K106" s="137">
        <v>146</v>
      </c>
      <c r="L106" s="137">
        <v>273</v>
      </c>
      <c r="M106" t="s">
        <v>499</v>
      </c>
      <c r="N106" t="s">
        <v>525</v>
      </c>
      <c r="O106" t="s">
        <v>123</v>
      </c>
      <c r="P106" s="137">
        <v>-9.957122439256791</v>
      </c>
      <c r="Q106" s="137">
        <v>9.957122439256791</v>
      </c>
      <c r="R106" s="126">
        <v>10</v>
      </c>
      <c r="S106" t="s">
        <v>521</v>
      </c>
      <c r="T106" t="s">
        <v>526</v>
      </c>
      <c r="U106" t="s">
        <v>631</v>
      </c>
    </row>
    <row r="107" spans="1:21" x14ac:dyDescent="0.3">
      <c r="A107" t="s">
        <v>402</v>
      </c>
      <c r="B107" s="126">
        <v>2025</v>
      </c>
      <c r="C107" t="s">
        <v>497</v>
      </c>
      <c r="D107" t="s">
        <v>487</v>
      </c>
      <c r="E107" t="s">
        <v>347</v>
      </c>
      <c r="F107" t="s">
        <v>498</v>
      </c>
      <c r="G107" s="137">
        <v>3.59</v>
      </c>
      <c r="H107" s="138">
        <v>3.3769999999999998</v>
      </c>
      <c r="I107" s="138">
        <v>9.5000000000000001E-2</v>
      </c>
      <c r="J107" s="139">
        <v>2.2999999999999998</v>
      </c>
      <c r="K107" s="137">
        <v>2.87</v>
      </c>
      <c r="L107" s="137">
        <v>3.89</v>
      </c>
      <c r="M107" t="s">
        <v>499</v>
      </c>
      <c r="N107" t="s">
        <v>525</v>
      </c>
      <c r="O107" t="s">
        <v>112</v>
      </c>
      <c r="P107" s="137">
        <v>6.3073734083506094</v>
      </c>
      <c r="Q107" s="137">
        <v>6.3073734083506094</v>
      </c>
      <c r="R107" s="126">
        <v>8</v>
      </c>
      <c r="S107" t="s">
        <v>521</v>
      </c>
      <c r="T107" t="s">
        <v>526</v>
      </c>
      <c r="U107" t="s">
        <v>632</v>
      </c>
    </row>
    <row r="108" spans="1:21" x14ac:dyDescent="0.3">
      <c r="A108" t="s">
        <v>402</v>
      </c>
      <c r="B108" s="126">
        <v>2025</v>
      </c>
      <c r="C108" t="s">
        <v>497</v>
      </c>
      <c r="D108" t="s">
        <v>487</v>
      </c>
      <c r="E108" t="s">
        <v>347</v>
      </c>
      <c r="F108" t="s">
        <v>500</v>
      </c>
      <c r="G108" s="137">
        <v>4.3099999999999996</v>
      </c>
      <c r="H108" s="138">
        <v>4.0659999999999998</v>
      </c>
      <c r="I108" s="138">
        <v>0.108</v>
      </c>
      <c r="J108" s="139">
        <v>2.2999999999999998</v>
      </c>
      <c r="K108" s="137">
        <v>3.45</v>
      </c>
      <c r="L108" s="137">
        <v>4.68</v>
      </c>
      <c r="M108" t="s">
        <v>499</v>
      </c>
      <c r="N108" t="s">
        <v>525</v>
      </c>
      <c r="O108" t="s">
        <v>112</v>
      </c>
      <c r="P108" s="137">
        <v>6.0009837678307862</v>
      </c>
      <c r="Q108" s="137">
        <v>6.0009837678307862</v>
      </c>
      <c r="R108" s="126">
        <v>8</v>
      </c>
      <c r="S108" t="s">
        <v>521</v>
      </c>
      <c r="T108" t="s">
        <v>526</v>
      </c>
      <c r="U108" t="s">
        <v>633</v>
      </c>
    </row>
    <row r="109" spans="1:21" x14ac:dyDescent="0.3">
      <c r="A109" t="s">
        <v>402</v>
      </c>
      <c r="B109" s="126">
        <v>2025</v>
      </c>
      <c r="C109" t="s">
        <v>497</v>
      </c>
      <c r="D109" t="s">
        <v>487</v>
      </c>
      <c r="E109" t="s">
        <v>347</v>
      </c>
      <c r="F109" t="s">
        <v>501</v>
      </c>
      <c r="G109" s="137">
        <v>6.03</v>
      </c>
      <c r="H109" s="138">
        <v>5.8650000000000002</v>
      </c>
      <c r="I109" s="138">
        <v>0.13700000000000001</v>
      </c>
      <c r="J109" s="139">
        <v>1.2</v>
      </c>
      <c r="K109" s="137">
        <v>4.9800000000000004</v>
      </c>
      <c r="L109" s="137">
        <v>6.75</v>
      </c>
      <c r="M109" t="s">
        <v>499</v>
      </c>
      <c r="N109" t="s">
        <v>525</v>
      </c>
      <c r="O109" t="s">
        <v>112</v>
      </c>
      <c r="P109" s="137">
        <v>2.8132992327365733</v>
      </c>
      <c r="Q109" s="137">
        <v>2.8132992327365733</v>
      </c>
      <c r="R109" s="126">
        <v>8</v>
      </c>
      <c r="S109" t="s">
        <v>521</v>
      </c>
      <c r="T109" t="s">
        <v>526</v>
      </c>
      <c r="U109" t="s">
        <v>634</v>
      </c>
    </row>
    <row r="110" spans="1:21" x14ac:dyDescent="0.3">
      <c r="A110" t="s">
        <v>402</v>
      </c>
      <c r="B110" s="126">
        <v>2025</v>
      </c>
      <c r="C110" t="s">
        <v>497</v>
      </c>
      <c r="D110" t="s">
        <v>487</v>
      </c>
      <c r="E110" t="s">
        <v>347</v>
      </c>
      <c r="F110" t="s">
        <v>502</v>
      </c>
      <c r="G110" s="137">
        <v>1.45</v>
      </c>
      <c r="H110" s="138">
        <v>1.284</v>
      </c>
      <c r="I110" s="138">
        <v>7.0000000000000007E-2</v>
      </c>
      <c r="J110" s="139">
        <v>2.4</v>
      </c>
      <c r="K110" s="137">
        <v>1.0900000000000001</v>
      </c>
      <c r="L110" s="137">
        <v>1.48</v>
      </c>
      <c r="M110" t="s">
        <v>499</v>
      </c>
      <c r="N110" t="s">
        <v>525</v>
      </c>
      <c r="O110" t="s">
        <v>112</v>
      </c>
      <c r="P110" s="137">
        <v>12.928348909657315</v>
      </c>
      <c r="Q110" s="137">
        <v>12.928348909657315</v>
      </c>
      <c r="R110" s="126">
        <v>8</v>
      </c>
      <c r="S110" t="s">
        <v>521</v>
      </c>
      <c r="T110" t="s">
        <v>526</v>
      </c>
      <c r="U110" t="s">
        <v>635</v>
      </c>
    </row>
    <row r="111" spans="1:21" x14ac:dyDescent="0.3">
      <c r="A111" t="s">
        <v>402</v>
      </c>
      <c r="B111" s="126">
        <v>2025</v>
      </c>
      <c r="C111" t="s">
        <v>497</v>
      </c>
      <c r="D111" t="s">
        <v>487</v>
      </c>
      <c r="E111" t="s">
        <v>347</v>
      </c>
      <c r="F111" t="s">
        <v>503</v>
      </c>
      <c r="G111" s="137">
        <v>3.29</v>
      </c>
      <c r="H111" s="138">
        <v>3.1960000000000002</v>
      </c>
      <c r="I111" s="138">
        <v>9.0999999999999998E-2</v>
      </c>
      <c r="J111" s="139">
        <v>1</v>
      </c>
      <c r="K111" s="137">
        <v>2.71</v>
      </c>
      <c r="L111" s="137">
        <v>3.68</v>
      </c>
      <c r="M111" t="s">
        <v>499</v>
      </c>
      <c r="N111" t="s">
        <v>525</v>
      </c>
      <c r="O111" t="s">
        <v>112</v>
      </c>
      <c r="P111" s="137">
        <v>2.9411764705882306</v>
      </c>
      <c r="Q111" s="137">
        <v>2.9411764705882306</v>
      </c>
      <c r="R111" s="126">
        <v>8</v>
      </c>
      <c r="S111" t="s">
        <v>521</v>
      </c>
      <c r="T111" t="s">
        <v>526</v>
      </c>
      <c r="U111" t="s">
        <v>636</v>
      </c>
    </row>
    <row r="112" spans="1:21" x14ac:dyDescent="0.3">
      <c r="A112" t="s">
        <v>402</v>
      </c>
      <c r="B112" s="126">
        <v>2025</v>
      </c>
      <c r="C112" t="s">
        <v>497</v>
      </c>
      <c r="D112" t="s">
        <v>488</v>
      </c>
      <c r="E112" t="s">
        <v>132</v>
      </c>
      <c r="F112" t="s">
        <v>498</v>
      </c>
      <c r="G112" s="137">
        <v>4.2300000000000004</v>
      </c>
      <c r="H112" s="138">
        <v>4.1219999999999999</v>
      </c>
      <c r="I112" s="138">
        <v>9.5000000000000001E-2</v>
      </c>
      <c r="J112" s="139">
        <v>1.1000000000000001</v>
      </c>
      <c r="K112" s="137">
        <v>3.7</v>
      </c>
      <c r="L112" s="137">
        <v>4.54</v>
      </c>
      <c r="M112" t="s">
        <v>499</v>
      </c>
      <c r="N112" t="s">
        <v>525</v>
      </c>
      <c r="O112" t="s">
        <v>112</v>
      </c>
      <c r="P112" s="137">
        <v>2.6200873362445547</v>
      </c>
      <c r="Q112" s="137">
        <v>2.6200873362445547</v>
      </c>
      <c r="R112" s="126">
        <v>9</v>
      </c>
      <c r="S112" t="s">
        <v>521</v>
      </c>
      <c r="T112" t="s">
        <v>526</v>
      </c>
      <c r="U112" t="s">
        <v>637</v>
      </c>
    </row>
    <row r="113" spans="1:21" x14ac:dyDescent="0.3">
      <c r="A113" t="s">
        <v>402</v>
      </c>
      <c r="B113" s="126">
        <v>2025</v>
      </c>
      <c r="C113" t="s">
        <v>497</v>
      </c>
      <c r="D113" t="s">
        <v>488</v>
      </c>
      <c r="E113" t="s">
        <v>132</v>
      </c>
      <c r="F113" t="s">
        <v>500</v>
      </c>
      <c r="G113" s="137">
        <v>4.96</v>
      </c>
      <c r="H113" s="138">
        <v>4.8419999999999996</v>
      </c>
      <c r="I113" s="138">
        <v>0.13600000000000001</v>
      </c>
      <c r="J113" s="139">
        <v>0.9</v>
      </c>
      <c r="K113" s="137">
        <v>4.3499999999999996</v>
      </c>
      <c r="L113" s="137">
        <v>5.33</v>
      </c>
      <c r="M113" t="s">
        <v>499</v>
      </c>
      <c r="N113" t="s">
        <v>525</v>
      </c>
      <c r="O113" t="s">
        <v>112</v>
      </c>
      <c r="P113" s="137">
        <v>2.4370095002065333</v>
      </c>
      <c r="Q113" s="137">
        <v>2.4370095002065333</v>
      </c>
      <c r="R113" s="126">
        <v>9</v>
      </c>
      <c r="S113" t="s">
        <v>521</v>
      </c>
      <c r="T113" t="s">
        <v>526</v>
      </c>
      <c r="U113" t="s">
        <v>638</v>
      </c>
    </row>
    <row r="114" spans="1:21" x14ac:dyDescent="0.3">
      <c r="A114" t="s">
        <v>402</v>
      </c>
      <c r="B114" s="126">
        <v>2025</v>
      </c>
      <c r="C114" t="s">
        <v>497</v>
      </c>
      <c r="D114" t="s">
        <v>488</v>
      </c>
      <c r="E114" t="s">
        <v>132</v>
      </c>
      <c r="F114" t="s">
        <v>501</v>
      </c>
      <c r="G114" s="137">
        <v>6.8</v>
      </c>
      <c r="H114" s="138">
        <v>6.36</v>
      </c>
      <c r="I114" s="138">
        <v>0.157</v>
      </c>
      <c r="J114" s="139">
        <v>2.8</v>
      </c>
      <c r="K114" s="137">
        <v>5.72</v>
      </c>
      <c r="L114" s="137">
        <v>7</v>
      </c>
      <c r="M114" t="s">
        <v>499</v>
      </c>
      <c r="N114" t="s">
        <v>525</v>
      </c>
      <c r="O114" t="s">
        <v>112</v>
      </c>
      <c r="P114" s="137">
        <v>6.9182389937106832</v>
      </c>
      <c r="Q114" s="137">
        <v>6.9182389937106832</v>
      </c>
      <c r="R114" s="126">
        <v>9</v>
      </c>
      <c r="S114" t="s">
        <v>521</v>
      </c>
      <c r="T114" t="s">
        <v>526</v>
      </c>
      <c r="U114" t="s">
        <v>639</v>
      </c>
    </row>
    <row r="115" spans="1:21" x14ac:dyDescent="0.3">
      <c r="A115" t="s">
        <v>402</v>
      </c>
      <c r="B115" s="126">
        <v>2025</v>
      </c>
      <c r="C115" t="s">
        <v>497</v>
      </c>
      <c r="D115" t="s">
        <v>488</v>
      </c>
      <c r="E115" t="s">
        <v>132</v>
      </c>
      <c r="F115" t="s">
        <v>502</v>
      </c>
      <c r="G115" s="137">
        <v>2.09</v>
      </c>
      <c r="H115" s="138">
        <v>2.0259999999999998</v>
      </c>
      <c r="I115" s="138">
        <v>9.6000000000000002E-2</v>
      </c>
      <c r="J115" s="139">
        <v>0.7</v>
      </c>
      <c r="K115" s="137">
        <v>1.72</v>
      </c>
      <c r="L115" s="137">
        <v>2.33</v>
      </c>
      <c r="M115" t="s">
        <v>499</v>
      </c>
      <c r="N115" t="s">
        <v>525</v>
      </c>
      <c r="O115" t="s">
        <v>112</v>
      </c>
      <c r="P115" s="137">
        <v>3.1589338598223131</v>
      </c>
      <c r="Q115" s="137">
        <v>3.1589338598223131</v>
      </c>
      <c r="R115" s="126">
        <v>9</v>
      </c>
      <c r="S115" t="s">
        <v>521</v>
      </c>
      <c r="T115" t="s">
        <v>526</v>
      </c>
      <c r="U115" t="s">
        <v>640</v>
      </c>
    </row>
    <row r="116" spans="1:21" x14ac:dyDescent="0.3">
      <c r="A116" t="s">
        <v>402</v>
      </c>
      <c r="B116" s="126">
        <v>2025</v>
      </c>
      <c r="C116" t="s">
        <v>497</v>
      </c>
      <c r="D116" t="s">
        <v>488</v>
      </c>
      <c r="E116" t="s">
        <v>132</v>
      </c>
      <c r="F116" t="s">
        <v>503</v>
      </c>
      <c r="G116" s="137">
        <v>4.09</v>
      </c>
      <c r="H116" s="138">
        <v>3.9369999999999998</v>
      </c>
      <c r="I116" s="138">
        <v>9.4E-2</v>
      </c>
      <c r="J116" s="139">
        <v>1.6</v>
      </c>
      <c r="K116" s="137">
        <v>3.54</v>
      </c>
      <c r="L116" s="137">
        <v>4.34</v>
      </c>
      <c r="M116" t="s">
        <v>499</v>
      </c>
      <c r="N116" t="s">
        <v>525</v>
      </c>
      <c r="O116" t="s">
        <v>112</v>
      </c>
      <c r="P116" s="137">
        <v>3.8862077724155459</v>
      </c>
      <c r="Q116" s="137">
        <v>3.8862077724155459</v>
      </c>
      <c r="R116" s="126">
        <v>9</v>
      </c>
      <c r="S116" t="s">
        <v>521</v>
      </c>
      <c r="T116" t="s">
        <v>526</v>
      </c>
      <c r="U116" t="s">
        <v>641</v>
      </c>
    </row>
    <row r="117" spans="1:21" x14ac:dyDescent="0.3">
      <c r="A117" t="s">
        <v>402</v>
      </c>
      <c r="B117" s="126">
        <v>2025</v>
      </c>
      <c r="C117" t="s">
        <v>497</v>
      </c>
      <c r="D117" t="s">
        <v>489</v>
      </c>
      <c r="E117" t="s">
        <v>135</v>
      </c>
      <c r="F117" t="s">
        <v>498</v>
      </c>
      <c r="G117" s="137">
        <v>4.5999999999999996</v>
      </c>
      <c r="H117" s="138">
        <v>4.68</v>
      </c>
      <c r="I117" s="138">
        <v>7.0000000000000007E-2</v>
      </c>
      <c r="J117" s="139">
        <v>-1.1000000000000001</v>
      </c>
      <c r="K117" s="137">
        <v>4.3</v>
      </c>
      <c r="L117" s="137">
        <v>5</v>
      </c>
      <c r="M117" t="s">
        <v>499</v>
      </c>
      <c r="N117" t="s">
        <v>525</v>
      </c>
      <c r="O117" t="s">
        <v>134</v>
      </c>
      <c r="P117" s="137">
        <v>-1.7094017094017109</v>
      </c>
      <c r="Q117" s="137">
        <v>1.7094017094017109</v>
      </c>
      <c r="R117" s="126">
        <v>5</v>
      </c>
      <c r="S117" t="s">
        <v>521</v>
      </c>
      <c r="T117" t="s">
        <v>526</v>
      </c>
      <c r="U117" t="s">
        <v>642</v>
      </c>
    </row>
    <row r="118" spans="1:21" x14ac:dyDescent="0.3">
      <c r="A118" t="s">
        <v>402</v>
      </c>
      <c r="B118" s="126">
        <v>2025</v>
      </c>
      <c r="C118" t="s">
        <v>497</v>
      </c>
      <c r="D118" t="s">
        <v>489</v>
      </c>
      <c r="E118" t="s">
        <v>135</v>
      </c>
      <c r="F118" t="s">
        <v>500</v>
      </c>
      <c r="G118" s="137">
        <v>5.0999999999999996</v>
      </c>
      <c r="H118" s="138">
        <v>5.0599999999999996</v>
      </c>
      <c r="I118" s="138">
        <v>7.0000000000000007E-2</v>
      </c>
      <c r="J118" s="139">
        <v>0.5</v>
      </c>
      <c r="K118" s="137">
        <v>4.7</v>
      </c>
      <c r="L118" s="137">
        <v>5.4</v>
      </c>
      <c r="M118" t="s">
        <v>499</v>
      </c>
      <c r="N118" t="s">
        <v>525</v>
      </c>
      <c r="O118" t="s">
        <v>134</v>
      </c>
      <c r="P118" s="137">
        <v>0.79051383399209563</v>
      </c>
      <c r="Q118" s="137">
        <v>0.79051383399209563</v>
      </c>
      <c r="R118" s="126">
        <v>5</v>
      </c>
      <c r="S118" t="s">
        <v>521</v>
      </c>
      <c r="T118" t="s">
        <v>526</v>
      </c>
      <c r="U118" t="s">
        <v>643</v>
      </c>
    </row>
    <row r="119" spans="1:21" x14ac:dyDescent="0.3">
      <c r="A119" t="s">
        <v>402</v>
      </c>
      <c r="B119" s="126">
        <v>2025</v>
      </c>
      <c r="C119" t="s">
        <v>497</v>
      </c>
      <c r="D119" t="s">
        <v>489</v>
      </c>
      <c r="E119" t="s">
        <v>135</v>
      </c>
      <c r="F119" t="s">
        <v>501</v>
      </c>
      <c r="G119" s="137">
        <v>6.7</v>
      </c>
      <c r="H119" s="138">
        <v>6.44</v>
      </c>
      <c r="I119" s="138">
        <v>0.09</v>
      </c>
      <c r="J119" s="139">
        <v>2.8</v>
      </c>
      <c r="K119" s="137">
        <v>6.1</v>
      </c>
      <c r="L119" s="137">
        <v>6.8</v>
      </c>
      <c r="M119" t="s">
        <v>499</v>
      </c>
      <c r="N119" t="s">
        <v>525</v>
      </c>
      <c r="O119" t="s">
        <v>134</v>
      </c>
      <c r="P119" s="137">
        <v>4.0372670807453384</v>
      </c>
      <c r="Q119" s="137">
        <v>4.0372670807453384</v>
      </c>
      <c r="R119" s="126">
        <v>5</v>
      </c>
      <c r="S119" t="s">
        <v>521</v>
      </c>
      <c r="T119" t="s">
        <v>526</v>
      </c>
      <c r="U119" t="s">
        <v>644</v>
      </c>
    </row>
    <row r="120" spans="1:21" x14ac:dyDescent="0.3">
      <c r="A120" t="s">
        <v>402</v>
      </c>
      <c r="B120" s="126">
        <v>2025</v>
      </c>
      <c r="C120" t="s">
        <v>497</v>
      </c>
      <c r="D120" t="s">
        <v>489</v>
      </c>
      <c r="E120" t="s">
        <v>135</v>
      </c>
      <c r="F120" t="s">
        <v>502</v>
      </c>
      <c r="G120" s="137">
        <v>2.2000000000000002</v>
      </c>
      <c r="H120" s="138">
        <v>2.2999999999999998</v>
      </c>
      <c r="I120" s="138">
        <v>0.04</v>
      </c>
      <c r="J120" s="139">
        <v>-2.2000000000000002</v>
      </c>
      <c r="K120" s="137">
        <v>1.9</v>
      </c>
      <c r="L120" s="137">
        <v>2.6</v>
      </c>
      <c r="M120" t="s">
        <v>499</v>
      </c>
      <c r="N120" t="s">
        <v>525</v>
      </c>
      <c r="O120" t="s">
        <v>134</v>
      </c>
      <c r="P120" s="137">
        <v>-4.3478260869565064</v>
      </c>
      <c r="Q120" s="137">
        <v>4.3478260869565064</v>
      </c>
      <c r="R120" s="126">
        <v>5</v>
      </c>
      <c r="S120" t="s">
        <v>521</v>
      </c>
      <c r="T120" t="s">
        <v>526</v>
      </c>
      <c r="U120" t="s">
        <v>645</v>
      </c>
    </row>
    <row r="121" spans="1:21" x14ac:dyDescent="0.3">
      <c r="A121" t="s">
        <v>402</v>
      </c>
      <c r="B121" s="126">
        <v>2025</v>
      </c>
      <c r="C121" t="s">
        <v>497</v>
      </c>
      <c r="D121" t="s">
        <v>489</v>
      </c>
      <c r="E121" t="s">
        <v>135</v>
      </c>
      <c r="F121" t="s">
        <v>503</v>
      </c>
      <c r="G121" s="137">
        <v>4.8</v>
      </c>
      <c r="H121" s="138">
        <v>5.01</v>
      </c>
      <c r="I121" s="138">
        <v>0.08</v>
      </c>
      <c r="J121" s="139">
        <v>-2.6</v>
      </c>
      <c r="K121" s="137">
        <v>4.7</v>
      </c>
      <c r="L121" s="137">
        <v>5.4</v>
      </c>
      <c r="M121" t="s">
        <v>499</v>
      </c>
      <c r="N121" t="s">
        <v>525</v>
      </c>
      <c r="O121" t="s">
        <v>134</v>
      </c>
      <c r="P121" s="137">
        <v>-4.1916167664670656</v>
      </c>
      <c r="Q121" s="137">
        <v>4.1916167664670656</v>
      </c>
      <c r="R121" s="126">
        <v>5</v>
      </c>
      <c r="S121" t="s">
        <v>521</v>
      </c>
      <c r="T121" t="s">
        <v>526</v>
      </c>
      <c r="U121" t="s">
        <v>646</v>
      </c>
    </row>
    <row r="122" spans="1:21" x14ac:dyDescent="0.3">
      <c r="A122" t="s">
        <v>402</v>
      </c>
      <c r="B122" s="126">
        <v>2025</v>
      </c>
      <c r="C122" t="s">
        <v>497</v>
      </c>
      <c r="D122" t="s">
        <v>490</v>
      </c>
      <c r="E122" t="s">
        <v>128</v>
      </c>
      <c r="F122" t="s">
        <v>498</v>
      </c>
      <c r="G122" s="137">
        <v>5.9</v>
      </c>
      <c r="H122" s="138">
        <v>5.75</v>
      </c>
      <c r="I122" s="138">
        <v>0.1</v>
      </c>
      <c r="J122" s="139">
        <v>1.5</v>
      </c>
      <c r="K122" s="137">
        <v>5.2</v>
      </c>
      <c r="L122" s="137">
        <v>6.3</v>
      </c>
      <c r="M122" t="s">
        <v>499</v>
      </c>
      <c r="N122" t="s">
        <v>525</v>
      </c>
      <c r="O122" t="s">
        <v>129</v>
      </c>
      <c r="P122" s="137">
        <v>2.6086956521739193</v>
      </c>
      <c r="Q122" s="137">
        <v>2.6086956521739193</v>
      </c>
      <c r="R122" s="126">
        <v>9</v>
      </c>
      <c r="S122" t="s">
        <v>521</v>
      </c>
      <c r="T122" t="s">
        <v>526</v>
      </c>
      <c r="U122" t="s">
        <v>647</v>
      </c>
    </row>
    <row r="123" spans="1:21" x14ac:dyDescent="0.3">
      <c r="A123" t="s">
        <v>402</v>
      </c>
      <c r="B123" s="126">
        <v>2025</v>
      </c>
      <c r="C123" t="s">
        <v>497</v>
      </c>
      <c r="D123" t="s">
        <v>490</v>
      </c>
      <c r="E123" t="s">
        <v>128</v>
      </c>
      <c r="F123" t="s">
        <v>500</v>
      </c>
      <c r="G123" s="137">
        <v>4.3</v>
      </c>
      <c r="H123" s="138">
        <v>4.1900000000000004</v>
      </c>
      <c r="I123" s="138">
        <v>0.09</v>
      </c>
      <c r="J123" s="139">
        <v>1.2</v>
      </c>
      <c r="K123" s="137">
        <v>3.8</v>
      </c>
      <c r="L123" s="137">
        <v>4.5999999999999996</v>
      </c>
      <c r="M123" t="s">
        <v>499</v>
      </c>
      <c r="N123" t="s">
        <v>525</v>
      </c>
      <c r="O123" t="s">
        <v>129</v>
      </c>
      <c r="P123" s="137">
        <v>2.6252983293555947</v>
      </c>
      <c r="Q123" s="137">
        <v>2.6252983293555947</v>
      </c>
      <c r="R123" s="126">
        <v>9</v>
      </c>
      <c r="S123" t="s">
        <v>521</v>
      </c>
      <c r="T123" t="s">
        <v>526</v>
      </c>
      <c r="U123" t="s">
        <v>648</v>
      </c>
    </row>
    <row r="124" spans="1:21" x14ac:dyDescent="0.3">
      <c r="A124" t="s">
        <v>402</v>
      </c>
      <c r="B124" s="126">
        <v>2025</v>
      </c>
      <c r="C124" t="s">
        <v>497</v>
      </c>
      <c r="D124" t="s">
        <v>490</v>
      </c>
      <c r="E124" t="s">
        <v>128</v>
      </c>
      <c r="F124" t="s">
        <v>501</v>
      </c>
      <c r="G124" s="137">
        <v>1.9</v>
      </c>
      <c r="H124" s="138">
        <v>2.0299999999999998</v>
      </c>
      <c r="I124" s="138">
        <v>7.0000000000000007E-2</v>
      </c>
      <c r="J124" s="139">
        <v>-1.9</v>
      </c>
      <c r="K124" s="137">
        <v>1.8</v>
      </c>
      <c r="L124" s="137">
        <v>2.2000000000000002</v>
      </c>
      <c r="M124" t="s">
        <v>499</v>
      </c>
      <c r="N124" t="s">
        <v>525</v>
      </c>
      <c r="O124" t="s">
        <v>129</v>
      </c>
      <c r="P124" s="137">
        <v>-6.4039408866995027</v>
      </c>
      <c r="Q124" s="137">
        <v>6.4039408866995027</v>
      </c>
      <c r="R124" s="126">
        <v>9</v>
      </c>
      <c r="S124" t="s">
        <v>521</v>
      </c>
      <c r="T124" t="s">
        <v>526</v>
      </c>
      <c r="U124" t="s">
        <v>649</v>
      </c>
    </row>
    <row r="125" spans="1:21" x14ac:dyDescent="0.3">
      <c r="A125" t="s">
        <v>402</v>
      </c>
      <c r="B125" s="126">
        <v>2025</v>
      </c>
      <c r="C125" t="s">
        <v>497</v>
      </c>
      <c r="D125" t="s">
        <v>490</v>
      </c>
      <c r="E125" t="s">
        <v>128</v>
      </c>
      <c r="F125" t="s">
        <v>502</v>
      </c>
      <c r="G125" s="137">
        <v>4.5</v>
      </c>
      <c r="H125" s="138">
        <v>4.32</v>
      </c>
      <c r="I125" s="138">
        <v>0.09</v>
      </c>
      <c r="J125" s="139">
        <v>2</v>
      </c>
      <c r="K125" s="137">
        <v>3.9</v>
      </c>
      <c r="L125" s="137">
        <v>4.7</v>
      </c>
      <c r="M125" t="s">
        <v>499</v>
      </c>
      <c r="N125" t="s">
        <v>525</v>
      </c>
      <c r="O125" t="s">
        <v>129</v>
      </c>
      <c r="P125" s="137">
        <v>4.1666666666666599</v>
      </c>
      <c r="Q125" s="137">
        <v>4.1666666666666599</v>
      </c>
      <c r="R125" s="126">
        <v>9</v>
      </c>
      <c r="S125" t="s">
        <v>521</v>
      </c>
      <c r="T125" t="s">
        <v>526</v>
      </c>
      <c r="U125" t="s">
        <v>650</v>
      </c>
    </row>
    <row r="126" spans="1:21" x14ac:dyDescent="0.3">
      <c r="A126" t="s">
        <v>402</v>
      </c>
      <c r="B126" s="126">
        <v>2025</v>
      </c>
      <c r="C126" t="s">
        <v>497</v>
      </c>
      <c r="D126" t="s">
        <v>490</v>
      </c>
      <c r="E126" t="s">
        <v>128</v>
      </c>
      <c r="F126" t="s">
        <v>503</v>
      </c>
      <c r="G126" s="137">
        <v>9</v>
      </c>
      <c r="H126" s="138">
        <v>8.39</v>
      </c>
      <c r="I126" s="138">
        <v>0.14000000000000001</v>
      </c>
      <c r="J126" s="139">
        <v>4.4000000000000004</v>
      </c>
      <c r="K126" s="137">
        <v>7.7</v>
      </c>
      <c r="L126" s="137">
        <v>9.1</v>
      </c>
      <c r="M126" t="s">
        <v>499</v>
      </c>
      <c r="N126" t="s">
        <v>525</v>
      </c>
      <c r="O126" t="s">
        <v>129</v>
      </c>
      <c r="P126" s="137">
        <v>7.2705601907032111</v>
      </c>
      <c r="Q126" s="137">
        <v>7.2705601907032111</v>
      </c>
      <c r="R126" s="126">
        <v>9</v>
      </c>
      <c r="S126" t="s">
        <v>521</v>
      </c>
      <c r="T126" t="s">
        <v>526</v>
      </c>
      <c r="U126" t="s">
        <v>651</v>
      </c>
    </row>
    <row r="127" spans="1:21" x14ac:dyDescent="0.3">
      <c r="A127" t="s">
        <v>402</v>
      </c>
      <c r="B127" s="126">
        <v>2025</v>
      </c>
      <c r="C127" t="s">
        <v>497</v>
      </c>
      <c r="D127" t="s">
        <v>491</v>
      </c>
      <c r="E127" t="s">
        <v>133</v>
      </c>
      <c r="F127" t="s">
        <v>498</v>
      </c>
      <c r="G127" s="137">
        <v>148</v>
      </c>
      <c r="H127" s="138">
        <v>148.80000000000001</v>
      </c>
      <c r="I127" s="138">
        <v>2.1</v>
      </c>
      <c r="J127" s="139">
        <v>-0.4</v>
      </c>
      <c r="K127" s="137">
        <v>144</v>
      </c>
      <c r="L127" s="137">
        <v>153</v>
      </c>
      <c r="M127" t="s">
        <v>499</v>
      </c>
      <c r="N127" t="s">
        <v>525</v>
      </c>
      <c r="O127" t="s">
        <v>134</v>
      </c>
      <c r="P127" s="137">
        <v>-0.53763440860215816</v>
      </c>
      <c r="Q127" s="137">
        <v>0.53763440860215816</v>
      </c>
      <c r="R127" s="126">
        <v>5</v>
      </c>
      <c r="S127" t="s">
        <v>521</v>
      </c>
      <c r="T127" t="s">
        <v>526</v>
      </c>
      <c r="U127" t="s">
        <v>652</v>
      </c>
    </row>
    <row r="128" spans="1:21" x14ac:dyDescent="0.3">
      <c r="A128" t="s">
        <v>402</v>
      </c>
      <c r="B128" s="126">
        <v>2025</v>
      </c>
      <c r="C128" t="s">
        <v>497</v>
      </c>
      <c r="D128" t="s">
        <v>491</v>
      </c>
      <c r="E128" t="s">
        <v>133</v>
      </c>
      <c r="F128" t="s">
        <v>500</v>
      </c>
      <c r="G128" s="137">
        <v>144</v>
      </c>
      <c r="H128" s="138">
        <v>142.80000000000001</v>
      </c>
      <c r="I128" s="138">
        <v>1.9</v>
      </c>
      <c r="J128" s="139">
        <v>0.6</v>
      </c>
      <c r="K128" s="137">
        <v>138</v>
      </c>
      <c r="L128" s="137">
        <v>147</v>
      </c>
      <c r="M128" t="s">
        <v>499</v>
      </c>
      <c r="N128" t="s">
        <v>525</v>
      </c>
      <c r="O128" t="s">
        <v>134</v>
      </c>
      <c r="P128" s="137">
        <v>0.84033613445377353</v>
      </c>
      <c r="Q128" s="137">
        <v>0.84033613445377353</v>
      </c>
      <c r="R128" s="126">
        <v>5</v>
      </c>
      <c r="S128" t="s">
        <v>521</v>
      </c>
      <c r="T128" t="s">
        <v>526</v>
      </c>
      <c r="U128" t="s">
        <v>653</v>
      </c>
    </row>
    <row r="129" spans="1:21" x14ac:dyDescent="0.3">
      <c r="A129" t="s">
        <v>402</v>
      </c>
      <c r="B129" s="126">
        <v>2025</v>
      </c>
      <c r="C129" t="s">
        <v>497</v>
      </c>
      <c r="D129" t="s">
        <v>491</v>
      </c>
      <c r="E129" t="s">
        <v>133</v>
      </c>
      <c r="F129" t="s">
        <v>501</v>
      </c>
      <c r="G129" s="137">
        <v>143</v>
      </c>
      <c r="H129" s="138">
        <v>140.9</v>
      </c>
      <c r="I129" s="138">
        <v>2.4</v>
      </c>
      <c r="J129" s="139">
        <v>0.9</v>
      </c>
      <c r="K129" s="137">
        <v>136</v>
      </c>
      <c r="L129" s="137">
        <v>145</v>
      </c>
      <c r="M129" t="s">
        <v>499</v>
      </c>
      <c r="N129" t="s">
        <v>525</v>
      </c>
      <c r="O129" t="s">
        <v>134</v>
      </c>
      <c r="P129" s="137">
        <v>1.4904187366926858</v>
      </c>
      <c r="Q129" s="137">
        <v>1.4904187366926858</v>
      </c>
      <c r="R129" s="126">
        <v>5</v>
      </c>
      <c r="S129" t="s">
        <v>521</v>
      </c>
      <c r="T129" t="s">
        <v>526</v>
      </c>
      <c r="U129" t="s">
        <v>654</v>
      </c>
    </row>
    <row r="130" spans="1:21" x14ac:dyDescent="0.3">
      <c r="A130" t="s">
        <v>402</v>
      </c>
      <c r="B130" s="126">
        <v>2025</v>
      </c>
      <c r="C130" t="s">
        <v>497</v>
      </c>
      <c r="D130" t="s">
        <v>491</v>
      </c>
      <c r="E130" t="s">
        <v>133</v>
      </c>
      <c r="F130" t="s">
        <v>502</v>
      </c>
      <c r="G130" s="137">
        <v>127</v>
      </c>
      <c r="H130" s="138">
        <v>126</v>
      </c>
      <c r="I130" s="138">
        <v>2</v>
      </c>
      <c r="J130" s="139">
        <v>0.5</v>
      </c>
      <c r="K130" s="137">
        <v>121</v>
      </c>
      <c r="L130" s="137">
        <v>130</v>
      </c>
      <c r="M130" t="s">
        <v>499</v>
      </c>
      <c r="N130" t="s">
        <v>525</v>
      </c>
      <c r="O130" t="s">
        <v>134</v>
      </c>
      <c r="P130" s="137">
        <v>0.79365079365079361</v>
      </c>
      <c r="Q130" s="137">
        <v>0.79365079365079361</v>
      </c>
      <c r="R130" s="126">
        <v>5</v>
      </c>
      <c r="S130" t="s">
        <v>521</v>
      </c>
      <c r="T130" t="s">
        <v>526</v>
      </c>
      <c r="U130" t="s">
        <v>655</v>
      </c>
    </row>
    <row r="131" spans="1:21" x14ac:dyDescent="0.3">
      <c r="A131" t="s">
        <v>402</v>
      </c>
      <c r="B131" s="126">
        <v>2025</v>
      </c>
      <c r="C131" t="s">
        <v>497</v>
      </c>
      <c r="D131" t="s">
        <v>491</v>
      </c>
      <c r="E131" t="s">
        <v>133</v>
      </c>
      <c r="F131" t="s">
        <v>503</v>
      </c>
      <c r="G131" s="137">
        <v>162</v>
      </c>
      <c r="H131" s="138">
        <v>166.7</v>
      </c>
      <c r="I131" s="138">
        <v>4.2</v>
      </c>
      <c r="J131" s="139">
        <v>-1.1000000000000001</v>
      </c>
      <c r="K131" s="137">
        <v>162</v>
      </c>
      <c r="L131" s="137">
        <v>171</v>
      </c>
      <c r="M131" t="s">
        <v>499</v>
      </c>
      <c r="N131" t="s">
        <v>525</v>
      </c>
      <c r="O131" t="s">
        <v>134</v>
      </c>
      <c r="P131" s="137">
        <v>-2.8194361127774381</v>
      </c>
      <c r="Q131" s="137">
        <v>2.8194361127774381</v>
      </c>
      <c r="R131" s="126">
        <v>5</v>
      </c>
      <c r="S131" t="s">
        <v>521</v>
      </c>
      <c r="T131" t="s">
        <v>526</v>
      </c>
      <c r="U131" t="s">
        <v>656</v>
      </c>
    </row>
    <row r="132" spans="1:21" x14ac:dyDescent="0.3">
      <c r="A132" t="s">
        <v>402</v>
      </c>
      <c r="B132" s="126">
        <v>2025</v>
      </c>
      <c r="C132" t="s">
        <v>497</v>
      </c>
      <c r="D132" t="s">
        <v>492</v>
      </c>
      <c r="E132" t="s">
        <v>342</v>
      </c>
      <c r="F132" t="s">
        <v>498</v>
      </c>
      <c r="G132" s="137">
        <v>252</v>
      </c>
      <c r="H132" s="138">
        <v>268.2</v>
      </c>
      <c r="I132" s="138">
        <v>11.3</v>
      </c>
      <c r="J132" s="139">
        <v>-1.4</v>
      </c>
      <c r="K132" s="137">
        <v>214</v>
      </c>
      <c r="L132" s="137">
        <v>322</v>
      </c>
      <c r="M132" t="s">
        <v>499</v>
      </c>
      <c r="N132" t="s">
        <v>525</v>
      </c>
      <c r="O132" t="s">
        <v>505</v>
      </c>
      <c r="P132" s="137">
        <v>-6.0402684563758351</v>
      </c>
      <c r="Q132" s="137">
        <v>6.0402684563758351</v>
      </c>
      <c r="R132" s="126">
        <v>10</v>
      </c>
      <c r="S132" t="s">
        <v>521</v>
      </c>
      <c r="T132" t="s">
        <v>526</v>
      </c>
      <c r="U132" t="s">
        <v>657</v>
      </c>
    </row>
    <row r="133" spans="1:21" x14ac:dyDescent="0.3">
      <c r="A133" t="s">
        <v>402</v>
      </c>
      <c r="B133" s="126">
        <v>2025</v>
      </c>
      <c r="C133" t="s">
        <v>497</v>
      </c>
      <c r="D133" t="s">
        <v>492</v>
      </c>
      <c r="E133" t="s">
        <v>342</v>
      </c>
      <c r="F133" t="s">
        <v>500</v>
      </c>
      <c r="G133" s="137">
        <v>166</v>
      </c>
      <c r="H133" s="138">
        <v>183.1</v>
      </c>
      <c r="I133" s="138">
        <v>9.6</v>
      </c>
      <c r="J133" s="139">
        <v>-1.8</v>
      </c>
      <c r="K133" s="137">
        <v>146</v>
      </c>
      <c r="L133" s="137">
        <v>220</v>
      </c>
      <c r="M133" t="s">
        <v>499</v>
      </c>
      <c r="N133" t="s">
        <v>525</v>
      </c>
      <c r="O133" t="s">
        <v>505</v>
      </c>
      <c r="P133" s="137">
        <v>-9.3391589295466932</v>
      </c>
      <c r="Q133" s="137">
        <v>9.3391589295466932</v>
      </c>
      <c r="R133" s="126">
        <v>10</v>
      </c>
      <c r="S133" t="s">
        <v>521</v>
      </c>
      <c r="T133" t="s">
        <v>526</v>
      </c>
      <c r="U133" t="s">
        <v>658</v>
      </c>
    </row>
    <row r="134" spans="1:21" x14ac:dyDescent="0.3">
      <c r="A134" t="s">
        <v>402</v>
      </c>
      <c r="B134" s="126">
        <v>2025</v>
      </c>
      <c r="C134" t="s">
        <v>497</v>
      </c>
      <c r="D134" t="s">
        <v>492</v>
      </c>
      <c r="E134" t="s">
        <v>342</v>
      </c>
      <c r="F134" t="s">
        <v>501</v>
      </c>
      <c r="G134" s="137">
        <v>55</v>
      </c>
      <c r="H134" s="138">
        <v>65.099999999999994</v>
      </c>
      <c r="I134" s="138">
        <v>8.6</v>
      </c>
      <c r="J134" s="139">
        <v>-1.2</v>
      </c>
      <c r="K134" s="137">
        <v>52</v>
      </c>
      <c r="L134" s="137">
        <v>79</v>
      </c>
      <c r="M134" t="s">
        <v>499</v>
      </c>
      <c r="N134" t="s">
        <v>525</v>
      </c>
      <c r="O134" t="s">
        <v>505</v>
      </c>
      <c r="P134" s="137">
        <v>-15.514592933947766</v>
      </c>
      <c r="Q134" s="137">
        <v>15.514592933947766</v>
      </c>
      <c r="R134" s="126">
        <v>10</v>
      </c>
      <c r="S134" t="s">
        <v>521</v>
      </c>
      <c r="T134" t="s">
        <v>526</v>
      </c>
      <c r="U134" t="s">
        <v>659</v>
      </c>
    </row>
    <row r="135" spans="1:21" x14ac:dyDescent="0.3">
      <c r="A135" t="s">
        <v>402</v>
      </c>
      <c r="B135" s="126">
        <v>2025</v>
      </c>
      <c r="C135" t="s">
        <v>497</v>
      </c>
      <c r="D135" t="s">
        <v>492</v>
      </c>
      <c r="E135" t="s">
        <v>342</v>
      </c>
      <c r="F135" t="s">
        <v>502</v>
      </c>
      <c r="G135" s="137">
        <v>188</v>
      </c>
      <c r="H135" s="138">
        <v>185</v>
      </c>
      <c r="I135" s="138">
        <v>8.5</v>
      </c>
      <c r="J135" s="139">
        <v>0.4</v>
      </c>
      <c r="K135" s="137">
        <v>147</v>
      </c>
      <c r="L135" s="137">
        <v>222</v>
      </c>
      <c r="M135" t="s">
        <v>499</v>
      </c>
      <c r="N135" t="s">
        <v>525</v>
      </c>
      <c r="O135" t="s">
        <v>505</v>
      </c>
      <c r="P135" s="137">
        <v>1.6216216216216217</v>
      </c>
      <c r="Q135" s="137">
        <v>1.6216216216216217</v>
      </c>
      <c r="R135" s="126">
        <v>10</v>
      </c>
      <c r="S135" t="s">
        <v>521</v>
      </c>
      <c r="T135" t="s">
        <v>526</v>
      </c>
      <c r="U135" t="s">
        <v>660</v>
      </c>
    </row>
    <row r="136" spans="1:21" x14ac:dyDescent="0.3">
      <c r="A136" t="s">
        <v>402</v>
      </c>
      <c r="B136" s="126">
        <v>2025</v>
      </c>
      <c r="C136" t="s">
        <v>497</v>
      </c>
      <c r="D136" t="s">
        <v>492</v>
      </c>
      <c r="E136" t="s">
        <v>342</v>
      </c>
      <c r="F136" t="s">
        <v>503</v>
      </c>
      <c r="G136" s="137">
        <v>414</v>
      </c>
      <c r="H136" s="138">
        <v>408.9</v>
      </c>
      <c r="I136" s="138">
        <v>12</v>
      </c>
      <c r="J136" s="139">
        <v>0.4</v>
      </c>
      <c r="K136" s="137">
        <v>327</v>
      </c>
      <c r="L136" s="137">
        <v>491</v>
      </c>
      <c r="M136" t="s">
        <v>499</v>
      </c>
      <c r="N136" t="s">
        <v>525</v>
      </c>
      <c r="O136" t="s">
        <v>505</v>
      </c>
      <c r="P136" s="137">
        <v>1.2472487160675039</v>
      </c>
      <c r="Q136" s="137">
        <v>1.2472487160675039</v>
      </c>
      <c r="R136" s="126">
        <v>10</v>
      </c>
      <c r="S136" t="s">
        <v>521</v>
      </c>
      <c r="T136" t="s">
        <v>526</v>
      </c>
      <c r="U136" t="s">
        <v>661</v>
      </c>
    </row>
    <row r="137" spans="1:21" x14ac:dyDescent="0.3">
      <c r="A137" t="s">
        <v>402</v>
      </c>
      <c r="B137" s="126">
        <v>2025</v>
      </c>
      <c r="C137" t="s">
        <v>497</v>
      </c>
      <c r="D137" t="s">
        <v>494</v>
      </c>
      <c r="E137" t="s">
        <v>121</v>
      </c>
      <c r="F137" t="s">
        <v>498</v>
      </c>
      <c r="G137" s="137">
        <v>194</v>
      </c>
      <c r="H137" s="138">
        <v>192.23099999999999</v>
      </c>
      <c r="I137" s="138">
        <v>2.9460000000000002</v>
      </c>
      <c r="J137" s="139">
        <v>0.6</v>
      </c>
      <c r="K137" s="137">
        <v>163.38999999999999</v>
      </c>
      <c r="L137" s="137">
        <v>221.07</v>
      </c>
      <c r="M137" t="s">
        <v>499</v>
      </c>
      <c r="N137" t="s">
        <v>525</v>
      </c>
      <c r="O137" t="s">
        <v>112</v>
      </c>
      <c r="P137" s="137">
        <v>0.92024699450141001</v>
      </c>
      <c r="Q137" s="137">
        <v>0.92024699450141001</v>
      </c>
      <c r="R137" s="126">
        <v>5</v>
      </c>
      <c r="S137" t="s">
        <v>521</v>
      </c>
      <c r="T137" t="s">
        <v>526</v>
      </c>
      <c r="U137" t="s">
        <v>662</v>
      </c>
    </row>
    <row r="138" spans="1:21" x14ac:dyDescent="0.3">
      <c r="A138" t="s">
        <v>402</v>
      </c>
      <c r="B138" s="126">
        <v>2025</v>
      </c>
      <c r="C138" t="s">
        <v>497</v>
      </c>
      <c r="D138" t="s">
        <v>494</v>
      </c>
      <c r="E138" t="s">
        <v>121</v>
      </c>
      <c r="F138" t="s">
        <v>500</v>
      </c>
      <c r="G138" s="137">
        <v>139</v>
      </c>
      <c r="H138" s="138">
        <v>136.23500000000001</v>
      </c>
      <c r="I138" s="138">
        <v>2.351</v>
      </c>
      <c r="J138" s="139">
        <v>1.2</v>
      </c>
      <c r="K138" s="137">
        <v>115.8</v>
      </c>
      <c r="L138" s="137">
        <v>156.68</v>
      </c>
      <c r="M138" t="s">
        <v>499</v>
      </c>
      <c r="N138" t="s">
        <v>525</v>
      </c>
      <c r="O138" t="s">
        <v>112</v>
      </c>
      <c r="P138" s="137">
        <v>2.029581238301454</v>
      </c>
      <c r="Q138" s="137">
        <v>2.029581238301454</v>
      </c>
      <c r="R138" s="126">
        <v>5</v>
      </c>
      <c r="S138" t="s">
        <v>521</v>
      </c>
      <c r="T138" t="s">
        <v>526</v>
      </c>
      <c r="U138" t="s">
        <v>663</v>
      </c>
    </row>
    <row r="139" spans="1:21" x14ac:dyDescent="0.3">
      <c r="A139" t="s">
        <v>402</v>
      </c>
      <c r="B139" s="126">
        <v>2025</v>
      </c>
      <c r="C139" t="s">
        <v>497</v>
      </c>
      <c r="D139" t="s">
        <v>494</v>
      </c>
      <c r="E139" t="s">
        <v>121</v>
      </c>
      <c r="F139" t="s">
        <v>501</v>
      </c>
      <c r="G139" s="137">
        <v>77</v>
      </c>
      <c r="H139" s="138">
        <v>73.718999999999994</v>
      </c>
      <c r="I139" s="138">
        <v>2.4500000000000002</v>
      </c>
      <c r="J139" s="139">
        <v>1.3</v>
      </c>
      <c r="K139" s="137">
        <v>62.66</v>
      </c>
      <c r="L139" s="137">
        <v>84.78</v>
      </c>
      <c r="M139" t="s">
        <v>499</v>
      </c>
      <c r="N139" t="s">
        <v>525</v>
      </c>
      <c r="O139" t="s">
        <v>112</v>
      </c>
      <c r="P139" s="137">
        <v>4.4506843554578959</v>
      </c>
      <c r="Q139" s="137">
        <v>4.4506843554578959</v>
      </c>
      <c r="R139" s="126">
        <v>5</v>
      </c>
      <c r="S139" t="s">
        <v>521</v>
      </c>
      <c r="T139" t="s">
        <v>526</v>
      </c>
      <c r="U139" t="s">
        <v>664</v>
      </c>
    </row>
    <row r="140" spans="1:21" x14ac:dyDescent="0.3">
      <c r="A140" t="s">
        <v>402</v>
      </c>
      <c r="B140" s="126">
        <v>2025</v>
      </c>
      <c r="C140" t="s">
        <v>497</v>
      </c>
      <c r="D140" t="s">
        <v>494</v>
      </c>
      <c r="E140" t="s">
        <v>121</v>
      </c>
      <c r="F140" t="s">
        <v>502</v>
      </c>
      <c r="G140" s="137">
        <v>107</v>
      </c>
      <c r="H140" s="138">
        <v>101.26600000000001</v>
      </c>
      <c r="I140" s="138">
        <v>2.379</v>
      </c>
      <c r="J140" s="139">
        <v>2.4</v>
      </c>
      <c r="K140" s="137">
        <v>86.07</v>
      </c>
      <c r="L140" s="137">
        <v>116.46</v>
      </c>
      <c r="M140" t="s">
        <v>499</v>
      </c>
      <c r="N140" t="s">
        <v>525</v>
      </c>
      <c r="O140" t="s">
        <v>112</v>
      </c>
      <c r="P140" s="137">
        <v>5.6623150909485851</v>
      </c>
      <c r="Q140" s="137">
        <v>5.6623150909485851</v>
      </c>
      <c r="R140" s="126">
        <v>5</v>
      </c>
      <c r="S140" t="s">
        <v>521</v>
      </c>
      <c r="T140" t="s">
        <v>526</v>
      </c>
      <c r="U140" t="s">
        <v>665</v>
      </c>
    </row>
    <row r="141" spans="1:21" x14ac:dyDescent="0.3">
      <c r="A141" t="s">
        <v>402</v>
      </c>
      <c r="B141" s="126">
        <v>2025</v>
      </c>
      <c r="C141" t="s">
        <v>497</v>
      </c>
      <c r="D141" t="s">
        <v>494</v>
      </c>
      <c r="E141" t="s">
        <v>121</v>
      </c>
      <c r="F141" t="s">
        <v>503</v>
      </c>
      <c r="G141" s="137">
        <v>298</v>
      </c>
      <c r="H141" s="138">
        <v>294.82100000000003</v>
      </c>
      <c r="I141" s="138">
        <v>4.399</v>
      </c>
      <c r="J141" s="139">
        <v>0.7</v>
      </c>
      <c r="K141" s="137">
        <v>250.59</v>
      </c>
      <c r="L141" s="137">
        <v>339.05</v>
      </c>
      <c r="M141" t="s">
        <v>499</v>
      </c>
      <c r="N141" t="s">
        <v>525</v>
      </c>
      <c r="O141" t="s">
        <v>112</v>
      </c>
      <c r="P141" s="137">
        <v>1.0782813978651362</v>
      </c>
      <c r="Q141" s="137">
        <v>1.0782813978651362</v>
      </c>
      <c r="R141" s="126">
        <v>5</v>
      </c>
      <c r="S141" t="s">
        <v>521</v>
      </c>
      <c r="T141" t="s">
        <v>526</v>
      </c>
      <c r="U141" t="s">
        <v>666</v>
      </c>
    </row>
    <row r="142" spans="1:21" x14ac:dyDescent="0.3">
      <c r="A142" t="s">
        <v>402</v>
      </c>
      <c r="B142" s="126">
        <v>2025</v>
      </c>
      <c r="C142" t="s">
        <v>497</v>
      </c>
      <c r="D142" t="s">
        <v>495</v>
      </c>
      <c r="E142" t="s">
        <v>115</v>
      </c>
      <c r="F142" t="s">
        <v>498</v>
      </c>
      <c r="G142" s="137">
        <v>24.3</v>
      </c>
      <c r="H142" s="138">
        <v>22.68</v>
      </c>
      <c r="I142" s="138">
        <v>0.96</v>
      </c>
      <c r="J142" s="139">
        <v>1.7</v>
      </c>
      <c r="K142" s="137">
        <v>20.6</v>
      </c>
      <c r="L142" s="137">
        <v>24.8</v>
      </c>
      <c r="M142" t="s">
        <v>499</v>
      </c>
      <c r="N142" t="s">
        <v>525</v>
      </c>
      <c r="O142" t="s">
        <v>112</v>
      </c>
      <c r="P142" s="137">
        <v>7.1428571428571477</v>
      </c>
      <c r="Q142" s="137">
        <v>7.1428571428571477</v>
      </c>
      <c r="R142" s="126">
        <v>6</v>
      </c>
      <c r="S142" t="s">
        <v>521</v>
      </c>
      <c r="T142" t="s">
        <v>526</v>
      </c>
      <c r="U142" t="s">
        <v>667</v>
      </c>
    </row>
    <row r="143" spans="1:21" x14ac:dyDescent="0.3">
      <c r="A143" t="s">
        <v>402</v>
      </c>
      <c r="B143" s="126">
        <v>2025</v>
      </c>
      <c r="C143" t="s">
        <v>497</v>
      </c>
      <c r="D143" t="s">
        <v>495</v>
      </c>
      <c r="E143" t="s">
        <v>115</v>
      </c>
      <c r="F143" t="s">
        <v>500</v>
      </c>
      <c r="G143" s="137">
        <v>22</v>
      </c>
      <c r="H143" s="138">
        <v>19.07</v>
      </c>
      <c r="I143" s="138">
        <v>0.83</v>
      </c>
      <c r="J143" s="139">
        <v>3.5</v>
      </c>
      <c r="K143" s="137">
        <v>17</v>
      </c>
      <c r="L143" s="137">
        <v>21.1</v>
      </c>
      <c r="M143" t="s">
        <v>506</v>
      </c>
      <c r="N143" t="s">
        <v>668</v>
      </c>
      <c r="O143" t="s">
        <v>112</v>
      </c>
      <c r="P143" s="137">
        <v>15.364446775039328</v>
      </c>
      <c r="Q143" s="137">
        <v>15.364446775039328</v>
      </c>
      <c r="R143" s="126">
        <v>6</v>
      </c>
      <c r="S143" t="s">
        <v>521</v>
      </c>
      <c r="T143" t="s">
        <v>526</v>
      </c>
      <c r="U143" t="s">
        <v>669</v>
      </c>
    </row>
    <row r="144" spans="1:21" x14ac:dyDescent="0.3">
      <c r="A144" t="s">
        <v>402</v>
      </c>
      <c r="B144" s="126">
        <v>2025</v>
      </c>
      <c r="C144" t="s">
        <v>497</v>
      </c>
      <c r="D144" t="s">
        <v>495</v>
      </c>
      <c r="E144" t="s">
        <v>115</v>
      </c>
      <c r="F144" t="s">
        <v>501</v>
      </c>
      <c r="G144" s="137">
        <v>7</v>
      </c>
      <c r="H144" s="138">
        <v>6.38</v>
      </c>
      <c r="I144" s="138">
        <v>0.74</v>
      </c>
      <c r="J144" s="139">
        <v>0.8</v>
      </c>
      <c r="K144" s="137">
        <v>4.3</v>
      </c>
      <c r="L144" s="137">
        <v>8.4</v>
      </c>
      <c r="M144" t="s">
        <v>499</v>
      </c>
      <c r="N144" t="s">
        <v>525</v>
      </c>
      <c r="O144" t="s">
        <v>112</v>
      </c>
      <c r="P144" s="137">
        <v>9.7178683385579951</v>
      </c>
      <c r="Q144" s="137">
        <v>9.7178683385579951</v>
      </c>
      <c r="R144" s="126">
        <v>6</v>
      </c>
      <c r="S144" t="s">
        <v>521</v>
      </c>
      <c r="T144" t="s">
        <v>526</v>
      </c>
      <c r="U144" t="s">
        <v>670</v>
      </c>
    </row>
    <row r="145" spans="1:21" x14ac:dyDescent="0.3">
      <c r="A145" t="s">
        <v>402</v>
      </c>
      <c r="B145" s="126">
        <v>2025</v>
      </c>
      <c r="C145" t="s">
        <v>497</v>
      </c>
      <c r="D145" t="s">
        <v>495</v>
      </c>
      <c r="E145" t="s">
        <v>115</v>
      </c>
      <c r="F145" t="s">
        <v>502</v>
      </c>
      <c r="G145" s="137">
        <v>48.6</v>
      </c>
      <c r="H145" s="138">
        <v>44.02</v>
      </c>
      <c r="I145" s="138">
        <v>1.47</v>
      </c>
      <c r="J145" s="139">
        <v>3.1</v>
      </c>
      <c r="K145" s="137">
        <v>40</v>
      </c>
      <c r="L145" s="137">
        <v>48</v>
      </c>
      <c r="M145" t="s">
        <v>506</v>
      </c>
      <c r="N145" t="s">
        <v>668</v>
      </c>
      <c r="O145" t="s">
        <v>112</v>
      </c>
      <c r="P145" s="137">
        <v>10.404361653793725</v>
      </c>
      <c r="Q145" s="137">
        <v>10.404361653793725</v>
      </c>
      <c r="R145" s="126">
        <v>6</v>
      </c>
      <c r="S145" t="s">
        <v>521</v>
      </c>
      <c r="T145" t="s">
        <v>526</v>
      </c>
      <c r="U145" t="s">
        <v>671</v>
      </c>
    </row>
    <row r="146" spans="1:21" x14ac:dyDescent="0.3">
      <c r="A146" t="s">
        <v>402</v>
      </c>
      <c r="B146" s="126">
        <v>2025</v>
      </c>
      <c r="C146" t="s">
        <v>497</v>
      </c>
      <c r="D146" t="s">
        <v>495</v>
      </c>
      <c r="E146" t="s">
        <v>115</v>
      </c>
      <c r="F146" t="s">
        <v>503</v>
      </c>
      <c r="G146" s="137">
        <v>21.5</v>
      </c>
      <c r="H146" s="138">
        <v>19.98</v>
      </c>
      <c r="I146" s="138">
        <v>0.9</v>
      </c>
      <c r="J146" s="139">
        <v>1.7</v>
      </c>
      <c r="K146" s="137">
        <v>17.899999999999999</v>
      </c>
      <c r="L146" s="137">
        <v>22</v>
      </c>
      <c r="M146" t="s">
        <v>499</v>
      </c>
      <c r="N146" t="s">
        <v>525</v>
      </c>
      <c r="O146" t="s">
        <v>112</v>
      </c>
      <c r="P146" s="137">
        <v>7.6076076076076058</v>
      </c>
      <c r="Q146" s="137">
        <v>7.6076076076076058</v>
      </c>
      <c r="R146" s="126">
        <v>6</v>
      </c>
      <c r="S146" t="s">
        <v>521</v>
      </c>
      <c r="T146" t="s">
        <v>526</v>
      </c>
      <c r="U146" t="s">
        <v>672</v>
      </c>
    </row>
    <row r="147" spans="1:21" x14ac:dyDescent="0.3">
      <c r="A147" t="s">
        <v>402</v>
      </c>
      <c r="B147" s="126">
        <v>2025</v>
      </c>
      <c r="C147" t="s">
        <v>497</v>
      </c>
      <c r="D147" t="s">
        <v>496</v>
      </c>
      <c r="E147" t="s">
        <v>118</v>
      </c>
      <c r="F147" t="s">
        <v>498</v>
      </c>
      <c r="G147" s="137">
        <v>4.9000000000000004</v>
      </c>
      <c r="H147" s="138">
        <v>5.07</v>
      </c>
      <c r="I147" s="138">
        <v>0.15</v>
      </c>
      <c r="J147" s="139">
        <v>-1.1000000000000001</v>
      </c>
      <c r="K147" s="137">
        <v>4.5</v>
      </c>
      <c r="L147" s="137">
        <v>5.6</v>
      </c>
      <c r="M147" t="s">
        <v>499</v>
      </c>
      <c r="N147" t="s">
        <v>525</v>
      </c>
      <c r="O147" t="s">
        <v>112</v>
      </c>
      <c r="P147" s="137">
        <v>-3.3530571992110438</v>
      </c>
      <c r="Q147" s="137">
        <v>3.3530571992110438</v>
      </c>
      <c r="R147" s="126">
        <v>6</v>
      </c>
      <c r="S147" t="s">
        <v>521</v>
      </c>
      <c r="T147" t="s">
        <v>526</v>
      </c>
      <c r="U147" t="s">
        <v>673</v>
      </c>
    </row>
    <row r="148" spans="1:21" x14ac:dyDescent="0.3">
      <c r="A148" t="s">
        <v>402</v>
      </c>
      <c r="B148" s="126">
        <v>2025</v>
      </c>
      <c r="C148" t="s">
        <v>497</v>
      </c>
      <c r="D148" t="s">
        <v>496</v>
      </c>
      <c r="E148" t="s">
        <v>118</v>
      </c>
      <c r="F148" t="s">
        <v>500</v>
      </c>
      <c r="G148" s="137">
        <v>5.9</v>
      </c>
      <c r="H148" s="138">
        <v>6.02</v>
      </c>
      <c r="I148" s="138">
        <v>0.14000000000000001</v>
      </c>
      <c r="J148" s="139">
        <v>-0.8</v>
      </c>
      <c r="K148" s="137">
        <v>5.4</v>
      </c>
      <c r="L148" s="137">
        <v>6.7</v>
      </c>
      <c r="M148" t="s">
        <v>499</v>
      </c>
      <c r="N148" t="s">
        <v>525</v>
      </c>
      <c r="O148" t="s">
        <v>112</v>
      </c>
      <c r="P148" s="137">
        <v>-1.9933554817275618</v>
      </c>
      <c r="Q148" s="137">
        <v>1.9933554817275618</v>
      </c>
      <c r="R148" s="126">
        <v>6</v>
      </c>
      <c r="S148" t="s">
        <v>521</v>
      </c>
      <c r="T148" t="s">
        <v>526</v>
      </c>
      <c r="U148" t="s">
        <v>674</v>
      </c>
    </row>
    <row r="149" spans="1:21" x14ac:dyDescent="0.3">
      <c r="A149" t="s">
        <v>402</v>
      </c>
      <c r="B149" s="126">
        <v>2025</v>
      </c>
      <c r="C149" t="s">
        <v>497</v>
      </c>
      <c r="D149" t="s">
        <v>496</v>
      </c>
      <c r="E149" t="s">
        <v>118</v>
      </c>
      <c r="F149" t="s">
        <v>501</v>
      </c>
      <c r="G149" s="137">
        <v>5.5</v>
      </c>
      <c r="H149" s="138">
        <v>5.61</v>
      </c>
      <c r="I149" s="138">
        <v>0.14000000000000001</v>
      </c>
      <c r="J149" s="139">
        <v>-0.8</v>
      </c>
      <c r="K149" s="137">
        <v>5</v>
      </c>
      <c r="L149" s="137">
        <v>6.2</v>
      </c>
      <c r="M149" t="s">
        <v>499</v>
      </c>
      <c r="N149" t="s">
        <v>525</v>
      </c>
      <c r="O149" t="s">
        <v>112</v>
      </c>
      <c r="P149" s="137">
        <v>-1.9607843137254957</v>
      </c>
      <c r="Q149" s="137">
        <v>1.9607843137254957</v>
      </c>
      <c r="R149" s="126">
        <v>6</v>
      </c>
      <c r="S149" t="s">
        <v>521</v>
      </c>
      <c r="T149" t="s">
        <v>526</v>
      </c>
      <c r="U149" t="s">
        <v>675</v>
      </c>
    </row>
    <row r="150" spans="1:21" x14ac:dyDescent="0.3">
      <c r="A150" t="s">
        <v>402</v>
      </c>
      <c r="B150" s="126">
        <v>2025</v>
      </c>
      <c r="C150" t="s">
        <v>497</v>
      </c>
      <c r="D150" t="s">
        <v>496</v>
      </c>
      <c r="E150" t="s">
        <v>118</v>
      </c>
      <c r="F150" t="s">
        <v>502</v>
      </c>
      <c r="G150" s="137">
        <v>10.9</v>
      </c>
      <c r="H150" s="138">
        <v>11.01</v>
      </c>
      <c r="I150" s="138">
        <v>0.25</v>
      </c>
      <c r="J150" s="139">
        <v>-0.5</v>
      </c>
      <c r="K150" s="137">
        <v>9.9</v>
      </c>
      <c r="L150" s="137">
        <v>12.2</v>
      </c>
      <c r="M150" t="s">
        <v>499</v>
      </c>
      <c r="N150" t="s">
        <v>525</v>
      </c>
      <c r="O150" t="s">
        <v>112</v>
      </c>
      <c r="P150" s="137">
        <v>-0.99909173478655244</v>
      </c>
      <c r="Q150" s="137">
        <v>0.99909173478655244</v>
      </c>
      <c r="R150" s="126">
        <v>6</v>
      </c>
      <c r="S150" t="s">
        <v>521</v>
      </c>
      <c r="T150" t="s">
        <v>526</v>
      </c>
      <c r="U150" t="s">
        <v>676</v>
      </c>
    </row>
    <row r="151" spans="1:21" x14ac:dyDescent="0.3">
      <c r="A151" t="s">
        <v>402</v>
      </c>
      <c r="B151" s="126">
        <v>2025</v>
      </c>
      <c r="C151" t="s">
        <v>497</v>
      </c>
      <c r="D151" t="s">
        <v>496</v>
      </c>
      <c r="E151" t="s">
        <v>118</v>
      </c>
      <c r="F151" t="s">
        <v>503</v>
      </c>
      <c r="G151" s="137">
        <v>1.8</v>
      </c>
      <c r="H151" s="138">
        <v>1.86</v>
      </c>
      <c r="I151" s="138">
        <v>0.13</v>
      </c>
      <c r="J151" s="139">
        <v>-0.4</v>
      </c>
      <c r="K151" s="137">
        <v>1.6</v>
      </c>
      <c r="L151" s="137">
        <v>2.1</v>
      </c>
      <c r="M151" t="s">
        <v>499</v>
      </c>
      <c r="N151" t="s">
        <v>525</v>
      </c>
      <c r="O151" t="s">
        <v>112</v>
      </c>
      <c r="P151" s="137">
        <v>-3.2258064516129057</v>
      </c>
      <c r="Q151" s="137">
        <v>3.2258064516129057</v>
      </c>
      <c r="R151" s="126">
        <v>6</v>
      </c>
      <c r="S151" t="s">
        <v>521</v>
      </c>
      <c r="T151" t="s">
        <v>526</v>
      </c>
      <c r="U151" t="s">
        <v>677</v>
      </c>
    </row>
    <row r="152" spans="1:21" x14ac:dyDescent="0.3">
      <c r="A152" t="s">
        <v>402</v>
      </c>
      <c r="B152" s="126">
        <v>2025</v>
      </c>
      <c r="C152" t="s">
        <v>507</v>
      </c>
      <c r="D152" t="s">
        <v>467</v>
      </c>
      <c r="E152" t="s">
        <v>124</v>
      </c>
      <c r="F152" t="s">
        <v>508</v>
      </c>
      <c r="G152" s="137">
        <v>177</v>
      </c>
      <c r="H152" s="138">
        <v>174.7</v>
      </c>
      <c r="I152" s="138">
        <v>3.6</v>
      </c>
      <c r="J152" s="139">
        <v>0.6</v>
      </c>
      <c r="K152" s="137">
        <v>148</v>
      </c>
      <c r="L152" s="137">
        <v>201</v>
      </c>
      <c r="M152" t="s">
        <v>499</v>
      </c>
      <c r="N152" t="s">
        <v>525</v>
      </c>
      <c r="O152" t="s">
        <v>123</v>
      </c>
      <c r="P152" s="137">
        <v>1.3165426445334927</v>
      </c>
      <c r="Q152" s="137">
        <v>1.3165426445334927</v>
      </c>
      <c r="R152" s="126">
        <v>6</v>
      </c>
      <c r="S152" t="s">
        <v>522</v>
      </c>
      <c r="T152" t="s">
        <v>526</v>
      </c>
      <c r="U152" t="s">
        <v>678</v>
      </c>
    </row>
    <row r="153" spans="1:21" x14ac:dyDescent="0.3">
      <c r="A153" t="s">
        <v>402</v>
      </c>
      <c r="B153" s="126">
        <v>2025</v>
      </c>
      <c r="C153" t="s">
        <v>507</v>
      </c>
      <c r="D153" t="s">
        <v>467</v>
      </c>
      <c r="E153" t="s">
        <v>124</v>
      </c>
      <c r="F153" t="s">
        <v>509</v>
      </c>
      <c r="G153" s="137">
        <v>12</v>
      </c>
      <c r="H153" s="138">
        <v>11.4</v>
      </c>
      <c r="I153" s="138">
        <v>1.9</v>
      </c>
      <c r="J153" s="139">
        <v>0.3</v>
      </c>
      <c r="K153" s="137">
        <v>5</v>
      </c>
      <c r="L153" s="137">
        <v>18</v>
      </c>
      <c r="M153" t="s">
        <v>499</v>
      </c>
      <c r="N153" t="s">
        <v>525</v>
      </c>
      <c r="O153" t="s">
        <v>123</v>
      </c>
      <c r="P153" s="137">
        <v>5.2631578947368389</v>
      </c>
      <c r="Q153" s="137">
        <v>5.2631578947368389</v>
      </c>
      <c r="R153" s="126">
        <v>6</v>
      </c>
      <c r="S153" t="s">
        <v>522</v>
      </c>
      <c r="T153" t="s">
        <v>526</v>
      </c>
      <c r="U153" t="s">
        <v>679</v>
      </c>
    </row>
    <row r="154" spans="1:21" x14ac:dyDescent="0.3">
      <c r="A154" t="s">
        <v>402</v>
      </c>
      <c r="B154" s="126">
        <v>2025</v>
      </c>
      <c r="C154" t="s">
        <v>507</v>
      </c>
      <c r="D154" t="s">
        <v>467</v>
      </c>
      <c r="E154" t="s">
        <v>124</v>
      </c>
      <c r="F154" t="s">
        <v>510</v>
      </c>
      <c r="G154" s="137">
        <v>148</v>
      </c>
      <c r="H154" s="138">
        <v>147.6</v>
      </c>
      <c r="I154" s="138">
        <v>3.7</v>
      </c>
      <c r="J154" s="139">
        <v>0.1</v>
      </c>
      <c r="K154" s="137">
        <v>125</v>
      </c>
      <c r="L154" s="137">
        <v>170</v>
      </c>
      <c r="M154" t="s">
        <v>499</v>
      </c>
      <c r="N154" t="s">
        <v>525</v>
      </c>
      <c r="O154" t="s">
        <v>123</v>
      </c>
      <c r="P154" s="137">
        <v>0.27100271002710413</v>
      </c>
      <c r="Q154" s="137">
        <v>0.27100271002710413</v>
      </c>
      <c r="R154" s="126">
        <v>6</v>
      </c>
      <c r="S154" t="s">
        <v>522</v>
      </c>
      <c r="T154" t="s">
        <v>526</v>
      </c>
      <c r="U154" t="s">
        <v>680</v>
      </c>
    </row>
    <row r="155" spans="1:21" x14ac:dyDescent="0.3">
      <c r="A155" t="s">
        <v>402</v>
      </c>
      <c r="B155" s="126">
        <v>2025</v>
      </c>
      <c r="C155" t="s">
        <v>507</v>
      </c>
      <c r="D155" t="s">
        <v>467</v>
      </c>
      <c r="E155" t="s">
        <v>124</v>
      </c>
      <c r="F155" t="s">
        <v>511</v>
      </c>
      <c r="G155" s="137">
        <v>33</v>
      </c>
      <c r="H155" s="138">
        <v>38.799999999999997</v>
      </c>
      <c r="I155" s="138">
        <v>2.2000000000000002</v>
      </c>
      <c r="J155" s="139">
        <v>-2.7</v>
      </c>
      <c r="K155" s="137">
        <v>32</v>
      </c>
      <c r="L155" s="137">
        <v>45</v>
      </c>
      <c r="M155" t="s">
        <v>499</v>
      </c>
      <c r="N155" t="s">
        <v>525</v>
      </c>
      <c r="O155" t="s">
        <v>123</v>
      </c>
      <c r="P155" s="137">
        <v>-14.948453608247418</v>
      </c>
      <c r="Q155" s="137">
        <v>14.948453608247418</v>
      </c>
      <c r="R155" s="126">
        <v>6</v>
      </c>
      <c r="S155" t="s">
        <v>522</v>
      </c>
      <c r="T155" t="s">
        <v>526</v>
      </c>
      <c r="U155" t="s">
        <v>681</v>
      </c>
    </row>
    <row r="156" spans="1:21" x14ac:dyDescent="0.3">
      <c r="A156" t="s">
        <v>402</v>
      </c>
      <c r="B156" s="126">
        <v>2025</v>
      </c>
      <c r="C156" t="s">
        <v>507</v>
      </c>
      <c r="D156" t="s">
        <v>467</v>
      </c>
      <c r="E156" t="s">
        <v>124</v>
      </c>
      <c r="F156" t="s">
        <v>512</v>
      </c>
      <c r="G156" s="137">
        <v>120</v>
      </c>
      <c r="H156" s="138">
        <v>120.3</v>
      </c>
      <c r="I156" s="138">
        <v>3.2</v>
      </c>
      <c r="J156" s="139">
        <v>-0.1</v>
      </c>
      <c r="K156" s="137">
        <v>102</v>
      </c>
      <c r="L156" s="137">
        <v>139</v>
      </c>
      <c r="M156" t="s">
        <v>499</v>
      </c>
      <c r="N156" t="s">
        <v>525</v>
      </c>
      <c r="O156" t="s">
        <v>123</v>
      </c>
      <c r="P156" s="137">
        <v>-0.24937655860348892</v>
      </c>
      <c r="Q156" s="137">
        <v>0.24937655860348892</v>
      </c>
      <c r="R156" s="126">
        <v>6</v>
      </c>
      <c r="S156" t="s">
        <v>522</v>
      </c>
      <c r="T156" t="s">
        <v>526</v>
      </c>
      <c r="U156" t="s">
        <v>682</v>
      </c>
    </row>
    <row r="157" spans="1:21" x14ac:dyDescent="0.3">
      <c r="A157" t="s">
        <v>402</v>
      </c>
      <c r="B157" s="126">
        <v>2025</v>
      </c>
      <c r="C157" t="s">
        <v>507</v>
      </c>
      <c r="D157" t="s">
        <v>468</v>
      </c>
      <c r="E157" t="s">
        <v>122</v>
      </c>
      <c r="F157" t="s">
        <v>508</v>
      </c>
      <c r="G157" s="137">
        <v>236</v>
      </c>
      <c r="H157" s="138">
        <v>228.5</v>
      </c>
      <c r="I157" s="138">
        <v>5.6</v>
      </c>
      <c r="J157" s="139">
        <v>1.3</v>
      </c>
      <c r="K157" s="137">
        <v>194</v>
      </c>
      <c r="L157" s="137">
        <v>263</v>
      </c>
      <c r="M157" t="s">
        <v>499</v>
      </c>
      <c r="N157" t="s">
        <v>525</v>
      </c>
      <c r="O157" t="s">
        <v>123</v>
      </c>
      <c r="P157" s="137">
        <v>3.2822757111597372</v>
      </c>
      <c r="Q157" s="137">
        <v>3.2822757111597372</v>
      </c>
      <c r="R157" s="126">
        <v>7</v>
      </c>
      <c r="S157" t="s">
        <v>522</v>
      </c>
      <c r="T157" t="s">
        <v>526</v>
      </c>
      <c r="U157" t="s">
        <v>683</v>
      </c>
    </row>
    <row r="158" spans="1:21" x14ac:dyDescent="0.3">
      <c r="A158" t="s">
        <v>402</v>
      </c>
      <c r="B158" s="126">
        <v>2025</v>
      </c>
      <c r="C158" t="s">
        <v>507</v>
      </c>
      <c r="D158" t="s">
        <v>468</v>
      </c>
      <c r="E158" t="s">
        <v>122</v>
      </c>
      <c r="F158" t="s">
        <v>509</v>
      </c>
      <c r="G158" s="137">
        <v>11</v>
      </c>
      <c r="H158" s="138">
        <v>8.3000000000000007</v>
      </c>
      <c r="I158" s="138">
        <v>1.5</v>
      </c>
      <c r="J158" s="139">
        <v>1.8</v>
      </c>
      <c r="K158" s="137">
        <v>2</v>
      </c>
      <c r="L158" s="137">
        <v>15</v>
      </c>
      <c r="M158" t="s">
        <v>499</v>
      </c>
      <c r="N158" t="s">
        <v>525</v>
      </c>
      <c r="O158" t="s">
        <v>123</v>
      </c>
      <c r="P158" s="137">
        <v>32.530120481927696</v>
      </c>
      <c r="Q158" s="137">
        <v>32.530120481927696</v>
      </c>
      <c r="R158" s="126">
        <v>7</v>
      </c>
      <c r="S158" t="s">
        <v>522</v>
      </c>
      <c r="T158" t="s">
        <v>526</v>
      </c>
      <c r="U158" t="s">
        <v>684</v>
      </c>
    </row>
    <row r="159" spans="1:21" x14ac:dyDescent="0.3">
      <c r="A159" t="s">
        <v>402</v>
      </c>
      <c r="B159" s="126">
        <v>2025</v>
      </c>
      <c r="C159" t="s">
        <v>507</v>
      </c>
      <c r="D159" t="s">
        <v>468</v>
      </c>
      <c r="E159" t="s">
        <v>122</v>
      </c>
      <c r="F159" t="s">
        <v>510</v>
      </c>
      <c r="G159" s="137">
        <v>190</v>
      </c>
      <c r="H159" s="138">
        <v>186.8</v>
      </c>
      <c r="I159" s="138">
        <v>4.9000000000000004</v>
      </c>
      <c r="J159" s="139">
        <v>0.7</v>
      </c>
      <c r="K159" s="137">
        <v>158</v>
      </c>
      <c r="L159" s="137">
        <v>215</v>
      </c>
      <c r="M159" t="s">
        <v>499</v>
      </c>
      <c r="N159" t="s">
        <v>525</v>
      </c>
      <c r="O159" t="s">
        <v>123</v>
      </c>
      <c r="P159" s="137">
        <v>1.7130620985010645</v>
      </c>
      <c r="Q159" s="137">
        <v>1.7130620985010645</v>
      </c>
      <c r="R159" s="126">
        <v>7</v>
      </c>
      <c r="S159" t="s">
        <v>522</v>
      </c>
      <c r="T159" t="s">
        <v>526</v>
      </c>
      <c r="U159" t="s">
        <v>685</v>
      </c>
    </row>
    <row r="160" spans="1:21" x14ac:dyDescent="0.3">
      <c r="A160" t="s">
        <v>402</v>
      </c>
      <c r="B160" s="126">
        <v>2025</v>
      </c>
      <c r="C160" t="s">
        <v>507</v>
      </c>
      <c r="D160" t="s">
        <v>468</v>
      </c>
      <c r="E160" t="s">
        <v>122</v>
      </c>
      <c r="F160" t="s">
        <v>511</v>
      </c>
      <c r="G160" s="137">
        <v>45</v>
      </c>
      <c r="H160" s="138">
        <v>40.1</v>
      </c>
      <c r="I160" s="138">
        <v>2.2999999999999998</v>
      </c>
      <c r="J160" s="139">
        <v>2.2000000000000002</v>
      </c>
      <c r="K160" s="137">
        <v>34</v>
      </c>
      <c r="L160" s="137">
        <v>47</v>
      </c>
      <c r="M160" t="s">
        <v>499</v>
      </c>
      <c r="N160" t="s">
        <v>525</v>
      </c>
      <c r="O160" t="s">
        <v>123</v>
      </c>
      <c r="P160" s="137">
        <v>12.219451371571068</v>
      </c>
      <c r="Q160" s="137">
        <v>12.219451371571068</v>
      </c>
      <c r="R160" s="126">
        <v>7</v>
      </c>
      <c r="S160" t="s">
        <v>522</v>
      </c>
      <c r="T160" t="s">
        <v>526</v>
      </c>
      <c r="U160" t="s">
        <v>686</v>
      </c>
    </row>
    <row r="161" spans="1:21" x14ac:dyDescent="0.3">
      <c r="A161" t="s">
        <v>402</v>
      </c>
      <c r="B161" s="126">
        <v>2025</v>
      </c>
      <c r="C161" t="s">
        <v>507</v>
      </c>
      <c r="D161" t="s">
        <v>468</v>
      </c>
      <c r="E161" t="s">
        <v>122</v>
      </c>
      <c r="F161" t="s">
        <v>512</v>
      </c>
      <c r="G161" s="137">
        <v>151</v>
      </c>
      <c r="H161" s="138">
        <v>144.5</v>
      </c>
      <c r="I161" s="138">
        <v>4.3</v>
      </c>
      <c r="J161" s="139">
        <v>1.5</v>
      </c>
      <c r="K161" s="137">
        <v>122</v>
      </c>
      <c r="L161" s="137">
        <v>167</v>
      </c>
      <c r="M161" t="s">
        <v>499</v>
      </c>
      <c r="N161" t="s">
        <v>525</v>
      </c>
      <c r="O161" t="s">
        <v>123</v>
      </c>
      <c r="P161" s="137">
        <v>4.4982698961937722</v>
      </c>
      <c r="Q161" s="137">
        <v>4.4982698961937722</v>
      </c>
      <c r="R161" s="126">
        <v>7</v>
      </c>
      <c r="S161" t="s">
        <v>522</v>
      </c>
      <c r="T161" t="s">
        <v>526</v>
      </c>
      <c r="U161" t="s">
        <v>687</v>
      </c>
    </row>
    <row r="162" spans="1:21" x14ac:dyDescent="0.3">
      <c r="A162" t="s">
        <v>402</v>
      </c>
      <c r="B162" s="126">
        <v>2025</v>
      </c>
      <c r="C162" t="s">
        <v>507</v>
      </c>
      <c r="D162" t="s">
        <v>469</v>
      </c>
      <c r="E162" t="s">
        <v>130</v>
      </c>
      <c r="F162" t="s">
        <v>508</v>
      </c>
      <c r="G162" s="137">
        <v>2</v>
      </c>
      <c r="H162" s="138">
        <v>2.0099999999999998</v>
      </c>
      <c r="I162" s="138">
        <v>0.05</v>
      </c>
      <c r="J162" s="139">
        <v>-0.2</v>
      </c>
      <c r="K162" s="137">
        <v>1.8</v>
      </c>
      <c r="L162" s="137">
        <v>2.2000000000000002</v>
      </c>
      <c r="M162" t="s">
        <v>499</v>
      </c>
      <c r="N162" t="s">
        <v>525</v>
      </c>
      <c r="O162" t="s">
        <v>129</v>
      </c>
      <c r="P162" s="137">
        <v>-0.49751243781093468</v>
      </c>
      <c r="Q162" s="137">
        <v>0.49751243781093468</v>
      </c>
      <c r="R162" s="126">
        <v>6</v>
      </c>
      <c r="S162" t="s">
        <v>522</v>
      </c>
      <c r="T162" t="s">
        <v>526</v>
      </c>
      <c r="U162" t="s">
        <v>688</v>
      </c>
    </row>
    <row r="163" spans="1:21" x14ac:dyDescent="0.3">
      <c r="A163" t="s">
        <v>402</v>
      </c>
      <c r="B163" s="126">
        <v>2025</v>
      </c>
      <c r="C163" t="s">
        <v>507</v>
      </c>
      <c r="D163" t="s">
        <v>469</v>
      </c>
      <c r="E163" t="s">
        <v>130</v>
      </c>
      <c r="F163" t="s">
        <v>509</v>
      </c>
      <c r="G163" s="137">
        <v>1.3</v>
      </c>
      <c r="H163" s="138">
        <v>1.26</v>
      </c>
      <c r="I163" s="138">
        <v>0.06</v>
      </c>
      <c r="J163" s="139">
        <v>0.7</v>
      </c>
      <c r="K163" s="137">
        <v>1.1000000000000001</v>
      </c>
      <c r="L163" s="137">
        <v>1.4</v>
      </c>
      <c r="M163" t="s">
        <v>499</v>
      </c>
      <c r="N163" t="s">
        <v>525</v>
      </c>
      <c r="O163" t="s">
        <v>129</v>
      </c>
      <c r="P163" s="137">
        <v>3.1746031746031771</v>
      </c>
      <c r="Q163" s="137">
        <v>3.1746031746031771</v>
      </c>
      <c r="R163" s="126">
        <v>6</v>
      </c>
      <c r="S163" t="s">
        <v>522</v>
      </c>
      <c r="T163" t="s">
        <v>526</v>
      </c>
      <c r="U163" t="s">
        <v>689</v>
      </c>
    </row>
    <row r="164" spans="1:21" x14ac:dyDescent="0.3">
      <c r="A164" t="s">
        <v>402</v>
      </c>
      <c r="B164" s="126">
        <v>2025</v>
      </c>
      <c r="C164" t="s">
        <v>507</v>
      </c>
      <c r="D164" t="s">
        <v>469</v>
      </c>
      <c r="E164" t="s">
        <v>130</v>
      </c>
      <c r="F164" t="s">
        <v>510</v>
      </c>
      <c r="G164" s="137">
        <v>2.5</v>
      </c>
      <c r="H164" s="138">
        <v>2.58</v>
      </c>
      <c r="I164" s="138">
        <v>7.0000000000000007E-2</v>
      </c>
      <c r="J164" s="139">
        <v>-1.2</v>
      </c>
      <c r="K164" s="137">
        <v>2.2999999999999998</v>
      </c>
      <c r="L164" s="137">
        <v>2.8</v>
      </c>
      <c r="M164" t="s">
        <v>499</v>
      </c>
      <c r="N164" t="s">
        <v>525</v>
      </c>
      <c r="O164" t="s">
        <v>129</v>
      </c>
      <c r="P164" s="137">
        <v>-3.1007751937984525</v>
      </c>
      <c r="Q164" s="137">
        <v>3.1007751937984525</v>
      </c>
      <c r="R164" s="126">
        <v>6</v>
      </c>
      <c r="S164" t="s">
        <v>522</v>
      </c>
      <c r="T164" t="s">
        <v>526</v>
      </c>
      <c r="U164" t="s">
        <v>690</v>
      </c>
    </row>
    <row r="165" spans="1:21" x14ac:dyDescent="0.3">
      <c r="A165" t="s">
        <v>402</v>
      </c>
      <c r="B165" s="126">
        <v>2025</v>
      </c>
      <c r="C165" t="s">
        <v>507</v>
      </c>
      <c r="D165" t="s">
        <v>469</v>
      </c>
      <c r="E165" t="s">
        <v>130</v>
      </c>
      <c r="F165" t="s">
        <v>511</v>
      </c>
      <c r="G165" s="137">
        <v>2</v>
      </c>
      <c r="H165" s="138">
        <v>2.1</v>
      </c>
      <c r="I165" s="138">
        <v>0.06</v>
      </c>
      <c r="J165" s="139">
        <v>-1.7</v>
      </c>
      <c r="K165" s="137">
        <v>1.9</v>
      </c>
      <c r="L165" s="137">
        <v>2.2999999999999998</v>
      </c>
      <c r="M165" t="s">
        <v>499</v>
      </c>
      <c r="N165" t="s">
        <v>525</v>
      </c>
      <c r="O165" t="s">
        <v>129</v>
      </c>
      <c r="P165" s="137">
        <v>-4.7619047619047654</v>
      </c>
      <c r="Q165" s="137">
        <v>4.7619047619047654</v>
      </c>
      <c r="R165" s="126">
        <v>6</v>
      </c>
      <c r="S165" t="s">
        <v>522</v>
      </c>
      <c r="T165" t="s">
        <v>526</v>
      </c>
      <c r="U165" t="s">
        <v>691</v>
      </c>
    </row>
    <row r="166" spans="1:21" x14ac:dyDescent="0.3">
      <c r="A166" t="s">
        <v>402</v>
      </c>
      <c r="B166" s="126">
        <v>2025</v>
      </c>
      <c r="C166" t="s">
        <v>507</v>
      </c>
      <c r="D166" t="s">
        <v>469</v>
      </c>
      <c r="E166" t="s">
        <v>130</v>
      </c>
      <c r="F166" t="s">
        <v>512</v>
      </c>
      <c r="G166" s="137">
        <v>3</v>
      </c>
      <c r="H166" s="138">
        <v>3.14</v>
      </c>
      <c r="I166" s="138">
        <v>7.0000000000000007E-2</v>
      </c>
      <c r="J166" s="139">
        <v>-2</v>
      </c>
      <c r="K166" s="137">
        <v>2.8</v>
      </c>
      <c r="L166" s="137">
        <v>3.4</v>
      </c>
      <c r="M166" t="s">
        <v>499</v>
      </c>
      <c r="N166" t="s">
        <v>525</v>
      </c>
      <c r="O166" t="s">
        <v>129</v>
      </c>
      <c r="P166" s="137">
        <v>-4.4585987261146531</v>
      </c>
      <c r="Q166" s="137">
        <v>4.4585987261146531</v>
      </c>
      <c r="R166" s="126">
        <v>6</v>
      </c>
      <c r="S166" t="s">
        <v>522</v>
      </c>
      <c r="T166" t="s">
        <v>526</v>
      </c>
      <c r="U166" t="s">
        <v>692</v>
      </c>
    </row>
    <row r="167" spans="1:21" x14ac:dyDescent="0.3">
      <c r="A167" t="s">
        <v>402</v>
      </c>
      <c r="B167" s="126">
        <v>2025</v>
      </c>
      <c r="C167" t="s">
        <v>507</v>
      </c>
      <c r="D167" t="s">
        <v>470</v>
      </c>
      <c r="E167" t="s">
        <v>125</v>
      </c>
      <c r="F167" t="s">
        <v>508</v>
      </c>
      <c r="G167" s="137">
        <v>305</v>
      </c>
      <c r="H167" s="138">
        <v>297.7</v>
      </c>
      <c r="I167" s="138">
        <v>8.6</v>
      </c>
      <c r="J167" s="139">
        <v>0.9</v>
      </c>
      <c r="K167" s="137">
        <v>238</v>
      </c>
      <c r="L167" s="137">
        <v>358</v>
      </c>
      <c r="M167" t="s">
        <v>499</v>
      </c>
      <c r="N167" t="s">
        <v>525</v>
      </c>
      <c r="O167" t="s">
        <v>123</v>
      </c>
      <c r="P167" s="137">
        <v>2.4521330198186133</v>
      </c>
      <c r="Q167" s="137">
        <v>2.4521330198186133</v>
      </c>
      <c r="R167" s="126">
        <v>7</v>
      </c>
      <c r="S167" t="s">
        <v>522</v>
      </c>
      <c r="T167" t="s">
        <v>526</v>
      </c>
      <c r="U167" t="s">
        <v>693</v>
      </c>
    </row>
    <row r="168" spans="1:21" x14ac:dyDescent="0.3">
      <c r="A168" t="s">
        <v>402</v>
      </c>
      <c r="B168" s="126">
        <v>2025</v>
      </c>
      <c r="C168" t="s">
        <v>507</v>
      </c>
      <c r="D168" t="s">
        <v>470</v>
      </c>
      <c r="E168" t="s">
        <v>125</v>
      </c>
      <c r="F168" t="s">
        <v>509</v>
      </c>
      <c r="G168" s="137">
        <v>28</v>
      </c>
      <c r="H168" s="138">
        <v>24.6</v>
      </c>
      <c r="I168" s="138">
        <v>2.5</v>
      </c>
      <c r="J168" s="139">
        <v>1.4</v>
      </c>
      <c r="K168" s="137">
        <v>19</v>
      </c>
      <c r="L168" s="137">
        <v>30</v>
      </c>
      <c r="M168" t="s">
        <v>499</v>
      </c>
      <c r="N168" t="s">
        <v>525</v>
      </c>
      <c r="O168" t="s">
        <v>123</v>
      </c>
      <c r="P168" s="137">
        <v>13.821138211382108</v>
      </c>
      <c r="Q168" s="137">
        <v>13.821138211382108</v>
      </c>
      <c r="R168" s="126">
        <v>7</v>
      </c>
      <c r="S168" t="s">
        <v>522</v>
      </c>
      <c r="T168" t="s">
        <v>526</v>
      </c>
      <c r="U168" t="s">
        <v>694</v>
      </c>
    </row>
    <row r="169" spans="1:21" x14ac:dyDescent="0.3">
      <c r="A169" t="s">
        <v>402</v>
      </c>
      <c r="B169" s="126">
        <v>2025</v>
      </c>
      <c r="C169" t="s">
        <v>507</v>
      </c>
      <c r="D169" t="s">
        <v>470</v>
      </c>
      <c r="E169" t="s">
        <v>125</v>
      </c>
      <c r="F169" t="s">
        <v>510</v>
      </c>
      <c r="G169" s="137">
        <v>254</v>
      </c>
      <c r="H169" s="138">
        <v>235.1</v>
      </c>
      <c r="I169" s="138">
        <v>7.4</v>
      </c>
      <c r="J169" s="139">
        <v>2.6</v>
      </c>
      <c r="K169" s="137">
        <v>188</v>
      </c>
      <c r="L169" s="137">
        <v>283</v>
      </c>
      <c r="M169" t="s">
        <v>499</v>
      </c>
      <c r="N169" t="s">
        <v>525</v>
      </c>
      <c r="O169" t="s">
        <v>123</v>
      </c>
      <c r="P169" s="137">
        <v>8.0391322841344142</v>
      </c>
      <c r="Q169" s="137">
        <v>8.0391322841344142</v>
      </c>
      <c r="R169" s="126">
        <v>7</v>
      </c>
      <c r="S169" t="s">
        <v>522</v>
      </c>
      <c r="T169" t="s">
        <v>526</v>
      </c>
      <c r="U169" t="s">
        <v>695</v>
      </c>
    </row>
    <row r="170" spans="1:21" x14ac:dyDescent="0.3">
      <c r="A170" t="s">
        <v>402</v>
      </c>
      <c r="B170" s="126">
        <v>2025</v>
      </c>
      <c r="C170" t="s">
        <v>507</v>
      </c>
      <c r="D170" t="s">
        <v>470</v>
      </c>
      <c r="E170" t="s">
        <v>125</v>
      </c>
      <c r="F170" t="s">
        <v>511</v>
      </c>
      <c r="G170" s="137">
        <v>61</v>
      </c>
      <c r="H170" s="138">
        <v>55.1</v>
      </c>
      <c r="I170" s="138">
        <v>3.1</v>
      </c>
      <c r="J170" s="139">
        <v>1.9</v>
      </c>
      <c r="K170" s="137">
        <v>44</v>
      </c>
      <c r="L170" s="137">
        <v>67</v>
      </c>
      <c r="M170" t="s">
        <v>499</v>
      </c>
      <c r="N170" t="s">
        <v>525</v>
      </c>
      <c r="O170" t="s">
        <v>123</v>
      </c>
      <c r="P170" s="137">
        <v>10.70780399274047</v>
      </c>
      <c r="Q170" s="137">
        <v>10.70780399274047</v>
      </c>
      <c r="R170" s="126">
        <v>7</v>
      </c>
      <c r="S170" t="s">
        <v>522</v>
      </c>
      <c r="T170" t="s">
        <v>526</v>
      </c>
      <c r="U170" t="s">
        <v>696</v>
      </c>
    </row>
    <row r="171" spans="1:21" x14ac:dyDescent="0.3">
      <c r="A171" t="s">
        <v>402</v>
      </c>
      <c r="B171" s="126">
        <v>2025</v>
      </c>
      <c r="C171" t="s">
        <v>507</v>
      </c>
      <c r="D171" t="s">
        <v>470</v>
      </c>
      <c r="E171" t="s">
        <v>125</v>
      </c>
      <c r="F171" t="s">
        <v>512</v>
      </c>
      <c r="G171" s="137">
        <v>194</v>
      </c>
      <c r="H171" s="138">
        <v>175.4</v>
      </c>
      <c r="I171" s="138">
        <v>6.5</v>
      </c>
      <c r="J171" s="139">
        <v>2.9</v>
      </c>
      <c r="K171" s="137">
        <v>140</v>
      </c>
      <c r="L171" s="137">
        <v>211</v>
      </c>
      <c r="M171" t="s">
        <v>499</v>
      </c>
      <c r="N171" t="s">
        <v>525</v>
      </c>
      <c r="O171" t="s">
        <v>123</v>
      </c>
      <c r="P171" s="137">
        <v>10.604332953249711</v>
      </c>
      <c r="Q171" s="137">
        <v>10.604332953249711</v>
      </c>
      <c r="R171" s="126">
        <v>7</v>
      </c>
      <c r="S171" t="s">
        <v>522</v>
      </c>
      <c r="T171" t="s">
        <v>526</v>
      </c>
      <c r="U171" t="s">
        <v>697</v>
      </c>
    </row>
    <row r="172" spans="1:21" x14ac:dyDescent="0.3">
      <c r="A172" t="s">
        <v>402</v>
      </c>
      <c r="B172" s="126">
        <v>2025</v>
      </c>
      <c r="C172" t="s">
        <v>507</v>
      </c>
      <c r="D172" t="s">
        <v>471</v>
      </c>
      <c r="E172" t="s">
        <v>137</v>
      </c>
      <c r="F172" t="s">
        <v>508</v>
      </c>
      <c r="G172" s="137">
        <v>324</v>
      </c>
      <c r="H172" s="138">
        <v>325.39999999999998</v>
      </c>
      <c r="I172" s="138">
        <v>4</v>
      </c>
      <c r="J172" s="139">
        <v>-0.4</v>
      </c>
      <c r="K172" s="137">
        <v>260</v>
      </c>
      <c r="L172" s="137">
        <v>391</v>
      </c>
      <c r="M172" t="s">
        <v>499</v>
      </c>
      <c r="N172" t="s">
        <v>525</v>
      </c>
      <c r="O172" t="s">
        <v>123</v>
      </c>
      <c r="P172" s="137">
        <v>-0.43023970497848102</v>
      </c>
      <c r="Q172" s="137">
        <v>0.43023970497848102</v>
      </c>
      <c r="R172" s="126">
        <v>7</v>
      </c>
      <c r="S172" t="s">
        <v>522</v>
      </c>
      <c r="T172" t="s">
        <v>526</v>
      </c>
      <c r="U172" t="s">
        <v>698</v>
      </c>
    </row>
    <row r="173" spans="1:21" x14ac:dyDescent="0.3">
      <c r="A173" t="s">
        <v>402</v>
      </c>
      <c r="B173" s="126">
        <v>2025</v>
      </c>
      <c r="C173" t="s">
        <v>507</v>
      </c>
      <c r="D173" t="s">
        <v>471</v>
      </c>
      <c r="E173" t="s">
        <v>137</v>
      </c>
      <c r="F173" t="s">
        <v>509</v>
      </c>
      <c r="G173" s="137">
        <v>28</v>
      </c>
      <c r="H173" s="138">
        <v>28.6</v>
      </c>
      <c r="I173" s="138">
        <v>1.1000000000000001</v>
      </c>
      <c r="J173" s="139">
        <v>-0.6</v>
      </c>
      <c r="K173" s="137">
        <v>22</v>
      </c>
      <c r="L173" s="137">
        <v>35</v>
      </c>
      <c r="M173" t="s">
        <v>499</v>
      </c>
      <c r="N173" t="s">
        <v>525</v>
      </c>
      <c r="O173" t="s">
        <v>123</v>
      </c>
      <c r="P173" s="137">
        <v>-2.0979020979021028</v>
      </c>
      <c r="Q173" s="137">
        <v>2.0979020979021028</v>
      </c>
      <c r="R173" s="126">
        <v>7</v>
      </c>
      <c r="S173" t="s">
        <v>522</v>
      </c>
      <c r="T173" t="s">
        <v>526</v>
      </c>
      <c r="U173" t="s">
        <v>699</v>
      </c>
    </row>
    <row r="174" spans="1:21" x14ac:dyDescent="0.3">
      <c r="A174" t="s">
        <v>402</v>
      </c>
      <c r="B174" s="126">
        <v>2025</v>
      </c>
      <c r="C174" t="s">
        <v>507</v>
      </c>
      <c r="D174" t="s">
        <v>471</v>
      </c>
      <c r="E174" t="s">
        <v>137</v>
      </c>
      <c r="F174" t="s">
        <v>510</v>
      </c>
      <c r="G174" s="137">
        <v>255</v>
      </c>
      <c r="H174" s="138">
        <v>255.5</v>
      </c>
      <c r="I174" s="138">
        <v>3</v>
      </c>
      <c r="J174" s="139">
        <v>-0.2</v>
      </c>
      <c r="K174" s="137">
        <v>204</v>
      </c>
      <c r="L174" s="137">
        <v>307</v>
      </c>
      <c r="M174" t="s">
        <v>499</v>
      </c>
      <c r="N174" t="s">
        <v>525</v>
      </c>
      <c r="O174" t="s">
        <v>123</v>
      </c>
      <c r="P174" s="137">
        <v>-0.19569471624266144</v>
      </c>
      <c r="Q174" s="137">
        <v>0.19569471624266144</v>
      </c>
      <c r="R174" s="126">
        <v>7</v>
      </c>
      <c r="S174" t="s">
        <v>522</v>
      </c>
      <c r="T174" t="s">
        <v>526</v>
      </c>
      <c r="U174" t="s">
        <v>700</v>
      </c>
    </row>
    <row r="175" spans="1:21" x14ac:dyDescent="0.3">
      <c r="A175" t="s">
        <v>402</v>
      </c>
      <c r="B175" s="126">
        <v>2025</v>
      </c>
      <c r="C175" t="s">
        <v>507</v>
      </c>
      <c r="D175" t="s">
        <v>471</v>
      </c>
      <c r="E175" t="s">
        <v>137</v>
      </c>
      <c r="F175" t="s">
        <v>511</v>
      </c>
      <c r="G175" s="137">
        <v>56</v>
      </c>
      <c r="H175" s="138">
        <v>56.5</v>
      </c>
      <c r="I175" s="138">
        <v>1.1000000000000001</v>
      </c>
      <c r="J175" s="139">
        <v>-0.5</v>
      </c>
      <c r="K175" s="137">
        <v>45</v>
      </c>
      <c r="L175" s="137">
        <v>68</v>
      </c>
      <c r="M175" t="s">
        <v>499</v>
      </c>
      <c r="N175" t="s">
        <v>525</v>
      </c>
      <c r="O175" t="s">
        <v>123</v>
      </c>
      <c r="P175" s="137">
        <v>-0.88495575221238942</v>
      </c>
      <c r="Q175" s="137">
        <v>0.88495575221238942</v>
      </c>
      <c r="R175" s="126">
        <v>7</v>
      </c>
      <c r="S175" t="s">
        <v>522</v>
      </c>
      <c r="T175" t="s">
        <v>526</v>
      </c>
      <c r="U175" t="s">
        <v>701</v>
      </c>
    </row>
    <row r="176" spans="1:21" x14ac:dyDescent="0.3">
      <c r="A176" t="s">
        <v>402</v>
      </c>
      <c r="B176" s="126">
        <v>2025</v>
      </c>
      <c r="C176" t="s">
        <v>507</v>
      </c>
      <c r="D176" t="s">
        <v>471</v>
      </c>
      <c r="E176" t="s">
        <v>137</v>
      </c>
      <c r="F176" t="s">
        <v>512</v>
      </c>
      <c r="G176" s="137">
        <v>185</v>
      </c>
      <c r="H176" s="138">
        <v>184.8</v>
      </c>
      <c r="I176" s="138">
        <v>2.2999999999999998</v>
      </c>
      <c r="J176" s="139">
        <v>0.1</v>
      </c>
      <c r="K176" s="137">
        <v>147</v>
      </c>
      <c r="L176" s="137">
        <v>222</v>
      </c>
      <c r="M176" t="s">
        <v>499</v>
      </c>
      <c r="N176" t="s">
        <v>525</v>
      </c>
      <c r="O176" t="s">
        <v>123</v>
      </c>
      <c r="P176" s="137">
        <v>0.10822510822510206</v>
      </c>
      <c r="Q176" s="137">
        <v>0.10822510822510206</v>
      </c>
      <c r="R176" s="126">
        <v>7</v>
      </c>
      <c r="S176" t="s">
        <v>522</v>
      </c>
      <c r="T176" t="s">
        <v>526</v>
      </c>
      <c r="U176" t="s">
        <v>702</v>
      </c>
    </row>
    <row r="177" spans="1:21" x14ac:dyDescent="0.3">
      <c r="A177" t="s">
        <v>402</v>
      </c>
      <c r="B177" s="126">
        <v>2025</v>
      </c>
      <c r="C177" t="s">
        <v>507</v>
      </c>
      <c r="D177" t="s">
        <v>472</v>
      </c>
      <c r="E177" t="s">
        <v>341</v>
      </c>
      <c r="F177" t="s">
        <v>508</v>
      </c>
      <c r="G177" s="137">
        <v>0.1</v>
      </c>
      <c r="H177" s="138">
        <v>0.11</v>
      </c>
      <c r="I177" s="138">
        <v>0.03</v>
      </c>
      <c r="J177" s="139">
        <v>-0.4</v>
      </c>
      <c r="K177" s="137">
        <v>0</v>
      </c>
      <c r="L177" s="137">
        <v>0.6</v>
      </c>
      <c r="M177" t="s">
        <v>499</v>
      </c>
      <c r="N177" t="s">
        <v>525</v>
      </c>
      <c r="O177" t="s">
        <v>112</v>
      </c>
      <c r="P177" s="137">
        <v>-9.0909090909090864</v>
      </c>
      <c r="Q177" s="137">
        <v>9.0909090909090864</v>
      </c>
      <c r="R177" s="126">
        <v>2</v>
      </c>
      <c r="S177" t="s">
        <v>522</v>
      </c>
      <c r="T177" t="s">
        <v>526</v>
      </c>
      <c r="U177" t="s">
        <v>703</v>
      </c>
    </row>
    <row r="178" spans="1:21" x14ac:dyDescent="0.3">
      <c r="A178" t="s">
        <v>402</v>
      </c>
      <c r="B178" s="126">
        <v>2025</v>
      </c>
      <c r="C178" t="s">
        <v>507</v>
      </c>
      <c r="D178" t="s">
        <v>472</v>
      </c>
      <c r="E178" t="s">
        <v>341</v>
      </c>
      <c r="F178" t="s">
        <v>509</v>
      </c>
      <c r="G178" s="137">
        <v>0.7</v>
      </c>
      <c r="H178" s="138">
        <v>0.83</v>
      </c>
      <c r="I178" s="138">
        <v>0.12</v>
      </c>
      <c r="J178" s="139">
        <v>-1.1000000000000001</v>
      </c>
      <c r="K178" s="137">
        <v>0.4</v>
      </c>
      <c r="L178" s="137">
        <v>1.3</v>
      </c>
      <c r="M178" t="s">
        <v>499</v>
      </c>
      <c r="N178" t="s">
        <v>525</v>
      </c>
      <c r="O178" t="s">
        <v>112</v>
      </c>
      <c r="P178" s="137">
        <v>-15.66265060240964</v>
      </c>
      <c r="Q178" s="137">
        <v>15.66265060240964</v>
      </c>
      <c r="R178" s="126">
        <v>2</v>
      </c>
      <c r="S178" t="s">
        <v>522</v>
      </c>
      <c r="T178" t="s">
        <v>526</v>
      </c>
      <c r="U178" t="s">
        <v>704</v>
      </c>
    </row>
    <row r="179" spans="1:21" x14ac:dyDescent="0.3">
      <c r="A179" t="s">
        <v>402</v>
      </c>
      <c r="B179" s="126">
        <v>2025</v>
      </c>
      <c r="C179" t="s">
        <v>507</v>
      </c>
      <c r="D179" t="s">
        <v>472</v>
      </c>
      <c r="E179" t="s">
        <v>341</v>
      </c>
      <c r="F179" t="s">
        <v>510</v>
      </c>
      <c r="G179" s="137">
        <v>0.1</v>
      </c>
      <c r="H179" s="138">
        <v>0.18</v>
      </c>
      <c r="I179" s="138">
        <v>0.05</v>
      </c>
      <c r="J179" s="139">
        <v>-1.5</v>
      </c>
      <c r="K179" s="137">
        <v>0</v>
      </c>
      <c r="L179" s="137">
        <v>0.6</v>
      </c>
      <c r="M179" t="s">
        <v>499</v>
      </c>
      <c r="N179" t="s">
        <v>525</v>
      </c>
      <c r="O179" t="s">
        <v>112</v>
      </c>
      <c r="P179" s="137">
        <v>-44.444444444444443</v>
      </c>
      <c r="Q179" s="137">
        <v>44.444444444444443</v>
      </c>
      <c r="R179" s="126">
        <v>2</v>
      </c>
      <c r="S179" t="s">
        <v>522</v>
      </c>
      <c r="T179" t="s">
        <v>526</v>
      </c>
      <c r="U179" t="s">
        <v>705</v>
      </c>
    </row>
    <row r="180" spans="1:21" x14ac:dyDescent="0.3">
      <c r="A180" t="s">
        <v>402</v>
      </c>
      <c r="B180" s="126">
        <v>2025</v>
      </c>
      <c r="C180" t="s">
        <v>507</v>
      </c>
      <c r="D180" t="s">
        <v>472</v>
      </c>
      <c r="E180" t="s">
        <v>341</v>
      </c>
      <c r="F180" t="s">
        <v>511</v>
      </c>
      <c r="G180" s="137">
        <v>0.6</v>
      </c>
      <c r="H180" s="138">
        <v>0.69</v>
      </c>
      <c r="I180" s="138">
        <v>0.1</v>
      </c>
      <c r="J180" s="139">
        <v>-0.9</v>
      </c>
      <c r="K180" s="137">
        <v>0.2</v>
      </c>
      <c r="L180" s="137">
        <v>1.1000000000000001</v>
      </c>
      <c r="M180" t="s">
        <v>499</v>
      </c>
      <c r="N180" t="s">
        <v>525</v>
      </c>
      <c r="O180" t="s">
        <v>112</v>
      </c>
      <c r="P180" s="137">
        <v>-13.043478260869563</v>
      </c>
      <c r="Q180" s="137">
        <v>13.043478260869563</v>
      </c>
      <c r="R180" s="126">
        <v>2</v>
      </c>
      <c r="S180" t="s">
        <v>522</v>
      </c>
      <c r="T180" t="s">
        <v>526</v>
      </c>
      <c r="U180" t="s">
        <v>706</v>
      </c>
    </row>
    <row r="181" spans="1:21" x14ac:dyDescent="0.3">
      <c r="A181" t="s">
        <v>402</v>
      </c>
      <c r="B181" s="126">
        <v>2025</v>
      </c>
      <c r="C181" t="s">
        <v>507</v>
      </c>
      <c r="D181" t="s">
        <v>472</v>
      </c>
      <c r="E181" t="s">
        <v>341</v>
      </c>
      <c r="F181" t="s">
        <v>512</v>
      </c>
      <c r="G181" s="137">
        <v>0.2</v>
      </c>
      <c r="H181" s="138">
        <v>0.27</v>
      </c>
      <c r="I181" s="138">
        <v>0.06</v>
      </c>
      <c r="J181" s="139">
        <v>-1.1000000000000001</v>
      </c>
      <c r="K181" s="137">
        <v>0</v>
      </c>
      <c r="L181" s="137">
        <v>0.7</v>
      </c>
      <c r="M181" t="s">
        <v>499</v>
      </c>
      <c r="N181" t="s">
        <v>525</v>
      </c>
      <c r="O181" t="s">
        <v>112</v>
      </c>
      <c r="P181" s="137">
        <v>-25.925925925925924</v>
      </c>
      <c r="Q181" s="137">
        <v>25.925925925925924</v>
      </c>
      <c r="R181" s="126">
        <v>2</v>
      </c>
      <c r="S181" t="s">
        <v>522</v>
      </c>
      <c r="T181" t="s">
        <v>526</v>
      </c>
      <c r="U181" t="s">
        <v>707</v>
      </c>
    </row>
    <row r="182" spans="1:21" x14ac:dyDescent="0.3">
      <c r="A182" t="s">
        <v>402</v>
      </c>
      <c r="B182" s="126">
        <v>2025</v>
      </c>
      <c r="C182" t="s">
        <v>507</v>
      </c>
      <c r="D182" t="s">
        <v>473</v>
      </c>
      <c r="E182" t="s">
        <v>127</v>
      </c>
      <c r="F182" t="s">
        <v>508</v>
      </c>
      <c r="G182" s="137">
        <v>0.6</v>
      </c>
      <c r="H182" s="138">
        <v>0.69</v>
      </c>
      <c r="I182" s="138">
        <v>0.16</v>
      </c>
      <c r="J182" s="139">
        <v>-0.5</v>
      </c>
      <c r="K182" s="137">
        <v>0.2</v>
      </c>
      <c r="L182" s="137">
        <v>1.1000000000000001</v>
      </c>
      <c r="M182" t="s">
        <v>499</v>
      </c>
      <c r="N182" t="s">
        <v>525</v>
      </c>
      <c r="O182" t="s">
        <v>112</v>
      </c>
      <c r="P182" s="137">
        <v>-13.043478260869563</v>
      </c>
      <c r="Q182" s="137">
        <v>13.043478260869563</v>
      </c>
      <c r="R182" s="126">
        <v>2</v>
      </c>
      <c r="S182" t="s">
        <v>522</v>
      </c>
      <c r="T182" t="s">
        <v>526</v>
      </c>
      <c r="U182" t="s">
        <v>708</v>
      </c>
    </row>
    <row r="183" spans="1:21" x14ac:dyDescent="0.3">
      <c r="A183" t="s">
        <v>402</v>
      </c>
      <c r="B183" s="126">
        <v>2025</v>
      </c>
      <c r="C183" t="s">
        <v>507</v>
      </c>
      <c r="D183" t="s">
        <v>473</v>
      </c>
      <c r="E183" t="s">
        <v>127</v>
      </c>
      <c r="F183" t="s">
        <v>509</v>
      </c>
      <c r="G183" s="137">
        <v>4.9000000000000004</v>
      </c>
      <c r="H183" s="138">
        <v>5.29</v>
      </c>
      <c r="I183" s="138">
        <v>0.35</v>
      </c>
      <c r="J183" s="139">
        <v>-1.1000000000000001</v>
      </c>
      <c r="K183" s="137">
        <v>4.2</v>
      </c>
      <c r="L183" s="137">
        <v>6.4</v>
      </c>
      <c r="M183" t="s">
        <v>499</v>
      </c>
      <c r="N183" t="s">
        <v>525</v>
      </c>
      <c r="O183" t="s">
        <v>112</v>
      </c>
      <c r="P183" s="137">
        <v>-7.3724007561436613</v>
      </c>
      <c r="Q183" s="137">
        <v>7.3724007561436613</v>
      </c>
      <c r="R183" s="126">
        <v>2</v>
      </c>
      <c r="S183" t="s">
        <v>522</v>
      </c>
      <c r="T183" t="s">
        <v>526</v>
      </c>
      <c r="U183" t="s">
        <v>709</v>
      </c>
    </row>
    <row r="184" spans="1:21" x14ac:dyDescent="0.3">
      <c r="A184" t="s">
        <v>402</v>
      </c>
      <c r="B184" s="126">
        <v>2025</v>
      </c>
      <c r="C184" t="s">
        <v>507</v>
      </c>
      <c r="D184" t="s">
        <v>473</v>
      </c>
      <c r="E184" t="s">
        <v>127</v>
      </c>
      <c r="F184" t="s">
        <v>510</v>
      </c>
      <c r="G184" s="137">
        <v>1</v>
      </c>
      <c r="H184" s="138">
        <v>1.1499999999999999</v>
      </c>
      <c r="I184" s="138">
        <v>0.25</v>
      </c>
      <c r="J184" s="139">
        <v>-0.6</v>
      </c>
      <c r="K184" s="137">
        <v>0.7</v>
      </c>
      <c r="L184" s="137">
        <v>1.6</v>
      </c>
      <c r="M184" t="s">
        <v>499</v>
      </c>
      <c r="N184" t="s">
        <v>525</v>
      </c>
      <c r="O184" t="s">
        <v>112</v>
      </c>
      <c r="P184" s="137">
        <v>-13.043478260869559</v>
      </c>
      <c r="Q184" s="137">
        <v>13.043478260869559</v>
      </c>
      <c r="R184" s="126">
        <v>2</v>
      </c>
      <c r="S184" t="s">
        <v>522</v>
      </c>
      <c r="T184" t="s">
        <v>526</v>
      </c>
      <c r="U184" t="s">
        <v>710</v>
      </c>
    </row>
    <row r="185" spans="1:21" x14ac:dyDescent="0.3">
      <c r="A185" t="s">
        <v>402</v>
      </c>
      <c r="B185" s="126">
        <v>2025</v>
      </c>
      <c r="C185" t="s">
        <v>507</v>
      </c>
      <c r="D185" t="s">
        <v>473</v>
      </c>
      <c r="E185" t="s">
        <v>127</v>
      </c>
      <c r="F185" t="s">
        <v>511</v>
      </c>
      <c r="G185" s="137">
        <v>4.0999999999999996</v>
      </c>
      <c r="H185" s="138">
        <v>4.1900000000000004</v>
      </c>
      <c r="I185" s="138">
        <v>0.33</v>
      </c>
      <c r="J185" s="139">
        <v>-0.3</v>
      </c>
      <c r="K185" s="137">
        <v>3.3</v>
      </c>
      <c r="L185" s="137">
        <v>5.0999999999999996</v>
      </c>
      <c r="M185" t="s">
        <v>499</v>
      </c>
      <c r="N185" t="s">
        <v>525</v>
      </c>
      <c r="O185" t="s">
        <v>112</v>
      </c>
      <c r="P185" s="137">
        <v>-2.1479713603818791</v>
      </c>
      <c r="Q185" s="137">
        <v>2.1479713603818791</v>
      </c>
      <c r="R185" s="126">
        <v>2</v>
      </c>
      <c r="S185" t="s">
        <v>522</v>
      </c>
      <c r="T185" t="s">
        <v>526</v>
      </c>
      <c r="U185" t="s">
        <v>711</v>
      </c>
    </row>
    <row r="186" spans="1:21" x14ac:dyDescent="0.3">
      <c r="A186" t="s">
        <v>402</v>
      </c>
      <c r="B186" s="126">
        <v>2025</v>
      </c>
      <c r="C186" t="s">
        <v>507</v>
      </c>
      <c r="D186" t="s">
        <v>473</v>
      </c>
      <c r="E186" t="s">
        <v>127</v>
      </c>
      <c r="F186" t="s">
        <v>512</v>
      </c>
      <c r="G186" s="137">
        <v>1.6</v>
      </c>
      <c r="H186" s="138">
        <v>1.67</v>
      </c>
      <c r="I186" s="138">
        <v>0.26</v>
      </c>
      <c r="J186" s="139">
        <v>-0.3</v>
      </c>
      <c r="K186" s="137">
        <v>1.2</v>
      </c>
      <c r="L186" s="137">
        <v>2.1</v>
      </c>
      <c r="M186" t="s">
        <v>499</v>
      </c>
      <c r="N186" t="s">
        <v>525</v>
      </c>
      <c r="O186" t="s">
        <v>112</v>
      </c>
      <c r="P186" s="137">
        <v>-4.1916167664670567</v>
      </c>
      <c r="Q186" s="137">
        <v>4.1916167664670567</v>
      </c>
      <c r="R186" s="126">
        <v>2</v>
      </c>
      <c r="S186" t="s">
        <v>522</v>
      </c>
      <c r="T186" t="s">
        <v>526</v>
      </c>
      <c r="U186" t="s">
        <v>712</v>
      </c>
    </row>
    <row r="187" spans="1:21" x14ac:dyDescent="0.3">
      <c r="A187" t="s">
        <v>402</v>
      </c>
      <c r="B187" s="126">
        <v>2025</v>
      </c>
      <c r="C187" t="s">
        <v>507</v>
      </c>
      <c r="D187" t="s">
        <v>474</v>
      </c>
      <c r="E187" t="s">
        <v>353</v>
      </c>
      <c r="F187" t="s">
        <v>508</v>
      </c>
      <c r="G187" s="137">
        <v>32</v>
      </c>
      <c r="H187" s="138">
        <v>24.6</v>
      </c>
      <c r="I187" s="138">
        <v>1.4</v>
      </c>
      <c r="J187" s="139">
        <v>5.4</v>
      </c>
      <c r="K187" s="137">
        <v>19</v>
      </c>
      <c r="L187" s="137">
        <v>30</v>
      </c>
      <c r="M187" t="s">
        <v>506</v>
      </c>
      <c r="N187" t="s">
        <v>668</v>
      </c>
      <c r="O187" t="s">
        <v>134</v>
      </c>
      <c r="P187" s="137">
        <v>30.08130081300812</v>
      </c>
      <c r="Q187" s="137">
        <v>30.08130081300812</v>
      </c>
      <c r="R187" s="126">
        <v>3</v>
      </c>
      <c r="S187" t="s">
        <v>522</v>
      </c>
      <c r="T187" t="s">
        <v>526</v>
      </c>
      <c r="U187" t="s">
        <v>713</v>
      </c>
    </row>
    <row r="188" spans="1:21" x14ac:dyDescent="0.3">
      <c r="A188" t="s">
        <v>402</v>
      </c>
      <c r="B188" s="126">
        <v>2025</v>
      </c>
      <c r="C188" t="s">
        <v>507</v>
      </c>
      <c r="D188" t="s">
        <v>474</v>
      </c>
      <c r="E188" t="s">
        <v>353</v>
      </c>
      <c r="F188" t="s">
        <v>509</v>
      </c>
      <c r="G188" s="137">
        <v>41</v>
      </c>
      <c r="H188" s="138">
        <v>32.1</v>
      </c>
      <c r="I188" s="138">
        <v>1.5</v>
      </c>
      <c r="J188" s="139">
        <v>6</v>
      </c>
      <c r="K188" s="137">
        <v>25</v>
      </c>
      <c r="L188" s="137">
        <v>39</v>
      </c>
      <c r="M188" t="s">
        <v>506</v>
      </c>
      <c r="N188" t="s">
        <v>668</v>
      </c>
      <c r="O188" t="s">
        <v>134</v>
      </c>
      <c r="P188" s="137">
        <v>27.725856697819307</v>
      </c>
      <c r="Q188" s="137">
        <v>27.725856697819307</v>
      </c>
      <c r="R188" s="126">
        <v>3</v>
      </c>
      <c r="S188" t="s">
        <v>522</v>
      </c>
      <c r="T188" t="s">
        <v>526</v>
      </c>
      <c r="U188" t="s">
        <v>714</v>
      </c>
    </row>
    <row r="189" spans="1:21" x14ac:dyDescent="0.3">
      <c r="A189" t="s">
        <v>402</v>
      </c>
      <c r="B189" s="126">
        <v>2025</v>
      </c>
      <c r="C189" t="s">
        <v>507</v>
      </c>
      <c r="D189" t="s">
        <v>474</v>
      </c>
      <c r="E189" t="s">
        <v>353</v>
      </c>
      <c r="F189" t="s">
        <v>510</v>
      </c>
      <c r="G189" s="137">
        <v>39</v>
      </c>
      <c r="H189" s="138">
        <v>29.1</v>
      </c>
      <c r="I189" s="138">
        <v>1.5</v>
      </c>
      <c r="J189" s="139">
        <v>6.8</v>
      </c>
      <c r="K189" s="137">
        <v>23</v>
      </c>
      <c r="L189" s="137">
        <v>35</v>
      </c>
      <c r="M189" t="s">
        <v>506</v>
      </c>
      <c r="N189" t="s">
        <v>668</v>
      </c>
      <c r="O189" t="s">
        <v>134</v>
      </c>
      <c r="P189" s="137">
        <v>34.020618556701024</v>
      </c>
      <c r="Q189" s="137">
        <v>34.020618556701024</v>
      </c>
      <c r="R189" s="126">
        <v>3</v>
      </c>
      <c r="S189" t="s">
        <v>522</v>
      </c>
      <c r="T189" t="s">
        <v>526</v>
      </c>
      <c r="U189" t="s">
        <v>715</v>
      </c>
    </row>
    <row r="190" spans="1:21" x14ac:dyDescent="0.3">
      <c r="A190" t="s">
        <v>402</v>
      </c>
      <c r="B190" s="126">
        <v>2025</v>
      </c>
      <c r="C190" t="s">
        <v>507</v>
      </c>
      <c r="D190" t="s">
        <v>474</v>
      </c>
      <c r="E190" t="s">
        <v>353</v>
      </c>
      <c r="F190" t="s">
        <v>511</v>
      </c>
      <c r="G190" s="137">
        <v>46</v>
      </c>
      <c r="H190" s="138">
        <v>34</v>
      </c>
      <c r="I190" s="138">
        <v>1.7</v>
      </c>
      <c r="J190" s="139">
        <v>7</v>
      </c>
      <c r="K190" s="137">
        <v>27</v>
      </c>
      <c r="L190" s="137">
        <v>41</v>
      </c>
      <c r="M190" t="s">
        <v>506</v>
      </c>
      <c r="N190" t="s">
        <v>668</v>
      </c>
      <c r="O190" t="s">
        <v>134</v>
      </c>
      <c r="P190" s="137">
        <v>35.294117647058826</v>
      </c>
      <c r="Q190" s="137">
        <v>35.294117647058826</v>
      </c>
      <c r="R190" s="126">
        <v>3</v>
      </c>
      <c r="S190" t="s">
        <v>522</v>
      </c>
      <c r="T190" t="s">
        <v>526</v>
      </c>
      <c r="U190" t="s">
        <v>716</v>
      </c>
    </row>
    <row r="191" spans="1:21" x14ac:dyDescent="0.3">
      <c r="A191" t="s">
        <v>402</v>
      </c>
      <c r="B191" s="126">
        <v>2025</v>
      </c>
      <c r="C191" t="s">
        <v>507</v>
      </c>
      <c r="D191" t="s">
        <v>474</v>
      </c>
      <c r="E191" t="s">
        <v>353</v>
      </c>
      <c r="F191" t="s">
        <v>512</v>
      </c>
      <c r="G191" s="137">
        <v>43</v>
      </c>
      <c r="H191" s="138">
        <v>34.1</v>
      </c>
      <c r="I191" s="138">
        <v>1.7</v>
      </c>
      <c r="J191" s="139">
        <v>5.2</v>
      </c>
      <c r="K191" s="137">
        <v>27</v>
      </c>
      <c r="L191" s="137">
        <v>41</v>
      </c>
      <c r="M191" t="s">
        <v>506</v>
      </c>
      <c r="N191" t="s">
        <v>668</v>
      </c>
      <c r="O191" t="s">
        <v>134</v>
      </c>
      <c r="P191" s="137">
        <v>26.09970674486803</v>
      </c>
      <c r="Q191" s="137">
        <v>26.09970674486803</v>
      </c>
      <c r="R191" s="126">
        <v>3</v>
      </c>
      <c r="S191" t="s">
        <v>522</v>
      </c>
      <c r="T191" t="s">
        <v>526</v>
      </c>
      <c r="U191" t="s">
        <v>717</v>
      </c>
    </row>
    <row r="192" spans="1:21" x14ac:dyDescent="0.3">
      <c r="A192" t="s">
        <v>402</v>
      </c>
      <c r="B192" s="126">
        <v>2025</v>
      </c>
      <c r="C192" t="s">
        <v>507</v>
      </c>
      <c r="D192" t="s">
        <v>475</v>
      </c>
      <c r="E192" t="s">
        <v>131</v>
      </c>
      <c r="F192" t="s">
        <v>508</v>
      </c>
      <c r="G192" s="137">
        <v>11.9</v>
      </c>
      <c r="H192" s="138">
        <v>11.997</v>
      </c>
      <c r="I192" s="138">
        <v>0.25</v>
      </c>
      <c r="J192" s="139">
        <v>-0.4</v>
      </c>
      <c r="K192" s="137">
        <v>10.99</v>
      </c>
      <c r="L192" s="137">
        <v>13</v>
      </c>
      <c r="M192" t="s">
        <v>499</v>
      </c>
      <c r="N192" t="s">
        <v>525</v>
      </c>
      <c r="O192" t="s">
        <v>112</v>
      </c>
      <c r="P192" s="137">
        <v>-0.80853546720012948</v>
      </c>
      <c r="Q192" s="137">
        <v>0.80853546720012948</v>
      </c>
      <c r="R192" s="126">
        <v>2</v>
      </c>
      <c r="S192" t="s">
        <v>522</v>
      </c>
      <c r="T192" t="s">
        <v>526</v>
      </c>
      <c r="U192" t="s">
        <v>718</v>
      </c>
    </row>
    <row r="193" spans="1:21" x14ac:dyDescent="0.3">
      <c r="A193" t="s">
        <v>402</v>
      </c>
      <c r="B193" s="126">
        <v>2025</v>
      </c>
      <c r="C193" t="s">
        <v>507</v>
      </c>
      <c r="D193" t="s">
        <v>475</v>
      </c>
      <c r="E193" t="s">
        <v>131</v>
      </c>
      <c r="F193" t="s">
        <v>509</v>
      </c>
      <c r="G193" s="137">
        <v>9.9</v>
      </c>
      <c r="H193" s="138">
        <v>9.8030000000000008</v>
      </c>
      <c r="I193" s="138">
        <v>0.20100000000000001</v>
      </c>
      <c r="J193" s="139">
        <v>0.5</v>
      </c>
      <c r="K193" s="137">
        <v>8.8000000000000007</v>
      </c>
      <c r="L193" s="137">
        <v>10.81</v>
      </c>
      <c r="M193" t="s">
        <v>499</v>
      </c>
      <c r="N193" t="s">
        <v>525</v>
      </c>
      <c r="O193" t="s">
        <v>112</v>
      </c>
      <c r="P193" s="137">
        <v>0.98949301234315545</v>
      </c>
      <c r="Q193" s="137">
        <v>0.98949301234315545</v>
      </c>
      <c r="R193" s="126">
        <v>2</v>
      </c>
      <c r="S193" t="s">
        <v>522</v>
      </c>
      <c r="T193" t="s">
        <v>526</v>
      </c>
      <c r="U193" t="s">
        <v>719</v>
      </c>
    </row>
    <row r="194" spans="1:21" x14ac:dyDescent="0.3">
      <c r="A194" t="s">
        <v>402</v>
      </c>
      <c r="B194" s="126">
        <v>2025</v>
      </c>
      <c r="C194" t="s">
        <v>507</v>
      </c>
      <c r="D194" t="s">
        <v>475</v>
      </c>
      <c r="E194" t="s">
        <v>131</v>
      </c>
      <c r="F194" t="s">
        <v>510</v>
      </c>
      <c r="G194" s="137">
        <v>10.9</v>
      </c>
      <c r="H194" s="138">
        <v>10.619</v>
      </c>
      <c r="I194" s="138">
        <v>0.20799999999999999</v>
      </c>
      <c r="J194" s="139">
        <v>1.4</v>
      </c>
      <c r="K194" s="137">
        <v>9.61</v>
      </c>
      <c r="L194" s="137">
        <v>11.62</v>
      </c>
      <c r="M194" t="s">
        <v>499</v>
      </c>
      <c r="N194" t="s">
        <v>525</v>
      </c>
      <c r="O194" t="s">
        <v>112</v>
      </c>
      <c r="P194" s="137">
        <v>2.6462002071758226</v>
      </c>
      <c r="Q194" s="137">
        <v>2.6462002071758226</v>
      </c>
      <c r="R194" s="126">
        <v>2</v>
      </c>
      <c r="S194" t="s">
        <v>522</v>
      </c>
      <c r="T194" t="s">
        <v>526</v>
      </c>
      <c r="U194" t="s">
        <v>720</v>
      </c>
    </row>
    <row r="195" spans="1:21" x14ac:dyDescent="0.3">
      <c r="A195" t="s">
        <v>402</v>
      </c>
      <c r="B195" s="126">
        <v>2025</v>
      </c>
      <c r="C195" t="s">
        <v>507</v>
      </c>
      <c r="D195" t="s">
        <v>475</v>
      </c>
      <c r="E195" t="s">
        <v>131</v>
      </c>
      <c r="F195" t="s">
        <v>511</v>
      </c>
      <c r="G195" s="137">
        <v>9.3000000000000007</v>
      </c>
      <c r="H195" s="138">
        <v>9.1709999999999994</v>
      </c>
      <c r="I195" s="138">
        <v>0.189</v>
      </c>
      <c r="J195" s="139">
        <v>0.7</v>
      </c>
      <c r="K195" s="137">
        <v>8.17</v>
      </c>
      <c r="L195" s="137">
        <v>10.18</v>
      </c>
      <c r="M195" t="s">
        <v>499</v>
      </c>
      <c r="N195" t="s">
        <v>525</v>
      </c>
      <c r="O195" t="s">
        <v>112</v>
      </c>
      <c r="P195" s="137">
        <v>1.4066077854105479</v>
      </c>
      <c r="Q195" s="137">
        <v>1.4066077854105479</v>
      </c>
      <c r="R195" s="126">
        <v>2</v>
      </c>
      <c r="S195" t="s">
        <v>522</v>
      </c>
      <c r="T195" t="s">
        <v>526</v>
      </c>
      <c r="U195" t="s">
        <v>721</v>
      </c>
    </row>
    <row r="196" spans="1:21" x14ac:dyDescent="0.3">
      <c r="A196" t="s">
        <v>402</v>
      </c>
      <c r="B196" s="126">
        <v>2025</v>
      </c>
      <c r="C196" t="s">
        <v>507</v>
      </c>
      <c r="D196" t="s">
        <v>475</v>
      </c>
      <c r="E196" t="s">
        <v>131</v>
      </c>
      <c r="F196" t="s">
        <v>512</v>
      </c>
      <c r="G196" s="137">
        <v>9.3000000000000007</v>
      </c>
      <c r="H196" s="138">
        <v>9.2270000000000003</v>
      </c>
      <c r="I196" s="138">
        <v>0.187</v>
      </c>
      <c r="J196" s="139">
        <v>0.4</v>
      </c>
      <c r="K196" s="137">
        <v>8.2200000000000006</v>
      </c>
      <c r="L196" s="137">
        <v>10.23</v>
      </c>
      <c r="M196" t="s">
        <v>499</v>
      </c>
      <c r="N196" t="s">
        <v>525</v>
      </c>
      <c r="O196" t="s">
        <v>112</v>
      </c>
      <c r="P196" s="137">
        <v>0.79115638885878825</v>
      </c>
      <c r="Q196" s="137">
        <v>0.79115638885878825</v>
      </c>
      <c r="R196" s="126">
        <v>2</v>
      </c>
      <c r="S196" t="s">
        <v>522</v>
      </c>
      <c r="T196" t="s">
        <v>526</v>
      </c>
      <c r="U196" t="s">
        <v>722</v>
      </c>
    </row>
    <row r="197" spans="1:21" x14ac:dyDescent="0.3">
      <c r="A197" t="s">
        <v>402</v>
      </c>
      <c r="B197" s="126">
        <v>2025</v>
      </c>
      <c r="C197" t="s">
        <v>507</v>
      </c>
      <c r="D197" t="s">
        <v>476</v>
      </c>
      <c r="E197" t="s">
        <v>136</v>
      </c>
      <c r="F197" t="s">
        <v>508</v>
      </c>
      <c r="G197" s="137">
        <v>93</v>
      </c>
      <c r="H197" s="138">
        <v>90.4</v>
      </c>
      <c r="I197" s="138">
        <v>1.3</v>
      </c>
      <c r="J197" s="139">
        <v>2.1</v>
      </c>
      <c r="K197" s="137">
        <v>85</v>
      </c>
      <c r="L197" s="137">
        <v>95</v>
      </c>
      <c r="M197" t="s">
        <v>499</v>
      </c>
      <c r="N197" t="s">
        <v>525</v>
      </c>
      <c r="O197" t="s">
        <v>134</v>
      </c>
      <c r="P197" s="137">
        <v>2.8761061946902586</v>
      </c>
      <c r="Q197" s="137">
        <v>2.8761061946902586</v>
      </c>
      <c r="R197" s="126">
        <v>3</v>
      </c>
      <c r="S197" t="s">
        <v>522</v>
      </c>
      <c r="T197" t="s">
        <v>526</v>
      </c>
      <c r="U197" t="s">
        <v>723</v>
      </c>
    </row>
    <row r="198" spans="1:21" x14ac:dyDescent="0.3">
      <c r="A198" t="s">
        <v>402</v>
      </c>
      <c r="B198" s="126">
        <v>2025</v>
      </c>
      <c r="C198" t="s">
        <v>507</v>
      </c>
      <c r="D198" t="s">
        <v>476</v>
      </c>
      <c r="E198" t="s">
        <v>136</v>
      </c>
      <c r="F198" t="s">
        <v>509</v>
      </c>
      <c r="G198" s="137">
        <v>111</v>
      </c>
      <c r="H198" s="138">
        <v>105.6</v>
      </c>
      <c r="I198" s="138">
        <v>1.4</v>
      </c>
      <c r="J198" s="139">
        <v>4</v>
      </c>
      <c r="K198" s="137">
        <v>100</v>
      </c>
      <c r="L198" s="137">
        <v>111</v>
      </c>
      <c r="M198" t="s">
        <v>499</v>
      </c>
      <c r="N198" t="s">
        <v>525</v>
      </c>
      <c r="O198" t="s">
        <v>134</v>
      </c>
      <c r="P198" s="137">
        <v>5.1136363636363695</v>
      </c>
      <c r="Q198" s="137">
        <v>5.1136363636363695</v>
      </c>
      <c r="R198" s="126">
        <v>3</v>
      </c>
      <c r="S198" t="s">
        <v>522</v>
      </c>
      <c r="T198" t="s">
        <v>526</v>
      </c>
      <c r="U198" t="s">
        <v>724</v>
      </c>
    </row>
    <row r="199" spans="1:21" x14ac:dyDescent="0.3">
      <c r="A199" t="s">
        <v>402</v>
      </c>
      <c r="B199" s="126">
        <v>2025</v>
      </c>
      <c r="C199" t="s">
        <v>507</v>
      </c>
      <c r="D199" t="s">
        <v>476</v>
      </c>
      <c r="E199" t="s">
        <v>136</v>
      </c>
      <c r="F199" t="s">
        <v>510</v>
      </c>
      <c r="G199" s="137">
        <v>102</v>
      </c>
      <c r="H199" s="138">
        <v>97.4</v>
      </c>
      <c r="I199" s="138">
        <v>1.3</v>
      </c>
      <c r="J199" s="139">
        <v>3.6</v>
      </c>
      <c r="K199" s="137">
        <v>92</v>
      </c>
      <c r="L199" s="137">
        <v>103</v>
      </c>
      <c r="M199" t="s">
        <v>499</v>
      </c>
      <c r="N199" t="s">
        <v>525</v>
      </c>
      <c r="O199" t="s">
        <v>134</v>
      </c>
      <c r="P199" s="137">
        <v>4.7227926078028686</v>
      </c>
      <c r="Q199" s="137">
        <v>4.7227926078028686</v>
      </c>
      <c r="R199" s="126">
        <v>3</v>
      </c>
      <c r="S199" t="s">
        <v>522</v>
      </c>
      <c r="T199" t="s">
        <v>526</v>
      </c>
      <c r="U199" t="s">
        <v>725</v>
      </c>
    </row>
    <row r="200" spans="1:21" x14ac:dyDescent="0.3">
      <c r="A200" t="s">
        <v>402</v>
      </c>
      <c r="B200" s="126">
        <v>2025</v>
      </c>
      <c r="C200" t="s">
        <v>507</v>
      </c>
      <c r="D200" t="s">
        <v>476</v>
      </c>
      <c r="E200" t="s">
        <v>136</v>
      </c>
      <c r="F200" t="s">
        <v>511</v>
      </c>
      <c r="G200" s="137">
        <v>114</v>
      </c>
      <c r="H200" s="138">
        <v>107.5</v>
      </c>
      <c r="I200" s="138">
        <v>1.4</v>
      </c>
      <c r="J200" s="139">
        <v>4.7</v>
      </c>
      <c r="K200" s="137">
        <v>102</v>
      </c>
      <c r="L200" s="137">
        <v>113</v>
      </c>
      <c r="M200" t="s">
        <v>506</v>
      </c>
      <c r="N200" t="s">
        <v>668</v>
      </c>
      <c r="O200" t="s">
        <v>134</v>
      </c>
      <c r="P200" s="137">
        <v>6.0465116279069768</v>
      </c>
      <c r="Q200" s="137">
        <v>6.0465116279069768</v>
      </c>
      <c r="R200" s="126">
        <v>3</v>
      </c>
      <c r="S200" t="s">
        <v>522</v>
      </c>
      <c r="T200" t="s">
        <v>526</v>
      </c>
      <c r="U200" t="s">
        <v>726</v>
      </c>
    </row>
    <row r="201" spans="1:21" x14ac:dyDescent="0.3">
      <c r="A201" t="s">
        <v>402</v>
      </c>
      <c r="B201" s="126">
        <v>2025</v>
      </c>
      <c r="C201" t="s">
        <v>507</v>
      </c>
      <c r="D201" t="s">
        <v>476</v>
      </c>
      <c r="E201" t="s">
        <v>136</v>
      </c>
      <c r="F201" t="s">
        <v>512</v>
      </c>
      <c r="G201" s="137">
        <v>112</v>
      </c>
      <c r="H201" s="138">
        <v>104.4</v>
      </c>
      <c r="I201" s="138">
        <v>1.4</v>
      </c>
      <c r="J201" s="139">
        <v>5.4</v>
      </c>
      <c r="K201" s="137">
        <v>99</v>
      </c>
      <c r="L201" s="137">
        <v>110</v>
      </c>
      <c r="M201" t="s">
        <v>506</v>
      </c>
      <c r="N201" t="s">
        <v>668</v>
      </c>
      <c r="O201" t="s">
        <v>134</v>
      </c>
      <c r="P201" s="137">
        <v>7.2796934865900331</v>
      </c>
      <c r="Q201" s="137">
        <v>7.2796934865900331</v>
      </c>
      <c r="R201" s="126">
        <v>3</v>
      </c>
      <c r="S201" t="s">
        <v>522</v>
      </c>
      <c r="T201" t="s">
        <v>526</v>
      </c>
      <c r="U201" t="s">
        <v>727</v>
      </c>
    </row>
    <row r="202" spans="1:21" x14ac:dyDescent="0.3">
      <c r="A202" t="s">
        <v>402</v>
      </c>
      <c r="B202" s="126">
        <v>2025</v>
      </c>
      <c r="C202" t="s">
        <v>507</v>
      </c>
      <c r="D202" t="s">
        <v>477</v>
      </c>
      <c r="E202" t="s">
        <v>119</v>
      </c>
      <c r="F202" t="s">
        <v>508</v>
      </c>
      <c r="G202" s="137">
        <v>163</v>
      </c>
      <c r="H202" s="138">
        <v>163.23699999999999</v>
      </c>
      <c r="I202" s="138">
        <v>4.2039999999999997</v>
      </c>
      <c r="J202" s="139">
        <v>-0.1</v>
      </c>
      <c r="K202" s="137">
        <v>146.91</v>
      </c>
      <c r="L202" s="137">
        <v>179.57</v>
      </c>
      <c r="M202" t="s">
        <v>499</v>
      </c>
      <c r="N202" t="s">
        <v>525</v>
      </c>
      <c r="O202" t="s">
        <v>112</v>
      </c>
      <c r="P202" s="137">
        <v>-0.14518767191261467</v>
      </c>
      <c r="Q202" s="137">
        <v>0.14518767191261467</v>
      </c>
      <c r="R202" s="126">
        <v>3</v>
      </c>
      <c r="S202" t="s">
        <v>522</v>
      </c>
      <c r="T202" t="s">
        <v>526</v>
      </c>
      <c r="U202" t="s">
        <v>728</v>
      </c>
    </row>
    <row r="203" spans="1:21" x14ac:dyDescent="0.3">
      <c r="A203" t="s">
        <v>402</v>
      </c>
      <c r="B203" s="126">
        <v>2025</v>
      </c>
      <c r="C203" t="s">
        <v>507</v>
      </c>
      <c r="D203" t="s">
        <v>477</v>
      </c>
      <c r="E203" t="s">
        <v>119</v>
      </c>
      <c r="F203" t="s">
        <v>509</v>
      </c>
      <c r="G203" s="137">
        <v>69</v>
      </c>
      <c r="H203" s="138">
        <v>74.915000000000006</v>
      </c>
      <c r="I203" s="138">
        <v>5.0170000000000003</v>
      </c>
      <c r="J203" s="139">
        <v>-1.2</v>
      </c>
      <c r="K203" s="137">
        <v>67.42</v>
      </c>
      <c r="L203" s="137">
        <v>82.41</v>
      </c>
      <c r="M203" t="s">
        <v>499</v>
      </c>
      <c r="N203" t="s">
        <v>525</v>
      </c>
      <c r="O203" t="s">
        <v>112</v>
      </c>
      <c r="P203" s="137">
        <v>-7.8956150303677575</v>
      </c>
      <c r="Q203" s="137">
        <v>7.8956150303677575</v>
      </c>
      <c r="R203" s="126">
        <v>3</v>
      </c>
      <c r="S203" t="s">
        <v>522</v>
      </c>
      <c r="T203" t="s">
        <v>526</v>
      </c>
      <c r="U203" t="s">
        <v>729</v>
      </c>
    </row>
    <row r="204" spans="1:21" x14ac:dyDescent="0.3">
      <c r="A204" t="s">
        <v>402</v>
      </c>
      <c r="B204" s="126">
        <v>2025</v>
      </c>
      <c r="C204" t="s">
        <v>507</v>
      </c>
      <c r="D204" t="s">
        <v>477</v>
      </c>
      <c r="E204" t="s">
        <v>119</v>
      </c>
      <c r="F204" t="s">
        <v>510</v>
      </c>
      <c r="G204" s="137">
        <v>178</v>
      </c>
      <c r="H204" s="138">
        <v>177.68600000000001</v>
      </c>
      <c r="I204" s="138">
        <v>4.4400000000000004</v>
      </c>
      <c r="J204" s="139">
        <v>0.1</v>
      </c>
      <c r="K204" s="137">
        <v>159.91</v>
      </c>
      <c r="L204" s="137">
        <v>195.46</v>
      </c>
      <c r="M204" t="s">
        <v>499</v>
      </c>
      <c r="N204" t="s">
        <v>525</v>
      </c>
      <c r="O204" t="s">
        <v>112</v>
      </c>
      <c r="P204" s="137">
        <v>0.17671622975360635</v>
      </c>
      <c r="Q204" s="137">
        <v>0.17671622975360635</v>
      </c>
      <c r="R204" s="126">
        <v>3</v>
      </c>
      <c r="S204" t="s">
        <v>522</v>
      </c>
      <c r="T204" t="s">
        <v>526</v>
      </c>
      <c r="U204" t="s">
        <v>730</v>
      </c>
    </row>
    <row r="205" spans="1:21" x14ac:dyDescent="0.3">
      <c r="A205" t="s">
        <v>402</v>
      </c>
      <c r="B205" s="126">
        <v>2025</v>
      </c>
      <c r="C205" t="s">
        <v>507</v>
      </c>
      <c r="D205" t="s">
        <v>477</v>
      </c>
      <c r="E205" t="s">
        <v>119</v>
      </c>
      <c r="F205" t="s">
        <v>511</v>
      </c>
      <c r="G205" s="137">
        <v>115</v>
      </c>
      <c r="H205" s="138">
        <v>118.092</v>
      </c>
      <c r="I205" s="138">
        <v>4.2439999999999998</v>
      </c>
      <c r="J205" s="139">
        <v>-0.7</v>
      </c>
      <c r="K205" s="137">
        <v>106.28</v>
      </c>
      <c r="L205" s="137">
        <v>129.91</v>
      </c>
      <c r="M205" t="s">
        <v>499</v>
      </c>
      <c r="N205" t="s">
        <v>525</v>
      </c>
      <c r="O205" t="s">
        <v>112</v>
      </c>
      <c r="P205" s="137">
        <v>-2.6182975984825383</v>
      </c>
      <c r="Q205" s="137">
        <v>2.6182975984825383</v>
      </c>
      <c r="R205" s="126">
        <v>3</v>
      </c>
      <c r="S205" t="s">
        <v>522</v>
      </c>
      <c r="T205" t="s">
        <v>526</v>
      </c>
      <c r="U205" t="s">
        <v>731</v>
      </c>
    </row>
    <row r="206" spans="1:21" x14ac:dyDescent="0.3">
      <c r="A206" t="s">
        <v>402</v>
      </c>
      <c r="B206" s="126">
        <v>2025</v>
      </c>
      <c r="C206" t="s">
        <v>507</v>
      </c>
      <c r="D206" t="s">
        <v>477</v>
      </c>
      <c r="E206" t="s">
        <v>119</v>
      </c>
      <c r="F206" t="s">
        <v>512</v>
      </c>
      <c r="G206" s="137">
        <v>194</v>
      </c>
      <c r="H206" s="138">
        <v>191.86099999999999</v>
      </c>
      <c r="I206" s="138">
        <v>4.7329999999999997</v>
      </c>
      <c r="J206" s="139">
        <v>0.5</v>
      </c>
      <c r="K206" s="137">
        <v>172.67</v>
      </c>
      <c r="L206" s="137">
        <v>211.05</v>
      </c>
      <c r="M206" t="s">
        <v>499</v>
      </c>
      <c r="N206" t="s">
        <v>525</v>
      </c>
      <c r="O206" t="s">
        <v>112</v>
      </c>
      <c r="P206" s="137">
        <v>1.1148696191513701</v>
      </c>
      <c r="Q206" s="137">
        <v>1.1148696191513701</v>
      </c>
      <c r="R206" s="126">
        <v>3</v>
      </c>
      <c r="S206" t="s">
        <v>522</v>
      </c>
      <c r="T206" t="s">
        <v>526</v>
      </c>
      <c r="U206" t="s">
        <v>732</v>
      </c>
    </row>
    <row r="207" spans="1:21" x14ac:dyDescent="0.3">
      <c r="A207" t="s">
        <v>402</v>
      </c>
      <c r="B207" s="126">
        <v>2025</v>
      </c>
      <c r="C207" t="s">
        <v>507</v>
      </c>
      <c r="D207" t="s">
        <v>478</v>
      </c>
      <c r="E207" t="s">
        <v>348</v>
      </c>
      <c r="F207" t="s">
        <v>508</v>
      </c>
      <c r="G207" s="137">
        <v>89</v>
      </c>
      <c r="H207" s="138">
        <v>98.3</v>
      </c>
      <c r="I207" s="138">
        <v>8.9</v>
      </c>
      <c r="J207" s="139">
        <v>-1</v>
      </c>
      <c r="K207" s="137">
        <v>78</v>
      </c>
      <c r="L207" s="137">
        <v>118</v>
      </c>
      <c r="M207" t="s">
        <v>499</v>
      </c>
      <c r="N207" t="s">
        <v>525</v>
      </c>
      <c r="O207" t="s">
        <v>123</v>
      </c>
      <c r="P207" s="137">
        <v>-9.4608341810783294</v>
      </c>
      <c r="Q207" s="137">
        <v>9.4608341810783294</v>
      </c>
      <c r="R207" s="126">
        <v>7</v>
      </c>
      <c r="S207" t="s">
        <v>522</v>
      </c>
      <c r="T207" t="s">
        <v>526</v>
      </c>
      <c r="U207" t="s">
        <v>733</v>
      </c>
    </row>
    <row r="208" spans="1:21" x14ac:dyDescent="0.3">
      <c r="A208" t="s">
        <v>402</v>
      </c>
      <c r="B208" s="126">
        <v>2025</v>
      </c>
      <c r="C208" t="s">
        <v>507</v>
      </c>
      <c r="D208" t="s">
        <v>478</v>
      </c>
      <c r="E208" t="s">
        <v>348</v>
      </c>
      <c r="F208" t="s">
        <v>509</v>
      </c>
      <c r="G208" s="137">
        <v>15</v>
      </c>
      <c r="H208" s="138">
        <v>21.3</v>
      </c>
      <c r="I208" s="138">
        <v>2.5</v>
      </c>
      <c r="J208" s="139">
        <v>-2.6</v>
      </c>
      <c r="K208" s="137">
        <v>17</v>
      </c>
      <c r="L208" s="137">
        <v>26</v>
      </c>
      <c r="M208" t="s">
        <v>506</v>
      </c>
      <c r="N208" t="s">
        <v>668</v>
      </c>
      <c r="O208" t="s">
        <v>123</v>
      </c>
      <c r="P208" s="137">
        <v>-29.577464788732399</v>
      </c>
      <c r="Q208" s="137">
        <v>29.577464788732399</v>
      </c>
      <c r="R208" s="126">
        <v>7</v>
      </c>
      <c r="S208" t="s">
        <v>522</v>
      </c>
      <c r="T208" t="s">
        <v>526</v>
      </c>
      <c r="U208" t="s">
        <v>734</v>
      </c>
    </row>
    <row r="209" spans="1:21" x14ac:dyDescent="0.3">
      <c r="A209" t="s">
        <v>402</v>
      </c>
      <c r="B209" s="126">
        <v>2025</v>
      </c>
      <c r="C209" t="s">
        <v>507</v>
      </c>
      <c r="D209" t="s">
        <v>478</v>
      </c>
      <c r="E209" t="s">
        <v>348</v>
      </c>
      <c r="F209" t="s">
        <v>510</v>
      </c>
      <c r="G209" s="137">
        <v>183</v>
      </c>
      <c r="H209" s="138">
        <v>199.1</v>
      </c>
      <c r="I209" s="138">
        <v>12.3</v>
      </c>
      <c r="J209" s="139">
        <v>-1.3</v>
      </c>
      <c r="K209" s="137">
        <v>159</v>
      </c>
      <c r="L209" s="137">
        <v>239</v>
      </c>
      <c r="M209" t="s">
        <v>499</v>
      </c>
      <c r="N209" t="s">
        <v>525</v>
      </c>
      <c r="O209" t="s">
        <v>123</v>
      </c>
      <c r="P209" s="137">
        <v>-8.0863887493721727</v>
      </c>
      <c r="Q209" s="137">
        <v>8.0863887493721727</v>
      </c>
      <c r="R209" s="126">
        <v>7</v>
      </c>
      <c r="S209" t="s">
        <v>522</v>
      </c>
      <c r="T209" t="s">
        <v>526</v>
      </c>
      <c r="U209" t="s">
        <v>735</v>
      </c>
    </row>
    <row r="210" spans="1:21" x14ac:dyDescent="0.3">
      <c r="A210" t="s">
        <v>402</v>
      </c>
      <c r="B210" s="126">
        <v>2025</v>
      </c>
      <c r="C210" t="s">
        <v>507</v>
      </c>
      <c r="D210" t="s">
        <v>478</v>
      </c>
      <c r="E210" t="s">
        <v>348</v>
      </c>
      <c r="F210" t="s">
        <v>511</v>
      </c>
      <c r="G210" s="137">
        <v>143</v>
      </c>
      <c r="H210" s="138">
        <v>150.19999999999999</v>
      </c>
      <c r="I210" s="138">
        <v>5.6</v>
      </c>
      <c r="J210" s="139">
        <v>-1.3</v>
      </c>
      <c r="K210" s="137">
        <v>120</v>
      </c>
      <c r="L210" s="137">
        <v>181</v>
      </c>
      <c r="M210" t="s">
        <v>499</v>
      </c>
      <c r="N210" t="s">
        <v>525</v>
      </c>
      <c r="O210" t="s">
        <v>123</v>
      </c>
      <c r="P210" s="137">
        <v>-4.7936085219706985</v>
      </c>
      <c r="Q210" s="137">
        <v>4.7936085219706985</v>
      </c>
      <c r="R210" s="126">
        <v>7</v>
      </c>
      <c r="S210" t="s">
        <v>522</v>
      </c>
      <c r="T210" t="s">
        <v>526</v>
      </c>
      <c r="U210" t="s">
        <v>736</v>
      </c>
    </row>
    <row r="211" spans="1:21" x14ac:dyDescent="0.3">
      <c r="A211" t="s">
        <v>402</v>
      </c>
      <c r="B211" s="126">
        <v>2025</v>
      </c>
      <c r="C211" t="s">
        <v>507</v>
      </c>
      <c r="D211" t="s">
        <v>478</v>
      </c>
      <c r="E211" t="s">
        <v>348</v>
      </c>
      <c r="F211" t="s">
        <v>512</v>
      </c>
      <c r="G211" s="137">
        <v>293</v>
      </c>
      <c r="H211" s="138">
        <v>308.10000000000002</v>
      </c>
      <c r="I211" s="138">
        <v>14.2</v>
      </c>
      <c r="J211" s="139">
        <v>-1.1000000000000001</v>
      </c>
      <c r="K211" s="137">
        <v>246</v>
      </c>
      <c r="L211" s="137">
        <v>370</v>
      </c>
      <c r="M211" t="s">
        <v>499</v>
      </c>
      <c r="N211" t="s">
        <v>525</v>
      </c>
      <c r="O211" t="s">
        <v>123</v>
      </c>
      <c r="P211" s="137">
        <v>-4.9010061668289584</v>
      </c>
      <c r="Q211" s="137">
        <v>4.9010061668289584</v>
      </c>
      <c r="R211" s="126">
        <v>7</v>
      </c>
      <c r="S211" t="s">
        <v>522</v>
      </c>
      <c r="T211" t="s">
        <v>526</v>
      </c>
      <c r="U211" t="s">
        <v>737</v>
      </c>
    </row>
    <row r="212" spans="1:21" x14ac:dyDescent="0.3">
      <c r="A212" t="s">
        <v>402</v>
      </c>
      <c r="B212" s="126">
        <v>2025</v>
      </c>
      <c r="C212" t="s">
        <v>507</v>
      </c>
      <c r="D212" t="s">
        <v>479</v>
      </c>
      <c r="E212" t="s">
        <v>117</v>
      </c>
      <c r="F212" t="s">
        <v>508</v>
      </c>
      <c r="G212" s="137">
        <v>3.28</v>
      </c>
      <c r="H212" s="138">
        <v>3.3359999999999999</v>
      </c>
      <c r="I212" s="138">
        <v>7.8E-2</v>
      </c>
      <c r="J212" s="139">
        <v>-0.7</v>
      </c>
      <c r="K212" s="137">
        <v>3</v>
      </c>
      <c r="L212" s="137">
        <v>3.67</v>
      </c>
      <c r="M212" t="s">
        <v>499</v>
      </c>
      <c r="N212" t="s">
        <v>525</v>
      </c>
      <c r="O212" t="s">
        <v>112</v>
      </c>
      <c r="P212" s="137">
        <v>-1.6786570743405294</v>
      </c>
      <c r="Q212" s="137">
        <v>1.6786570743405294</v>
      </c>
      <c r="R212" s="126">
        <v>4</v>
      </c>
      <c r="S212" t="s">
        <v>522</v>
      </c>
      <c r="T212" t="s">
        <v>526</v>
      </c>
      <c r="U212" t="s">
        <v>738</v>
      </c>
    </row>
    <row r="213" spans="1:21" x14ac:dyDescent="0.3">
      <c r="A213" t="s">
        <v>402</v>
      </c>
      <c r="B213" s="126">
        <v>2025</v>
      </c>
      <c r="C213" t="s">
        <v>507</v>
      </c>
      <c r="D213" t="s">
        <v>479</v>
      </c>
      <c r="E213" t="s">
        <v>117</v>
      </c>
      <c r="F213" t="s">
        <v>509</v>
      </c>
      <c r="G213" s="137">
        <v>7.15</v>
      </c>
      <c r="H213" s="138">
        <v>7.0049999999999999</v>
      </c>
      <c r="I213" s="138">
        <v>0.14099999999999999</v>
      </c>
      <c r="J213" s="139">
        <v>1</v>
      </c>
      <c r="K213" s="137">
        <v>6.3</v>
      </c>
      <c r="L213" s="137">
        <v>7.71</v>
      </c>
      <c r="M213" t="s">
        <v>499</v>
      </c>
      <c r="N213" t="s">
        <v>525</v>
      </c>
      <c r="O213" t="s">
        <v>112</v>
      </c>
      <c r="P213" s="137">
        <v>2.0699500356888003</v>
      </c>
      <c r="Q213" s="137">
        <v>2.0699500356888003</v>
      </c>
      <c r="R213" s="126">
        <v>4</v>
      </c>
      <c r="S213" t="s">
        <v>522</v>
      </c>
      <c r="T213" t="s">
        <v>526</v>
      </c>
      <c r="U213" t="s">
        <v>739</v>
      </c>
    </row>
    <row r="214" spans="1:21" x14ac:dyDescent="0.3">
      <c r="A214" t="s">
        <v>402</v>
      </c>
      <c r="B214" s="126">
        <v>2025</v>
      </c>
      <c r="C214" t="s">
        <v>507</v>
      </c>
      <c r="D214" t="s">
        <v>479</v>
      </c>
      <c r="E214" t="s">
        <v>117</v>
      </c>
      <c r="F214" t="s">
        <v>510</v>
      </c>
      <c r="G214" s="137">
        <v>2.99</v>
      </c>
      <c r="H214" s="138">
        <v>3.0030000000000001</v>
      </c>
      <c r="I214" s="138">
        <v>6.8000000000000005E-2</v>
      </c>
      <c r="J214" s="139">
        <v>-0.2</v>
      </c>
      <c r="K214" s="137">
        <v>2.7</v>
      </c>
      <c r="L214" s="137">
        <v>3.31</v>
      </c>
      <c r="M214" t="s">
        <v>499</v>
      </c>
      <c r="N214" t="s">
        <v>525</v>
      </c>
      <c r="O214" t="s">
        <v>112</v>
      </c>
      <c r="P214" s="137">
        <v>-0.43290043290042962</v>
      </c>
      <c r="Q214" s="137">
        <v>0.43290043290042962</v>
      </c>
      <c r="R214" s="126">
        <v>4</v>
      </c>
      <c r="S214" t="s">
        <v>522</v>
      </c>
      <c r="T214" t="s">
        <v>526</v>
      </c>
      <c r="U214" t="s">
        <v>740</v>
      </c>
    </row>
    <row r="215" spans="1:21" x14ac:dyDescent="0.3">
      <c r="A215" t="s">
        <v>402</v>
      </c>
      <c r="B215" s="126">
        <v>2025</v>
      </c>
      <c r="C215" t="s">
        <v>507</v>
      </c>
      <c r="D215" t="s">
        <v>479</v>
      </c>
      <c r="E215" t="s">
        <v>117</v>
      </c>
      <c r="F215" t="s">
        <v>511</v>
      </c>
      <c r="G215" s="137">
        <v>5.63</v>
      </c>
      <c r="H215" s="138">
        <v>5.5170000000000003</v>
      </c>
      <c r="I215" s="138">
        <v>0.112</v>
      </c>
      <c r="J215" s="139">
        <v>1</v>
      </c>
      <c r="K215" s="137">
        <v>4.96</v>
      </c>
      <c r="L215" s="137">
        <v>6.07</v>
      </c>
      <c r="M215" t="s">
        <v>499</v>
      </c>
      <c r="N215" t="s">
        <v>525</v>
      </c>
      <c r="O215" t="s">
        <v>112</v>
      </c>
      <c r="P215" s="137">
        <v>2.0482146093891522</v>
      </c>
      <c r="Q215" s="137">
        <v>2.0482146093891522</v>
      </c>
      <c r="R215" s="126">
        <v>4</v>
      </c>
      <c r="S215" t="s">
        <v>522</v>
      </c>
      <c r="T215" t="s">
        <v>526</v>
      </c>
      <c r="U215" t="s">
        <v>741</v>
      </c>
    </row>
    <row r="216" spans="1:21" x14ac:dyDescent="0.3">
      <c r="A216" t="s">
        <v>402</v>
      </c>
      <c r="B216" s="126">
        <v>2025</v>
      </c>
      <c r="C216" t="s">
        <v>507</v>
      </c>
      <c r="D216" t="s">
        <v>479</v>
      </c>
      <c r="E216" t="s">
        <v>117</v>
      </c>
      <c r="F216" t="s">
        <v>512</v>
      </c>
      <c r="G216" s="137">
        <v>2.77</v>
      </c>
      <c r="H216" s="138">
        <v>2.694</v>
      </c>
      <c r="I216" s="138">
        <v>6.9000000000000006E-2</v>
      </c>
      <c r="J216" s="139">
        <v>1.1000000000000001</v>
      </c>
      <c r="K216" s="137">
        <v>2.42</v>
      </c>
      <c r="L216" s="137">
        <v>2.97</v>
      </c>
      <c r="M216" t="s">
        <v>499</v>
      </c>
      <c r="N216" t="s">
        <v>525</v>
      </c>
      <c r="O216" t="s">
        <v>112</v>
      </c>
      <c r="P216" s="137">
        <v>2.821083890126209</v>
      </c>
      <c r="Q216" s="137">
        <v>2.821083890126209</v>
      </c>
      <c r="R216" s="126">
        <v>4</v>
      </c>
      <c r="S216" t="s">
        <v>522</v>
      </c>
      <c r="T216" t="s">
        <v>526</v>
      </c>
      <c r="U216" t="s">
        <v>742</v>
      </c>
    </row>
    <row r="217" spans="1:21" x14ac:dyDescent="0.3">
      <c r="A217" t="s">
        <v>402</v>
      </c>
      <c r="B217" s="126">
        <v>2025</v>
      </c>
      <c r="C217" t="s">
        <v>507</v>
      </c>
      <c r="D217" t="s">
        <v>480</v>
      </c>
      <c r="F217" t="s">
        <v>508</v>
      </c>
      <c r="G217" s="137">
        <v>44</v>
      </c>
      <c r="H217" s="138">
        <v>48.6</v>
      </c>
      <c r="I217" s="138">
        <v>2.2999999999999998</v>
      </c>
      <c r="J217" s="139">
        <v>-2</v>
      </c>
      <c r="K217" s="137">
        <v>38</v>
      </c>
      <c r="L217" s="137">
        <v>59</v>
      </c>
      <c r="M217" t="s">
        <v>499</v>
      </c>
      <c r="N217" t="s">
        <v>525</v>
      </c>
      <c r="O217" t="s">
        <v>504</v>
      </c>
      <c r="P217" s="137">
        <v>-9.4650205761316908</v>
      </c>
      <c r="Q217" s="137">
        <v>9.4650205761316908</v>
      </c>
      <c r="R217" s="126">
        <v>9</v>
      </c>
      <c r="S217" t="s">
        <v>522</v>
      </c>
      <c r="T217" t="s">
        <v>526</v>
      </c>
      <c r="U217" t="s">
        <v>743</v>
      </c>
    </row>
    <row r="218" spans="1:21" x14ac:dyDescent="0.3">
      <c r="A218" t="s">
        <v>402</v>
      </c>
      <c r="B218" s="126">
        <v>2025</v>
      </c>
      <c r="C218" t="s">
        <v>507</v>
      </c>
      <c r="D218" t="s">
        <v>480</v>
      </c>
      <c r="F218" t="s">
        <v>509</v>
      </c>
      <c r="G218" s="137">
        <v>14</v>
      </c>
      <c r="H218" s="138">
        <v>16.7</v>
      </c>
      <c r="I218" s="138">
        <v>1.2</v>
      </c>
      <c r="J218" s="139">
        <v>-2.2999999999999998</v>
      </c>
      <c r="K218" s="137">
        <v>13</v>
      </c>
      <c r="L218" s="137">
        <v>21</v>
      </c>
      <c r="M218" t="s">
        <v>499</v>
      </c>
      <c r="N218" t="s">
        <v>525</v>
      </c>
      <c r="O218" t="s">
        <v>504</v>
      </c>
      <c r="P218" s="137">
        <v>-16.167664670658681</v>
      </c>
      <c r="Q218" s="137">
        <v>16.167664670658681</v>
      </c>
      <c r="R218" s="126">
        <v>9</v>
      </c>
      <c r="S218" t="s">
        <v>522</v>
      </c>
      <c r="T218" t="s">
        <v>526</v>
      </c>
      <c r="U218" t="s">
        <v>744</v>
      </c>
    </row>
    <row r="219" spans="1:21" x14ac:dyDescent="0.3">
      <c r="A219" t="s">
        <v>402</v>
      </c>
      <c r="B219" s="126">
        <v>2025</v>
      </c>
      <c r="C219" t="s">
        <v>507</v>
      </c>
      <c r="D219" t="s">
        <v>480</v>
      </c>
      <c r="F219" t="s">
        <v>510</v>
      </c>
      <c r="G219" s="137">
        <v>83</v>
      </c>
      <c r="H219" s="138">
        <v>92.6</v>
      </c>
      <c r="I219" s="138">
        <v>4.4000000000000004</v>
      </c>
      <c r="J219" s="139">
        <v>-2.2000000000000002</v>
      </c>
      <c r="K219" s="137">
        <v>74</v>
      </c>
      <c r="L219" s="137">
        <v>112</v>
      </c>
      <c r="M219" t="s">
        <v>499</v>
      </c>
      <c r="N219" t="s">
        <v>525</v>
      </c>
      <c r="O219" t="s">
        <v>504</v>
      </c>
      <c r="P219" s="137">
        <v>-10.367170626349886</v>
      </c>
      <c r="Q219" s="137">
        <v>10.367170626349886</v>
      </c>
      <c r="R219" s="126">
        <v>9</v>
      </c>
      <c r="S219" t="s">
        <v>522</v>
      </c>
      <c r="T219" t="s">
        <v>526</v>
      </c>
      <c r="U219" t="s">
        <v>745</v>
      </c>
    </row>
    <row r="220" spans="1:21" x14ac:dyDescent="0.3">
      <c r="A220" t="s">
        <v>402</v>
      </c>
      <c r="B220" s="126">
        <v>2025</v>
      </c>
      <c r="C220" t="s">
        <v>507</v>
      </c>
      <c r="D220" t="s">
        <v>480</v>
      </c>
      <c r="F220" t="s">
        <v>511</v>
      </c>
      <c r="G220" s="137">
        <v>67</v>
      </c>
      <c r="H220" s="138">
        <v>74.8</v>
      </c>
      <c r="I220" s="138">
        <v>4</v>
      </c>
      <c r="J220" s="139">
        <v>-2</v>
      </c>
      <c r="K220" s="137">
        <v>59</v>
      </c>
      <c r="L220" s="137">
        <v>90</v>
      </c>
      <c r="M220" t="s">
        <v>499</v>
      </c>
      <c r="N220" t="s">
        <v>525</v>
      </c>
      <c r="O220" t="s">
        <v>504</v>
      </c>
      <c r="P220" s="137">
        <v>-10.427807486631014</v>
      </c>
      <c r="Q220" s="137">
        <v>10.427807486631014</v>
      </c>
      <c r="R220" s="126">
        <v>9</v>
      </c>
      <c r="S220" t="s">
        <v>522</v>
      </c>
      <c r="T220" t="s">
        <v>526</v>
      </c>
      <c r="U220" t="s">
        <v>746</v>
      </c>
    </row>
    <row r="221" spans="1:21" x14ac:dyDescent="0.3">
      <c r="A221" t="s">
        <v>402</v>
      </c>
      <c r="B221" s="126">
        <v>2025</v>
      </c>
      <c r="C221" t="s">
        <v>507</v>
      </c>
      <c r="D221" t="s">
        <v>480</v>
      </c>
      <c r="F221" t="s">
        <v>512</v>
      </c>
      <c r="G221" s="137">
        <v>120</v>
      </c>
      <c r="H221" s="138">
        <v>134.6</v>
      </c>
      <c r="I221" s="138">
        <v>6.9</v>
      </c>
      <c r="J221" s="139">
        <v>-2.1</v>
      </c>
      <c r="K221" s="137">
        <v>107</v>
      </c>
      <c r="L221" s="137">
        <v>162</v>
      </c>
      <c r="M221" t="s">
        <v>499</v>
      </c>
      <c r="N221" t="s">
        <v>525</v>
      </c>
      <c r="O221" t="s">
        <v>504</v>
      </c>
      <c r="P221" s="137">
        <v>-10.846953937592865</v>
      </c>
      <c r="Q221" s="137">
        <v>10.846953937592865</v>
      </c>
      <c r="R221" s="126">
        <v>9</v>
      </c>
      <c r="S221" t="s">
        <v>522</v>
      </c>
      <c r="T221" t="s">
        <v>526</v>
      </c>
      <c r="U221" t="s">
        <v>747</v>
      </c>
    </row>
    <row r="222" spans="1:21" x14ac:dyDescent="0.3">
      <c r="A222" t="s">
        <v>402</v>
      </c>
      <c r="B222" s="126">
        <v>2025</v>
      </c>
      <c r="C222" t="s">
        <v>507</v>
      </c>
      <c r="D222" t="s">
        <v>481</v>
      </c>
      <c r="E222" t="s">
        <v>126</v>
      </c>
      <c r="F222" t="s">
        <v>508</v>
      </c>
      <c r="G222" s="137">
        <v>230</v>
      </c>
      <c r="H222" s="138">
        <v>226.1</v>
      </c>
      <c r="I222" s="138">
        <v>5.5</v>
      </c>
      <c r="J222" s="139">
        <v>0.7</v>
      </c>
      <c r="K222" s="137">
        <v>192</v>
      </c>
      <c r="L222" s="137">
        <v>260</v>
      </c>
      <c r="M222" t="s">
        <v>499</v>
      </c>
      <c r="N222" t="s">
        <v>525</v>
      </c>
      <c r="O222" t="s">
        <v>123</v>
      </c>
      <c r="P222" s="137">
        <v>1.7249004865103963</v>
      </c>
      <c r="Q222" s="137">
        <v>1.7249004865103963</v>
      </c>
      <c r="R222" s="126">
        <v>8</v>
      </c>
      <c r="S222" t="s">
        <v>522</v>
      </c>
      <c r="T222" t="s">
        <v>526</v>
      </c>
      <c r="U222" t="s">
        <v>748</v>
      </c>
    </row>
    <row r="223" spans="1:21" x14ac:dyDescent="0.3">
      <c r="A223" t="s">
        <v>402</v>
      </c>
      <c r="B223" s="126">
        <v>2025</v>
      </c>
      <c r="C223" t="s">
        <v>507</v>
      </c>
      <c r="D223" t="s">
        <v>481</v>
      </c>
      <c r="E223" t="s">
        <v>126</v>
      </c>
      <c r="F223" t="s">
        <v>509</v>
      </c>
      <c r="G223" s="137">
        <v>41</v>
      </c>
      <c r="H223" s="138">
        <v>41.2</v>
      </c>
      <c r="I223" s="138">
        <v>2.1</v>
      </c>
      <c r="J223" s="139">
        <v>-0.1</v>
      </c>
      <c r="K223" s="137">
        <v>35</v>
      </c>
      <c r="L223" s="137">
        <v>48</v>
      </c>
      <c r="M223" t="s">
        <v>499</v>
      </c>
      <c r="N223" t="s">
        <v>525</v>
      </c>
      <c r="O223" t="s">
        <v>123</v>
      </c>
      <c r="P223" s="137">
        <v>-0.48543689320389038</v>
      </c>
      <c r="Q223" s="137">
        <v>0.48543689320389038</v>
      </c>
      <c r="R223" s="126">
        <v>8</v>
      </c>
      <c r="S223" t="s">
        <v>522</v>
      </c>
      <c r="T223" t="s">
        <v>526</v>
      </c>
      <c r="U223" t="s">
        <v>749</v>
      </c>
    </row>
    <row r="224" spans="1:21" x14ac:dyDescent="0.3">
      <c r="A224" t="s">
        <v>402</v>
      </c>
      <c r="B224" s="126">
        <v>2025</v>
      </c>
      <c r="C224" t="s">
        <v>507</v>
      </c>
      <c r="D224" t="s">
        <v>481</v>
      </c>
      <c r="E224" t="s">
        <v>126</v>
      </c>
      <c r="F224" t="s">
        <v>510</v>
      </c>
      <c r="G224" s="137">
        <v>198</v>
      </c>
      <c r="H224" s="138">
        <v>195.2</v>
      </c>
      <c r="I224" s="138">
        <v>5.3</v>
      </c>
      <c r="J224" s="139">
        <v>0.5</v>
      </c>
      <c r="K224" s="137">
        <v>165</v>
      </c>
      <c r="L224" s="137">
        <v>225</v>
      </c>
      <c r="M224" t="s">
        <v>499</v>
      </c>
      <c r="N224" t="s">
        <v>525</v>
      </c>
      <c r="O224" t="s">
        <v>123</v>
      </c>
      <c r="P224" s="137">
        <v>1.4344262295082026</v>
      </c>
      <c r="Q224" s="137">
        <v>1.4344262295082026</v>
      </c>
      <c r="R224" s="126">
        <v>8</v>
      </c>
      <c r="S224" t="s">
        <v>522</v>
      </c>
      <c r="T224" t="s">
        <v>526</v>
      </c>
      <c r="U224" t="s">
        <v>750</v>
      </c>
    </row>
    <row r="225" spans="1:21" x14ac:dyDescent="0.3">
      <c r="A225" t="s">
        <v>402</v>
      </c>
      <c r="B225" s="126">
        <v>2025</v>
      </c>
      <c r="C225" t="s">
        <v>507</v>
      </c>
      <c r="D225" t="s">
        <v>481</v>
      </c>
      <c r="E225" t="s">
        <v>126</v>
      </c>
      <c r="F225" t="s">
        <v>511</v>
      </c>
      <c r="G225" s="137">
        <v>73</v>
      </c>
      <c r="H225" s="138">
        <v>71.8</v>
      </c>
      <c r="I225" s="138">
        <v>2.5</v>
      </c>
      <c r="J225" s="139">
        <v>0.5</v>
      </c>
      <c r="K225" s="137">
        <v>61</v>
      </c>
      <c r="L225" s="137">
        <v>83</v>
      </c>
      <c r="M225" t="s">
        <v>499</v>
      </c>
      <c r="N225" t="s">
        <v>525</v>
      </c>
      <c r="O225" t="s">
        <v>123</v>
      </c>
      <c r="P225" s="137">
        <v>1.671309192200561</v>
      </c>
      <c r="Q225" s="137">
        <v>1.671309192200561</v>
      </c>
      <c r="R225" s="126">
        <v>8</v>
      </c>
      <c r="S225" t="s">
        <v>522</v>
      </c>
      <c r="T225" t="s">
        <v>526</v>
      </c>
      <c r="U225" t="s">
        <v>751</v>
      </c>
    </row>
    <row r="226" spans="1:21" x14ac:dyDescent="0.3">
      <c r="A226" t="s">
        <v>402</v>
      </c>
      <c r="B226" s="126">
        <v>2025</v>
      </c>
      <c r="C226" t="s">
        <v>507</v>
      </c>
      <c r="D226" t="s">
        <v>481</v>
      </c>
      <c r="E226" t="s">
        <v>126</v>
      </c>
      <c r="F226" t="s">
        <v>512</v>
      </c>
      <c r="G226" s="137">
        <v>167</v>
      </c>
      <c r="H226" s="138">
        <v>163.5</v>
      </c>
      <c r="I226" s="138">
        <v>4.5999999999999996</v>
      </c>
      <c r="J226" s="139">
        <v>0.7</v>
      </c>
      <c r="K226" s="137">
        <v>139</v>
      </c>
      <c r="L226" s="137">
        <v>189</v>
      </c>
      <c r="M226" t="s">
        <v>499</v>
      </c>
      <c r="N226" t="s">
        <v>525</v>
      </c>
      <c r="O226" t="s">
        <v>123</v>
      </c>
      <c r="P226" s="137">
        <v>2.1406727828746175</v>
      </c>
      <c r="Q226" s="137">
        <v>2.1406727828746175</v>
      </c>
      <c r="R226" s="126">
        <v>8</v>
      </c>
      <c r="S226" t="s">
        <v>522</v>
      </c>
      <c r="T226" t="s">
        <v>526</v>
      </c>
      <c r="U226" t="s">
        <v>752</v>
      </c>
    </row>
    <row r="227" spans="1:21" x14ac:dyDescent="0.3">
      <c r="A227" t="s">
        <v>402</v>
      </c>
      <c r="B227" s="126">
        <v>2025</v>
      </c>
      <c r="C227" t="s">
        <v>507</v>
      </c>
      <c r="D227" t="s">
        <v>482</v>
      </c>
      <c r="E227" t="s">
        <v>111</v>
      </c>
      <c r="F227" t="s">
        <v>508</v>
      </c>
      <c r="G227" s="137">
        <v>226</v>
      </c>
      <c r="H227" s="138">
        <v>229.35</v>
      </c>
      <c r="I227" s="138">
        <v>4.2699999999999996</v>
      </c>
      <c r="J227" s="139">
        <v>-0.8</v>
      </c>
      <c r="K227" s="137">
        <v>210.9</v>
      </c>
      <c r="L227" s="137">
        <v>247.7</v>
      </c>
      <c r="M227" t="s">
        <v>499</v>
      </c>
      <c r="N227" t="s">
        <v>525</v>
      </c>
      <c r="O227" t="s">
        <v>112</v>
      </c>
      <c r="P227" s="137">
        <v>-1.4606496620885085</v>
      </c>
      <c r="Q227" s="137">
        <v>1.4606496620885085</v>
      </c>
      <c r="R227" s="126">
        <v>4</v>
      </c>
      <c r="S227" t="s">
        <v>522</v>
      </c>
      <c r="T227" t="s">
        <v>526</v>
      </c>
      <c r="U227" t="s">
        <v>753</v>
      </c>
    </row>
    <row r="228" spans="1:21" x14ac:dyDescent="0.3">
      <c r="A228" t="s">
        <v>402</v>
      </c>
      <c r="B228" s="126">
        <v>2025</v>
      </c>
      <c r="C228" t="s">
        <v>507</v>
      </c>
      <c r="D228" t="s">
        <v>482</v>
      </c>
      <c r="E228" t="s">
        <v>111</v>
      </c>
      <c r="F228" t="s">
        <v>509</v>
      </c>
      <c r="G228" s="137">
        <v>93</v>
      </c>
      <c r="H228" s="138">
        <v>90.96</v>
      </c>
      <c r="I228" s="138">
        <v>2.42</v>
      </c>
      <c r="J228" s="139">
        <v>0.8</v>
      </c>
      <c r="K228" s="137">
        <v>83.6</v>
      </c>
      <c r="L228" s="137">
        <v>98.3</v>
      </c>
      <c r="M228" t="s">
        <v>499</v>
      </c>
      <c r="N228" t="s">
        <v>525</v>
      </c>
      <c r="O228" t="s">
        <v>112</v>
      </c>
      <c r="P228" s="137">
        <v>2.2427440633245452</v>
      </c>
      <c r="Q228" s="137">
        <v>2.2427440633245452</v>
      </c>
      <c r="R228" s="126">
        <v>4</v>
      </c>
      <c r="S228" t="s">
        <v>522</v>
      </c>
      <c r="T228" t="s">
        <v>526</v>
      </c>
      <c r="U228" t="s">
        <v>754</v>
      </c>
    </row>
    <row r="229" spans="1:21" x14ac:dyDescent="0.3">
      <c r="A229" t="s">
        <v>402</v>
      </c>
      <c r="B229" s="126">
        <v>2025</v>
      </c>
      <c r="C229" t="s">
        <v>507</v>
      </c>
      <c r="D229" t="s">
        <v>482</v>
      </c>
      <c r="E229" t="s">
        <v>111</v>
      </c>
      <c r="F229" t="s">
        <v>510</v>
      </c>
      <c r="G229" s="137">
        <v>181</v>
      </c>
      <c r="H229" s="138">
        <v>177.88</v>
      </c>
      <c r="I229" s="138">
        <v>4.2</v>
      </c>
      <c r="J229" s="139">
        <v>0.7</v>
      </c>
      <c r="K229" s="137">
        <v>163.6</v>
      </c>
      <c r="L229" s="137">
        <v>192.2</v>
      </c>
      <c r="M229" t="s">
        <v>499</v>
      </c>
      <c r="N229" t="s">
        <v>525</v>
      </c>
      <c r="O229" t="s">
        <v>112</v>
      </c>
      <c r="P229" s="137">
        <v>1.7539914549134272</v>
      </c>
      <c r="Q229" s="137">
        <v>1.7539914549134272</v>
      </c>
      <c r="R229" s="126">
        <v>4</v>
      </c>
      <c r="S229" t="s">
        <v>522</v>
      </c>
      <c r="T229" t="s">
        <v>526</v>
      </c>
      <c r="U229" t="s">
        <v>755</v>
      </c>
    </row>
    <row r="230" spans="1:21" x14ac:dyDescent="0.3">
      <c r="A230" t="s">
        <v>402</v>
      </c>
      <c r="B230" s="126">
        <v>2025</v>
      </c>
      <c r="C230" t="s">
        <v>507</v>
      </c>
      <c r="D230" t="s">
        <v>482</v>
      </c>
      <c r="E230" t="s">
        <v>111</v>
      </c>
      <c r="F230" t="s">
        <v>511</v>
      </c>
      <c r="G230" s="137">
        <v>87</v>
      </c>
      <c r="H230" s="138">
        <v>85.7</v>
      </c>
      <c r="I230" s="138">
        <v>2.41</v>
      </c>
      <c r="J230" s="139">
        <v>0.5</v>
      </c>
      <c r="K230" s="137">
        <v>78.8</v>
      </c>
      <c r="L230" s="137">
        <v>92.6</v>
      </c>
      <c r="M230" t="s">
        <v>499</v>
      </c>
      <c r="N230" t="s">
        <v>525</v>
      </c>
      <c r="O230" t="s">
        <v>112</v>
      </c>
      <c r="P230" s="137">
        <v>1.5169194865810935</v>
      </c>
      <c r="Q230" s="137">
        <v>1.5169194865810935</v>
      </c>
      <c r="R230" s="126">
        <v>4</v>
      </c>
      <c r="S230" t="s">
        <v>522</v>
      </c>
      <c r="T230" t="s">
        <v>526</v>
      </c>
      <c r="U230" t="s">
        <v>756</v>
      </c>
    </row>
    <row r="231" spans="1:21" x14ac:dyDescent="0.3">
      <c r="A231" t="s">
        <v>402</v>
      </c>
      <c r="B231" s="126">
        <v>2025</v>
      </c>
      <c r="C231" t="s">
        <v>507</v>
      </c>
      <c r="D231" t="s">
        <v>482</v>
      </c>
      <c r="E231" t="s">
        <v>111</v>
      </c>
      <c r="F231" t="s">
        <v>512</v>
      </c>
      <c r="G231" s="137">
        <v>126</v>
      </c>
      <c r="H231" s="138">
        <v>125.74</v>
      </c>
      <c r="I231" s="138">
        <v>3.34</v>
      </c>
      <c r="J231" s="139">
        <v>0.1</v>
      </c>
      <c r="K231" s="137">
        <v>115.6</v>
      </c>
      <c r="L231" s="137">
        <v>135.80000000000001</v>
      </c>
      <c r="M231" t="s">
        <v>499</v>
      </c>
      <c r="N231" t="s">
        <v>525</v>
      </c>
      <c r="O231" t="s">
        <v>112</v>
      </c>
      <c r="P231" s="137">
        <v>0.20677588675044151</v>
      </c>
      <c r="Q231" s="137">
        <v>0.20677588675044151</v>
      </c>
      <c r="R231" s="126">
        <v>4</v>
      </c>
      <c r="S231" t="s">
        <v>522</v>
      </c>
      <c r="T231" t="s">
        <v>526</v>
      </c>
      <c r="U231" t="s">
        <v>757</v>
      </c>
    </row>
    <row r="232" spans="1:21" x14ac:dyDescent="0.3">
      <c r="A232" t="s">
        <v>402</v>
      </c>
      <c r="B232" s="126">
        <v>2025</v>
      </c>
      <c r="C232" t="s">
        <v>507</v>
      </c>
      <c r="D232" t="s">
        <v>483</v>
      </c>
      <c r="E232" t="s">
        <v>120</v>
      </c>
      <c r="F232" t="s">
        <v>508</v>
      </c>
      <c r="G232" s="137">
        <v>52</v>
      </c>
      <c r="H232" s="138">
        <v>53.783000000000001</v>
      </c>
      <c r="I232" s="138">
        <v>2.4060000000000001</v>
      </c>
      <c r="J232" s="139">
        <v>-0.7</v>
      </c>
      <c r="K232" s="137">
        <v>43.02</v>
      </c>
      <c r="L232" s="137">
        <v>64.540000000000006</v>
      </c>
      <c r="M232" t="s">
        <v>499</v>
      </c>
      <c r="N232" t="s">
        <v>525</v>
      </c>
      <c r="O232" t="s">
        <v>112</v>
      </c>
      <c r="P232" s="137">
        <v>-3.3151739397207316</v>
      </c>
      <c r="Q232" s="137">
        <v>3.3151739397207316</v>
      </c>
      <c r="R232" s="126">
        <v>4</v>
      </c>
      <c r="S232" t="s">
        <v>522</v>
      </c>
      <c r="T232" t="s">
        <v>526</v>
      </c>
      <c r="U232" t="s">
        <v>758</v>
      </c>
    </row>
    <row r="233" spans="1:21" x14ac:dyDescent="0.3">
      <c r="A233" t="s">
        <v>402</v>
      </c>
      <c r="B233" s="126">
        <v>2025</v>
      </c>
      <c r="C233" t="s">
        <v>507</v>
      </c>
      <c r="D233" t="s">
        <v>483</v>
      </c>
      <c r="E233" t="s">
        <v>120</v>
      </c>
      <c r="F233" t="s">
        <v>509</v>
      </c>
      <c r="G233" s="137">
        <v>29</v>
      </c>
      <c r="H233" s="138">
        <v>29.876000000000001</v>
      </c>
      <c r="I233" s="138">
        <v>1.62</v>
      </c>
      <c r="J233" s="139">
        <v>-0.5</v>
      </c>
      <c r="K233" s="137">
        <v>23.87</v>
      </c>
      <c r="L233" s="137">
        <v>35.880000000000003</v>
      </c>
      <c r="M233" t="s">
        <v>499</v>
      </c>
      <c r="N233" t="s">
        <v>525</v>
      </c>
      <c r="O233" t="s">
        <v>112</v>
      </c>
      <c r="P233" s="137">
        <v>-2.9321194269647917</v>
      </c>
      <c r="Q233" s="137">
        <v>2.9321194269647917</v>
      </c>
      <c r="R233" s="126">
        <v>4</v>
      </c>
      <c r="S233" t="s">
        <v>522</v>
      </c>
      <c r="T233" t="s">
        <v>526</v>
      </c>
      <c r="U233" t="s">
        <v>759</v>
      </c>
    </row>
    <row r="234" spans="1:21" x14ac:dyDescent="0.3">
      <c r="A234" t="s">
        <v>402</v>
      </c>
      <c r="B234" s="126">
        <v>2025</v>
      </c>
      <c r="C234" t="s">
        <v>507</v>
      </c>
      <c r="D234" t="s">
        <v>483</v>
      </c>
      <c r="E234" t="s">
        <v>120</v>
      </c>
      <c r="F234" t="s">
        <v>510</v>
      </c>
      <c r="G234" s="137">
        <v>49</v>
      </c>
      <c r="H234" s="138">
        <v>52.07</v>
      </c>
      <c r="I234" s="138">
        <v>2.754</v>
      </c>
      <c r="J234" s="139">
        <v>-1.1000000000000001</v>
      </c>
      <c r="K234" s="137">
        <v>41.65</v>
      </c>
      <c r="L234" s="137">
        <v>62.49</v>
      </c>
      <c r="M234" t="s">
        <v>499</v>
      </c>
      <c r="N234" t="s">
        <v>525</v>
      </c>
      <c r="O234" t="s">
        <v>112</v>
      </c>
      <c r="P234" s="137">
        <v>-5.895909352794316</v>
      </c>
      <c r="Q234" s="137">
        <v>5.895909352794316</v>
      </c>
      <c r="R234" s="126">
        <v>4</v>
      </c>
      <c r="S234" t="s">
        <v>522</v>
      </c>
      <c r="T234" t="s">
        <v>526</v>
      </c>
      <c r="U234" t="s">
        <v>760</v>
      </c>
    </row>
    <row r="235" spans="1:21" x14ac:dyDescent="0.3">
      <c r="A235" t="s">
        <v>402</v>
      </c>
      <c r="B235" s="126">
        <v>2025</v>
      </c>
      <c r="C235" t="s">
        <v>507</v>
      </c>
      <c r="D235" t="s">
        <v>483</v>
      </c>
      <c r="E235" t="s">
        <v>120</v>
      </c>
      <c r="F235" t="s">
        <v>511</v>
      </c>
      <c r="G235" s="137">
        <v>36</v>
      </c>
      <c r="H235" s="138">
        <v>36.853999999999999</v>
      </c>
      <c r="I235" s="138">
        <v>1.96</v>
      </c>
      <c r="J235" s="139">
        <v>-0.4</v>
      </c>
      <c r="K235" s="137">
        <v>29.48</v>
      </c>
      <c r="L235" s="137">
        <v>44.23</v>
      </c>
      <c r="M235" t="s">
        <v>499</v>
      </c>
      <c r="N235" t="s">
        <v>525</v>
      </c>
      <c r="O235" t="s">
        <v>112</v>
      </c>
      <c r="P235" s="137">
        <v>-2.3172518586856223</v>
      </c>
      <c r="Q235" s="137">
        <v>2.3172518586856223</v>
      </c>
      <c r="R235" s="126">
        <v>4</v>
      </c>
      <c r="S235" t="s">
        <v>522</v>
      </c>
      <c r="T235" t="s">
        <v>526</v>
      </c>
      <c r="U235" t="s">
        <v>761</v>
      </c>
    </row>
    <row r="236" spans="1:21" x14ac:dyDescent="0.3">
      <c r="A236" t="s">
        <v>402</v>
      </c>
      <c r="B236" s="126">
        <v>2025</v>
      </c>
      <c r="C236" t="s">
        <v>507</v>
      </c>
      <c r="D236" t="s">
        <v>483</v>
      </c>
      <c r="E236" t="s">
        <v>120</v>
      </c>
      <c r="F236" t="s">
        <v>512</v>
      </c>
      <c r="G236" s="137">
        <v>50</v>
      </c>
      <c r="H236" s="138">
        <v>50.969000000000001</v>
      </c>
      <c r="I236" s="138">
        <v>2.6930000000000001</v>
      </c>
      <c r="J236" s="139">
        <v>-0.4</v>
      </c>
      <c r="K236" s="137">
        <v>40.770000000000003</v>
      </c>
      <c r="L236" s="137">
        <v>61.17</v>
      </c>
      <c r="M236" t="s">
        <v>499</v>
      </c>
      <c r="N236" t="s">
        <v>525</v>
      </c>
      <c r="O236" t="s">
        <v>112</v>
      </c>
      <c r="P236" s="137">
        <v>-1.9011556043869826</v>
      </c>
      <c r="Q236" s="137">
        <v>1.9011556043869826</v>
      </c>
      <c r="R236" s="126">
        <v>4</v>
      </c>
      <c r="S236" t="s">
        <v>522</v>
      </c>
      <c r="T236" t="s">
        <v>526</v>
      </c>
      <c r="U236" t="s">
        <v>762</v>
      </c>
    </row>
    <row r="237" spans="1:21" x14ac:dyDescent="0.3">
      <c r="A237" t="s">
        <v>402</v>
      </c>
      <c r="B237" s="126">
        <v>2025</v>
      </c>
      <c r="C237" t="s">
        <v>507</v>
      </c>
      <c r="D237" t="s">
        <v>484</v>
      </c>
      <c r="E237" t="s">
        <v>344</v>
      </c>
      <c r="F237" t="s">
        <v>508</v>
      </c>
      <c r="G237" s="137">
        <v>105</v>
      </c>
      <c r="H237" s="138">
        <v>105.6</v>
      </c>
      <c r="I237" s="138">
        <v>1.9</v>
      </c>
      <c r="J237" s="139">
        <v>-0.3</v>
      </c>
      <c r="K237" s="137">
        <v>89</v>
      </c>
      <c r="L237" s="137">
        <v>122</v>
      </c>
      <c r="M237" t="s">
        <v>499</v>
      </c>
      <c r="N237" t="s">
        <v>525</v>
      </c>
      <c r="O237" t="s">
        <v>505</v>
      </c>
      <c r="P237" s="137">
        <v>-0.56818181818181279</v>
      </c>
      <c r="Q237" s="137">
        <v>0.56818181818181279</v>
      </c>
      <c r="R237" s="126">
        <v>8</v>
      </c>
      <c r="S237" t="s">
        <v>522</v>
      </c>
      <c r="T237" t="s">
        <v>526</v>
      </c>
      <c r="U237" t="s">
        <v>763</v>
      </c>
    </row>
    <row r="238" spans="1:21" x14ac:dyDescent="0.3">
      <c r="A238" t="s">
        <v>402</v>
      </c>
      <c r="B238" s="126">
        <v>2025</v>
      </c>
      <c r="C238" t="s">
        <v>507</v>
      </c>
      <c r="D238" t="s">
        <v>484</v>
      </c>
      <c r="E238" t="s">
        <v>344</v>
      </c>
      <c r="F238" t="s">
        <v>509</v>
      </c>
      <c r="G238" s="137">
        <v>30</v>
      </c>
      <c r="H238" s="138">
        <v>29.8</v>
      </c>
      <c r="I238" s="138">
        <v>1.4</v>
      </c>
      <c r="J238" s="139">
        <v>0.1</v>
      </c>
      <c r="K238" s="137">
        <v>25</v>
      </c>
      <c r="L238" s="137">
        <v>35</v>
      </c>
      <c r="M238" t="s">
        <v>499</v>
      </c>
      <c r="N238" t="s">
        <v>525</v>
      </c>
      <c r="O238" t="s">
        <v>505</v>
      </c>
      <c r="P238" s="137">
        <v>0.67114093959731302</v>
      </c>
      <c r="Q238" s="137">
        <v>0.67114093959731302</v>
      </c>
      <c r="R238" s="126">
        <v>8</v>
      </c>
      <c r="S238" t="s">
        <v>522</v>
      </c>
      <c r="T238" t="s">
        <v>526</v>
      </c>
      <c r="U238" t="s">
        <v>764</v>
      </c>
    </row>
    <row r="239" spans="1:21" x14ac:dyDescent="0.3">
      <c r="A239" t="s">
        <v>402</v>
      </c>
      <c r="B239" s="126">
        <v>2025</v>
      </c>
      <c r="C239" t="s">
        <v>507</v>
      </c>
      <c r="D239" t="s">
        <v>484</v>
      </c>
      <c r="E239" t="s">
        <v>344</v>
      </c>
      <c r="F239" t="s">
        <v>510</v>
      </c>
      <c r="G239" s="137">
        <v>132</v>
      </c>
      <c r="H239" s="138">
        <v>132.5</v>
      </c>
      <c r="I239" s="138">
        <v>1.8</v>
      </c>
      <c r="J239" s="139">
        <v>-0.3</v>
      </c>
      <c r="K239" s="137">
        <v>112</v>
      </c>
      <c r="L239" s="137">
        <v>153</v>
      </c>
      <c r="M239" t="s">
        <v>499</v>
      </c>
      <c r="N239" t="s">
        <v>525</v>
      </c>
      <c r="O239" t="s">
        <v>505</v>
      </c>
      <c r="P239" s="137">
        <v>-0.37735849056603776</v>
      </c>
      <c r="Q239" s="137">
        <v>0.37735849056603776</v>
      </c>
      <c r="R239" s="126">
        <v>8</v>
      </c>
      <c r="S239" t="s">
        <v>522</v>
      </c>
      <c r="T239" t="s">
        <v>526</v>
      </c>
      <c r="U239" t="s">
        <v>765</v>
      </c>
    </row>
    <row r="240" spans="1:21" x14ac:dyDescent="0.3">
      <c r="A240" t="s">
        <v>402</v>
      </c>
      <c r="B240" s="126">
        <v>2025</v>
      </c>
      <c r="C240" t="s">
        <v>507</v>
      </c>
      <c r="D240" t="s">
        <v>484</v>
      </c>
      <c r="E240" t="s">
        <v>344</v>
      </c>
      <c r="F240" t="s">
        <v>511</v>
      </c>
      <c r="G240" s="137">
        <v>83</v>
      </c>
      <c r="H240" s="138">
        <v>82.5</v>
      </c>
      <c r="I240" s="138">
        <v>1.5</v>
      </c>
      <c r="J240" s="139">
        <v>0.3</v>
      </c>
      <c r="K240" s="137">
        <v>70</v>
      </c>
      <c r="L240" s="137">
        <v>95</v>
      </c>
      <c r="M240" t="s">
        <v>499</v>
      </c>
      <c r="N240" t="s">
        <v>525</v>
      </c>
      <c r="O240" t="s">
        <v>505</v>
      </c>
      <c r="P240" s="137">
        <v>0.60606060606060608</v>
      </c>
      <c r="Q240" s="137">
        <v>0.60606060606060608</v>
      </c>
      <c r="R240" s="126">
        <v>8</v>
      </c>
      <c r="S240" t="s">
        <v>522</v>
      </c>
      <c r="T240" t="s">
        <v>526</v>
      </c>
      <c r="U240" t="s">
        <v>766</v>
      </c>
    </row>
    <row r="241" spans="1:21" x14ac:dyDescent="0.3">
      <c r="A241" t="s">
        <v>402</v>
      </c>
      <c r="B241" s="126">
        <v>2025</v>
      </c>
      <c r="C241" t="s">
        <v>507</v>
      </c>
      <c r="D241" t="s">
        <v>484</v>
      </c>
      <c r="E241" t="s">
        <v>344</v>
      </c>
      <c r="F241" t="s">
        <v>512</v>
      </c>
      <c r="G241" s="137">
        <v>161</v>
      </c>
      <c r="H241" s="138">
        <v>159.30000000000001</v>
      </c>
      <c r="I241" s="138">
        <v>2</v>
      </c>
      <c r="J241" s="139">
        <v>0.9</v>
      </c>
      <c r="K241" s="137">
        <v>135</v>
      </c>
      <c r="L241" s="137">
        <v>184</v>
      </c>
      <c r="M241" t="s">
        <v>499</v>
      </c>
      <c r="N241" t="s">
        <v>525</v>
      </c>
      <c r="O241" t="s">
        <v>505</v>
      </c>
      <c r="P241" s="137">
        <v>1.067168863779026</v>
      </c>
      <c r="Q241" s="137">
        <v>1.067168863779026</v>
      </c>
      <c r="R241" s="126">
        <v>8</v>
      </c>
      <c r="S241" t="s">
        <v>522</v>
      </c>
      <c r="T241" t="s">
        <v>526</v>
      </c>
      <c r="U241" t="s">
        <v>767</v>
      </c>
    </row>
    <row r="242" spans="1:21" x14ac:dyDescent="0.3">
      <c r="A242" t="s">
        <v>402</v>
      </c>
      <c r="B242" s="126">
        <v>2025</v>
      </c>
      <c r="C242" t="s">
        <v>507</v>
      </c>
      <c r="D242" t="s">
        <v>485</v>
      </c>
      <c r="E242" t="s">
        <v>339</v>
      </c>
      <c r="F242" t="s">
        <v>508</v>
      </c>
      <c r="G242" s="137">
        <v>3.5</v>
      </c>
      <c r="H242" s="138">
        <v>3.38</v>
      </c>
      <c r="I242" s="138">
        <v>0.15</v>
      </c>
      <c r="J242" s="139">
        <v>0.8</v>
      </c>
      <c r="K242" s="137">
        <v>2.9</v>
      </c>
      <c r="L242" s="137">
        <v>3.9</v>
      </c>
      <c r="M242" t="s">
        <v>499</v>
      </c>
      <c r="N242" t="s">
        <v>525</v>
      </c>
      <c r="O242" t="s">
        <v>134</v>
      </c>
      <c r="P242" s="137">
        <v>3.5502958579881692</v>
      </c>
      <c r="Q242" s="137">
        <v>3.5502958579881692</v>
      </c>
      <c r="R242" s="126">
        <v>10</v>
      </c>
      <c r="S242" t="s">
        <v>522</v>
      </c>
      <c r="T242" t="s">
        <v>526</v>
      </c>
      <c r="U242" t="s">
        <v>768</v>
      </c>
    </row>
    <row r="243" spans="1:21" x14ac:dyDescent="0.3">
      <c r="A243" t="s">
        <v>402</v>
      </c>
      <c r="B243" s="126">
        <v>2025</v>
      </c>
      <c r="C243" t="s">
        <v>507</v>
      </c>
      <c r="D243" t="s">
        <v>485</v>
      </c>
      <c r="E243" t="s">
        <v>339</v>
      </c>
      <c r="F243" t="s">
        <v>509</v>
      </c>
      <c r="G243" s="137">
        <v>1.6</v>
      </c>
      <c r="H243" s="138">
        <v>1.51</v>
      </c>
      <c r="I243" s="138">
        <v>0.12</v>
      </c>
      <c r="J243" s="139">
        <v>0.8</v>
      </c>
      <c r="K243" s="137">
        <v>1.1000000000000001</v>
      </c>
      <c r="L243" s="137">
        <v>2</v>
      </c>
      <c r="M243" t="s">
        <v>499</v>
      </c>
      <c r="N243" t="s">
        <v>525</v>
      </c>
      <c r="O243" t="s">
        <v>134</v>
      </c>
      <c r="P243" s="137">
        <v>5.9602649006622572</v>
      </c>
      <c r="Q243" s="137">
        <v>5.9602649006622572</v>
      </c>
      <c r="R243" s="126">
        <v>10</v>
      </c>
      <c r="S243" t="s">
        <v>522</v>
      </c>
      <c r="T243" t="s">
        <v>526</v>
      </c>
      <c r="U243" t="s">
        <v>769</v>
      </c>
    </row>
    <row r="244" spans="1:21" x14ac:dyDescent="0.3">
      <c r="A244" t="s">
        <v>402</v>
      </c>
      <c r="B244" s="126">
        <v>2025</v>
      </c>
      <c r="C244" t="s">
        <v>507</v>
      </c>
      <c r="D244" t="s">
        <v>485</v>
      </c>
      <c r="E244" t="s">
        <v>339</v>
      </c>
      <c r="F244" t="s">
        <v>510</v>
      </c>
      <c r="G244" s="137">
        <v>5.5</v>
      </c>
      <c r="H244" s="138">
        <v>5.29</v>
      </c>
      <c r="I244" s="138">
        <v>0.19</v>
      </c>
      <c r="J244" s="139">
        <v>1.1000000000000001</v>
      </c>
      <c r="K244" s="137">
        <v>4.7</v>
      </c>
      <c r="L244" s="137">
        <v>5.9</v>
      </c>
      <c r="M244" t="s">
        <v>499</v>
      </c>
      <c r="N244" t="s">
        <v>525</v>
      </c>
      <c r="O244" t="s">
        <v>134</v>
      </c>
      <c r="P244" s="137">
        <v>3.9697542533081274</v>
      </c>
      <c r="Q244" s="137">
        <v>3.9697542533081274</v>
      </c>
      <c r="R244" s="126">
        <v>10</v>
      </c>
      <c r="S244" t="s">
        <v>522</v>
      </c>
      <c r="T244" t="s">
        <v>526</v>
      </c>
      <c r="U244" t="s">
        <v>770</v>
      </c>
    </row>
    <row r="245" spans="1:21" x14ac:dyDescent="0.3">
      <c r="A245" t="s">
        <v>402</v>
      </c>
      <c r="B245" s="126">
        <v>2025</v>
      </c>
      <c r="C245" t="s">
        <v>507</v>
      </c>
      <c r="D245" t="s">
        <v>485</v>
      </c>
      <c r="E245" t="s">
        <v>339</v>
      </c>
      <c r="F245" t="s">
        <v>511</v>
      </c>
      <c r="G245" s="137">
        <v>4.3</v>
      </c>
      <c r="H245" s="138">
        <v>4.08</v>
      </c>
      <c r="I245" s="138">
        <v>0.16</v>
      </c>
      <c r="J245" s="139">
        <v>1.4</v>
      </c>
      <c r="K245" s="137">
        <v>3.5</v>
      </c>
      <c r="L245" s="137">
        <v>4.5999999999999996</v>
      </c>
      <c r="M245" t="s">
        <v>499</v>
      </c>
      <c r="N245" t="s">
        <v>525</v>
      </c>
      <c r="O245" t="s">
        <v>134</v>
      </c>
      <c r="P245" s="137">
        <v>5.3921568627450922</v>
      </c>
      <c r="Q245" s="137">
        <v>5.3921568627450922</v>
      </c>
      <c r="R245" s="126">
        <v>10</v>
      </c>
      <c r="S245" t="s">
        <v>522</v>
      </c>
      <c r="T245" t="s">
        <v>526</v>
      </c>
      <c r="U245" t="s">
        <v>771</v>
      </c>
    </row>
    <row r="246" spans="1:21" x14ac:dyDescent="0.3">
      <c r="A246" t="s">
        <v>402</v>
      </c>
      <c r="B246" s="126">
        <v>2025</v>
      </c>
      <c r="C246" t="s">
        <v>507</v>
      </c>
      <c r="D246" t="s">
        <v>485</v>
      </c>
      <c r="E246" t="s">
        <v>339</v>
      </c>
      <c r="F246" t="s">
        <v>512</v>
      </c>
      <c r="G246" s="137">
        <v>7.3</v>
      </c>
      <c r="H246" s="138">
        <v>7.26</v>
      </c>
      <c r="I246" s="138">
        <v>0.25</v>
      </c>
      <c r="J246" s="139">
        <v>0.2</v>
      </c>
      <c r="K246" s="137">
        <v>6.5</v>
      </c>
      <c r="L246" s="137">
        <v>8.1</v>
      </c>
      <c r="M246" t="s">
        <v>499</v>
      </c>
      <c r="N246" t="s">
        <v>525</v>
      </c>
      <c r="O246" t="s">
        <v>134</v>
      </c>
      <c r="P246" s="137">
        <v>0.55096418732782426</v>
      </c>
      <c r="Q246" s="137">
        <v>0.55096418732782426</v>
      </c>
      <c r="R246" s="126">
        <v>10</v>
      </c>
      <c r="S246" t="s">
        <v>522</v>
      </c>
      <c r="T246" t="s">
        <v>526</v>
      </c>
      <c r="U246" t="s">
        <v>772</v>
      </c>
    </row>
    <row r="247" spans="1:21" x14ac:dyDescent="0.3">
      <c r="A247" t="s">
        <v>402</v>
      </c>
      <c r="B247" s="126">
        <v>2025</v>
      </c>
      <c r="C247" t="s">
        <v>507</v>
      </c>
      <c r="D247" t="s">
        <v>486</v>
      </c>
      <c r="E247" t="s">
        <v>349</v>
      </c>
      <c r="F247" t="s">
        <v>508</v>
      </c>
      <c r="G247" s="137">
        <v>360</v>
      </c>
      <c r="H247" s="138">
        <v>355.4</v>
      </c>
      <c r="I247" s="138">
        <v>12.2</v>
      </c>
      <c r="J247" s="139">
        <v>0.4</v>
      </c>
      <c r="K247" s="137">
        <v>302</v>
      </c>
      <c r="L247" s="137">
        <v>409</v>
      </c>
      <c r="M247" t="s">
        <v>499</v>
      </c>
      <c r="N247" t="s">
        <v>525</v>
      </c>
      <c r="O247" t="s">
        <v>123</v>
      </c>
      <c r="P247" s="137">
        <v>1.2943162633652288</v>
      </c>
      <c r="Q247" s="137">
        <v>1.2943162633652288</v>
      </c>
      <c r="R247" s="126">
        <v>8</v>
      </c>
      <c r="S247" t="s">
        <v>522</v>
      </c>
      <c r="T247" t="s">
        <v>526</v>
      </c>
      <c r="U247" t="s">
        <v>773</v>
      </c>
    </row>
    <row r="248" spans="1:21" x14ac:dyDescent="0.3">
      <c r="A248" t="s">
        <v>402</v>
      </c>
      <c r="B248" s="126">
        <v>2025</v>
      </c>
      <c r="C248" t="s">
        <v>507</v>
      </c>
      <c r="D248" t="s">
        <v>486</v>
      </c>
      <c r="E248" t="s">
        <v>349</v>
      </c>
      <c r="F248" t="s">
        <v>509</v>
      </c>
      <c r="G248" s="137">
        <v>124</v>
      </c>
      <c r="H248" s="138">
        <v>126.4</v>
      </c>
      <c r="I248" s="138">
        <v>6.6</v>
      </c>
      <c r="J248" s="139">
        <v>-0.4</v>
      </c>
      <c r="K248" s="137">
        <v>107</v>
      </c>
      <c r="L248" s="137">
        <v>146</v>
      </c>
      <c r="M248" t="s">
        <v>499</v>
      </c>
      <c r="N248" t="s">
        <v>525</v>
      </c>
      <c r="O248" t="s">
        <v>123</v>
      </c>
      <c r="P248" s="137">
        <v>-1.8987341772151944</v>
      </c>
      <c r="Q248" s="137">
        <v>1.8987341772151944</v>
      </c>
      <c r="R248" s="126">
        <v>8</v>
      </c>
      <c r="S248" t="s">
        <v>522</v>
      </c>
      <c r="T248" t="s">
        <v>526</v>
      </c>
      <c r="U248" t="s">
        <v>774</v>
      </c>
    </row>
    <row r="249" spans="1:21" x14ac:dyDescent="0.3">
      <c r="A249" t="s">
        <v>402</v>
      </c>
      <c r="B249" s="126">
        <v>2025</v>
      </c>
      <c r="C249" t="s">
        <v>507</v>
      </c>
      <c r="D249" t="s">
        <v>486</v>
      </c>
      <c r="E249" t="s">
        <v>349</v>
      </c>
      <c r="F249" t="s">
        <v>510</v>
      </c>
      <c r="G249" s="137">
        <v>317</v>
      </c>
      <c r="H249" s="138">
        <v>312.39999999999998</v>
      </c>
      <c r="I249" s="138">
        <v>10</v>
      </c>
      <c r="J249" s="139">
        <v>0.5</v>
      </c>
      <c r="K249" s="137">
        <v>265</v>
      </c>
      <c r="L249" s="137">
        <v>360</v>
      </c>
      <c r="M249" t="s">
        <v>499</v>
      </c>
      <c r="N249" t="s">
        <v>525</v>
      </c>
      <c r="O249" t="s">
        <v>123</v>
      </c>
      <c r="P249" s="137">
        <v>1.4724711907810573</v>
      </c>
      <c r="Q249" s="137">
        <v>1.4724711907810573</v>
      </c>
      <c r="R249" s="126">
        <v>8</v>
      </c>
      <c r="S249" t="s">
        <v>522</v>
      </c>
      <c r="T249" t="s">
        <v>526</v>
      </c>
      <c r="U249" t="s">
        <v>775</v>
      </c>
    </row>
    <row r="250" spans="1:21" x14ac:dyDescent="0.3">
      <c r="A250" t="s">
        <v>402</v>
      </c>
      <c r="B250" s="126">
        <v>2025</v>
      </c>
      <c r="C250" t="s">
        <v>507</v>
      </c>
      <c r="D250" t="s">
        <v>486</v>
      </c>
      <c r="E250" t="s">
        <v>349</v>
      </c>
      <c r="F250" t="s">
        <v>511</v>
      </c>
      <c r="G250" s="137">
        <v>158</v>
      </c>
      <c r="H250" s="138">
        <v>158.4</v>
      </c>
      <c r="I250" s="138">
        <v>6.8</v>
      </c>
      <c r="J250" s="139">
        <v>-0.1</v>
      </c>
      <c r="K250" s="137">
        <v>134</v>
      </c>
      <c r="L250" s="137">
        <v>183</v>
      </c>
      <c r="M250" t="s">
        <v>499</v>
      </c>
      <c r="N250" t="s">
        <v>525</v>
      </c>
      <c r="O250" t="s">
        <v>123</v>
      </c>
      <c r="P250" s="137">
        <v>-0.25252525252525609</v>
      </c>
      <c r="Q250" s="137">
        <v>0.25252525252525609</v>
      </c>
      <c r="R250" s="126">
        <v>8</v>
      </c>
      <c r="S250" t="s">
        <v>522</v>
      </c>
      <c r="T250" t="s">
        <v>526</v>
      </c>
      <c r="U250" t="s">
        <v>776</v>
      </c>
    </row>
    <row r="251" spans="1:21" x14ac:dyDescent="0.3">
      <c r="A251" t="s">
        <v>402</v>
      </c>
      <c r="B251" s="126">
        <v>2025</v>
      </c>
      <c r="C251" t="s">
        <v>507</v>
      </c>
      <c r="D251" t="s">
        <v>486</v>
      </c>
      <c r="E251" t="s">
        <v>349</v>
      </c>
      <c r="F251" t="s">
        <v>512</v>
      </c>
      <c r="G251" s="137">
        <v>271</v>
      </c>
      <c r="H251" s="138">
        <v>267.7</v>
      </c>
      <c r="I251" s="138">
        <v>8.9</v>
      </c>
      <c r="J251" s="139">
        <v>0.4</v>
      </c>
      <c r="K251" s="137">
        <v>227</v>
      </c>
      <c r="L251" s="137">
        <v>308</v>
      </c>
      <c r="M251" t="s">
        <v>499</v>
      </c>
      <c r="N251" t="s">
        <v>525</v>
      </c>
      <c r="O251" t="s">
        <v>123</v>
      </c>
      <c r="P251" s="137">
        <v>1.2327231976092683</v>
      </c>
      <c r="Q251" s="137">
        <v>1.2327231976092683</v>
      </c>
      <c r="R251" s="126">
        <v>8</v>
      </c>
      <c r="S251" t="s">
        <v>522</v>
      </c>
      <c r="T251" t="s">
        <v>526</v>
      </c>
      <c r="U251" t="s">
        <v>777</v>
      </c>
    </row>
    <row r="252" spans="1:21" x14ac:dyDescent="0.3">
      <c r="A252" t="s">
        <v>402</v>
      </c>
      <c r="B252" s="126">
        <v>2025</v>
      </c>
      <c r="C252" t="s">
        <v>507</v>
      </c>
      <c r="D252" t="s">
        <v>350</v>
      </c>
      <c r="E252" t="s">
        <v>350</v>
      </c>
      <c r="F252" t="s">
        <v>508</v>
      </c>
      <c r="G252" s="137">
        <v>30</v>
      </c>
      <c r="H252" s="138">
        <v>31.2</v>
      </c>
      <c r="I252" s="138">
        <v>1.1000000000000001</v>
      </c>
      <c r="J252" s="139">
        <v>-1</v>
      </c>
      <c r="K252" s="137">
        <v>21</v>
      </c>
      <c r="L252" s="137">
        <v>41</v>
      </c>
      <c r="M252" t="s">
        <v>499</v>
      </c>
      <c r="N252" t="s">
        <v>525</v>
      </c>
      <c r="O252" t="s">
        <v>123</v>
      </c>
      <c r="P252" s="137">
        <v>-3.8461538461538445</v>
      </c>
      <c r="Q252" s="137">
        <v>3.8461538461538445</v>
      </c>
      <c r="R252" s="126">
        <v>10</v>
      </c>
      <c r="S252" t="s">
        <v>522</v>
      </c>
      <c r="T252" t="s">
        <v>526</v>
      </c>
      <c r="U252" t="s">
        <v>778</v>
      </c>
    </row>
    <row r="253" spans="1:21" x14ac:dyDescent="0.3">
      <c r="A253" t="s">
        <v>402</v>
      </c>
      <c r="B253" s="126">
        <v>2025</v>
      </c>
      <c r="C253" t="s">
        <v>507</v>
      </c>
      <c r="D253" t="s">
        <v>350</v>
      </c>
      <c r="E253" t="s">
        <v>350</v>
      </c>
      <c r="F253" t="s">
        <v>509</v>
      </c>
      <c r="G253" s="137">
        <v>14</v>
      </c>
      <c r="H253" s="138">
        <v>13.7</v>
      </c>
      <c r="I253" s="138">
        <v>0.7</v>
      </c>
      <c r="J253" s="139">
        <v>0.5</v>
      </c>
      <c r="K253" s="137">
        <v>9</v>
      </c>
      <c r="L253" s="137">
        <v>18</v>
      </c>
      <c r="M253" t="s">
        <v>499</v>
      </c>
      <c r="N253" t="s">
        <v>525</v>
      </c>
      <c r="O253" t="s">
        <v>123</v>
      </c>
      <c r="P253" s="137">
        <v>2.1897810218978155</v>
      </c>
      <c r="Q253" s="137">
        <v>2.1897810218978155</v>
      </c>
      <c r="R253" s="126">
        <v>10</v>
      </c>
      <c r="S253" t="s">
        <v>522</v>
      </c>
      <c r="T253" t="s">
        <v>526</v>
      </c>
      <c r="U253" t="s">
        <v>779</v>
      </c>
    </row>
    <row r="254" spans="1:21" x14ac:dyDescent="0.3">
      <c r="A254" t="s">
        <v>402</v>
      </c>
      <c r="B254" s="126">
        <v>2025</v>
      </c>
      <c r="C254" t="s">
        <v>507</v>
      </c>
      <c r="D254" t="s">
        <v>350</v>
      </c>
      <c r="E254" t="s">
        <v>350</v>
      </c>
      <c r="F254" t="s">
        <v>510</v>
      </c>
      <c r="G254" s="137">
        <v>82</v>
      </c>
      <c r="H254" s="138">
        <v>84.1</v>
      </c>
      <c r="I254" s="138">
        <v>3</v>
      </c>
      <c r="J254" s="139">
        <v>-0.7</v>
      </c>
      <c r="K254" s="137">
        <v>58</v>
      </c>
      <c r="L254" s="137">
        <v>110</v>
      </c>
      <c r="M254" t="s">
        <v>499</v>
      </c>
      <c r="N254" t="s">
        <v>525</v>
      </c>
      <c r="O254" t="s">
        <v>123</v>
      </c>
      <c r="P254" s="137">
        <v>-2.4970273483947616</v>
      </c>
      <c r="Q254" s="137">
        <v>2.4970273483947616</v>
      </c>
      <c r="R254" s="126">
        <v>10</v>
      </c>
      <c r="S254" t="s">
        <v>522</v>
      </c>
      <c r="T254" t="s">
        <v>526</v>
      </c>
      <c r="U254" t="s">
        <v>780</v>
      </c>
    </row>
    <row r="255" spans="1:21" x14ac:dyDescent="0.3">
      <c r="A255" t="s">
        <v>402</v>
      </c>
      <c r="B255" s="126">
        <v>2025</v>
      </c>
      <c r="C255" t="s">
        <v>507</v>
      </c>
      <c r="D255" t="s">
        <v>350</v>
      </c>
      <c r="E255" t="s">
        <v>350</v>
      </c>
      <c r="F255" t="s">
        <v>511</v>
      </c>
      <c r="G255" s="137">
        <v>71</v>
      </c>
      <c r="H255" s="138">
        <v>73.400000000000006</v>
      </c>
      <c r="I255" s="138">
        <v>2.8</v>
      </c>
      <c r="J255" s="139">
        <v>-0.9</v>
      </c>
      <c r="K255" s="137">
        <v>51</v>
      </c>
      <c r="L255" s="137">
        <v>96</v>
      </c>
      <c r="M255" t="s">
        <v>499</v>
      </c>
      <c r="N255" t="s">
        <v>525</v>
      </c>
      <c r="O255" t="s">
        <v>123</v>
      </c>
      <c r="P255" s="137">
        <v>-3.269754768392378</v>
      </c>
      <c r="Q255" s="137">
        <v>3.269754768392378</v>
      </c>
      <c r="R255" s="126">
        <v>10</v>
      </c>
      <c r="S255" t="s">
        <v>522</v>
      </c>
      <c r="T255" t="s">
        <v>526</v>
      </c>
      <c r="U255" t="s">
        <v>781</v>
      </c>
    </row>
    <row r="256" spans="1:21" x14ac:dyDescent="0.3">
      <c r="A256" t="s">
        <v>402</v>
      </c>
      <c r="B256" s="126">
        <v>2025</v>
      </c>
      <c r="C256" t="s">
        <v>507</v>
      </c>
      <c r="D256" t="s">
        <v>350</v>
      </c>
      <c r="E256" t="s">
        <v>350</v>
      </c>
      <c r="F256" t="s">
        <v>512</v>
      </c>
      <c r="G256" s="137">
        <v>130</v>
      </c>
      <c r="H256" s="138">
        <v>135.69999999999999</v>
      </c>
      <c r="I256" s="138">
        <v>5.0999999999999996</v>
      </c>
      <c r="J256" s="139">
        <v>-1.1000000000000001</v>
      </c>
      <c r="K256" s="137">
        <v>94</v>
      </c>
      <c r="L256" s="137">
        <v>177</v>
      </c>
      <c r="M256" t="s">
        <v>499</v>
      </c>
      <c r="N256" t="s">
        <v>525</v>
      </c>
      <c r="O256" t="s">
        <v>123</v>
      </c>
      <c r="P256" s="137">
        <v>-4.2004421518054453</v>
      </c>
      <c r="Q256" s="137">
        <v>4.2004421518054453</v>
      </c>
      <c r="R256" s="126">
        <v>10</v>
      </c>
      <c r="S256" t="s">
        <v>522</v>
      </c>
      <c r="T256" t="s">
        <v>526</v>
      </c>
      <c r="U256" t="s">
        <v>782</v>
      </c>
    </row>
    <row r="257" spans="1:21" x14ac:dyDescent="0.3">
      <c r="A257" t="s">
        <v>402</v>
      </c>
      <c r="B257" s="126">
        <v>2025</v>
      </c>
      <c r="C257" t="s">
        <v>507</v>
      </c>
      <c r="D257" t="s">
        <v>487</v>
      </c>
      <c r="E257" t="s">
        <v>347</v>
      </c>
      <c r="F257" t="s">
        <v>508</v>
      </c>
      <c r="G257" s="137">
        <v>2.2200000000000002</v>
      </c>
      <c r="H257" s="138">
        <v>2.4169999999999998</v>
      </c>
      <c r="I257" s="138">
        <v>8.5999999999999993E-2</v>
      </c>
      <c r="J257" s="139">
        <v>-2.2999999999999998</v>
      </c>
      <c r="K257" s="137">
        <v>2.0499999999999998</v>
      </c>
      <c r="L257" s="137">
        <v>2.78</v>
      </c>
      <c r="M257" t="s">
        <v>499</v>
      </c>
      <c r="N257" t="s">
        <v>525</v>
      </c>
      <c r="O257" t="s">
        <v>112</v>
      </c>
      <c r="P257" s="137">
        <v>-8.1505999172527783</v>
      </c>
      <c r="Q257" s="137">
        <v>8.1505999172527783</v>
      </c>
      <c r="R257" s="126">
        <v>8</v>
      </c>
      <c r="S257" t="s">
        <v>522</v>
      </c>
      <c r="T257" t="s">
        <v>526</v>
      </c>
      <c r="U257" t="s">
        <v>783</v>
      </c>
    </row>
    <row r="258" spans="1:21" x14ac:dyDescent="0.3">
      <c r="A258" t="s">
        <v>402</v>
      </c>
      <c r="B258" s="126">
        <v>2025</v>
      </c>
      <c r="C258" t="s">
        <v>507</v>
      </c>
      <c r="D258" t="s">
        <v>487</v>
      </c>
      <c r="E258" t="s">
        <v>347</v>
      </c>
      <c r="F258" t="s">
        <v>509</v>
      </c>
      <c r="G258" s="137">
        <v>5.6</v>
      </c>
      <c r="H258" s="138">
        <v>5.7329999999999997</v>
      </c>
      <c r="I258" s="138">
        <v>0.13100000000000001</v>
      </c>
      <c r="J258" s="139">
        <v>-1</v>
      </c>
      <c r="K258" s="137">
        <v>4.87</v>
      </c>
      <c r="L258" s="137">
        <v>6.6</v>
      </c>
      <c r="M258" t="s">
        <v>499</v>
      </c>
      <c r="N258" t="s">
        <v>525</v>
      </c>
      <c r="O258" t="s">
        <v>112</v>
      </c>
      <c r="P258" s="137">
        <v>-2.3199023199023205</v>
      </c>
      <c r="Q258" s="137">
        <v>2.3199023199023205</v>
      </c>
      <c r="R258" s="126">
        <v>8</v>
      </c>
      <c r="S258" t="s">
        <v>522</v>
      </c>
      <c r="T258" t="s">
        <v>526</v>
      </c>
      <c r="U258" t="s">
        <v>784</v>
      </c>
    </row>
    <row r="259" spans="1:21" x14ac:dyDescent="0.3">
      <c r="A259" t="s">
        <v>402</v>
      </c>
      <c r="B259" s="126">
        <v>2025</v>
      </c>
      <c r="C259" t="s">
        <v>507</v>
      </c>
      <c r="D259" t="s">
        <v>487</v>
      </c>
      <c r="E259" t="s">
        <v>347</v>
      </c>
      <c r="F259" t="s">
        <v>510</v>
      </c>
      <c r="G259" s="137">
        <v>2.85</v>
      </c>
      <c r="H259" s="138">
        <v>2.903</v>
      </c>
      <c r="I259" s="138">
        <v>9.4E-2</v>
      </c>
      <c r="J259" s="139">
        <v>-0.6</v>
      </c>
      <c r="K259" s="137">
        <v>2.46</v>
      </c>
      <c r="L259" s="137">
        <v>3.34</v>
      </c>
      <c r="M259" t="s">
        <v>499</v>
      </c>
      <c r="N259" t="s">
        <v>525</v>
      </c>
      <c r="O259" t="s">
        <v>112</v>
      </c>
      <c r="P259" s="137">
        <v>-1.8256975542542175</v>
      </c>
      <c r="Q259" s="137">
        <v>1.8256975542542175</v>
      </c>
      <c r="R259" s="126">
        <v>8</v>
      </c>
      <c r="S259" t="s">
        <v>522</v>
      </c>
      <c r="T259" t="s">
        <v>526</v>
      </c>
      <c r="U259" t="s">
        <v>785</v>
      </c>
    </row>
    <row r="260" spans="1:21" x14ac:dyDescent="0.3">
      <c r="A260" t="s">
        <v>402</v>
      </c>
      <c r="B260" s="126">
        <v>2025</v>
      </c>
      <c r="C260" t="s">
        <v>507</v>
      </c>
      <c r="D260" t="s">
        <v>487</v>
      </c>
      <c r="E260" t="s">
        <v>347</v>
      </c>
      <c r="F260" t="s">
        <v>511</v>
      </c>
      <c r="G260" s="137">
        <v>5.05</v>
      </c>
      <c r="H260" s="138">
        <v>5.1079999999999997</v>
      </c>
      <c r="I260" s="138">
        <v>0.125</v>
      </c>
      <c r="J260" s="139">
        <v>-0.5</v>
      </c>
      <c r="K260" s="137">
        <v>4.34</v>
      </c>
      <c r="L260" s="137">
        <v>5.88</v>
      </c>
      <c r="M260" t="s">
        <v>499</v>
      </c>
      <c r="N260" t="s">
        <v>525</v>
      </c>
      <c r="O260" t="s">
        <v>112</v>
      </c>
      <c r="P260" s="137">
        <v>-1.1354737666405605</v>
      </c>
      <c r="Q260" s="137">
        <v>1.1354737666405605</v>
      </c>
      <c r="R260" s="126">
        <v>8</v>
      </c>
      <c r="S260" t="s">
        <v>522</v>
      </c>
      <c r="T260" t="s">
        <v>526</v>
      </c>
      <c r="U260" t="s">
        <v>786</v>
      </c>
    </row>
    <row r="261" spans="1:21" x14ac:dyDescent="0.3">
      <c r="A261" t="s">
        <v>402</v>
      </c>
      <c r="B261" s="126">
        <v>2025</v>
      </c>
      <c r="C261" t="s">
        <v>507</v>
      </c>
      <c r="D261" t="s">
        <v>487</v>
      </c>
      <c r="E261" t="s">
        <v>347</v>
      </c>
      <c r="F261" t="s">
        <v>512</v>
      </c>
      <c r="G261" s="137">
        <v>3.2</v>
      </c>
      <c r="H261" s="138">
        <v>3.4</v>
      </c>
      <c r="I261" s="138">
        <v>9.1999999999999998E-2</v>
      </c>
      <c r="J261" s="139">
        <v>-2.2000000000000002</v>
      </c>
      <c r="K261" s="137">
        <v>2.88</v>
      </c>
      <c r="L261" s="137">
        <v>3.91</v>
      </c>
      <c r="M261" t="s">
        <v>499</v>
      </c>
      <c r="N261" t="s">
        <v>525</v>
      </c>
      <c r="O261" t="s">
        <v>112</v>
      </c>
      <c r="P261" s="137">
        <v>-5.882352941176463</v>
      </c>
      <c r="Q261" s="137">
        <v>5.882352941176463</v>
      </c>
      <c r="R261" s="126">
        <v>8</v>
      </c>
      <c r="S261" t="s">
        <v>522</v>
      </c>
      <c r="T261" t="s">
        <v>526</v>
      </c>
      <c r="U261" t="s">
        <v>787</v>
      </c>
    </row>
    <row r="262" spans="1:21" x14ac:dyDescent="0.3">
      <c r="A262" t="s">
        <v>402</v>
      </c>
      <c r="B262" s="126">
        <v>2025</v>
      </c>
      <c r="C262" t="s">
        <v>507</v>
      </c>
      <c r="D262" t="s">
        <v>488</v>
      </c>
      <c r="E262" t="s">
        <v>132</v>
      </c>
      <c r="F262" t="s">
        <v>508</v>
      </c>
      <c r="G262" s="137">
        <v>3.33</v>
      </c>
      <c r="H262" s="138">
        <v>3.22</v>
      </c>
      <c r="I262" s="138">
        <v>0.09</v>
      </c>
      <c r="J262" s="139">
        <v>1.2</v>
      </c>
      <c r="K262" s="137">
        <v>2.89</v>
      </c>
      <c r="L262" s="137">
        <v>3.55</v>
      </c>
      <c r="M262" t="s">
        <v>499</v>
      </c>
      <c r="N262" t="s">
        <v>525</v>
      </c>
      <c r="O262" t="s">
        <v>112</v>
      </c>
      <c r="P262" s="137">
        <v>3.4161490683229774</v>
      </c>
      <c r="Q262" s="137">
        <v>3.4161490683229774</v>
      </c>
      <c r="R262" s="126">
        <v>9</v>
      </c>
      <c r="S262" t="s">
        <v>522</v>
      </c>
      <c r="T262" t="s">
        <v>526</v>
      </c>
      <c r="U262" t="s">
        <v>788</v>
      </c>
    </row>
    <row r="263" spans="1:21" x14ac:dyDescent="0.3">
      <c r="A263" t="s">
        <v>402</v>
      </c>
      <c r="B263" s="126">
        <v>2025</v>
      </c>
      <c r="C263" t="s">
        <v>507</v>
      </c>
      <c r="D263" t="s">
        <v>488</v>
      </c>
      <c r="E263" t="s">
        <v>132</v>
      </c>
      <c r="F263" t="s">
        <v>509</v>
      </c>
      <c r="G263" s="137">
        <v>6.53</v>
      </c>
      <c r="H263" s="138">
        <v>6.2720000000000002</v>
      </c>
      <c r="I263" s="138">
        <v>0.156</v>
      </c>
      <c r="J263" s="139">
        <v>1.7</v>
      </c>
      <c r="K263" s="137">
        <v>5.64</v>
      </c>
      <c r="L263" s="137">
        <v>6.9</v>
      </c>
      <c r="M263" t="s">
        <v>499</v>
      </c>
      <c r="N263" t="s">
        <v>525</v>
      </c>
      <c r="O263" t="s">
        <v>112</v>
      </c>
      <c r="P263" s="137">
        <v>4.1135204081632653</v>
      </c>
      <c r="Q263" s="137">
        <v>4.1135204081632653</v>
      </c>
      <c r="R263" s="126">
        <v>9</v>
      </c>
      <c r="S263" t="s">
        <v>522</v>
      </c>
      <c r="T263" t="s">
        <v>526</v>
      </c>
      <c r="U263" t="s">
        <v>789</v>
      </c>
    </row>
    <row r="264" spans="1:21" x14ac:dyDescent="0.3">
      <c r="A264" t="s">
        <v>402</v>
      </c>
      <c r="B264" s="126">
        <v>2025</v>
      </c>
      <c r="C264" t="s">
        <v>507</v>
      </c>
      <c r="D264" t="s">
        <v>488</v>
      </c>
      <c r="E264" t="s">
        <v>132</v>
      </c>
      <c r="F264" t="s">
        <v>510</v>
      </c>
      <c r="G264" s="137">
        <v>3.9</v>
      </c>
      <c r="H264" s="138">
        <v>3.77</v>
      </c>
      <c r="I264" s="138">
        <v>0.09</v>
      </c>
      <c r="J264" s="139">
        <v>1.4</v>
      </c>
      <c r="K264" s="137">
        <v>3.39</v>
      </c>
      <c r="L264" s="137">
        <v>4.1500000000000004</v>
      </c>
      <c r="M264" t="s">
        <v>499</v>
      </c>
      <c r="N264" t="s">
        <v>525</v>
      </c>
      <c r="O264" t="s">
        <v>112</v>
      </c>
      <c r="P264" s="137">
        <v>3.4482758620689626</v>
      </c>
      <c r="Q264" s="137">
        <v>3.4482758620689626</v>
      </c>
      <c r="R264" s="126">
        <v>9</v>
      </c>
      <c r="S264" t="s">
        <v>522</v>
      </c>
      <c r="T264" t="s">
        <v>526</v>
      </c>
      <c r="U264" t="s">
        <v>790</v>
      </c>
    </row>
    <row r="265" spans="1:21" x14ac:dyDescent="0.3">
      <c r="A265" t="s">
        <v>402</v>
      </c>
      <c r="B265" s="126">
        <v>2025</v>
      </c>
      <c r="C265" t="s">
        <v>507</v>
      </c>
      <c r="D265" t="s">
        <v>488</v>
      </c>
      <c r="E265" t="s">
        <v>132</v>
      </c>
      <c r="F265" t="s">
        <v>511</v>
      </c>
      <c r="G265" s="137">
        <v>6.15</v>
      </c>
      <c r="H265" s="138">
        <v>5.9269999999999996</v>
      </c>
      <c r="I265" s="138">
        <v>0.124</v>
      </c>
      <c r="J265" s="139">
        <v>1.8</v>
      </c>
      <c r="K265" s="137">
        <v>5.33</v>
      </c>
      <c r="L265" s="137">
        <v>6.52</v>
      </c>
      <c r="M265" t="s">
        <v>499</v>
      </c>
      <c r="N265" t="s">
        <v>525</v>
      </c>
      <c r="O265" t="s">
        <v>112</v>
      </c>
      <c r="P265" s="137">
        <v>3.7624430571958958</v>
      </c>
      <c r="Q265" s="137">
        <v>3.7624430571958958</v>
      </c>
      <c r="R265" s="126">
        <v>9</v>
      </c>
      <c r="S265" t="s">
        <v>522</v>
      </c>
      <c r="T265" t="s">
        <v>526</v>
      </c>
      <c r="U265" t="s">
        <v>791</v>
      </c>
    </row>
    <row r="266" spans="1:21" x14ac:dyDescent="0.3">
      <c r="A266" t="s">
        <v>402</v>
      </c>
      <c r="B266" s="126">
        <v>2025</v>
      </c>
      <c r="C266" t="s">
        <v>507</v>
      </c>
      <c r="D266" t="s">
        <v>488</v>
      </c>
      <c r="E266" t="s">
        <v>132</v>
      </c>
      <c r="F266" t="s">
        <v>512</v>
      </c>
      <c r="G266" s="137">
        <v>4.51</v>
      </c>
      <c r="H266" s="138">
        <v>4.3159999999999998</v>
      </c>
      <c r="I266" s="138">
        <v>9.4E-2</v>
      </c>
      <c r="J266" s="139">
        <v>2.1</v>
      </c>
      <c r="K266" s="137">
        <v>3.88</v>
      </c>
      <c r="L266" s="137">
        <v>4.75</v>
      </c>
      <c r="M266" t="s">
        <v>499</v>
      </c>
      <c r="N266" t="s">
        <v>525</v>
      </c>
      <c r="O266" t="s">
        <v>112</v>
      </c>
      <c r="P266" s="137">
        <v>4.494902687673771</v>
      </c>
      <c r="Q266" s="137">
        <v>4.494902687673771</v>
      </c>
      <c r="R266" s="126">
        <v>9</v>
      </c>
      <c r="S266" t="s">
        <v>522</v>
      </c>
      <c r="T266" t="s">
        <v>526</v>
      </c>
      <c r="U266" t="s">
        <v>792</v>
      </c>
    </row>
    <row r="267" spans="1:21" x14ac:dyDescent="0.3">
      <c r="A267" t="s">
        <v>402</v>
      </c>
      <c r="B267" s="126">
        <v>2025</v>
      </c>
      <c r="C267" t="s">
        <v>507</v>
      </c>
      <c r="D267" t="s">
        <v>489</v>
      </c>
      <c r="E267" t="s">
        <v>135</v>
      </c>
      <c r="F267" t="s">
        <v>508</v>
      </c>
      <c r="G267" s="137">
        <v>3.3</v>
      </c>
      <c r="H267" s="138">
        <v>3.32</v>
      </c>
      <c r="I267" s="138">
        <v>0.06</v>
      </c>
      <c r="J267" s="139">
        <v>-0.4</v>
      </c>
      <c r="K267" s="137">
        <v>3</v>
      </c>
      <c r="L267" s="137">
        <v>3.7</v>
      </c>
      <c r="M267" t="s">
        <v>499</v>
      </c>
      <c r="N267" t="s">
        <v>525</v>
      </c>
      <c r="O267" t="s">
        <v>134</v>
      </c>
      <c r="P267" s="137">
        <v>-0.60240963855421747</v>
      </c>
      <c r="Q267" s="137">
        <v>0.60240963855421747</v>
      </c>
      <c r="R267" s="126">
        <v>5</v>
      </c>
      <c r="S267" t="s">
        <v>522</v>
      </c>
      <c r="T267" t="s">
        <v>526</v>
      </c>
      <c r="U267" t="s">
        <v>793</v>
      </c>
    </row>
    <row r="268" spans="1:21" x14ac:dyDescent="0.3">
      <c r="A268" t="s">
        <v>402</v>
      </c>
      <c r="B268" s="126">
        <v>2025</v>
      </c>
      <c r="C268" t="s">
        <v>507</v>
      </c>
      <c r="D268" t="s">
        <v>489</v>
      </c>
      <c r="E268" t="s">
        <v>135</v>
      </c>
      <c r="F268" t="s">
        <v>509</v>
      </c>
      <c r="G268" s="137">
        <v>6.8</v>
      </c>
      <c r="H268" s="138">
        <v>6.48</v>
      </c>
      <c r="I268" s="138">
        <v>0.09</v>
      </c>
      <c r="J268" s="139">
        <v>3.6</v>
      </c>
      <c r="K268" s="137">
        <v>6.1</v>
      </c>
      <c r="L268" s="137">
        <v>6.8</v>
      </c>
      <c r="M268" t="s">
        <v>499</v>
      </c>
      <c r="N268" t="s">
        <v>525</v>
      </c>
      <c r="O268" t="s">
        <v>134</v>
      </c>
      <c r="P268" s="137">
        <v>4.9382716049382616</v>
      </c>
      <c r="Q268" s="137">
        <v>4.9382716049382616</v>
      </c>
      <c r="R268" s="126">
        <v>5</v>
      </c>
      <c r="S268" t="s">
        <v>522</v>
      </c>
      <c r="T268" t="s">
        <v>526</v>
      </c>
      <c r="U268" t="s">
        <v>794</v>
      </c>
    </row>
    <row r="269" spans="1:21" x14ac:dyDescent="0.3">
      <c r="A269" t="s">
        <v>402</v>
      </c>
      <c r="B269" s="126">
        <v>2025</v>
      </c>
      <c r="C269" t="s">
        <v>507</v>
      </c>
      <c r="D269" t="s">
        <v>489</v>
      </c>
      <c r="E269" t="s">
        <v>135</v>
      </c>
      <c r="F269" t="s">
        <v>510</v>
      </c>
      <c r="G269" s="137">
        <v>4</v>
      </c>
      <c r="H269" s="138">
        <v>4</v>
      </c>
      <c r="I269" s="138">
        <v>0.06</v>
      </c>
      <c r="J269" s="139">
        <v>0</v>
      </c>
      <c r="K269" s="137">
        <v>3.6</v>
      </c>
      <c r="L269" s="137">
        <v>4.3</v>
      </c>
      <c r="M269" t="s">
        <v>499</v>
      </c>
      <c r="N269" t="s">
        <v>525</v>
      </c>
      <c r="O269" t="s">
        <v>134</v>
      </c>
      <c r="P269" s="137">
        <v>0</v>
      </c>
      <c r="Q269" s="137">
        <v>0</v>
      </c>
      <c r="R269" s="126">
        <v>5</v>
      </c>
      <c r="S269" t="s">
        <v>522</v>
      </c>
      <c r="T269" t="s">
        <v>526</v>
      </c>
      <c r="U269" t="s">
        <v>795</v>
      </c>
    </row>
    <row r="270" spans="1:21" x14ac:dyDescent="0.3">
      <c r="A270" t="s">
        <v>402</v>
      </c>
      <c r="B270" s="126">
        <v>2025</v>
      </c>
      <c r="C270" t="s">
        <v>507</v>
      </c>
      <c r="D270" t="s">
        <v>489</v>
      </c>
      <c r="E270" t="s">
        <v>135</v>
      </c>
      <c r="F270" t="s">
        <v>511</v>
      </c>
      <c r="G270" s="137">
        <v>6.3</v>
      </c>
      <c r="H270" s="138">
        <v>6.11</v>
      </c>
      <c r="I270" s="138">
        <v>0.08</v>
      </c>
      <c r="J270" s="139">
        <v>2.4</v>
      </c>
      <c r="K270" s="137">
        <v>5.8</v>
      </c>
      <c r="L270" s="137">
        <v>6.5</v>
      </c>
      <c r="M270" t="s">
        <v>499</v>
      </c>
      <c r="N270" t="s">
        <v>525</v>
      </c>
      <c r="O270" t="s">
        <v>134</v>
      </c>
      <c r="P270" s="137">
        <v>3.1096563011456544</v>
      </c>
      <c r="Q270" s="137">
        <v>3.1096563011456544</v>
      </c>
      <c r="R270" s="126">
        <v>5</v>
      </c>
      <c r="S270" t="s">
        <v>522</v>
      </c>
      <c r="T270" t="s">
        <v>526</v>
      </c>
      <c r="U270" t="s">
        <v>796</v>
      </c>
    </row>
    <row r="271" spans="1:21" x14ac:dyDescent="0.3">
      <c r="A271" t="s">
        <v>402</v>
      </c>
      <c r="B271" s="126">
        <v>2025</v>
      </c>
      <c r="C271" t="s">
        <v>507</v>
      </c>
      <c r="D271" t="s">
        <v>489</v>
      </c>
      <c r="E271" t="s">
        <v>135</v>
      </c>
      <c r="F271" t="s">
        <v>512</v>
      </c>
      <c r="G271" s="137">
        <v>4.7</v>
      </c>
      <c r="H271" s="138">
        <v>4.68</v>
      </c>
      <c r="I271" s="138">
        <v>7.0000000000000007E-2</v>
      </c>
      <c r="J271" s="139">
        <v>0.3</v>
      </c>
      <c r="K271" s="137">
        <v>4.3</v>
      </c>
      <c r="L271" s="137">
        <v>5</v>
      </c>
      <c r="M271" t="s">
        <v>499</v>
      </c>
      <c r="N271" t="s">
        <v>525</v>
      </c>
      <c r="O271" t="s">
        <v>134</v>
      </c>
      <c r="P271" s="137">
        <v>0.42735042735043727</v>
      </c>
      <c r="Q271" s="137">
        <v>0.42735042735043727</v>
      </c>
      <c r="R271" s="126">
        <v>5</v>
      </c>
      <c r="S271" t="s">
        <v>522</v>
      </c>
      <c r="T271" t="s">
        <v>526</v>
      </c>
      <c r="U271" t="s">
        <v>797</v>
      </c>
    </row>
    <row r="272" spans="1:21" x14ac:dyDescent="0.3">
      <c r="A272" t="s">
        <v>402</v>
      </c>
      <c r="B272" s="126">
        <v>2025</v>
      </c>
      <c r="C272" t="s">
        <v>507</v>
      </c>
      <c r="D272" t="s">
        <v>490</v>
      </c>
      <c r="E272" t="s">
        <v>128</v>
      </c>
      <c r="F272" t="s">
        <v>508</v>
      </c>
      <c r="G272" s="137">
        <v>3.8</v>
      </c>
      <c r="H272" s="138">
        <v>3.77</v>
      </c>
      <c r="I272" s="138">
        <v>0.08</v>
      </c>
      <c r="J272" s="139">
        <v>0.3</v>
      </c>
      <c r="K272" s="137">
        <v>3.4</v>
      </c>
      <c r="L272" s="137">
        <v>4.0999999999999996</v>
      </c>
      <c r="M272" t="s">
        <v>499</v>
      </c>
      <c r="N272" t="s">
        <v>525</v>
      </c>
      <c r="O272" t="s">
        <v>129</v>
      </c>
      <c r="P272" s="137">
        <v>0.79575596816975602</v>
      </c>
      <c r="Q272" s="137">
        <v>0.79575596816975602</v>
      </c>
      <c r="R272" s="126">
        <v>9</v>
      </c>
      <c r="S272" t="s">
        <v>522</v>
      </c>
      <c r="T272" t="s">
        <v>526</v>
      </c>
      <c r="U272" t="s">
        <v>798</v>
      </c>
    </row>
    <row r="273" spans="1:21" x14ac:dyDescent="0.3">
      <c r="A273" t="s">
        <v>402</v>
      </c>
      <c r="B273" s="126">
        <v>2025</v>
      </c>
      <c r="C273" t="s">
        <v>507</v>
      </c>
      <c r="D273" t="s">
        <v>490</v>
      </c>
      <c r="E273" t="s">
        <v>128</v>
      </c>
      <c r="F273" t="s">
        <v>509</v>
      </c>
      <c r="G273" s="137">
        <v>2.1</v>
      </c>
      <c r="H273" s="138">
        <v>2.0499999999999998</v>
      </c>
      <c r="I273" s="138">
        <v>7.0000000000000007E-2</v>
      </c>
      <c r="J273" s="139">
        <v>0.7</v>
      </c>
      <c r="K273" s="137">
        <v>1.8</v>
      </c>
      <c r="L273" s="137">
        <v>2.2999999999999998</v>
      </c>
      <c r="M273" t="s">
        <v>499</v>
      </c>
      <c r="N273" t="s">
        <v>525</v>
      </c>
      <c r="O273" t="s">
        <v>129</v>
      </c>
      <c r="P273" s="137">
        <v>2.4390243902439157</v>
      </c>
      <c r="Q273" s="137">
        <v>2.4390243902439157</v>
      </c>
      <c r="R273" s="126">
        <v>9</v>
      </c>
      <c r="S273" t="s">
        <v>522</v>
      </c>
      <c r="T273" t="s">
        <v>526</v>
      </c>
      <c r="U273" t="s">
        <v>799</v>
      </c>
    </row>
    <row r="274" spans="1:21" x14ac:dyDescent="0.3">
      <c r="A274" t="s">
        <v>402</v>
      </c>
      <c r="B274" s="126">
        <v>2025</v>
      </c>
      <c r="C274" t="s">
        <v>507</v>
      </c>
      <c r="D274" t="s">
        <v>490</v>
      </c>
      <c r="E274" t="s">
        <v>128</v>
      </c>
      <c r="F274" t="s">
        <v>510</v>
      </c>
      <c r="G274" s="137">
        <v>4.9000000000000004</v>
      </c>
      <c r="H274" s="138">
        <v>4.7699999999999996</v>
      </c>
      <c r="I274" s="138">
        <v>0.09</v>
      </c>
      <c r="J274" s="139">
        <v>1.5</v>
      </c>
      <c r="K274" s="137">
        <v>4.3</v>
      </c>
      <c r="L274" s="137">
        <v>5.2</v>
      </c>
      <c r="M274" t="s">
        <v>499</v>
      </c>
      <c r="N274" t="s">
        <v>525</v>
      </c>
      <c r="O274" t="s">
        <v>129</v>
      </c>
      <c r="P274" s="137">
        <v>2.725366876310289</v>
      </c>
      <c r="Q274" s="137">
        <v>2.725366876310289</v>
      </c>
      <c r="R274" s="126">
        <v>9</v>
      </c>
      <c r="S274" t="s">
        <v>522</v>
      </c>
      <c r="T274" t="s">
        <v>526</v>
      </c>
      <c r="U274" t="s">
        <v>800</v>
      </c>
    </row>
    <row r="275" spans="1:21" x14ac:dyDescent="0.3">
      <c r="A275" t="s">
        <v>402</v>
      </c>
      <c r="B275" s="126">
        <v>2025</v>
      </c>
      <c r="C275" t="s">
        <v>507</v>
      </c>
      <c r="D275" t="s">
        <v>490</v>
      </c>
      <c r="E275" t="s">
        <v>128</v>
      </c>
      <c r="F275" t="s">
        <v>511</v>
      </c>
      <c r="G275" s="137">
        <v>3.7</v>
      </c>
      <c r="H275" s="138">
        <v>3.64</v>
      </c>
      <c r="I275" s="138">
        <v>0.08</v>
      </c>
      <c r="J275" s="139">
        <v>0.8</v>
      </c>
      <c r="K275" s="137">
        <v>3.3</v>
      </c>
      <c r="L275" s="137">
        <v>4</v>
      </c>
      <c r="M275" t="s">
        <v>499</v>
      </c>
      <c r="N275" t="s">
        <v>525</v>
      </c>
      <c r="O275" t="s">
        <v>129</v>
      </c>
      <c r="P275" s="137">
        <v>1.6483516483516498</v>
      </c>
      <c r="Q275" s="137">
        <v>1.6483516483516498</v>
      </c>
      <c r="R275" s="126">
        <v>9</v>
      </c>
      <c r="S275" t="s">
        <v>522</v>
      </c>
      <c r="T275" t="s">
        <v>526</v>
      </c>
      <c r="U275" t="s">
        <v>801</v>
      </c>
    </row>
    <row r="276" spans="1:21" x14ac:dyDescent="0.3">
      <c r="A276" t="s">
        <v>402</v>
      </c>
      <c r="B276" s="126">
        <v>2025</v>
      </c>
      <c r="C276" t="s">
        <v>507</v>
      </c>
      <c r="D276" t="s">
        <v>490</v>
      </c>
      <c r="E276" t="s">
        <v>128</v>
      </c>
      <c r="F276" t="s">
        <v>512</v>
      </c>
      <c r="G276" s="137">
        <v>6</v>
      </c>
      <c r="H276" s="138">
        <v>5.76</v>
      </c>
      <c r="I276" s="138">
        <v>0.1</v>
      </c>
      <c r="J276" s="139">
        <v>2.5</v>
      </c>
      <c r="K276" s="137">
        <v>5.2</v>
      </c>
      <c r="L276" s="137">
        <v>6.3</v>
      </c>
      <c r="M276" t="s">
        <v>499</v>
      </c>
      <c r="N276" t="s">
        <v>525</v>
      </c>
      <c r="O276" t="s">
        <v>129</v>
      </c>
      <c r="P276" s="137">
        <v>4.1666666666666705</v>
      </c>
      <c r="Q276" s="137">
        <v>4.1666666666666705</v>
      </c>
      <c r="R276" s="126">
        <v>9</v>
      </c>
      <c r="S276" t="s">
        <v>522</v>
      </c>
      <c r="T276" t="s">
        <v>526</v>
      </c>
      <c r="U276" t="s">
        <v>802</v>
      </c>
    </row>
    <row r="277" spans="1:21" x14ac:dyDescent="0.3">
      <c r="A277" t="s">
        <v>402</v>
      </c>
      <c r="B277" s="126">
        <v>2025</v>
      </c>
      <c r="C277" t="s">
        <v>507</v>
      </c>
      <c r="D277" t="s">
        <v>491</v>
      </c>
      <c r="E277" t="s">
        <v>133</v>
      </c>
      <c r="F277" t="s">
        <v>508</v>
      </c>
      <c r="G277" s="137">
        <v>134</v>
      </c>
      <c r="H277" s="138">
        <v>129.30000000000001</v>
      </c>
      <c r="I277" s="138">
        <v>2.2000000000000002</v>
      </c>
      <c r="J277" s="139">
        <v>2.2000000000000002</v>
      </c>
      <c r="K277" s="137">
        <v>125</v>
      </c>
      <c r="L277" s="137">
        <v>134</v>
      </c>
      <c r="M277" t="s">
        <v>499</v>
      </c>
      <c r="N277" t="s">
        <v>525</v>
      </c>
      <c r="O277" t="s">
        <v>134</v>
      </c>
      <c r="P277" s="137">
        <v>3.6349574632637189</v>
      </c>
      <c r="Q277" s="137">
        <v>3.6349574632637189</v>
      </c>
      <c r="R277" s="126">
        <v>5</v>
      </c>
      <c r="S277" t="s">
        <v>522</v>
      </c>
      <c r="T277" t="s">
        <v>526</v>
      </c>
      <c r="U277" t="s">
        <v>803</v>
      </c>
    </row>
    <row r="278" spans="1:21" x14ac:dyDescent="0.3">
      <c r="A278" t="s">
        <v>402</v>
      </c>
      <c r="B278" s="126">
        <v>2025</v>
      </c>
      <c r="C278" t="s">
        <v>507</v>
      </c>
      <c r="D278" t="s">
        <v>491</v>
      </c>
      <c r="E278" t="s">
        <v>133</v>
      </c>
      <c r="F278" t="s">
        <v>509</v>
      </c>
      <c r="G278" s="137">
        <v>149</v>
      </c>
      <c r="H278" s="138">
        <v>141.5</v>
      </c>
      <c r="I278" s="138">
        <v>2.4</v>
      </c>
      <c r="J278" s="139">
        <v>3.1</v>
      </c>
      <c r="K278" s="137">
        <v>137</v>
      </c>
      <c r="L278" s="137">
        <v>146</v>
      </c>
      <c r="M278" t="s">
        <v>506</v>
      </c>
      <c r="N278" t="s">
        <v>668</v>
      </c>
      <c r="O278" t="s">
        <v>134</v>
      </c>
      <c r="P278" s="137">
        <v>5.3003533568904597</v>
      </c>
      <c r="Q278" s="137">
        <v>5.3003533568904597</v>
      </c>
      <c r="R278" s="126">
        <v>5</v>
      </c>
      <c r="S278" t="s">
        <v>522</v>
      </c>
      <c r="T278" t="s">
        <v>526</v>
      </c>
      <c r="U278" t="s">
        <v>804</v>
      </c>
    </row>
    <row r="279" spans="1:21" x14ac:dyDescent="0.3">
      <c r="A279" t="s">
        <v>402</v>
      </c>
      <c r="B279" s="126">
        <v>2025</v>
      </c>
      <c r="C279" t="s">
        <v>507</v>
      </c>
      <c r="D279" t="s">
        <v>491</v>
      </c>
      <c r="E279" t="s">
        <v>133</v>
      </c>
      <c r="F279" t="s">
        <v>510</v>
      </c>
      <c r="G279" s="137">
        <v>144</v>
      </c>
      <c r="H279" s="138">
        <v>138.80000000000001</v>
      </c>
      <c r="I279" s="138">
        <v>1.9</v>
      </c>
      <c r="J279" s="139">
        <v>2.8</v>
      </c>
      <c r="K279" s="137">
        <v>134</v>
      </c>
      <c r="L279" s="137">
        <v>143</v>
      </c>
      <c r="M279" t="s">
        <v>506</v>
      </c>
      <c r="N279" t="s">
        <v>668</v>
      </c>
      <c r="O279" t="s">
        <v>134</v>
      </c>
      <c r="P279" s="137">
        <v>3.7463976945244872</v>
      </c>
      <c r="Q279" s="137">
        <v>3.7463976945244872</v>
      </c>
      <c r="R279" s="126">
        <v>5</v>
      </c>
      <c r="S279" t="s">
        <v>522</v>
      </c>
      <c r="T279" t="s">
        <v>526</v>
      </c>
      <c r="U279" t="s">
        <v>805</v>
      </c>
    </row>
    <row r="280" spans="1:21" x14ac:dyDescent="0.3">
      <c r="A280" t="s">
        <v>402</v>
      </c>
      <c r="B280" s="126">
        <v>2025</v>
      </c>
      <c r="C280" t="s">
        <v>507</v>
      </c>
      <c r="D280" t="s">
        <v>491</v>
      </c>
      <c r="E280" t="s">
        <v>133</v>
      </c>
      <c r="F280" t="s">
        <v>511</v>
      </c>
      <c r="G280" s="137">
        <v>153</v>
      </c>
      <c r="H280" s="138">
        <v>146.9</v>
      </c>
      <c r="I280" s="138">
        <v>2.2999999999999998</v>
      </c>
      <c r="J280" s="139">
        <v>2.7</v>
      </c>
      <c r="K280" s="137">
        <v>142</v>
      </c>
      <c r="L280" s="137">
        <v>151</v>
      </c>
      <c r="M280" t="s">
        <v>506</v>
      </c>
      <c r="N280" t="s">
        <v>668</v>
      </c>
      <c r="O280" t="s">
        <v>134</v>
      </c>
      <c r="P280" s="137">
        <v>4.1524846834581313</v>
      </c>
      <c r="Q280" s="137">
        <v>4.1524846834581313</v>
      </c>
      <c r="R280" s="126">
        <v>5</v>
      </c>
      <c r="S280" t="s">
        <v>522</v>
      </c>
      <c r="T280" t="s">
        <v>526</v>
      </c>
      <c r="U280" t="s">
        <v>806</v>
      </c>
    </row>
    <row r="281" spans="1:21" x14ac:dyDescent="0.3">
      <c r="A281" t="s">
        <v>402</v>
      </c>
      <c r="B281" s="126">
        <v>2025</v>
      </c>
      <c r="C281" t="s">
        <v>507</v>
      </c>
      <c r="D281" t="s">
        <v>491</v>
      </c>
      <c r="E281" t="s">
        <v>133</v>
      </c>
      <c r="F281" t="s">
        <v>512</v>
      </c>
      <c r="G281" s="137">
        <v>152</v>
      </c>
      <c r="H281" s="138">
        <v>148.5</v>
      </c>
      <c r="I281" s="138">
        <v>2.5</v>
      </c>
      <c r="J281" s="139">
        <v>1.4</v>
      </c>
      <c r="K281" s="137">
        <v>144</v>
      </c>
      <c r="L281" s="137">
        <v>153</v>
      </c>
      <c r="M281" t="s">
        <v>499</v>
      </c>
      <c r="N281" t="s">
        <v>525</v>
      </c>
      <c r="O281" t="s">
        <v>134</v>
      </c>
      <c r="P281" s="137">
        <v>2.3569023569023568</v>
      </c>
      <c r="Q281" s="137">
        <v>2.3569023569023568</v>
      </c>
      <c r="R281" s="126">
        <v>5</v>
      </c>
      <c r="S281" t="s">
        <v>522</v>
      </c>
      <c r="T281" t="s">
        <v>526</v>
      </c>
      <c r="U281" t="s">
        <v>807</v>
      </c>
    </row>
    <row r="282" spans="1:21" x14ac:dyDescent="0.3">
      <c r="A282" t="s">
        <v>402</v>
      </c>
      <c r="B282" s="126">
        <v>2025</v>
      </c>
      <c r="C282" t="s">
        <v>507</v>
      </c>
      <c r="D282" t="s">
        <v>492</v>
      </c>
      <c r="E282" t="s">
        <v>342</v>
      </c>
      <c r="F282" t="s">
        <v>508</v>
      </c>
      <c r="G282" s="137">
        <v>133</v>
      </c>
      <c r="H282" s="138">
        <v>153.5</v>
      </c>
      <c r="I282" s="138">
        <v>10.199999999999999</v>
      </c>
      <c r="J282" s="139">
        <v>-2</v>
      </c>
      <c r="K282" s="137">
        <v>122</v>
      </c>
      <c r="L282" s="137">
        <v>185</v>
      </c>
      <c r="M282" t="s">
        <v>499</v>
      </c>
      <c r="N282" t="s">
        <v>525</v>
      </c>
      <c r="O282" t="s">
        <v>505</v>
      </c>
      <c r="P282" s="137">
        <v>-13.355048859934854</v>
      </c>
      <c r="Q282" s="137">
        <v>13.355048859934854</v>
      </c>
      <c r="R282" s="126">
        <v>10</v>
      </c>
      <c r="S282" t="s">
        <v>522</v>
      </c>
      <c r="T282" t="s">
        <v>526</v>
      </c>
      <c r="U282" t="s">
        <v>808</v>
      </c>
    </row>
    <row r="283" spans="1:21" x14ac:dyDescent="0.3">
      <c r="A283" t="s">
        <v>402</v>
      </c>
      <c r="B283" s="126">
        <v>2025</v>
      </c>
      <c r="C283" t="s">
        <v>507</v>
      </c>
      <c r="D283" t="s">
        <v>492</v>
      </c>
      <c r="E283" t="s">
        <v>342</v>
      </c>
      <c r="F283" t="s">
        <v>509</v>
      </c>
      <c r="G283" s="137">
        <v>43</v>
      </c>
      <c r="H283" s="138">
        <v>63.2</v>
      </c>
      <c r="I283" s="138">
        <v>8.9</v>
      </c>
      <c r="J283" s="139">
        <v>-2.2999999999999998</v>
      </c>
      <c r="K283" s="137">
        <v>50</v>
      </c>
      <c r="L283" s="137">
        <v>76</v>
      </c>
      <c r="M283" t="s">
        <v>506</v>
      </c>
      <c r="N283" t="s">
        <v>668</v>
      </c>
      <c r="O283" t="s">
        <v>505</v>
      </c>
      <c r="P283" s="137">
        <v>-31.962025316455701</v>
      </c>
      <c r="Q283" s="137">
        <v>31.962025316455701</v>
      </c>
      <c r="R283" s="126">
        <v>10</v>
      </c>
      <c r="S283" t="s">
        <v>522</v>
      </c>
      <c r="T283" t="s">
        <v>526</v>
      </c>
      <c r="U283" t="s">
        <v>809</v>
      </c>
    </row>
    <row r="284" spans="1:21" x14ac:dyDescent="0.3">
      <c r="A284" t="s">
        <v>402</v>
      </c>
      <c r="B284" s="126">
        <v>2025</v>
      </c>
      <c r="C284" t="s">
        <v>507</v>
      </c>
      <c r="D284" t="s">
        <v>492</v>
      </c>
      <c r="E284" t="s">
        <v>342</v>
      </c>
      <c r="F284" t="s">
        <v>510</v>
      </c>
      <c r="G284" s="137">
        <v>194</v>
      </c>
      <c r="H284" s="138">
        <v>209</v>
      </c>
      <c r="I284" s="138">
        <v>10.1</v>
      </c>
      <c r="J284" s="139">
        <v>-1.5</v>
      </c>
      <c r="K284" s="137">
        <v>167</v>
      </c>
      <c r="L284" s="137">
        <v>251</v>
      </c>
      <c r="M284" t="s">
        <v>499</v>
      </c>
      <c r="N284" t="s">
        <v>525</v>
      </c>
      <c r="O284" t="s">
        <v>505</v>
      </c>
      <c r="P284" s="137">
        <v>-7.1770334928229662</v>
      </c>
      <c r="Q284" s="137">
        <v>7.1770334928229662</v>
      </c>
      <c r="R284" s="126">
        <v>10</v>
      </c>
      <c r="S284" t="s">
        <v>522</v>
      </c>
      <c r="T284" t="s">
        <v>526</v>
      </c>
      <c r="U284" t="s">
        <v>810</v>
      </c>
    </row>
    <row r="285" spans="1:21" x14ac:dyDescent="0.3">
      <c r="A285" t="s">
        <v>402</v>
      </c>
      <c r="B285" s="126">
        <v>2025</v>
      </c>
      <c r="C285" t="s">
        <v>507</v>
      </c>
      <c r="D285" t="s">
        <v>492</v>
      </c>
      <c r="E285" t="s">
        <v>342</v>
      </c>
      <c r="F285" t="s">
        <v>511</v>
      </c>
      <c r="G285" s="137">
        <v>127</v>
      </c>
      <c r="H285" s="138">
        <v>149</v>
      </c>
      <c r="I285" s="138">
        <v>8.6999999999999993</v>
      </c>
      <c r="J285" s="139">
        <v>-2.5</v>
      </c>
      <c r="K285" s="137">
        <v>119</v>
      </c>
      <c r="L285" s="137">
        <v>179</v>
      </c>
      <c r="M285" t="s">
        <v>499</v>
      </c>
      <c r="N285" t="s">
        <v>525</v>
      </c>
      <c r="O285" t="s">
        <v>505</v>
      </c>
      <c r="P285" s="137">
        <v>-14.76510067114094</v>
      </c>
      <c r="Q285" s="137">
        <v>14.76510067114094</v>
      </c>
      <c r="R285" s="126">
        <v>10</v>
      </c>
      <c r="S285" t="s">
        <v>522</v>
      </c>
      <c r="T285" t="s">
        <v>526</v>
      </c>
      <c r="U285" t="s">
        <v>811</v>
      </c>
    </row>
    <row r="286" spans="1:21" x14ac:dyDescent="0.3">
      <c r="A286" t="s">
        <v>402</v>
      </c>
      <c r="B286" s="126">
        <v>2025</v>
      </c>
      <c r="C286" t="s">
        <v>507</v>
      </c>
      <c r="D286" t="s">
        <v>492</v>
      </c>
      <c r="E286" t="s">
        <v>342</v>
      </c>
      <c r="F286" t="s">
        <v>512</v>
      </c>
      <c r="G286" s="137">
        <v>245</v>
      </c>
      <c r="H286" s="138">
        <v>263.39999999999998</v>
      </c>
      <c r="I286" s="138">
        <v>9.6999999999999993</v>
      </c>
      <c r="J286" s="139">
        <v>-1.9</v>
      </c>
      <c r="K286" s="137">
        <v>210</v>
      </c>
      <c r="L286" s="137">
        <v>317</v>
      </c>
      <c r="M286" t="s">
        <v>499</v>
      </c>
      <c r="N286" t="s">
        <v>525</v>
      </c>
      <c r="O286" t="s">
        <v>505</v>
      </c>
      <c r="P286" s="137">
        <v>-6.9855732725892103</v>
      </c>
      <c r="Q286" s="137">
        <v>6.9855732725892103</v>
      </c>
      <c r="R286" s="126">
        <v>10</v>
      </c>
      <c r="S286" t="s">
        <v>522</v>
      </c>
      <c r="T286" t="s">
        <v>526</v>
      </c>
      <c r="U286" t="s">
        <v>812</v>
      </c>
    </row>
    <row r="287" spans="1:21" x14ac:dyDescent="0.3">
      <c r="A287" t="s">
        <v>402</v>
      </c>
      <c r="B287" s="126">
        <v>2025</v>
      </c>
      <c r="C287" t="s">
        <v>507</v>
      </c>
      <c r="D287" t="s">
        <v>493</v>
      </c>
      <c r="F287" t="s">
        <v>508</v>
      </c>
      <c r="G287" s="137">
        <v>0.57999999999999996</v>
      </c>
      <c r="H287" s="138">
        <v>0.56999999999999995</v>
      </c>
      <c r="I287" s="138">
        <v>3.3000000000000002E-2</v>
      </c>
      <c r="J287" s="139">
        <v>0.3</v>
      </c>
      <c r="K287" s="137">
        <v>0.37</v>
      </c>
      <c r="L287" s="137">
        <v>0.77</v>
      </c>
      <c r="M287" t="s">
        <v>499</v>
      </c>
      <c r="N287" t="s">
        <v>525</v>
      </c>
      <c r="O287" t="s">
        <v>513</v>
      </c>
      <c r="P287" s="137">
        <v>1.7543859649122824</v>
      </c>
      <c r="Q287" s="137">
        <v>1.7543859649122824</v>
      </c>
      <c r="R287" s="126">
        <v>9</v>
      </c>
      <c r="S287" t="s">
        <v>522</v>
      </c>
      <c r="T287" t="s">
        <v>526</v>
      </c>
      <c r="U287" t="s">
        <v>813</v>
      </c>
    </row>
    <row r="288" spans="1:21" x14ac:dyDescent="0.3">
      <c r="A288" t="s">
        <v>402</v>
      </c>
      <c r="B288" s="126">
        <v>2025</v>
      </c>
      <c r="C288" t="s">
        <v>507</v>
      </c>
      <c r="D288" t="s">
        <v>493</v>
      </c>
      <c r="F288" t="s">
        <v>509</v>
      </c>
      <c r="G288" s="137">
        <v>0.3</v>
      </c>
      <c r="H288" s="138">
        <v>0.29099999999999998</v>
      </c>
      <c r="I288" s="138">
        <v>1.7000000000000001E-2</v>
      </c>
      <c r="J288" s="139">
        <v>0.5</v>
      </c>
      <c r="K288" s="137">
        <v>0.09</v>
      </c>
      <c r="L288" s="137">
        <v>0.5</v>
      </c>
      <c r="M288" t="s">
        <v>499</v>
      </c>
      <c r="N288" t="s">
        <v>525</v>
      </c>
      <c r="O288" t="s">
        <v>513</v>
      </c>
      <c r="P288" s="137">
        <v>3.092783505154642</v>
      </c>
      <c r="Q288" s="137">
        <v>3.092783505154642</v>
      </c>
      <c r="R288" s="126">
        <v>9</v>
      </c>
      <c r="S288" t="s">
        <v>522</v>
      </c>
      <c r="T288" t="s">
        <v>526</v>
      </c>
      <c r="U288" t="s">
        <v>814</v>
      </c>
    </row>
    <row r="289" spans="1:21" x14ac:dyDescent="0.3">
      <c r="A289" t="s">
        <v>402</v>
      </c>
      <c r="B289" s="126">
        <v>2025</v>
      </c>
      <c r="C289" t="s">
        <v>507</v>
      </c>
      <c r="D289" t="s">
        <v>493</v>
      </c>
      <c r="F289" t="s">
        <v>510</v>
      </c>
      <c r="G289" s="137">
        <v>2.73</v>
      </c>
      <c r="H289" s="138">
        <v>2.7040000000000002</v>
      </c>
      <c r="I289" s="138">
        <v>0.14199999999999999</v>
      </c>
      <c r="J289" s="139">
        <v>0.2</v>
      </c>
      <c r="K289" s="137">
        <v>2.16</v>
      </c>
      <c r="L289" s="137">
        <v>3.25</v>
      </c>
      <c r="M289" t="s">
        <v>499</v>
      </c>
      <c r="N289" t="s">
        <v>525</v>
      </c>
      <c r="O289" t="s">
        <v>513</v>
      </c>
      <c r="P289" s="137">
        <v>0.96153846153845413</v>
      </c>
      <c r="Q289" s="137">
        <v>0.96153846153845413</v>
      </c>
      <c r="R289" s="126">
        <v>9</v>
      </c>
      <c r="S289" t="s">
        <v>522</v>
      </c>
      <c r="T289" t="s">
        <v>526</v>
      </c>
      <c r="U289" t="s">
        <v>815</v>
      </c>
    </row>
    <row r="290" spans="1:21" x14ac:dyDescent="0.3">
      <c r="A290" t="s">
        <v>402</v>
      </c>
      <c r="B290" s="126">
        <v>2025</v>
      </c>
      <c r="C290" t="s">
        <v>507</v>
      </c>
      <c r="D290" t="s">
        <v>493</v>
      </c>
      <c r="F290" t="s">
        <v>511</v>
      </c>
      <c r="G290" s="137">
        <v>2.5299999999999998</v>
      </c>
      <c r="H290" s="138">
        <v>2.57</v>
      </c>
      <c r="I290" s="138">
        <v>0.13</v>
      </c>
      <c r="J290" s="139">
        <v>-0.3</v>
      </c>
      <c r="K290" s="137">
        <v>2.0499999999999998</v>
      </c>
      <c r="L290" s="137">
        <v>3.09</v>
      </c>
      <c r="M290" t="s">
        <v>499</v>
      </c>
      <c r="N290" t="s">
        <v>525</v>
      </c>
      <c r="O290" t="s">
        <v>513</v>
      </c>
      <c r="P290" s="137">
        <v>-1.5564202334630364</v>
      </c>
      <c r="Q290" s="137">
        <v>1.5564202334630364</v>
      </c>
      <c r="R290" s="126">
        <v>9</v>
      </c>
      <c r="S290" t="s">
        <v>522</v>
      </c>
      <c r="T290" t="s">
        <v>526</v>
      </c>
      <c r="U290" t="s">
        <v>816</v>
      </c>
    </row>
    <row r="291" spans="1:21" x14ac:dyDescent="0.3">
      <c r="A291" t="s">
        <v>402</v>
      </c>
      <c r="B291" s="126">
        <v>2025</v>
      </c>
      <c r="C291" t="s">
        <v>507</v>
      </c>
      <c r="D291" t="s">
        <v>493</v>
      </c>
      <c r="F291" t="s">
        <v>512</v>
      </c>
      <c r="G291" s="137">
        <v>4.76</v>
      </c>
      <c r="H291" s="138">
        <v>4.7850000000000001</v>
      </c>
      <c r="I291" s="138">
        <v>0.249</v>
      </c>
      <c r="J291" s="139">
        <v>-0.1</v>
      </c>
      <c r="K291" s="137">
        <v>3.82</v>
      </c>
      <c r="L291" s="137">
        <v>5.75</v>
      </c>
      <c r="M291" t="s">
        <v>499</v>
      </c>
      <c r="N291" t="s">
        <v>525</v>
      </c>
      <c r="O291" t="s">
        <v>513</v>
      </c>
      <c r="P291" s="137">
        <v>-0.52246603970742644</v>
      </c>
      <c r="Q291" s="137">
        <v>0.52246603970742644</v>
      </c>
      <c r="R291" s="126">
        <v>9</v>
      </c>
      <c r="S291" t="s">
        <v>522</v>
      </c>
      <c r="T291" t="s">
        <v>526</v>
      </c>
      <c r="U291" t="s">
        <v>817</v>
      </c>
    </row>
    <row r="292" spans="1:21" x14ac:dyDescent="0.3">
      <c r="A292" t="s">
        <v>402</v>
      </c>
      <c r="B292" s="126">
        <v>2025</v>
      </c>
      <c r="C292" t="s">
        <v>507</v>
      </c>
      <c r="D292" t="s">
        <v>494</v>
      </c>
      <c r="E292" t="s">
        <v>121</v>
      </c>
      <c r="F292" t="s">
        <v>508</v>
      </c>
      <c r="G292" s="137">
        <v>105</v>
      </c>
      <c r="H292" s="138">
        <v>103.977</v>
      </c>
      <c r="I292" s="138">
        <v>2.5499999999999998</v>
      </c>
      <c r="J292" s="139">
        <v>0.4</v>
      </c>
      <c r="K292" s="137">
        <v>88.38</v>
      </c>
      <c r="L292" s="137">
        <v>119.58</v>
      </c>
      <c r="M292" t="s">
        <v>499</v>
      </c>
      <c r="N292" t="s">
        <v>525</v>
      </c>
      <c r="O292" t="s">
        <v>112</v>
      </c>
      <c r="P292" s="137">
        <v>0.98387143310539449</v>
      </c>
      <c r="Q292" s="137">
        <v>0.98387143310539449</v>
      </c>
      <c r="R292" s="126">
        <v>5</v>
      </c>
      <c r="S292" t="s">
        <v>522</v>
      </c>
      <c r="T292" t="s">
        <v>526</v>
      </c>
      <c r="U292" t="s">
        <v>818</v>
      </c>
    </row>
    <row r="293" spans="1:21" x14ac:dyDescent="0.3">
      <c r="A293" t="s">
        <v>402</v>
      </c>
      <c r="B293" s="126">
        <v>2025</v>
      </c>
      <c r="C293" t="s">
        <v>507</v>
      </c>
      <c r="D293" t="s">
        <v>494</v>
      </c>
      <c r="E293" t="s">
        <v>121</v>
      </c>
      <c r="F293" t="s">
        <v>509</v>
      </c>
      <c r="G293" s="137">
        <v>86</v>
      </c>
      <c r="H293" s="138">
        <v>86.462999999999994</v>
      </c>
      <c r="I293" s="138">
        <v>2.492</v>
      </c>
      <c r="J293" s="139">
        <v>-0.2</v>
      </c>
      <c r="K293" s="137">
        <v>73.489999999999995</v>
      </c>
      <c r="L293" s="137">
        <v>99.44</v>
      </c>
      <c r="M293" t="s">
        <v>499</v>
      </c>
      <c r="N293" t="s">
        <v>525</v>
      </c>
      <c r="O293" t="s">
        <v>112</v>
      </c>
      <c r="P293" s="137">
        <v>-0.53548916877738906</v>
      </c>
      <c r="Q293" s="137">
        <v>0.53548916877738906</v>
      </c>
      <c r="R293" s="126">
        <v>5</v>
      </c>
      <c r="S293" t="s">
        <v>522</v>
      </c>
      <c r="T293" t="s">
        <v>526</v>
      </c>
      <c r="U293" t="s">
        <v>819</v>
      </c>
    </row>
    <row r="294" spans="1:21" x14ac:dyDescent="0.3">
      <c r="A294" t="s">
        <v>402</v>
      </c>
      <c r="B294" s="126">
        <v>2025</v>
      </c>
      <c r="C294" t="s">
        <v>507</v>
      </c>
      <c r="D294" t="s">
        <v>494</v>
      </c>
      <c r="E294" t="s">
        <v>121</v>
      </c>
      <c r="F294" t="s">
        <v>510</v>
      </c>
      <c r="G294" s="137">
        <v>157</v>
      </c>
      <c r="H294" s="138">
        <v>158.00200000000001</v>
      </c>
      <c r="I294" s="138">
        <v>2.823</v>
      </c>
      <c r="J294" s="139">
        <v>-0.4</v>
      </c>
      <c r="K294" s="137">
        <v>134.30000000000001</v>
      </c>
      <c r="L294" s="137">
        <v>181.71</v>
      </c>
      <c r="M294" t="s">
        <v>499</v>
      </c>
      <c r="N294" t="s">
        <v>525</v>
      </c>
      <c r="O294" t="s">
        <v>112</v>
      </c>
      <c r="P294" s="137">
        <v>-0.63416918773180686</v>
      </c>
      <c r="Q294" s="137">
        <v>0.63416918773180686</v>
      </c>
      <c r="R294" s="126">
        <v>5</v>
      </c>
      <c r="S294" t="s">
        <v>522</v>
      </c>
      <c r="T294" t="s">
        <v>526</v>
      </c>
      <c r="U294" t="s">
        <v>820</v>
      </c>
    </row>
    <row r="295" spans="1:21" x14ac:dyDescent="0.3">
      <c r="A295" t="s">
        <v>402</v>
      </c>
      <c r="B295" s="126">
        <v>2025</v>
      </c>
      <c r="C295" t="s">
        <v>507</v>
      </c>
      <c r="D295" t="s">
        <v>494</v>
      </c>
      <c r="E295" t="s">
        <v>121</v>
      </c>
      <c r="F295" t="s">
        <v>511</v>
      </c>
      <c r="G295" s="137">
        <v>149</v>
      </c>
      <c r="H295" s="138">
        <v>146.51499999999999</v>
      </c>
      <c r="I295" s="138">
        <v>3.32</v>
      </c>
      <c r="J295" s="139">
        <v>0.7</v>
      </c>
      <c r="K295" s="137">
        <v>124.53</v>
      </c>
      <c r="L295" s="137">
        <v>168.5</v>
      </c>
      <c r="M295" t="s">
        <v>499</v>
      </c>
      <c r="N295" t="s">
        <v>525</v>
      </c>
      <c r="O295" t="s">
        <v>112</v>
      </c>
      <c r="P295" s="137">
        <v>1.6960720745316273</v>
      </c>
      <c r="Q295" s="137">
        <v>1.6960720745316273</v>
      </c>
      <c r="R295" s="126">
        <v>5</v>
      </c>
      <c r="S295" t="s">
        <v>522</v>
      </c>
      <c r="T295" t="s">
        <v>526</v>
      </c>
      <c r="U295" t="s">
        <v>821</v>
      </c>
    </row>
    <row r="296" spans="1:21" x14ac:dyDescent="0.3">
      <c r="A296" t="s">
        <v>402</v>
      </c>
      <c r="B296" s="126">
        <v>2025</v>
      </c>
      <c r="C296" t="s">
        <v>507</v>
      </c>
      <c r="D296" t="s">
        <v>494</v>
      </c>
      <c r="E296" t="s">
        <v>121</v>
      </c>
      <c r="F296" t="s">
        <v>512</v>
      </c>
      <c r="G296" s="137">
        <v>215</v>
      </c>
      <c r="H296" s="138">
        <v>211.11</v>
      </c>
      <c r="I296" s="138">
        <v>3.4540000000000002</v>
      </c>
      <c r="J296" s="139">
        <v>1.1000000000000001</v>
      </c>
      <c r="K296" s="137">
        <v>179.44</v>
      </c>
      <c r="L296" s="137">
        <v>242.78</v>
      </c>
      <c r="M296" t="s">
        <v>499</v>
      </c>
      <c r="N296" t="s">
        <v>525</v>
      </c>
      <c r="O296" t="s">
        <v>112</v>
      </c>
      <c r="P296" s="137">
        <v>1.8426412770593463</v>
      </c>
      <c r="Q296" s="137">
        <v>1.8426412770593463</v>
      </c>
      <c r="R296" s="126">
        <v>5</v>
      </c>
      <c r="S296" t="s">
        <v>522</v>
      </c>
      <c r="T296" t="s">
        <v>526</v>
      </c>
      <c r="U296" t="s">
        <v>822</v>
      </c>
    </row>
    <row r="297" spans="1:21" x14ac:dyDescent="0.3">
      <c r="A297" t="s">
        <v>402</v>
      </c>
      <c r="B297" s="126">
        <v>2025</v>
      </c>
      <c r="C297" t="s">
        <v>507</v>
      </c>
      <c r="D297" t="s">
        <v>495</v>
      </c>
      <c r="E297" t="s">
        <v>115</v>
      </c>
      <c r="F297" t="s">
        <v>508</v>
      </c>
      <c r="G297" s="137">
        <v>34.6</v>
      </c>
      <c r="H297" s="138">
        <v>35.33</v>
      </c>
      <c r="I297" s="138">
        <v>1.33</v>
      </c>
      <c r="J297" s="139">
        <v>-0.5</v>
      </c>
      <c r="K297" s="137">
        <v>32.1</v>
      </c>
      <c r="L297" s="137">
        <v>38.6</v>
      </c>
      <c r="M297" t="s">
        <v>499</v>
      </c>
      <c r="N297" t="s">
        <v>525</v>
      </c>
      <c r="O297" t="s">
        <v>112</v>
      </c>
      <c r="P297" s="137">
        <v>-2.0662326634588082</v>
      </c>
      <c r="Q297" s="137">
        <v>2.0662326634588082</v>
      </c>
      <c r="R297" s="126">
        <v>6</v>
      </c>
      <c r="S297" t="s">
        <v>522</v>
      </c>
      <c r="T297" t="s">
        <v>526</v>
      </c>
      <c r="U297" t="s">
        <v>823</v>
      </c>
    </row>
    <row r="298" spans="1:21" x14ac:dyDescent="0.3">
      <c r="A298" t="s">
        <v>402</v>
      </c>
      <c r="B298" s="126">
        <v>2025</v>
      </c>
      <c r="C298" t="s">
        <v>507</v>
      </c>
      <c r="D298" t="s">
        <v>495</v>
      </c>
      <c r="E298" t="s">
        <v>115</v>
      </c>
      <c r="F298" t="s">
        <v>509</v>
      </c>
      <c r="G298" s="137">
        <v>6.1</v>
      </c>
      <c r="H298" s="138">
        <v>6.67</v>
      </c>
      <c r="I298" s="138">
        <v>0.68</v>
      </c>
      <c r="J298" s="139">
        <v>-0.8</v>
      </c>
      <c r="K298" s="137">
        <v>4.5999999999999996</v>
      </c>
      <c r="L298" s="137">
        <v>8.6999999999999993</v>
      </c>
      <c r="M298" t="s">
        <v>499</v>
      </c>
      <c r="N298" t="s">
        <v>525</v>
      </c>
      <c r="O298" t="s">
        <v>112</v>
      </c>
      <c r="P298" s="137">
        <v>-8.5457271364317879</v>
      </c>
      <c r="Q298" s="137">
        <v>8.5457271364317879</v>
      </c>
      <c r="R298" s="126">
        <v>6</v>
      </c>
      <c r="S298" t="s">
        <v>522</v>
      </c>
      <c r="T298" t="s">
        <v>526</v>
      </c>
      <c r="U298" t="s">
        <v>824</v>
      </c>
    </row>
    <row r="299" spans="1:21" x14ac:dyDescent="0.3">
      <c r="A299" t="s">
        <v>402</v>
      </c>
      <c r="B299" s="126">
        <v>2025</v>
      </c>
      <c r="C299" t="s">
        <v>507</v>
      </c>
      <c r="D299" t="s">
        <v>495</v>
      </c>
      <c r="E299" t="s">
        <v>115</v>
      </c>
      <c r="F299" t="s">
        <v>510</v>
      </c>
      <c r="G299" s="137">
        <v>28</v>
      </c>
      <c r="H299" s="138">
        <v>29.35</v>
      </c>
      <c r="I299" s="138">
        <v>1.1299999999999999</v>
      </c>
      <c r="J299" s="139">
        <v>-1.2</v>
      </c>
      <c r="K299" s="137">
        <v>26.7</v>
      </c>
      <c r="L299" s="137">
        <v>32</v>
      </c>
      <c r="M299" t="s">
        <v>499</v>
      </c>
      <c r="N299" t="s">
        <v>525</v>
      </c>
      <c r="O299" t="s">
        <v>112</v>
      </c>
      <c r="P299" s="137">
        <v>-4.5996592844974495</v>
      </c>
      <c r="Q299" s="137">
        <v>4.5996592844974495</v>
      </c>
      <c r="R299" s="126">
        <v>6</v>
      </c>
      <c r="S299" t="s">
        <v>522</v>
      </c>
      <c r="T299" t="s">
        <v>526</v>
      </c>
      <c r="U299" t="s">
        <v>825</v>
      </c>
    </row>
    <row r="300" spans="1:21" x14ac:dyDescent="0.3">
      <c r="A300" t="s">
        <v>402</v>
      </c>
      <c r="B300" s="126">
        <v>2025</v>
      </c>
      <c r="C300" t="s">
        <v>507</v>
      </c>
      <c r="D300" t="s">
        <v>495</v>
      </c>
      <c r="E300" t="s">
        <v>115</v>
      </c>
      <c r="F300" t="s">
        <v>511</v>
      </c>
      <c r="G300" s="137">
        <v>9.3000000000000007</v>
      </c>
      <c r="H300" s="138">
        <v>10.25</v>
      </c>
      <c r="I300" s="138">
        <v>0.82</v>
      </c>
      <c r="J300" s="139">
        <v>-1.2</v>
      </c>
      <c r="K300" s="137">
        <v>8.1999999999999993</v>
      </c>
      <c r="L300" s="137">
        <v>12.3</v>
      </c>
      <c r="M300" t="s">
        <v>499</v>
      </c>
      <c r="N300" t="s">
        <v>525</v>
      </c>
      <c r="O300" t="s">
        <v>112</v>
      </c>
      <c r="P300" s="137">
        <v>-9.2682926829268215</v>
      </c>
      <c r="Q300" s="137">
        <v>9.2682926829268215</v>
      </c>
      <c r="R300" s="126">
        <v>6</v>
      </c>
      <c r="S300" t="s">
        <v>522</v>
      </c>
      <c r="T300" t="s">
        <v>526</v>
      </c>
      <c r="U300" t="s">
        <v>826</v>
      </c>
    </row>
    <row r="301" spans="1:21" x14ac:dyDescent="0.3">
      <c r="A301" t="s">
        <v>402</v>
      </c>
      <c r="B301" s="126">
        <v>2025</v>
      </c>
      <c r="C301" t="s">
        <v>507</v>
      </c>
      <c r="D301" t="s">
        <v>495</v>
      </c>
      <c r="E301" t="s">
        <v>115</v>
      </c>
      <c r="F301" t="s">
        <v>512</v>
      </c>
      <c r="G301" s="137">
        <v>23.4</v>
      </c>
      <c r="H301" s="138">
        <v>23.37</v>
      </c>
      <c r="I301" s="138">
        <v>1</v>
      </c>
      <c r="J301" s="139">
        <v>0</v>
      </c>
      <c r="K301" s="137">
        <v>21.2</v>
      </c>
      <c r="L301" s="137">
        <v>25.5</v>
      </c>
      <c r="M301" t="s">
        <v>499</v>
      </c>
      <c r="N301" t="s">
        <v>525</v>
      </c>
      <c r="O301" t="s">
        <v>112</v>
      </c>
      <c r="P301" s="137">
        <v>0.12836970474966872</v>
      </c>
      <c r="Q301" s="137">
        <v>0.12836970474966872</v>
      </c>
      <c r="R301" s="126">
        <v>6</v>
      </c>
      <c r="S301" t="s">
        <v>522</v>
      </c>
      <c r="T301" t="s">
        <v>526</v>
      </c>
      <c r="U301" t="s">
        <v>827</v>
      </c>
    </row>
    <row r="302" spans="1:21" x14ac:dyDescent="0.3">
      <c r="A302" t="s">
        <v>402</v>
      </c>
      <c r="B302" s="126">
        <v>2025</v>
      </c>
      <c r="C302" t="s">
        <v>507</v>
      </c>
      <c r="D302" t="s">
        <v>496</v>
      </c>
      <c r="E302" t="s">
        <v>118</v>
      </c>
      <c r="F302" t="s">
        <v>508</v>
      </c>
      <c r="G302" s="137">
        <v>9.6999999999999993</v>
      </c>
      <c r="H302" s="138">
        <v>9.81</v>
      </c>
      <c r="I302" s="138">
        <v>0.24</v>
      </c>
      <c r="J302" s="139">
        <v>-0.5</v>
      </c>
      <c r="K302" s="137">
        <v>8.8000000000000007</v>
      </c>
      <c r="L302" s="137">
        <v>10.8</v>
      </c>
      <c r="M302" t="s">
        <v>499</v>
      </c>
      <c r="N302" t="s">
        <v>525</v>
      </c>
      <c r="O302" t="s">
        <v>112</v>
      </c>
      <c r="P302" s="137">
        <v>-1.1213047910295739</v>
      </c>
      <c r="Q302" s="137">
        <v>1.1213047910295739</v>
      </c>
      <c r="R302" s="126">
        <v>6</v>
      </c>
      <c r="S302" t="s">
        <v>522</v>
      </c>
      <c r="T302" t="s">
        <v>526</v>
      </c>
      <c r="U302" t="s">
        <v>828</v>
      </c>
    </row>
    <row r="303" spans="1:21" x14ac:dyDescent="0.3">
      <c r="A303" t="s">
        <v>402</v>
      </c>
      <c r="B303" s="126">
        <v>2025</v>
      </c>
      <c r="C303" t="s">
        <v>507</v>
      </c>
      <c r="D303" t="s">
        <v>496</v>
      </c>
      <c r="E303" t="s">
        <v>118</v>
      </c>
      <c r="F303" t="s">
        <v>509</v>
      </c>
      <c r="G303" s="137">
        <v>5.9</v>
      </c>
      <c r="H303" s="138">
        <v>5.8</v>
      </c>
      <c r="I303" s="138">
        <v>0.14000000000000001</v>
      </c>
      <c r="J303" s="139">
        <v>0.8</v>
      </c>
      <c r="K303" s="137">
        <v>5.2</v>
      </c>
      <c r="L303" s="137">
        <v>6.4</v>
      </c>
      <c r="M303" t="s">
        <v>499</v>
      </c>
      <c r="N303" t="s">
        <v>525</v>
      </c>
      <c r="O303" t="s">
        <v>112</v>
      </c>
      <c r="P303" s="137">
        <v>1.7241379310344922</v>
      </c>
      <c r="Q303" s="137">
        <v>1.7241379310344922</v>
      </c>
      <c r="R303" s="126">
        <v>6</v>
      </c>
      <c r="S303" t="s">
        <v>522</v>
      </c>
      <c r="T303" t="s">
        <v>526</v>
      </c>
      <c r="U303" t="s">
        <v>829</v>
      </c>
    </row>
    <row r="304" spans="1:21" x14ac:dyDescent="0.3">
      <c r="A304" t="s">
        <v>402</v>
      </c>
      <c r="B304" s="126">
        <v>2025</v>
      </c>
      <c r="C304" t="s">
        <v>507</v>
      </c>
      <c r="D304" t="s">
        <v>496</v>
      </c>
      <c r="E304" t="s">
        <v>118</v>
      </c>
      <c r="F304" t="s">
        <v>510</v>
      </c>
      <c r="G304" s="137">
        <v>7.6</v>
      </c>
      <c r="H304" s="138">
        <v>7.52</v>
      </c>
      <c r="I304" s="138">
        <v>0.19</v>
      </c>
      <c r="J304" s="139">
        <v>0.4</v>
      </c>
      <c r="K304" s="137">
        <v>6.7</v>
      </c>
      <c r="L304" s="137">
        <v>8.3000000000000007</v>
      </c>
      <c r="M304" t="s">
        <v>499</v>
      </c>
      <c r="N304" t="s">
        <v>525</v>
      </c>
      <c r="O304" t="s">
        <v>112</v>
      </c>
      <c r="P304" s="137">
        <v>1.0638297872340436</v>
      </c>
      <c r="Q304" s="137">
        <v>1.0638297872340436</v>
      </c>
      <c r="R304" s="126">
        <v>6</v>
      </c>
      <c r="S304" t="s">
        <v>522</v>
      </c>
      <c r="T304" t="s">
        <v>526</v>
      </c>
      <c r="U304" t="s">
        <v>830</v>
      </c>
    </row>
    <row r="305" spans="1:21" x14ac:dyDescent="0.3">
      <c r="A305" t="s">
        <v>402</v>
      </c>
      <c r="B305" s="126">
        <v>2025</v>
      </c>
      <c r="C305" t="s">
        <v>507</v>
      </c>
      <c r="D305" t="s">
        <v>496</v>
      </c>
      <c r="E305" t="s">
        <v>118</v>
      </c>
      <c r="F305" t="s">
        <v>511</v>
      </c>
      <c r="G305" s="137">
        <v>4.9000000000000004</v>
      </c>
      <c r="H305" s="138">
        <v>4.83</v>
      </c>
      <c r="I305" s="138">
        <v>0.13</v>
      </c>
      <c r="J305" s="139">
        <v>0.6</v>
      </c>
      <c r="K305" s="137">
        <v>4.3</v>
      </c>
      <c r="L305" s="137">
        <v>5.4</v>
      </c>
      <c r="M305" t="s">
        <v>499</v>
      </c>
      <c r="N305" t="s">
        <v>525</v>
      </c>
      <c r="O305" t="s">
        <v>112</v>
      </c>
      <c r="P305" s="137">
        <v>1.4492753623188466</v>
      </c>
      <c r="Q305" s="137">
        <v>1.4492753623188466</v>
      </c>
      <c r="R305" s="126">
        <v>6</v>
      </c>
      <c r="S305" t="s">
        <v>522</v>
      </c>
      <c r="T305" t="s">
        <v>526</v>
      </c>
      <c r="U305" t="s">
        <v>831</v>
      </c>
    </row>
    <row r="306" spans="1:21" x14ac:dyDescent="0.3">
      <c r="A306" t="s">
        <v>402</v>
      </c>
      <c r="B306" s="126">
        <v>2025</v>
      </c>
      <c r="C306" t="s">
        <v>507</v>
      </c>
      <c r="D306" t="s">
        <v>496</v>
      </c>
      <c r="E306" t="s">
        <v>118</v>
      </c>
      <c r="F306" t="s">
        <v>512</v>
      </c>
      <c r="G306" s="137">
        <v>5.2</v>
      </c>
      <c r="H306" s="138">
        <v>5.21</v>
      </c>
      <c r="I306" s="138">
        <v>0.14000000000000001</v>
      </c>
      <c r="J306" s="139">
        <v>-0.1</v>
      </c>
      <c r="K306" s="137">
        <v>4.5999999999999996</v>
      </c>
      <c r="L306" s="137">
        <v>5.8</v>
      </c>
      <c r="M306" t="s">
        <v>499</v>
      </c>
      <c r="N306" t="s">
        <v>525</v>
      </c>
      <c r="O306" t="s">
        <v>112</v>
      </c>
      <c r="P306" s="137">
        <v>-0.19193857965450647</v>
      </c>
      <c r="Q306" s="137">
        <v>0.19193857965450647</v>
      </c>
      <c r="R306" s="126">
        <v>6</v>
      </c>
      <c r="S306" t="s">
        <v>522</v>
      </c>
      <c r="T306" t="s">
        <v>526</v>
      </c>
      <c r="U306" t="s">
        <v>832</v>
      </c>
    </row>
    <row r="307" spans="1:21" x14ac:dyDescent="0.3">
      <c r="A307" t="s">
        <v>402</v>
      </c>
      <c r="B307" s="126">
        <v>2025</v>
      </c>
      <c r="C307" t="s">
        <v>514</v>
      </c>
      <c r="D307" t="s">
        <v>467</v>
      </c>
      <c r="E307" t="s">
        <v>124</v>
      </c>
      <c r="F307" t="s">
        <v>515</v>
      </c>
      <c r="G307" s="137">
        <v>141</v>
      </c>
      <c r="H307" s="138">
        <v>133.6</v>
      </c>
      <c r="I307" s="138">
        <v>3.4</v>
      </c>
      <c r="J307" s="139">
        <v>2.2000000000000002</v>
      </c>
      <c r="K307" s="137">
        <v>113</v>
      </c>
      <c r="L307" s="137">
        <v>154</v>
      </c>
      <c r="M307" t="s">
        <v>499</v>
      </c>
      <c r="N307" t="s">
        <v>525</v>
      </c>
      <c r="O307" t="s">
        <v>123</v>
      </c>
      <c r="P307" s="137">
        <v>5.5389221556886277</v>
      </c>
      <c r="Q307" s="137">
        <v>5.5389221556886277</v>
      </c>
      <c r="R307" s="126">
        <v>6</v>
      </c>
      <c r="S307" t="s">
        <v>523</v>
      </c>
      <c r="T307" t="s">
        <v>526</v>
      </c>
      <c r="U307" t="s">
        <v>833</v>
      </c>
    </row>
    <row r="308" spans="1:21" x14ac:dyDescent="0.3">
      <c r="A308" t="s">
        <v>402</v>
      </c>
      <c r="B308" s="126">
        <v>2025</v>
      </c>
      <c r="C308" t="s">
        <v>514</v>
      </c>
      <c r="D308" t="s">
        <v>467</v>
      </c>
      <c r="E308" t="s">
        <v>124</v>
      </c>
      <c r="F308" t="s">
        <v>516</v>
      </c>
      <c r="G308" s="137">
        <v>40</v>
      </c>
      <c r="H308" s="138">
        <v>41.5</v>
      </c>
      <c r="I308" s="138">
        <v>2.2000000000000002</v>
      </c>
      <c r="J308" s="139">
        <v>-0.7</v>
      </c>
      <c r="K308" s="137">
        <v>35</v>
      </c>
      <c r="L308" s="137">
        <v>48</v>
      </c>
      <c r="M308" t="s">
        <v>499</v>
      </c>
      <c r="N308" t="s">
        <v>525</v>
      </c>
      <c r="O308" t="s">
        <v>123</v>
      </c>
      <c r="P308" s="137">
        <v>-3.6144578313253009</v>
      </c>
      <c r="Q308" s="137">
        <v>3.6144578313253009</v>
      </c>
      <c r="R308" s="126">
        <v>6</v>
      </c>
      <c r="S308" t="s">
        <v>523</v>
      </c>
      <c r="T308" t="s">
        <v>526</v>
      </c>
      <c r="U308" t="s">
        <v>834</v>
      </c>
    </row>
    <row r="309" spans="1:21" x14ac:dyDescent="0.3">
      <c r="A309" t="s">
        <v>402</v>
      </c>
      <c r="B309" s="126">
        <v>2025</v>
      </c>
      <c r="C309" t="s">
        <v>514</v>
      </c>
      <c r="D309" t="s">
        <v>467</v>
      </c>
      <c r="E309" t="s">
        <v>124</v>
      </c>
      <c r="F309" t="s">
        <v>517</v>
      </c>
      <c r="G309" s="137">
        <v>255</v>
      </c>
      <c r="H309" s="138">
        <v>248</v>
      </c>
      <c r="I309" s="138">
        <v>5.0999999999999996</v>
      </c>
      <c r="J309" s="139">
        <v>1.4</v>
      </c>
      <c r="K309" s="137">
        <v>210</v>
      </c>
      <c r="L309" s="137">
        <v>286</v>
      </c>
      <c r="M309" t="s">
        <v>499</v>
      </c>
      <c r="N309" t="s">
        <v>525</v>
      </c>
      <c r="O309" t="s">
        <v>123</v>
      </c>
      <c r="P309" s="137">
        <v>2.82258064516129</v>
      </c>
      <c r="Q309" s="137">
        <v>2.82258064516129</v>
      </c>
      <c r="R309" s="126">
        <v>6</v>
      </c>
      <c r="S309" t="s">
        <v>523</v>
      </c>
      <c r="T309" t="s">
        <v>526</v>
      </c>
      <c r="U309" t="s">
        <v>835</v>
      </c>
    </row>
    <row r="310" spans="1:21" x14ac:dyDescent="0.3">
      <c r="A310" t="s">
        <v>402</v>
      </c>
      <c r="B310" s="126">
        <v>2025</v>
      </c>
      <c r="C310" t="s">
        <v>514</v>
      </c>
      <c r="D310" t="s">
        <v>467</v>
      </c>
      <c r="E310" t="s">
        <v>124</v>
      </c>
      <c r="F310" t="s">
        <v>518</v>
      </c>
      <c r="G310" s="137">
        <v>103</v>
      </c>
      <c r="H310" s="138">
        <v>99.2</v>
      </c>
      <c r="I310" s="138">
        <v>2.8</v>
      </c>
      <c r="J310" s="139">
        <v>1.4</v>
      </c>
      <c r="K310" s="137">
        <v>84</v>
      </c>
      <c r="L310" s="137">
        <v>115</v>
      </c>
      <c r="M310" t="s">
        <v>499</v>
      </c>
      <c r="N310" t="s">
        <v>525</v>
      </c>
      <c r="O310" t="s">
        <v>123</v>
      </c>
      <c r="P310" s="137">
        <v>3.8306451612903198</v>
      </c>
      <c r="Q310" s="137">
        <v>3.8306451612903198</v>
      </c>
      <c r="R310" s="126">
        <v>6</v>
      </c>
      <c r="S310" t="s">
        <v>523</v>
      </c>
      <c r="T310" t="s">
        <v>526</v>
      </c>
      <c r="U310" t="s">
        <v>836</v>
      </c>
    </row>
    <row r="311" spans="1:21" x14ac:dyDescent="0.3">
      <c r="A311" t="s">
        <v>402</v>
      </c>
      <c r="B311" s="126">
        <v>2025</v>
      </c>
      <c r="C311" t="s">
        <v>514</v>
      </c>
      <c r="D311" t="s">
        <v>467</v>
      </c>
      <c r="E311" t="s">
        <v>124</v>
      </c>
      <c r="F311" t="s">
        <v>519</v>
      </c>
      <c r="G311" s="137">
        <v>108</v>
      </c>
      <c r="H311" s="138">
        <v>104.4</v>
      </c>
      <c r="I311" s="138">
        <v>3.3</v>
      </c>
      <c r="J311" s="139">
        <v>1.1000000000000001</v>
      </c>
      <c r="K311" s="137">
        <v>88</v>
      </c>
      <c r="L311" s="137">
        <v>121</v>
      </c>
      <c r="M311" t="s">
        <v>499</v>
      </c>
      <c r="N311" t="s">
        <v>525</v>
      </c>
      <c r="O311" t="s">
        <v>123</v>
      </c>
      <c r="P311" s="137">
        <v>3.44827586206896</v>
      </c>
      <c r="Q311" s="137">
        <v>3.44827586206896</v>
      </c>
      <c r="R311" s="126">
        <v>6</v>
      </c>
      <c r="S311" t="s">
        <v>523</v>
      </c>
      <c r="T311" t="s">
        <v>526</v>
      </c>
      <c r="U311" t="s">
        <v>837</v>
      </c>
    </row>
    <row r="312" spans="1:21" x14ac:dyDescent="0.3">
      <c r="A312" t="s">
        <v>402</v>
      </c>
      <c r="B312" s="126">
        <v>2025</v>
      </c>
      <c r="C312" t="s">
        <v>514</v>
      </c>
      <c r="D312" t="s">
        <v>468</v>
      </c>
      <c r="E312" t="s">
        <v>122</v>
      </c>
      <c r="F312" t="s">
        <v>515</v>
      </c>
      <c r="G312" s="137">
        <v>149</v>
      </c>
      <c r="H312" s="138">
        <v>139.4</v>
      </c>
      <c r="I312" s="138">
        <v>4.2</v>
      </c>
      <c r="J312" s="139">
        <v>2.2999999999999998</v>
      </c>
      <c r="K312" s="137">
        <v>118</v>
      </c>
      <c r="L312" s="137">
        <v>161</v>
      </c>
      <c r="M312" t="s">
        <v>499</v>
      </c>
      <c r="N312" t="s">
        <v>525</v>
      </c>
      <c r="O312" t="s">
        <v>123</v>
      </c>
      <c r="P312" s="137">
        <v>6.8866571018651319</v>
      </c>
      <c r="Q312" s="137">
        <v>6.8866571018651319</v>
      </c>
      <c r="R312" s="126">
        <v>7</v>
      </c>
      <c r="S312" t="s">
        <v>523</v>
      </c>
      <c r="T312" t="s">
        <v>526</v>
      </c>
      <c r="U312" t="s">
        <v>838</v>
      </c>
    </row>
    <row r="313" spans="1:21" x14ac:dyDescent="0.3">
      <c r="A313" t="s">
        <v>402</v>
      </c>
      <c r="B313" s="126">
        <v>2025</v>
      </c>
      <c r="C313" t="s">
        <v>514</v>
      </c>
      <c r="D313" t="s">
        <v>468</v>
      </c>
      <c r="E313" t="s">
        <v>122</v>
      </c>
      <c r="F313" t="s">
        <v>516</v>
      </c>
      <c r="G313" s="137">
        <v>43</v>
      </c>
      <c r="H313" s="138">
        <v>39.9</v>
      </c>
      <c r="I313" s="138">
        <v>2.2000000000000002</v>
      </c>
      <c r="J313" s="139">
        <v>1.4</v>
      </c>
      <c r="K313" s="137">
        <v>33</v>
      </c>
      <c r="L313" s="137">
        <v>46</v>
      </c>
      <c r="M313" t="s">
        <v>499</v>
      </c>
      <c r="N313" t="s">
        <v>525</v>
      </c>
      <c r="O313" t="s">
        <v>123</v>
      </c>
      <c r="P313" s="137">
        <v>7.7694235588972465</v>
      </c>
      <c r="Q313" s="137">
        <v>7.7694235588972465</v>
      </c>
      <c r="R313" s="126">
        <v>7</v>
      </c>
      <c r="S313" t="s">
        <v>523</v>
      </c>
      <c r="T313" t="s">
        <v>526</v>
      </c>
      <c r="U313" t="s">
        <v>839</v>
      </c>
    </row>
    <row r="314" spans="1:21" x14ac:dyDescent="0.3">
      <c r="A314" t="s">
        <v>402</v>
      </c>
      <c r="B314" s="126">
        <v>2025</v>
      </c>
      <c r="C314" t="s">
        <v>514</v>
      </c>
      <c r="D314" t="s">
        <v>468</v>
      </c>
      <c r="E314" t="s">
        <v>122</v>
      </c>
      <c r="F314" t="s">
        <v>517</v>
      </c>
      <c r="G314" s="137">
        <v>330</v>
      </c>
      <c r="H314" s="138">
        <v>308.7</v>
      </c>
      <c r="I314" s="138">
        <v>7.6</v>
      </c>
      <c r="J314" s="139">
        <v>2.8</v>
      </c>
      <c r="K314" s="137">
        <v>262</v>
      </c>
      <c r="L314" s="137">
        <v>355</v>
      </c>
      <c r="M314" t="s">
        <v>499</v>
      </c>
      <c r="N314" t="s">
        <v>525</v>
      </c>
      <c r="O314" t="s">
        <v>123</v>
      </c>
      <c r="P314" s="137">
        <v>6.8999028182701689</v>
      </c>
      <c r="Q314" s="137">
        <v>6.8999028182701689</v>
      </c>
      <c r="R314" s="126">
        <v>7</v>
      </c>
      <c r="S314" t="s">
        <v>523</v>
      </c>
      <c r="T314" t="s">
        <v>526</v>
      </c>
      <c r="U314" t="s">
        <v>840</v>
      </c>
    </row>
    <row r="315" spans="1:21" x14ac:dyDescent="0.3">
      <c r="A315" t="s">
        <v>402</v>
      </c>
      <c r="B315" s="126">
        <v>2025</v>
      </c>
      <c r="C315" t="s">
        <v>514</v>
      </c>
      <c r="D315" t="s">
        <v>468</v>
      </c>
      <c r="E315" t="s">
        <v>122</v>
      </c>
      <c r="F315" t="s">
        <v>518</v>
      </c>
      <c r="G315" s="137">
        <v>122</v>
      </c>
      <c r="H315" s="138">
        <v>114.6</v>
      </c>
      <c r="I315" s="138">
        <v>3.6</v>
      </c>
      <c r="J315" s="139">
        <v>2.1</v>
      </c>
      <c r="K315" s="137">
        <v>97</v>
      </c>
      <c r="L315" s="137">
        <v>132</v>
      </c>
      <c r="M315" t="s">
        <v>499</v>
      </c>
      <c r="N315" t="s">
        <v>525</v>
      </c>
      <c r="O315" t="s">
        <v>123</v>
      </c>
      <c r="P315" s="137">
        <v>6.4572425828970381</v>
      </c>
      <c r="Q315" s="137">
        <v>6.4572425828970381</v>
      </c>
      <c r="R315" s="126">
        <v>7</v>
      </c>
      <c r="S315" t="s">
        <v>523</v>
      </c>
      <c r="T315" t="s">
        <v>526</v>
      </c>
      <c r="U315" t="s">
        <v>841</v>
      </c>
    </row>
    <row r="316" spans="1:21" x14ac:dyDescent="0.3">
      <c r="A316" t="s">
        <v>402</v>
      </c>
      <c r="B316" s="126">
        <v>2025</v>
      </c>
      <c r="C316" t="s">
        <v>514</v>
      </c>
      <c r="D316" t="s">
        <v>468</v>
      </c>
      <c r="E316" t="s">
        <v>122</v>
      </c>
      <c r="F316" t="s">
        <v>519</v>
      </c>
      <c r="G316" s="137">
        <v>121</v>
      </c>
      <c r="H316" s="138">
        <v>108.3</v>
      </c>
      <c r="I316" s="138">
        <v>3.8</v>
      </c>
      <c r="J316" s="139">
        <v>3.4</v>
      </c>
      <c r="K316" s="137">
        <v>92</v>
      </c>
      <c r="L316" s="137">
        <v>125</v>
      </c>
      <c r="M316" t="s">
        <v>499</v>
      </c>
      <c r="N316" t="s">
        <v>525</v>
      </c>
      <c r="O316" t="s">
        <v>123</v>
      </c>
      <c r="P316" s="137">
        <v>11.726685133887353</v>
      </c>
      <c r="Q316" s="137">
        <v>11.726685133887353</v>
      </c>
      <c r="R316" s="126">
        <v>7</v>
      </c>
      <c r="S316" t="s">
        <v>523</v>
      </c>
      <c r="T316" t="s">
        <v>526</v>
      </c>
      <c r="U316" t="s">
        <v>842</v>
      </c>
    </row>
    <row r="317" spans="1:21" x14ac:dyDescent="0.3">
      <c r="A317" t="s">
        <v>402</v>
      </c>
      <c r="B317" s="126">
        <v>2025</v>
      </c>
      <c r="C317" t="s">
        <v>514</v>
      </c>
      <c r="D317" t="s">
        <v>469</v>
      </c>
      <c r="E317" t="s">
        <v>130</v>
      </c>
      <c r="F317" t="s">
        <v>515</v>
      </c>
      <c r="G317" s="137">
        <v>4.4000000000000004</v>
      </c>
      <c r="H317" s="138">
        <v>4.57</v>
      </c>
      <c r="I317" s="138">
        <v>0.09</v>
      </c>
      <c r="J317" s="139">
        <v>-1.8</v>
      </c>
      <c r="K317" s="137">
        <v>4.2</v>
      </c>
      <c r="L317" s="137">
        <v>5</v>
      </c>
      <c r="M317" t="s">
        <v>499</v>
      </c>
      <c r="N317" t="s">
        <v>525</v>
      </c>
      <c r="O317" t="s">
        <v>129</v>
      </c>
      <c r="P317" s="137">
        <v>-3.7199124726477004</v>
      </c>
      <c r="Q317" s="137">
        <v>3.7199124726477004</v>
      </c>
      <c r="R317" s="126">
        <v>6</v>
      </c>
      <c r="S317" t="s">
        <v>523</v>
      </c>
      <c r="T317" t="s">
        <v>526</v>
      </c>
      <c r="U317" t="s">
        <v>843</v>
      </c>
    </row>
    <row r="318" spans="1:21" x14ac:dyDescent="0.3">
      <c r="A318" t="s">
        <v>402</v>
      </c>
      <c r="B318" s="126">
        <v>2025</v>
      </c>
      <c r="C318" t="s">
        <v>514</v>
      </c>
      <c r="D318" t="s">
        <v>469</v>
      </c>
      <c r="E318" t="s">
        <v>130</v>
      </c>
      <c r="F318" t="s">
        <v>516</v>
      </c>
      <c r="G318" s="137">
        <v>1.6</v>
      </c>
      <c r="H318" s="138">
        <v>1.73</v>
      </c>
      <c r="I318" s="138">
        <v>0.06</v>
      </c>
      <c r="J318" s="139">
        <v>-2.2999999999999998</v>
      </c>
      <c r="K318" s="137">
        <v>1.5</v>
      </c>
      <c r="L318" s="137">
        <v>1.9</v>
      </c>
      <c r="M318" t="s">
        <v>499</v>
      </c>
      <c r="N318" t="s">
        <v>525</v>
      </c>
      <c r="O318" t="s">
        <v>129</v>
      </c>
      <c r="P318" s="137">
        <v>-7.5144508670520169</v>
      </c>
      <c r="Q318" s="137">
        <v>7.5144508670520169</v>
      </c>
      <c r="R318" s="126">
        <v>6</v>
      </c>
      <c r="S318" t="s">
        <v>523</v>
      </c>
      <c r="T318" t="s">
        <v>526</v>
      </c>
      <c r="U318" t="s">
        <v>844</v>
      </c>
    </row>
    <row r="319" spans="1:21" x14ac:dyDescent="0.3">
      <c r="A319" t="s">
        <v>402</v>
      </c>
      <c r="B319" s="126">
        <v>2025</v>
      </c>
      <c r="C319" t="s">
        <v>514</v>
      </c>
      <c r="D319" t="s">
        <v>469</v>
      </c>
      <c r="E319" t="s">
        <v>130</v>
      </c>
      <c r="F319" t="s">
        <v>517</v>
      </c>
      <c r="G319" s="137">
        <v>2.1</v>
      </c>
      <c r="H319" s="138">
        <v>2.29</v>
      </c>
      <c r="I319" s="138">
        <v>0.05</v>
      </c>
      <c r="J319" s="139">
        <v>-3.4</v>
      </c>
      <c r="K319" s="137">
        <v>2.1</v>
      </c>
      <c r="L319" s="137">
        <v>2.5</v>
      </c>
      <c r="M319" t="s">
        <v>499</v>
      </c>
      <c r="N319" t="s">
        <v>525</v>
      </c>
      <c r="O319" t="s">
        <v>129</v>
      </c>
      <c r="P319" s="137">
        <v>-8.2969432314410447</v>
      </c>
      <c r="Q319" s="137">
        <v>8.2969432314410447</v>
      </c>
      <c r="R319" s="126">
        <v>6</v>
      </c>
      <c r="S319" t="s">
        <v>523</v>
      </c>
      <c r="T319" t="s">
        <v>526</v>
      </c>
      <c r="U319" t="s">
        <v>845</v>
      </c>
    </row>
    <row r="320" spans="1:21" x14ac:dyDescent="0.3">
      <c r="A320" t="s">
        <v>402</v>
      </c>
      <c r="B320" s="126">
        <v>2025</v>
      </c>
      <c r="C320" t="s">
        <v>514</v>
      </c>
      <c r="D320" t="s">
        <v>469</v>
      </c>
      <c r="E320" t="s">
        <v>130</v>
      </c>
      <c r="F320" t="s">
        <v>518</v>
      </c>
      <c r="G320" s="137">
        <v>1.9</v>
      </c>
      <c r="H320" s="138">
        <v>2.1</v>
      </c>
      <c r="I320" s="138">
        <v>0.05</v>
      </c>
      <c r="J320" s="139">
        <v>-4</v>
      </c>
      <c r="K320" s="137">
        <v>1.9</v>
      </c>
      <c r="L320" s="137">
        <v>2.2999999999999998</v>
      </c>
      <c r="M320" t="s">
        <v>499</v>
      </c>
      <c r="N320" t="s">
        <v>525</v>
      </c>
      <c r="O320" t="s">
        <v>129</v>
      </c>
      <c r="P320" s="137">
        <v>-9.5238095238095308</v>
      </c>
      <c r="Q320" s="137">
        <v>9.5238095238095308</v>
      </c>
      <c r="R320" s="126">
        <v>6</v>
      </c>
      <c r="S320" t="s">
        <v>523</v>
      </c>
      <c r="T320" t="s">
        <v>526</v>
      </c>
      <c r="U320" t="s">
        <v>846</v>
      </c>
    </row>
    <row r="321" spans="1:21" x14ac:dyDescent="0.3">
      <c r="A321" t="s">
        <v>402</v>
      </c>
      <c r="B321" s="126">
        <v>2025</v>
      </c>
      <c r="C321" t="s">
        <v>514</v>
      </c>
      <c r="D321" t="s">
        <v>469</v>
      </c>
      <c r="E321" t="s">
        <v>130</v>
      </c>
      <c r="F321" t="s">
        <v>519</v>
      </c>
      <c r="G321" s="137">
        <v>3.5</v>
      </c>
      <c r="H321" s="138">
        <v>3.65</v>
      </c>
      <c r="I321" s="138">
        <v>0.08</v>
      </c>
      <c r="J321" s="139">
        <v>-2</v>
      </c>
      <c r="K321" s="137">
        <v>3.3</v>
      </c>
      <c r="L321" s="137">
        <v>4</v>
      </c>
      <c r="M321" t="s">
        <v>499</v>
      </c>
      <c r="N321" t="s">
        <v>525</v>
      </c>
      <c r="O321" t="s">
        <v>129</v>
      </c>
      <c r="P321" s="137">
        <v>-4.1095890410958882</v>
      </c>
      <c r="Q321" s="137">
        <v>4.1095890410958882</v>
      </c>
      <c r="R321" s="126">
        <v>6</v>
      </c>
      <c r="S321" t="s">
        <v>523</v>
      </c>
      <c r="T321" t="s">
        <v>526</v>
      </c>
      <c r="U321" t="s">
        <v>847</v>
      </c>
    </row>
    <row r="322" spans="1:21" x14ac:dyDescent="0.3">
      <c r="A322" t="s">
        <v>402</v>
      </c>
      <c r="B322" s="126">
        <v>2025</v>
      </c>
      <c r="C322" t="s">
        <v>514</v>
      </c>
      <c r="D322" t="s">
        <v>470</v>
      </c>
      <c r="E322" t="s">
        <v>125</v>
      </c>
      <c r="F322" t="s">
        <v>515</v>
      </c>
      <c r="G322" s="137">
        <v>180</v>
      </c>
      <c r="H322" s="138">
        <v>169.5</v>
      </c>
      <c r="I322" s="138">
        <v>6.2</v>
      </c>
      <c r="J322" s="139">
        <v>1.7</v>
      </c>
      <c r="K322" s="137">
        <v>135</v>
      </c>
      <c r="L322" s="137">
        <v>204</v>
      </c>
      <c r="M322" t="s">
        <v>499</v>
      </c>
      <c r="N322" t="s">
        <v>525</v>
      </c>
      <c r="O322" t="s">
        <v>123</v>
      </c>
      <c r="P322" s="137">
        <v>6.1946902654867255</v>
      </c>
      <c r="Q322" s="137">
        <v>6.1946902654867255</v>
      </c>
      <c r="R322" s="126">
        <v>7</v>
      </c>
      <c r="S322" t="s">
        <v>523</v>
      </c>
      <c r="T322" t="s">
        <v>526</v>
      </c>
      <c r="U322" t="s">
        <v>848</v>
      </c>
    </row>
    <row r="323" spans="1:21" x14ac:dyDescent="0.3">
      <c r="A323" t="s">
        <v>402</v>
      </c>
      <c r="B323" s="126">
        <v>2025</v>
      </c>
      <c r="C323" t="s">
        <v>514</v>
      </c>
      <c r="D323" t="s">
        <v>470</v>
      </c>
      <c r="E323" t="s">
        <v>125</v>
      </c>
      <c r="F323" t="s">
        <v>516</v>
      </c>
      <c r="G323" s="137">
        <v>67</v>
      </c>
      <c r="H323" s="138">
        <v>60</v>
      </c>
      <c r="I323" s="138">
        <v>3.4</v>
      </c>
      <c r="J323" s="139">
        <v>2</v>
      </c>
      <c r="K323" s="137">
        <v>48</v>
      </c>
      <c r="L323" s="137">
        <v>73</v>
      </c>
      <c r="M323" t="s">
        <v>499</v>
      </c>
      <c r="N323" t="s">
        <v>525</v>
      </c>
      <c r="O323" t="s">
        <v>123</v>
      </c>
      <c r="P323" s="137">
        <v>11.666666666666666</v>
      </c>
      <c r="Q323" s="137">
        <v>11.666666666666666</v>
      </c>
      <c r="R323" s="126">
        <v>7</v>
      </c>
      <c r="S323" t="s">
        <v>523</v>
      </c>
      <c r="T323" t="s">
        <v>526</v>
      </c>
      <c r="U323" t="s">
        <v>849</v>
      </c>
    </row>
    <row r="324" spans="1:21" x14ac:dyDescent="0.3">
      <c r="A324" t="s">
        <v>402</v>
      </c>
      <c r="B324" s="126">
        <v>2025</v>
      </c>
      <c r="C324" t="s">
        <v>514</v>
      </c>
      <c r="D324" t="s">
        <v>470</v>
      </c>
      <c r="E324" t="s">
        <v>125</v>
      </c>
      <c r="F324" t="s">
        <v>517</v>
      </c>
      <c r="G324" s="137">
        <v>457</v>
      </c>
      <c r="H324" s="138">
        <v>435.5</v>
      </c>
      <c r="I324" s="138">
        <v>11.9</v>
      </c>
      <c r="J324" s="139">
        <v>1.8</v>
      </c>
      <c r="K324" s="137">
        <v>348</v>
      </c>
      <c r="L324" s="137">
        <v>523</v>
      </c>
      <c r="M324" t="s">
        <v>499</v>
      </c>
      <c r="N324" t="s">
        <v>525</v>
      </c>
      <c r="O324" t="s">
        <v>123</v>
      </c>
      <c r="P324" s="137">
        <v>4.9368541905855334</v>
      </c>
      <c r="Q324" s="137">
        <v>4.9368541905855334</v>
      </c>
      <c r="R324" s="126">
        <v>7</v>
      </c>
      <c r="S324" t="s">
        <v>523</v>
      </c>
      <c r="T324" t="s">
        <v>526</v>
      </c>
      <c r="U324" t="s">
        <v>850</v>
      </c>
    </row>
    <row r="325" spans="1:21" x14ac:dyDescent="0.3">
      <c r="A325" t="s">
        <v>402</v>
      </c>
      <c r="B325" s="126">
        <v>2025</v>
      </c>
      <c r="C325" t="s">
        <v>514</v>
      </c>
      <c r="D325" t="s">
        <v>470</v>
      </c>
      <c r="E325" t="s">
        <v>125</v>
      </c>
      <c r="F325" t="s">
        <v>518</v>
      </c>
      <c r="G325" s="137">
        <v>172</v>
      </c>
      <c r="H325" s="138">
        <v>160.4</v>
      </c>
      <c r="I325" s="138">
        <v>5.8</v>
      </c>
      <c r="J325" s="139">
        <v>2</v>
      </c>
      <c r="K325" s="137">
        <v>128</v>
      </c>
      <c r="L325" s="137">
        <v>193</v>
      </c>
      <c r="M325" t="s">
        <v>499</v>
      </c>
      <c r="N325" t="s">
        <v>525</v>
      </c>
      <c r="O325" t="s">
        <v>123</v>
      </c>
      <c r="P325" s="137">
        <v>7.2319201995012437</v>
      </c>
      <c r="Q325" s="137">
        <v>7.2319201995012437</v>
      </c>
      <c r="R325" s="126">
        <v>7</v>
      </c>
      <c r="S325" t="s">
        <v>523</v>
      </c>
      <c r="T325" t="s">
        <v>526</v>
      </c>
      <c r="U325" t="s">
        <v>851</v>
      </c>
    </row>
    <row r="326" spans="1:21" x14ac:dyDescent="0.3">
      <c r="A326" t="s">
        <v>402</v>
      </c>
      <c r="B326" s="126">
        <v>2025</v>
      </c>
      <c r="C326" t="s">
        <v>514</v>
      </c>
      <c r="D326" t="s">
        <v>470</v>
      </c>
      <c r="E326" t="s">
        <v>125</v>
      </c>
      <c r="F326" t="s">
        <v>519</v>
      </c>
      <c r="G326" s="137">
        <v>143</v>
      </c>
      <c r="H326" s="138">
        <v>135.19999999999999</v>
      </c>
      <c r="I326" s="138">
        <v>5.6</v>
      </c>
      <c r="J326" s="139">
        <v>1.4</v>
      </c>
      <c r="K326" s="137">
        <v>108</v>
      </c>
      <c r="L326" s="137">
        <v>163</v>
      </c>
      <c r="M326" t="s">
        <v>499</v>
      </c>
      <c r="N326" t="s">
        <v>525</v>
      </c>
      <c r="O326" t="s">
        <v>123</v>
      </c>
      <c r="P326" s="137">
        <v>5.769230769230778</v>
      </c>
      <c r="Q326" s="137">
        <v>5.769230769230778</v>
      </c>
      <c r="R326" s="126">
        <v>7</v>
      </c>
      <c r="S326" t="s">
        <v>523</v>
      </c>
      <c r="T326" t="s">
        <v>526</v>
      </c>
      <c r="U326" t="s">
        <v>852</v>
      </c>
    </row>
    <row r="327" spans="1:21" x14ac:dyDescent="0.3">
      <c r="A327" t="s">
        <v>402</v>
      </c>
      <c r="B327" s="126">
        <v>2025</v>
      </c>
      <c r="C327" t="s">
        <v>514</v>
      </c>
      <c r="D327" t="s">
        <v>471</v>
      </c>
      <c r="E327" t="s">
        <v>137</v>
      </c>
      <c r="F327" t="s">
        <v>515</v>
      </c>
      <c r="G327" s="137">
        <v>155</v>
      </c>
      <c r="H327" s="138">
        <v>151.6</v>
      </c>
      <c r="I327" s="138">
        <v>1.9</v>
      </c>
      <c r="J327" s="139">
        <v>1.7</v>
      </c>
      <c r="K327" s="137">
        <v>121</v>
      </c>
      <c r="L327" s="137">
        <v>182</v>
      </c>
      <c r="M327" t="s">
        <v>499</v>
      </c>
      <c r="N327" t="s">
        <v>525</v>
      </c>
      <c r="O327" t="s">
        <v>123</v>
      </c>
      <c r="P327" s="137">
        <v>2.2427440633245421</v>
      </c>
      <c r="Q327" s="137">
        <v>2.2427440633245421</v>
      </c>
      <c r="R327" s="126">
        <v>7</v>
      </c>
      <c r="S327" t="s">
        <v>523</v>
      </c>
      <c r="T327" t="s">
        <v>526</v>
      </c>
      <c r="U327" t="s">
        <v>853</v>
      </c>
    </row>
    <row r="328" spans="1:21" x14ac:dyDescent="0.3">
      <c r="A328" t="s">
        <v>402</v>
      </c>
      <c r="B328" s="126">
        <v>2025</v>
      </c>
      <c r="C328" t="s">
        <v>514</v>
      </c>
      <c r="D328" t="s">
        <v>471</v>
      </c>
      <c r="E328" t="s">
        <v>137</v>
      </c>
      <c r="F328" t="s">
        <v>516</v>
      </c>
      <c r="G328" s="137">
        <v>64</v>
      </c>
      <c r="H328" s="138">
        <v>60.1</v>
      </c>
      <c r="I328" s="138">
        <v>1.2</v>
      </c>
      <c r="J328" s="139">
        <v>3.2</v>
      </c>
      <c r="K328" s="137">
        <v>48</v>
      </c>
      <c r="L328" s="137">
        <v>73</v>
      </c>
      <c r="M328" t="s">
        <v>499</v>
      </c>
      <c r="N328" t="s">
        <v>525</v>
      </c>
      <c r="O328" t="s">
        <v>123</v>
      </c>
      <c r="P328" s="137">
        <v>6.4891846921796974</v>
      </c>
      <c r="Q328" s="137">
        <v>6.4891846921796974</v>
      </c>
      <c r="R328" s="126">
        <v>7</v>
      </c>
      <c r="S328" t="s">
        <v>523</v>
      </c>
      <c r="T328" t="s">
        <v>526</v>
      </c>
      <c r="U328" t="s">
        <v>854</v>
      </c>
    </row>
    <row r="329" spans="1:21" x14ac:dyDescent="0.3">
      <c r="A329" t="s">
        <v>402</v>
      </c>
      <c r="B329" s="126">
        <v>2025</v>
      </c>
      <c r="C329" t="s">
        <v>514</v>
      </c>
      <c r="D329" t="s">
        <v>471</v>
      </c>
      <c r="E329" t="s">
        <v>137</v>
      </c>
      <c r="F329" t="s">
        <v>517</v>
      </c>
      <c r="G329" s="137">
        <v>456</v>
      </c>
      <c r="H329" s="138">
        <v>445.8</v>
      </c>
      <c r="I329" s="138">
        <v>5.5</v>
      </c>
      <c r="J329" s="139">
        <v>1.9</v>
      </c>
      <c r="K329" s="137">
        <v>356</v>
      </c>
      <c r="L329" s="137">
        <v>535</v>
      </c>
      <c r="M329" t="s">
        <v>499</v>
      </c>
      <c r="N329" t="s">
        <v>525</v>
      </c>
      <c r="O329" t="s">
        <v>123</v>
      </c>
      <c r="P329" s="137">
        <v>2.2880215343203205</v>
      </c>
      <c r="Q329" s="137">
        <v>2.2880215343203205</v>
      </c>
      <c r="R329" s="126">
        <v>7</v>
      </c>
      <c r="S329" t="s">
        <v>523</v>
      </c>
      <c r="T329" t="s">
        <v>526</v>
      </c>
      <c r="U329" t="s">
        <v>855</v>
      </c>
    </row>
    <row r="330" spans="1:21" x14ac:dyDescent="0.3">
      <c r="A330" t="s">
        <v>402</v>
      </c>
      <c r="B330" s="126">
        <v>2025</v>
      </c>
      <c r="C330" t="s">
        <v>514</v>
      </c>
      <c r="D330" t="s">
        <v>471</v>
      </c>
      <c r="E330" t="s">
        <v>137</v>
      </c>
      <c r="F330" t="s">
        <v>518</v>
      </c>
      <c r="G330" s="137">
        <v>169</v>
      </c>
      <c r="H330" s="138">
        <v>165.5</v>
      </c>
      <c r="I330" s="138">
        <v>2.1</v>
      </c>
      <c r="J330" s="139">
        <v>1.7</v>
      </c>
      <c r="K330" s="137">
        <v>132</v>
      </c>
      <c r="L330" s="137">
        <v>199</v>
      </c>
      <c r="M330" t="s">
        <v>499</v>
      </c>
      <c r="N330" t="s">
        <v>525</v>
      </c>
      <c r="O330" t="s">
        <v>123</v>
      </c>
      <c r="P330" s="137">
        <v>2.1148036253776437</v>
      </c>
      <c r="Q330" s="137">
        <v>2.1148036253776437</v>
      </c>
      <c r="R330" s="126">
        <v>7</v>
      </c>
      <c r="S330" t="s">
        <v>523</v>
      </c>
      <c r="T330" t="s">
        <v>526</v>
      </c>
      <c r="U330" t="s">
        <v>856</v>
      </c>
    </row>
    <row r="331" spans="1:21" x14ac:dyDescent="0.3">
      <c r="A331" t="s">
        <v>402</v>
      </c>
      <c r="B331" s="126">
        <v>2025</v>
      </c>
      <c r="C331" t="s">
        <v>514</v>
      </c>
      <c r="D331" t="s">
        <v>471</v>
      </c>
      <c r="E331" t="s">
        <v>137</v>
      </c>
      <c r="F331" t="s">
        <v>519</v>
      </c>
      <c r="G331" s="137">
        <v>129</v>
      </c>
      <c r="H331" s="138">
        <v>124.1</v>
      </c>
      <c r="I331" s="138">
        <v>1.6</v>
      </c>
      <c r="J331" s="139">
        <v>3.1</v>
      </c>
      <c r="K331" s="137">
        <v>99</v>
      </c>
      <c r="L331" s="137">
        <v>149</v>
      </c>
      <c r="M331" t="s">
        <v>499</v>
      </c>
      <c r="N331" t="s">
        <v>525</v>
      </c>
      <c r="O331" t="s">
        <v>123</v>
      </c>
      <c r="P331" s="137">
        <v>3.9484286865431151</v>
      </c>
      <c r="Q331" s="137">
        <v>3.9484286865431151</v>
      </c>
      <c r="R331" s="126">
        <v>7</v>
      </c>
      <c r="S331" t="s">
        <v>523</v>
      </c>
      <c r="T331" t="s">
        <v>526</v>
      </c>
      <c r="U331" t="s">
        <v>857</v>
      </c>
    </row>
    <row r="332" spans="1:21" x14ac:dyDescent="0.3">
      <c r="A332" t="s">
        <v>402</v>
      </c>
      <c r="B332" s="126">
        <v>2025</v>
      </c>
      <c r="C332" t="s">
        <v>514</v>
      </c>
      <c r="D332" t="s">
        <v>472</v>
      </c>
      <c r="E332" t="s">
        <v>341</v>
      </c>
      <c r="F332" t="s">
        <v>515</v>
      </c>
      <c r="G332" s="137">
        <v>0.2</v>
      </c>
      <c r="H332" s="138">
        <v>0.2</v>
      </c>
      <c r="I332" s="138">
        <v>0.06</v>
      </c>
      <c r="J332" s="139">
        <v>0</v>
      </c>
      <c r="K332" s="137">
        <v>0</v>
      </c>
      <c r="L332" s="137">
        <v>0.7</v>
      </c>
      <c r="M332" t="s">
        <v>499</v>
      </c>
      <c r="N332" t="s">
        <v>525</v>
      </c>
      <c r="O332" t="s">
        <v>112</v>
      </c>
      <c r="P332" s="137">
        <v>0</v>
      </c>
      <c r="Q332" s="137">
        <v>0</v>
      </c>
      <c r="R332" s="126">
        <v>2</v>
      </c>
      <c r="S332" t="s">
        <v>523</v>
      </c>
      <c r="T332" t="s">
        <v>526</v>
      </c>
      <c r="U332" t="s">
        <v>858</v>
      </c>
    </row>
    <row r="333" spans="1:21" x14ac:dyDescent="0.3">
      <c r="A333" t="s">
        <v>402</v>
      </c>
      <c r="B333" s="126">
        <v>2025</v>
      </c>
      <c r="C333" t="s">
        <v>514</v>
      </c>
      <c r="D333" t="s">
        <v>472</v>
      </c>
      <c r="E333" t="s">
        <v>341</v>
      </c>
      <c r="F333" t="s">
        <v>516</v>
      </c>
      <c r="G333" s="137">
        <v>0.4</v>
      </c>
      <c r="H333" s="138">
        <v>0.43</v>
      </c>
      <c r="I333" s="138">
        <v>0.1</v>
      </c>
      <c r="J333" s="139">
        <v>-0.3</v>
      </c>
      <c r="K333" s="137">
        <v>0</v>
      </c>
      <c r="L333" s="137">
        <v>0.9</v>
      </c>
      <c r="M333" t="s">
        <v>499</v>
      </c>
      <c r="N333" t="s">
        <v>525</v>
      </c>
      <c r="O333" t="s">
        <v>112</v>
      </c>
      <c r="P333" s="137">
        <v>-6.9767441860465045</v>
      </c>
      <c r="Q333" s="137">
        <v>6.9767441860465045</v>
      </c>
      <c r="R333" s="126">
        <v>2</v>
      </c>
      <c r="S333" t="s">
        <v>523</v>
      </c>
      <c r="T333" t="s">
        <v>526</v>
      </c>
      <c r="U333" t="s">
        <v>859</v>
      </c>
    </row>
    <row r="334" spans="1:21" x14ac:dyDescent="0.3">
      <c r="A334" t="s">
        <v>402</v>
      </c>
      <c r="B334" s="126">
        <v>2025</v>
      </c>
      <c r="C334" t="s">
        <v>514</v>
      </c>
      <c r="D334" t="s">
        <v>472</v>
      </c>
      <c r="E334" t="s">
        <v>341</v>
      </c>
      <c r="F334" t="s">
        <v>517</v>
      </c>
      <c r="G334" s="137">
        <v>0</v>
      </c>
      <c r="H334" s="138">
        <v>0.03</v>
      </c>
      <c r="I334" s="138">
        <v>0.04</v>
      </c>
      <c r="J334" s="139">
        <v>-0.6</v>
      </c>
      <c r="K334" s="137">
        <v>0</v>
      </c>
      <c r="L334" s="137">
        <v>0.5</v>
      </c>
      <c r="M334" t="s">
        <v>499</v>
      </c>
      <c r="N334" t="s">
        <v>525</v>
      </c>
      <c r="O334" t="s">
        <v>112</v>
      </c>
      <c r="P334" s="137">
        <v>-100</v>
      </c>
      <c r="Q334" s="137">
        <v>100</v>
      </c>
      <c r="R334" s="126">
        <v>2</v>
      </c>
      <c r="S334" t="s">
        <v>523</v>
      </c>
      <c r="T334" t="s">
        <v>526</v>
      </c>
      <c r="U334" t="s">
        <v>860</v>
      </c>
    </row>
    <row r="335" spans="1:21" x14ac:dyDescent="0.3">
      <c r="A335" t="s">
        <v>402</v>
      </c>
      <c r="B335" s="126">
        <v>2025</v>
      </c>
      <c r="C335" t="s">
        <v>514</v>
      </c>
      <c r="D335" t="s">
        <v>472</v>
      </c>
      <c r="E335" t="s">
        <v>341</v>
      </c>
      <c r="F335" t="s">
        <v>518</v>
      </c>
      <c r="G335" s="137">
        <v>0.2</v>
      </c>
      <c r="H335" s="138">
        <v>0.22</v>
      </c>
      <c r="I335" s="138">
        <v>0.05</v>
      </c>
      <c r="J335" s="139">
        <v>-0.3</v>
      </c>
      <c r="K335" s="137">
        <v>0</v>
      </c>
      <c r="L335" s="137">
        <v>0.7</v>
      </c>
      <c r="M335" t="s">
        <v>499</v>
      </c>
      <c r="N335" t="s">
        <v>525</v>
      </c>
      <c r="O335" t="s">
        <v>112</v>
      </c>
      <c r="P335" s="137">
        <v>-9.0909090909090864</v>
      </c>
      <c r="Q335" s="137">
        <v>9.0909090909090864</v>
      </c>
      <c r="R335" s="126">
        <v>2</v>
      </c>
      <c r="S335" t="s">
        <v>523</v>
      </c>
      <c r="T335" t="s">
        <v>526</v>
      </c>
      <c r="U335" t="s">
        <v>861</v>
      </c>
    </row>
    <row r="336" spans="1:21" x14ac:dyDescent="0.3">
      <c r="A336" t="s">
        <v>402</v>
      </c>
      <c r="B336" s="126">
        <v>2025</v>
      </c>
      <c r="C336" t="s">
        <v>514</v>
      </c>
      <c r="D336" t="s">
        <v>472</v>
      </c>
      <c r="E336" t="s">
        <v>341</v>
      </c>
      <c r="F336" t="s">
        <v>519</v>
      </c>
      <c r="G336" s="137">
        <v>0.2</v>
      </c>
      <c r="H336" s="138">
        <v>0.23</v>
      </c>
      <c r="I336" s="138">
        <v>0.06</v>
      </c>
      <c r="J336" s="139">
        <v>-0.5</v>
      </c>
      <c r="K336" s="137">
        <v>0</v>
      </c>
      <c r="L336" s="137">
        <v>0.7</v>
      </c>
      <c r="M336" t="s">
        <v>499</v>
      </c>
      <c r="N336" t="s">
        <v>525</v>
      </c>
      <c r="O336" t="s">
        <v>112</v>
      </c>
      <c r="P336" s="137">
        <v>-13.043478260869565</v>
      </c>
      <c r="Q336" s="137">
        <v>13.043478260869565</v>
      </c>
      <c r="R336" s="126">
        <v>2</v>
      </c>
      <c r="S336" t="s">
        <v>523</v>
      </c>
      <c r="T336" t="s">
        <v>526</v>
      </c>
      <c r="U336" t="s">
        <v>862</v>
      </c>
    </row>
    <row r="337" spans="1:21" x14ac:dyDescent="0.3">
      <c r="A337" t="s">
        <v>402</v>
      </c>
      <c r="B337" s="126">
        <v>2025</v>
      </c>
      <c r="C337" t="s">
        <v>514</v>
      </c>
      <c r="D337" t="s">
        <v>473</v>
      </c>
      <c r="E337" t="s">
        <v>127</v>
      </c>
      <c r="F337" t="s">
        <v>515</v>
      </c>
      <c r="G337" s="137">
        <v>1</v>
      </c>
      <c r="H337" s="138">
        <v>0.93</v>
      </c>
      <c r="I337" s="138">
        <v>0.19</v>
      </c>
      <c r="J337" s="139">
        <v>0.4</v>
      </c>
      <c r="K337" s="137">
        <v>0.5</v>
      </c>
      <c r="L337" s="137">
        <v>1.4</v>
      </c>
      <c r="M337" t="s">
        <v>499</v>
      </c>
      <c r="N337" t="s">
        <v>525</v>
      </c>
      <c r="O337" t="s">
        <v>112</v>
      </c>
      <c r="P337" s="137">
        <v>7.5268817204301026</v>
      </c>
      <c r="Q337" s="137">
        <v>7.5268817204301026</v>
      </c>
      <c r="R337" s="126">
        <v>2</v>
      </c>
      <c r="S337" t="s">
        <v>523</v>
      </c>
      <c r="T337" t="s">
        <v>526</v>
      </c>
      <c r="U337" t="s">
        <v>863</v>
      </c>
    </row>
    <row r="338" spans="1:21" x14ac:dyDescent="0.3">
      <c r="A338" t="s">
        <v>402</v>
      </c>
      <c r="B338" s="126">
        <v>2025</v>
      </c>
      <c r="C338" t="s">
        <v>514</v>
      </c>
      <c r="D338" t="s">
        <v>473</v>
      </c>
      <c r="E338" t="s">
        <v>127</v>
      </c>
      <c r="F338" t="s">
        <v>516</v>
      </c>
      <c r="G338" s="137">
        <v>3</v>
      </c>
      <c r="H338" s="138">
        <v>2.89</v>
      </c>
      <c r="I338" s="138">
        <v>0.35</v>
      </c>
      <c r="J338" s="139">
        <v>0.3</v>
      </c>
      <c r="K338" s="137">
        <v>2.2999999999999998</v>
      </c>
      <c r="L338" s="137">
        <v>3.5</v>
      </c>
      <c r="M338" t="s">
        <v>499</v>
      </c>
      <c r="N338" t="s">
        <v>525</v>
      </c>
      <c r="O338" t="s">
        <v>112</v>
      </c>
      <c r="P338" s="137">
        <v>3.8062283737024178</v>
      </c>
      <c r="Q338" s="137">
        <v>3.8062283737024178</v>
      </c>
      <c r="R338" s="126">
        <v>2</v>
      </c>
      <c r="S338" t="s">
        <v>523</v>
      </c>
      <c r="T338" t="s">
        <v>526</v>
      </c>
      <c r="U338" t="s">
        <v>864</v>
      </c>
    </row>
    <row r="339" spans="1:21" x14ac:dyDescent="0.3">
      <c r="A339" t="s">
        <v>402</v>
      </c>
      <c r="B339" s="126">
        <v>2025</v>
      </c>
      <c r="C339" t="s">
        <v>514</v>
      </c>
      <c r="D339" t="s">
        <v>473</v>
      </c>
      <c r="E339" t="s">
        <v>127</v>
      </c>
      <c r="F339" t="s">
        <v>517</v>
      </c>
      <c r="G339" s="137">
        <v>0.1</v>
      </c>
      <c r="H339" s="138">
        <v>0.1</v>
      </c>
      <c r="I339" s="138">
        <v>0.03</v>
      </c>
      <c r="J339" s="139">
        <v>-0.1</v>
      </c>
      <c r="K339" s="137">
        <v>0</v>
      </c>
      <c r="L339" s="137">
        <v>0.6</v>
      </c>
      <c r="M339" t="s">
        <v>499</v>
      </c>
      <c r="N339" t="s">
        <v>525</v>
      </c>
      <c r="O339" t="s">
        <v>112</v>
      </c>
      <c r="P339" s="137">
        <v>0</v>
      </c>
      <c r="Q339" s="137">
        <v>0</v>
      </c>
      <c r="R339" s="126">
        <v>2</v>
      </c>
      <c r="S339" t="s">
        <v>523</v>
      </c>
      <c r="T339" t="s">
        <v>526</v>
      </c>
      <c r="U339" t="s">
        <v>865</v>
      </c>
    </row>
    <row r="340" spans="1:21" x14ac:dyDescent="0.3">
      <c r="A340" t="s">
        <v>402</v>
      </c>
      <c r="B340" s="126">
        <v>2025</v>
      </c>
      <c r="C340" t="s">
        <v>514</v>
      </c>
      <c r="D340" t="s">
        <v>473</v>
      </c>
      <c r="E340" t="s">
        <v>127</v>
      </c>
      <c r="F340" t="s">
        <v>518</v>
      </c>
      <c r="G340" s="137">
        <v>1.5</v>
      </c>
      <c r="H340" s="138">
        <v>1.5</v>
      </c>
      <c r="I340" s="138">
        <v>0.28000000000000003</v>
      </c>
      <c r="J340" s="139">
        <v>0</v>
      </c>
      <c r="K340" s="137">
        <v>1.1000000000000001</v>
      </c>
      <c r="L340" s="137">
        <v>2</v>
      </c>
      <c r="M340" t="s">
        <v>499</v>
      </c>
      <c r="N340" t="s">
        <v>525</v>
      </c>
      <c r="O340" t="s">
        <v>112</v>
      </c>
      <c r="P340" s="137">
        <v>0</v>
      </c>
      <c r="Q340" s="137">
        <v>0</v>
      </c>
      <c r="R340" s="126">
        <v>2</v>
      </c>
      <c r="S340" t="s">
        <v>523</v>
      </c>
      <c r="T340" t="s">
        <v>526</v>
      </c>
      <c r="U340" t="s">
        <v>866</v>
      </c>
    </row>
    <row r="341" spans="1:21" x14ac:dyDescent="0.3">
      <c r="A341" t="s">
        <v>402</v>
      </c>
      <c r="B341" s="126">
        <v>2025</v>
      </c>
      <c r="C341" t="s">
        <v>514</v>
      </c>
      <c r="D341" t="s">
        <v>473</v>
      </c>
      <c r="E341" t="s">
        <v>127</v>
      </c>
      <c r="F341" t="s">
        <v>519</v>
      </c>
      <c r="G341" s="137">
        <v>1.3</v>
      </c>
      <c r="H341" s="138">
        <v>1.19</v>
      </c>
      <c r="I341" s="138">
        <v>0.24</v>
      </c>
      <c r="J341" s="139">
        <v>0.5</v>
      </c>
      <c r="K341" s="137">
        <v>0.7</v>
      </c>
      <c r="L341" s="137">
        <v>1.6</v>
      </c>
      <c r="M341" t="s">
        <v>499</v>
      </c>
      <c r="N341" t="s">
        <v>525</v>
      </c>
      <c r="O341" t="s">
        <v>112</v>
      </c>
      <c r="P341" s="137">
        <v>9.2436974789916047</v>
      </c>
      <c r="Q341" s="137">
        <v>9.2436974789916047</v>
      </c>
      <c r="R341" s="126">
        <v>2</v>
      </c>
      <c r="S341" t="s">
        <v>523</v>
      </c>
      <c r="T341" t="s">
        <v>526</v>
      </c>
      <c r="U341" t="s">
        <v>867</v>
      </c>
    </row>
    <row r="342" spans="1:21" x14ac:dyDescent="0.3">
      <c r="A342" t="s">
        <v>402</v>
      </c>
      <c r="B342" s="126">
        <v>2025</v>
      </c>
      <c r="C342" t="s">
        <v>514</v>
      </c>
      <c r="D342" t="s">
        <v>474</v>
      </c>
      <c r="E342" t="s">
        <v>353</v>
      </c>
      <c r="F342" t="s">
        <v>515</v>
      </c>
      <c r="G342" s="137">
        <v>39</v>
      </c>
      <c r="H342" s="138">
        <v>34.5</v>
      </c>
      <c r="I342" s="138">
        <v>1.8</v>
      </c>
      <c r="J342" s="139">
        <v>2.5</v>
      </c>
      <c r="K342" s="137">
        <v>27</v>
      </c>
      <c r="L342" s="137">
        <v>42</v>
      </c>
      <c r="M342" t="s">
        <v>499</v>
      </c>
      <c r="N342" t="s">
        <v>525</v>
      </c>
      <c r="O342" t="s">
        <v>134</v>
      </c>
      <c r="P342" s="137">
        <v>13.043478260869565</v>
      </c>
      <c r="Q342" s="137">
        <v>13.043478260869565</v>
      </c>
      <c r="R342" s="126">
        <v>3</v>
      </c>
      <c r="S342" t="s">
        <v>523</v>
      </c>
      <c r="T342" t="s">
        <v>526</v>
      </c>
      <c r="U342" t="s">
        <v>868</v>
      </c>
    </row>
    <row r="343" spans="1:21" x14ac:dyDescent="0.3">
      <c r="A343" t="s">
        <v>402</v>
      </c>
      <c r="B343" s="126">
        <v>2025</v>
      </c>
      <c r="C343" t="s">
        <v>514</v>
      </c>
      <c r="D343" t="s">
        <v>474</v>
      </c>
      <c r="E343" t="s">
        <v>353</v>
      </c>
      <c r="F343" t="s">
        <v>516</v>
      </c>
      <c r="G343" s="137">
        <v>34</v>
      </c>
      <c r="H343" s="138">
        <v>30.1</v>
      </c>
      <c r="I343" s="138">
        <v>1.4</v>
      </c>
      <c r="J343" s="139">
        <v>2.8</v>
      </c>
      <c r="K343" s="137">
        <v>24</v>
      </c>
      <c r="L343" s="137">
        <v>37</v>
      </c>
      <c r="M343" t="s">
        <v>499</v>
      </c>
      <c r="N343" t="s">
        <v>525</v>
      </c>
      <c r="O343" t="s">
        <v>134</v>
      </c>
      <c r="P343" s="137">
        <v>12.956810631229231</v>
      </c>
      <c r="Q343" s="137">
        <v>12.956810631229231</v>
      </c>
      <c r="R343" s="126">
        <v>3</v>
      </c>
      <c r="S343" t="s">
        <v>523</v>
      </c>
      <c r="T343" t="s">
        <v>526</v>
      </c>
      <c r="U343" t="s">
        <v>869</v>
      </c>
    </row>
    <row r="344" spans="1:21" x14ac:dyDescent="0.3">
      <c r="A344" t="s">
        <v>402</v>
      </c>
      <c r="B344" s="126">
        <v>2025</v>
      </c>
      <c r="C344" t="s">
        <v>514</v>
      </c>
      <c r="D344" t="s">
        <v>474</v>
      </c>
      <c r="E344" t="s">
        <v>353</v>
      </c>
      <c r="F344" t="s">
        <v>517</v>
      </c>
      <c r="G344" s="137">
        <v>21</v>
      </c>
      <c r="H344" s="138">
        <v>16.899999999999999</v>
      </c>
      <c r="I344" s="138">
        <v>1.4</v>
      </c>
      <c r="J344" s="139">
        <v>2.9</v>
      </c>
      <c r="K344" s="137">
        <v>13</v>
      </c>
      <c r="L344" s="137">
        <v>21</v>
      </c>
      <c r="M344" t="s">
        <v>499</v>
      </c>
      <c r="N344" t="s">
        <v>525</v>
      </c>
      <c r="O344" t="s">
        <v>134</v>
      </c>
      <c r="P344" s="137">
        <v>24.26035502958581</v>
      </c>
      <c r="Q344" s="137">
        <v>24.26035502958581</v>
      </c>
      <c r="R344" s="126">
        <v>3</v>
      </c>
      <c r="S344" t="s">
        <v>523</v>
      </c>
      <c r="T344" t="s">
        <v>526</v>
      </c>
      <c r="U344" t="s">
        <v>870</v>
      </c>
    </row>
    <row r="345" spans="1:21" x14ac:dyDescent="0.3">
      <c r="A345" t="s">
        <v>402</v>
      </c>
      <c r="B345" s="126">
        <v>2025</v>
      </c>
      <c r="C345" t="s">
        <v>514</v>
      </c>
      <c r="D345" t="s">
        <v>474</v>
      </c>
      <c r="E345" t="s">
        <v>353</v>
      </c>
      <c r="F345" t="s">
        <v>518</v>
      </c>
      <c r="G345" s="137">
        <v>33</v>
      </c>
      <c r="H345" s="138">
        <v>26.9</v>
      </c>
      <c r="I345" s="138">
        <v>1.7</v>
      </c>
      <c r="J345" s="139">
        <v>3.6</v>
      </c>
      <c r="K345" s="137">
        <v>21</v>
      </c>
      <c r="L345" s="137">
        <v>33</v>
      </c>
      <c r="M345" t="s">
        <v>499</v>
      </c>
      <c r="N345" t="s">
        <v>525</v>
      </c>
      <c r="O345" t="s">
        <v>134</v>
      </c>
      <c r="P345" s="137">
        <v>22.676579925650564</v>
      </c>
      <c r="Q345" s="137">
        <v>22.676579925650564</v>
      </c>
      <c r="R345" s="126">
        <v>3</v>
      </c>
      <c r="S345" t="s">
        <v>523</v>
      </c>
      <c r="T345" t="s">
        <v>526</v>
      </c>
      <c r="U345" t="s">
        <v>871</v>
      </c>
    </row>
    <row r="346" spans="1:21" x14ac:dyDescent="0.3">
      <c r="A346" t="s">
        <v>402</v>
      </c>
      <c r="B346" s="126">
        <v>2025</v>
      </c>
      <c r="C346" t="s">
        <v>514</v>
      </c>
      <c r="D346" t="s">
        <v>474</v>
      </c>
      <c r="E346" t="s">
        <v>353</v>
      </c>
      <c r="F346" t="s">
        <v>519</v>
      </c>
      <c r="G346" s="137">
        <v>37</v>
      </c>
      <c r="H346" s="138">
        <v>33.1</v>
      </c>
      <c r="I346" s="138">
        <v>1.7</v>
      </c>
      <c r="J346" s="139">
        <v>2.2999999999999998</v>
      </c>
      <c r="K346" s="137">
        <v>26</v>
      </c>
      <c r="L346" s="137">
        <v>40</v>
      </c>
      <c r="M346" t="s">
        <v>499</v>
      </c>
      <c r="N346" t="s">
        <v>525</v>
      </c>
      <c r="O346" t="s">
        <v>134</v>
      </c>
      <c r="P346" s="137">
        <v>11.782477341389724</v>
      </c>
      <c r="Q346" s="137">
        <v>11.782477341389724</v>
      </c>
      <c r="R346" s="126">
        <v>3</v>
      </c>
      <c r="S346" t="s">
        <v>523</v>
      </c>
      <c r="T346" t="s">
        <v>526</v>
      </c>
      <c r="U346" t="s">
        <v>872</v>
      </c>
    </row>
    <row r="347" spans="1:21" x14ac:dyDescent="0.3">
      <c r="A347" t="s">
        <v>402</v>
      </c>
      <c r="B347" s="126">
        <v>2025</v>
      </c>
      <c r="C347" t="s">
        <v>514</v>
      </c>
      <c r="D347" t="s">
        <v>475</v>
      </c>
      <c r="E347" t="s">
        <v>131</v>
      </c>
      <c r="F347" t="s">
        <v>515</v>
      </c>
      <c r="G347" s="137">
        <v>6</v>
      </c>
      <c r="H347" s="138">
        <v>6.0030000000000001</v>
      </c>
      <c r="I347" s="138">
        <v>0.17</v>
      </c>
      <c r="J347" s="139">
        <v>0</v>
      </c>
      <c r="K347" s="137">
        <v>5</v>
      </c>
      <c r="L347" s="137">
        <v>7.01</v>
      </c>
      <c r="M347" t="s">
        <v>499</v>
      </c>
      <c r="N347" t="s">
        <v>525</v>
      </c>
      <c r="O347" t="s">
        <v>112</v>
      </c>
      <c r="P347" s="137">
        <v>-4.9975012493755022E-2</v>
      </c>
      <c r="Q347" s="137">
        <v>4.9975012493755022E-2</v>
      </c>
      <c r="R347" s="126">
        <v>2</v>
      </c>
      <c r="S347" t="s">
        <v>523</v>
      </c>
      <c r="T347" t="s">
        <v>526</v>
      </c>
      <c r="U347" t="s">
        <v>873</v>
      </c>
    </row>
    <row r="348" spans="1:21" x14ac:dyDescent="0.3">
      <c r="A348" t="s">
        <v>402</v>
      </c>
      <c r="B348" s="126">
        <v>2025</v>
      </c>
      <c r="C348" t="s">
        <v>514</v>
      </c>
      <c r="D348" t="s">
        <v>475</v>
      </c>
      <c r="E348" t="s">
        <v>131</v>
      </c>
      <c r="F348" t="s">
        <v>516</v>
      </c>
      <c r="G348" s="137">
        <v>8.9</v>
      </c>
      <c r="H348" s="138">
        <v>8.8109999999999999</v>
      </c>
      <c r="I348" s="138">
        <v>0.17699999999999999</v>
      </c>
      <c r="J348" s="139">
        <v>0.5</v>
      </c>
      <c r="K348" s="137">
        <v>7.81</v>
      </c>
      <c r="L348" s="137">
        <v>9.82</v>
      </c>
      <c r="M348" t="s">
        <v>499</v>
      </c>
      <c r="N348" t="s">
        <v>525</v>
      </c>
      <c r="O348" t="s">
        <v>112</v>
      </c>
      <c r="P348" s="137">
        <v>1.0101010101010148</v>
      </c>
      <c r="Q348" s="137">
        <v>1.0101010101010148</v>
      </c>
      <c r="R348" s="126">
        <v>2</v>
      </c>
      <c r="S348" t="s">
        <v>523</v>
      </c>
      <c r="T348" t="s">
        <v>526</v>
      </c>
      <c r="U348" t="s">
        <v>874</v>
      </c>
    </row>
    <row r="349" spans="1:21" x14ac:dyDescent="0.3">
      <c r="A349" t="s">
        <v>402</v>
      </c>
      <c r="B349" s="126">
        <v>2025</v>
      </c>
      <c r="C349" t="s">
        <v>514</v>
      </c>
      <c r="D349" t="s">
        <v>475</v>
      </c>
      <c r="E349" t="s">
        <v>131</v>
      </c>
      <c r="F349" t="s">
        <v>517</v>
      </c>
      <c r="G349" s="137">
        <v>13</v>
      </c>
      <c r="H349" s="138">
        <v>12.869</v>
      </c>
      <c r="I349" s="138">
        <v>0.23899999999999999</v>
      </c>
      <c r="J349" s="139">
        <v>0.5</v>
      </c>
      <c r="K349" s="137">
        <v>11.86</v>
      </c>
      <c r="L349" s="137">
        <v>13.87</v>
      </c>
      <c r="M349" t="s">
        <v>499</v>
      </c>
      <c r="N349" t="s">
        <v>525</v>
      </c>
      <c r="O349" t="s">
        <v>112</v>
      </c>
      <c r="P349" s="137">
        <v>1.0179501126738693</v>
      </c>
      <c r="Q349" s="137">
        <v>1.0179501126738693</v>
      </c>
      <c r="R349" s="126">
        <v>2</v>
      </c>
      <c r="S349" t="s">
        <v>523</v>
      </c>
      <c r="T349" t="s">
        <v>526</v>
      </c>
      <c r="U349" t="s">
        <v>875</v>
      </c>
    </row>
    <row r="350" spans="1:21" x14ac:dyDescent="0.3">
      <c r="A350" t="s">
        <v>402</v>
      </c>
      <c r="B350" s="126">
        <v>2025</v>
      </c>
      <c r="C350" t="s">
        <v>514</v>
      </c>
      <c r="D350" t="s">
        <v>475</v>
      </c>
      <c r="E350" t="s">
        <v>131</v>
      </c>
      <c r="F350" t="s">
        <v>518</v>
      </c>
      <c r="G350" s="137">
        <v>9.6999999999999993</v>
      </c>
      <c r="H350" s="138">
        <v>9.5760000000000005</v>
      </c>
      <c r="I350" s="138">
        <v>0.189</v>
      </c>
      <c r="J350" s="139">
        <v>0.7</v>
      </c>
      <c r="K350" s="137">
        <v>8.57</v>
      </c>
      <c r="L350" s="137">
        <v>10.58</v>
      </c>
      <c r="M350" t="s">
        <v>499</v>
      </c>
      <c r="N350" t="s">
        <v>525</v>
      </c>
      <c r="O350" t="s">
        <v>112</v>
      </c>
      <c r="P350" s="137">
        <v>1.294903926482861</v>
      </c>
      <c r="Q350" s="137">
        <v>1.294903926482861</v>
      </c>
      <c r="R350" s="126">
        <v>2</v>
      </c>
      <c r="S350" t="s">
        <v>523</v>
      </c>
      <c r="T350" t="s">
        <v>526</v>
      </c>
      <c r="U350" t="s">
        <v>876</v>
      </c>
    </row>
    <row r="351" spans="1:21" x14ac:dyDescent="0.3">
      <c r="A351" t="s">
        <v>402</v>
      </c>
      <c r="B351" s="126">
        <v>2025</v>
      </c>
      <c r="C351" t="s">
        <v>514</v>
      </c>
      <c r="D351" t="s">
        <v>475</v>
      </c>
      <c r="E351" t="s">
        <v>131</v>
      </c>
      <c r="F351" t="s">
        <v>519</v>
      </c>
      <c r="G351" s="137">
        <v>7</v>
      </c>
      <c r="H351" s="138">
        <v>6.96</v>
      </c>
      <c r="I351" s="138">
        <v>0.17299999999999999</v>
      </c>
      <c r="J351" s="139">
        <v>0.2</v>
      </c>
      <c r="K351" s="137">
        <v>5.95</v>
      </c>
      <c r="L351" s="137">
        <v>7.96</v>
      </c>
      <c r="M351" t="s">
        <v>499</v>
      </c>
      <c r="N351" t="s">
        <v>525</v>
      </c>
      <c r="O351" t="s">
        <v>112</v>
      </c>
      <c r="P351" s="137">
        <v>0.57471264367816144</v>
      </c>
      <c r="Q351" s="137">
        <v>0.57471264367816144</v>
      </c>
      <c r="R351" s="126">
        <v>2</v>
      </c>
      <c r="S351" t="s">
        <v>523</v>
      </c>
      <c r="T351" t="s">
        <v>526</v>
      </c>
      <c r="U351" t="s">
        <v>877</v>
      </c>
    </row>
    <row r="352" spans="1:21" x14ac:dyDescent="0.3">
      <c r="A352" t="s">
        <v>402</v>
      </c>
      <c r="B352" s="126">
        <v>2025</v>
      </c>
      <c r="C352" t="s">
        <v>514</v>
      </c>
      <c r="D352" t="s">
        <v>476</v>
      </c>
      <c r="E352" t="s">
        <v>136</v>
      </c>
      <c r="F352" t="s">
        <v>515</v>
      </c>
      <c r="G352" s="137">
        <v>120</v>
      </c>
      <c r="H352" s="138">
        <v>116.1</v>
      </c>
      <c r="I352" s="138">
        <v>1.5</v>
      </c>
      <c r="J352" s="139">
        <v>2.6</v>
      </c>
      <c r="K352" s="137">
        <v>110</v>
      </c>
      <c r="L352" s="137">
        <v>122</v>
      </c>
      <c r="M352" t="s">
        <v>499</v>
      </c>
      <c r="N352" t="s">
        <v>525</v>
      </c>
      <c r="O352" t="s">
        <v>134</v>
      </c>
      <c r="P352" s="137">
        <v>3.359173126614992</v>
      </c>
      <c r="Q352" s="137">
        <v>3.359173126614992</v>
      </c>
      <c r="R352" s="126">
        <v>3</v>
      </c>
      <c r="S352" t="s">
        <v>523</v>
      </c>
      <c r="T352" t="s">
        <v>526</v>
      </c>
      <c r="U352" t="s">
        <v>878</v>
      </c>
    </row>
    <row r="353" spans="1:21" x14ac:dyDescent="0.3">
      <c r="A353" t="s">
        <v>402</v>
      </c>
      <c r="B353" s="126">
        <v>2025</v>
      </c>
      <c r="C353" t="s">
        <v>514</v>
      </c>
      <c r="D353" t="s">
        <v>476</v>
      </c>
      <c r="E353" t="s">
        <v>136</v>
      </c>
      <c r="F353" t="s">
        <v>516</v>
      </c>
      <c r="G353" s="137">
        <v>109</v>
      </c>
      <c r="H353" s="138">
        <v>105.3</v>
      </c>
      <c r="I353" s="138">
        <v>1.3</v>
      </c>
      <c r="J353" s="139">
        <v>2.9</v>
      </c>
      <c r="K353" s="137">
        <v>100</v>
      </c>
      <c r="L353" s="137">
        <v>111</v>
      </c>
      <c r="M353" t="s">
        <v>499</v>
      </c>
      <c r="N353" t="s">
        <v>525</v>
      </c>
      <c r="O353" t="s">
        <v>134</v>
      </c>
      <c r="P353" s="137">
        <v>3.5137701804368495</v>
      </c>
      <c r="Q353" s="137">
        <v>3.5137701804368495</v>
      </c>
      <c r="R353" s="126">
        <v>3</v>
      </c>
      <c r="S353" t="s">
        <v>523</v>
      </c>
      <c r="T353" t="s">
        <v>526</v>
      </c>
      <c r="U353" t="s">
        <v>879</v>
      </c>
    </row>
    <row r="354" spans="1:21" x14ac:dyDescent="0.3">
      <c r="A354" t="s">
        <v>402</v>
      </c>
      <c r="B354" s="126">
        <v>2025</v>
      </c>
      <c r="C354" t="s">
        <v>514</v>
      </c>
      <c r="D354" t="s">
        <v>476</v>
      </c>
      <c r="E354" t="s">
        <v>136</v>
      </c>
      <c r="F354" t="s">
        <v>517</v>
      </c>
      <c r="G354" s="137">
        <v>88</v>
      </c>
      <c r="H354" s="138">
        <v>88.6</v>
      </c>
      <c r="I354" s="138">
        <v>1.4</v>
      </c>
      <c r="J354" s="139">
        <v>-0.4</v>
      </c>
      <c r="K354" s="137">
        <v>84</v>
      </c>
      <c r="L354" s="137">
        <v>94</v>
      </c>
      <c r="M354" t="s">
        <v>499</v>
      </c>
      <c r="N354" t="s">
        <v>525</v>
      </c>
      <c r="O354" t="s">
        <v>134</v>
      </c>
      <c r="P354" s="137">
        <v>-0.67720090293453095</v>
      </c>
      <c r="Q354" s="137">
        <v>0.67720090293453095</v>
      </c>
      <c r="R354" s="126">
        <v>3</v>
      </c>
      <c r="S354" t="s">
        <v>523</v>
      </c>
      <c r="T354" t="s">
        <v>526</v>
      </c>
      <c r="U354" t="s">
        <v>880</v>
      </c>
    </row>
    <row r="355" spans="1:21" x14ac:dyDescent="0.3">
      <c r="A355" t="s">
        <v>402</v>
      </c>
      <c r="B355" s="126">
        <v>2025</v>
      </c>
      <c r="C355" t="s">
        <v>514</v>
      </c>
      <c r="D355" t="s">
        <v>476</v>
      </c>
      <c r="E355" t="s">
        <v>136</v>
      </c>
      <c r="F355" t="s">
        <v>518</v>
      </c>
      <c r="G355" s="137">
        <v>104</v>
      </c>
      <c r="H355" s="138">
        <v>101.9</v>
      </c>
      <c r="I355" s="138">
        <v>1.3</v>
      </c>
      <c r="J355" s="139">
        <v>1.6</v>
      </c>
      <c r="K355" s="137">
        <v>96</v>
      </c>
      <c r="L355" s="137">
        <v>108</v>
      </c>
      <c r="M355" t="s">
        <v>499</v>
      </c>
      <c r="N355" t="s">
        <v>525</v>
      </c>
      <c r="O355" t="s">
        <v>134</v>
      </c>
      <c r="P355" s="137">
        <v>2.0608439646712404</v>
      </c>
      <c r="Q355" s="137">
        <v>2.0608439646712404</v>
      </c>
      <c r="R355" s="126">
        <v>3</v>
      </c>
      <c r="S355" t="s">
        <v>523</v>
      </c>
      <c r="T355" t="s">
        <v>526</v>
      </c>
      <c r="U355" t="s">
        <v>881</v>
      </c>
    </row>
    <row r="356" spans="1:21" x14ac:dyDescent="0.3">
      <c r="A356" t="s">
        <v>402</v>
      </c>
      <c r="B356" s="126">
        <v>2025</v>
      </c>
      <c r="C356" t="s">
        <v>514</v>
      </c>
      <c r="D356" t="s">
        <v>476</v>
      </c>
      <c r="E356" t="s">
        <v>136</v>
      </c>
      <c r="F356" t="s">
        <v>519</v>
      </c>
      <c r="G356" s="137">
        <v>116</v>
      </c>
      <c r="H356" s="138">
        <v>112.3</v>
      </c>
      <c r="I356" s="138">
        <v>1.4</v>
      </c>
      <c r="J356" s="139">
        <v>2.7</v>
      </c>
      <c r="K356" s="137">
        <v>106</v>
      </c>
      <c r="L356" s="137">
        <v>118</v>
      </c>
      <c r="M356" t="s">
        <v>499</v>
      </c>
      <c r="N356" t="s">
        <v>525</v>
      </c>
      <c r="O356" t="s">
        <v>134</v>
      </c>
      <c r="P356" s="137">
        <v>3.2947462154942144</v>
      </c>
      <c r="Q356" s="137">
        <v>3.2947462154942144</v>
      </c>
      <c r="R356" s="126">
        <v>3</v>
      </c>
      <c r="S356" t="s">
        <v>523</v>
      </c>
      <c r="T356" t="s">
        <v>526</v>
      </c>
      <c r="U356" t="s">
        <v>882</v>
      </c>
    </row>
    <row r="357" spans="1:21" x14ac:dyDescent="0.3">
      <c r="A357" t="s">
        <v>402</v>
      </c>
      <c r="B357" s="126">
        <v>2025</v>
      </c>
      <c r="C357" t="s">
        <v>514</v>
      </c>
      <c r="D357" t="s">
        <v>477</v>
      </c>
      <c r="E357" t="s">
        <v>119</v>
      </c>
      <c r="F357" t="s">
        <v>515</v>
      </c>
      <c r="G357" s="137">
        <v>262</v>
      </c>
      <c r="H357" s="138">
        <v>254.47300000000001</v>
      </c>
      <c r="I357" s="138">
        <v>5.8019999999999996</v>
      </c>
      <c r="J357" s="139">
        <v>1.3</v>
      </c>
      <c r="K357" s="137">
        <v>229.02</v>
      </c>
      <c r="L357" s="137">
        <v>279.92</v>
      </c>
      <c r="M357" t="s">
        <v>499</v>
      </c>
      <c r="N357" t="s">
        <v>525</v>
      </c>
      <c r="O357" t="s">
        <v>112</v>
      </c>
      <c r="P357" s="137">
        <v>2.9578776530319471</v>
      </c>
      <c r="Q357" s="137">
        <v>2.9578776530319471</v>
      </c>
      <c r="R357" s="126">
        <v>3</v>
      </c>
      <c r="S357" t="s">
        <v>523</v>
      </c>
      <c r="T357" t="s">
        <v>526</v>
      </c>
      <c r="U357" t="s">
        <v>883</v>
      </c>
    </row>
    <row r="358" spans="1:21" x14ac:dyDescent="0.3">
      <c r="A358" t="s">
        <v>402</v>
      </c>
      <c r="B358" s="126">
        <v>2025</v>
      </c>
      <c r="C358" t="s">
        <v>514</v>
      </c>
      <c r="D358" t="s">
        <v>477</v>
      </c>
      <c r="E358" t="s">
        <v>119</v>
      </c>
      <c r="F358" t="s">
        <v>516</v>
      </c>
      <c r="G358" s="137">
        <v>116</v>
      </c>
      <c r="H358" s="138">
        <v>117.133</v>
      </c>
      <c r="I358" s="138">
        <v>3.9489999999999998</v>
      </c>
      <c r="J358" s="139">
        <v>-0.3</v>
      </c>
      <c r="K358" s="137">
        <v>105.41</v>
      </c>
      <c r="L358" s="137">
        <v>128.85</v>
      </c>
      <c r="M358" t="s">
        <v>499</v>
      </c>
      <c r="N358" t="s">
        <v>525</v>
      </c>
      <c r="O358" t="s">
        <v>112</v>
      </c>
      <c r="P358" s="137">
        <v>-0.96727651473111387</v>
      </c>
      <c r="Q358" s="137">
        <v>0.96727651473111387</v>
      </c>
      <c r="R358" s="126">
        <v>3</v>
      </c>
      <c r="S358" t="s">
        <v>523</v>
      </c>
      <c r="T358" t="s">
        <v>526</v>
      </c>
      <c r="U358" t="s">
        <v>884</v>
      </c>
    </row>
    <row r="359" spans="1:21" x14ac:dyDescent="0.3">
      <c r="A359" t="s">
        <v>402</v>
      </c>
      <c r="B359" s="126">
        <v>2025</v>
      </c>
      <c r="C359" t="s">
        <v>514</v>
      </c>
      <c r="D359" t="s">
        <v>477</v>
      </c>
      <c r="E359" t="s">
        <v>119</v>
      </c>
      <c r="F359" t="s">
        <v>517</v>
      </c>
      <c r="G359" s="137">
        <v>201</v>
      </c>
      <c r="H359" s="138">
        <v>195.52099999999999</v>
      </c>
      <c r="I359" s="138">
        <v>4.6710000000000003</v>
      </c>
      <c r="J359" s="139">
        <v>1.2</v>
      </c>
      <c r="K359" s="137">
        <v>175.96</v>
      </c>
      <c r="L359" s="137">
        <v>215.08</v>
      </c>
      <c r="M359" t="s">
        <v>499</v>
      </c>
      <c r="N359" t="s">
        <v>525</v>
      </c>
      <c r="O359" t="s">
        <v>112</v>
      </c>
      <c r="P359" s="137">
        <v>2.8022565351036532</v>
      </c>
      <c r="Q359" s="137">
        <v>2.8022565351036532</v>
      </c>
      <c r="R359" s="126">
        <v>3</v>
      </c>
      <c r="S359" t="s">
        <v>523</v>
      </c>
      <c r="T359" t="s">
        <v>526</v>
      </c>
      <c r="U359" t="s">
        <v>885</v>
      </c>
    </row>
    <row r="360" spans="1:21" x14ac:dyDescent="0.3">
      <c r="A360" t="s">
        <v>402</v>
      </c>
      <c r="B360" s="126">
        <v>2025</v>
      </c>
      <c r="C360" t="s">
        <v>514</v>
      </c>
      <c r="D360" t="s">
        <v>477</v>
      </c>
      <c r="E360" t="s">
        <v>119</v>
      </c>
      <c r="F360" t="s">
        <v>518</v>
      </c>
      <c r="G360" s="137">
        <v>151</v>
      </c>
      <c r="H360" s="138">
        <v>147.88999999999999</v>
      </c>
      <c r="I360" s="138">
        <v>3.8380000000000001</v>
      </c>
      <c r="J360" s="139">
        <v>0.8</v>
      </c>
      <c r="K360" s="137">
        <v>133.1</v>
      </c>
      <c r="L360" s="137">
        <v>162.68</v>
      </c>
      <c r="M360" t="s">
        <v>499</v>
      </c>
      <c r="N360" t="s">
        <v>525</v>
      </c>
      <c r="O360" t="s">
        <v>112</v>
      </c>
      <c r="P360" s="137">
        <v>2.1029143282169276</v>
      </c>
      <c r="Q360" s="137">
        <v>2.1029143282169276</v>
      </c>
      <c r="R360" s="126">
        <v>3</v>
      </c>
      <c r="S360" t="s">
        <v>523</v>
      </c>
      <c r="T360" t="s">
        <v>526</v>
      </c>
      <c r="U360" t="s">
        <v>886</v>
      </c>
    </row>
    <row r="361" spans="1:21" x14ac:dyDescent="0.3">
      <c r="A361" t="s">
        <v>402</v>
      </c>
      <c r="B361" s="126">
        <v>2025</v>
      </c>
      <c r="C361" t="s">
        <v>514</v>
      </c>
      <c r="D361" t="s">
        <v>477</v>
      </c>
      <c r="E361" t="s">
        <v>119</v>
      </c>
      <c r="F361" t="s">
        <v>519</v>
      </c>
      <c r="G361" s="137">
        <v>217</v>
      </c>
      <c r="H361" s="138">
        <v>209.31800000000001</v>
      </c>
      <c r="I361" s="138">
        <v>4.8419999999999996</v>
      </c>
      <c r="J361" s="139">
        <v>1.6</v>
      </c>
      <c r="K361" s="137">
        <v>188.38</v>
      </c>
      <c r="L361" s="137">
        <v>230.25</v>
      </c>
      <c r="M361" t="s">
        <v>499</v>
      </c>
      <c r="N361" t="s">
        <v>525</v>
      </c>
      <c r="O361" t="s">
        <v>112</v>
      </c>
      <c r="P361" s="137">
        <v>3.6700140456148</v>
      </c>
      <c r="Q361" s="137">
        <v>3.6700140456148</v>
      </c>
      <c r="R361" s="126">
        <v>3</v>
      </c>
      <c r="S361" t="s">
        <v>523</v>
      </c>
      <c r="T361" t="s">
        <v>526</v>
      </c>
      <c r="U361" t="s">
        <v>887</v>
      </c>
    </row>
    <row r="362" spans="1:21" x14ac:dyDescent="0.3">
      <c r="A362" t="s">
        <v>402</v>
      </c>
      <c r="B362" s="126">
        <v>2025</v>
      </c>
      <c r="C362" t="s">
        <v>514</v>
      </c>
      <c r="D362" t="s">
        <v>478</v>
      </c>
      <c r="E362" t="s">
        <v>348</v>
      </c>
      <c r="F362" t="s">
        <v>515</v>
      </c>
      <c r="G362" s="137">
        <v>598</v>
      </c>
      <c r="H362" s="138">
        <v>575.5</v>
      </c>
      <c r="I362" s="138">
        <v>24.3</v>
      </c>
      <c r="J362" s="139">
        <v>0.9</v>
      </c>
      <c r="K362" s="137">
        <v>460</v>
      </c>
      <c r="L362" s="137">
        <v>691</v>
      </c>
      <c r="M362" t="s">
        <v>499</v>
      </c>
      <c r="N362" t="s">
        <v>525</v>
      </c>
      <c r="O362" t="s">
        <v>123</v>
      </c>
      <c r="P362" s="137">
        <v>3.9096437880104258</v>
      </c>
      <c r="Q362" s="137">
        <v>3.9096437880104258</v>
      </c>
      <c r="R362" s="126">
        <v>7</v>
      </c>
      <c r="S362" t="s">
        <v>523</v>
      </c>
      <c r="T362" t="s">
        <v>526</v>
      </c>
      <c r="U362" t="s">
        <v>888</v>
      </c>
    </row>
    <row r="363" spans="1:21" x14ac:dyDescent="0.3">
      <c r="A363" t="s">
        <v>402</v>
      </c>
      <c r="B363" s="126">
        <v>2025</v>
      </c>
      <c r="C363" t="s">
        <v>514</v>
      </c>
      <c r="D363" t="s">
        <v>478</v>
      </c>
      <c r="E363" t="s">
        <v>348</v>
      </c>
      <c r="F363" t="s">
        <v>516</v>
      </c>
      <c r="G363" s="137">
        <v>158</v>
      </c>
      <c r="H363" s="138">
        <v>150.69999999999999</v>
      </c>
      <c r="I363" s="138">
        <v>8.5</v>
      </c>
      <c r="J363" s="139">
        <v>0.9</v>
      </c>
      <c r="K363" s="137">
        <v>120</v>
      </c>
      <c r="L363" s="137">
        <v>181</v>
      </c>
      <c r="M363" t="s">
        <v>499</v>
      </c>
      <c r="N363" t="s">
        <v>525</v>
      </c>
      <c r="O363" t="s">
        <v>123</v>
      </c>
      <c r="P363" s="137">
        <v>4.8440610484406186</v>
      </c>
      <c r="Q363" s="137">
        <v>4.8440610484406186</v>
      </c>
      <c r="R363" s="126">
        <v>7</v>
      </c>
      <c r="S363" t="s">
        <v>523</v>
      </c>
      <c r="T363" t="s">
        <v>526</v>
      </c>
      <c r="U363" t="s">
        <v>889</v>
      </c>
    </row>
    <row r="364" spans="1:21" x14ac:dyDescent="0.3">
      <c r="A364" t="s">
        <v>402</v>
      </c>
      <c r="B364" s="126">
        <v>2025</v>
      </c>
      <c r="C364" t="s">
        <v>514</v>
      </c>
      <c r="D364" t="s">
        <v>478</v>
      </c>
      <c r="E364" t="s">
        <v>348</v>
      </c>
      <c r="F364" t="s">
        <v>517</v>
      </c>
      <c r="G364" s="137">
        <v>124</v>
      </c>
      <c r="H364" s="138">
        <v>119.2</v>
      </c>
      <c r="I364" s="138">
        <v>13.3</v>
      </c>
      <c r="J364" s="139">
        <v>0.4</v>
      </c>
      <c r="K364" s="137">
        <v>95</v>
      </c>
      <c r="L364" s="137">
        <v>143</v>
      </c>
      <c r="M364" t="s">
        <v>499</v>
      </c>
      <c r="N364" t="s">
        <v>525</v>
      </c>
      <c r="O364" t="s">
        <v>123</v>
      </c>
      <c r="P364" s="137">
        <v>4.0268456375838904</v>
      </c>
      <c r="Q364" s="137">
        <v>4.0268456375838904</v>
      </c>
      <c r="R364" s="126">
        <v>7</v>
      </c>
      <c r="S364" t="s">
        <v>523</v>
      </c>
      <c r="T364" t="s">
        <v>526</v>
      </c>
      <c r="U364" t="s">
        <v>890</v>
      </c>
    </row>
    <row r="365" spans="1:21" x14ac:dyDescent="0.3">
      <c r="A365" t="s">
        <v>402</v>
      </c>
      <c r="B365" s="126">
        <v>2025</v>
      </c>
      <c r="C365" t="s">
        <v>514</v>
      </c>
      <c r="D365" t="s">
        <v>478</v>
      </c>
      <c r="E365" t="s">
        <v>348</v>
      </c>
      <c r="F365" t="s">
        <v>518</v>
      </c>
      <c r="G365" s="137">
        <v>173</v>
      </c>
      <c r="H365" s="138">
        <v>167.7</v>
      </c>
      <c r="I365" s="138">
        <v>12.9</v>
      </c>
      <c r="J365" s="139">
        <v>0.4</v>
      </c>
      <c r="K365" s="137">
        <v>134</v>
      </c>
      <c r="L365" s="137">
        <v>202</v>
      </c>
      <c r="M365" t="s">
        <v>499</v>
      </c>
      <c r="N365" t="s">
        <v>525</v>
      </c>
      <c r="O365" t="s">
        <v>123</v>
      </c>
      <c r="P365" s="137">
        <v>3.1604054859868884</v>
      </c>
      <c r="Q365" s="137">
        <v>3.1604054859868884</v>
      </c>
      <c r="R365" s="126">
        <v>7</v>
      </c>
      <c r="S365" t="s">
        <v>523</v>
      </c>
      <c r="T365" t="s">
        <v>526</v>
      </c>
      <c r="U365" t="s">
        <v>891</v>
      </c>
    </row>
    <row r="366" spans="1:21" x14ac:dyDescent="0.3">
      <c r="A366" t="s">
        <v>402</v>
      </c>
      <c r="B366" s="126">
        <v>2025</v>
      </c>
      <c r="C366" t="s">
        <v>514</v>
      </c>
      <c r="D366" t="s">
        <v>478</v>
      </c>
      <c r="E366" t="s">
        <v>348</v>
      </c>
      <c r="F366" t="s">
        <v>519</v>
      </c>
      <c r="G366" s="137">
        <v>450</v>
      </c>
      <c r="H366" s="138">
        <v>430.2</v>
      </c>
      <c r="I366" s="138">
        <v>20.2</v>
      </c>
      <c r="J366" s="139">
        <v>1</v>
      </c>
      <c r="K366" s="137">
        <v>344</v>
      </c>
      <c r="L366" s="137">
        <v>517</v>
      </c>
      <c r="M366" t="s">
        <v>499</v>
      </c>
      <c r="N366" t="s">
        <v>525</v>
      </c>
      <c r="O366" t="s">
        <v>123</v>
      </c>
      <c r="P366" s="137">
        <v>4.6025104602510494</v>
      </c>
      <c r="Q366" s="137">
        <v>4.6025104602510494</v>
      </c>
      <c r="R366" s="126">
        <v>7</v>
      </c>
      <c r="S366" t="s">
        <v>523</v>
      </c>
      <c r="T366" t="s">
        <v>526</v>
      </c>
      <c r="U366" t="s">
        <v>892</v>
      </c>
    </row>
    <row r="367" spans="1:21" x14ac:dyDescent="0.3">
      <c r="A367" t="s">
        <v>402</v>
      </c>
      <c r="B367" s="126">
        <v>2025</v>
      </c>
      <c r="C367" t="s">
        <v>514</v>
      </c>
      <c r="D367" t="s">
        <v>479</v>
      </c>
      <c r="E367" t="s">
        <v>117</v>
      </c>
      <c r="F367" t="s">
        <v>515</v>
      </c>
      <c r="G367" s="137">
        <v>0.79</v>
      </c>
      <c r="H367" s="138">
        <v>0.748</v>
      </c>
      <c r="I367" s="138">
        <v>6.5000000000000002E-2</v>
      </c>
      <c r="J367" s="139">
        <v>0.7</v>
      </c>
      <c r="K367" s="137">
        <v>0.54</v>
      </c>
      <c r="L367" s="137">
        <v>0.95</v>
      </c>
      <c r="M367" t="s">
        <v>499</v>
      </c>
      <c r="N367" t="s">
        <v>525</v>
      </c>
      <c r="O367" t="s">
        <v>112</v>
      </c>
      <c r="P367" s="137">
        <v>5.6149732620320902</v>
      </c>
      <c r="Q367" s="137">
        <v>5.6149732620320902</v>
      </c>
      <c r="R367" s="126">
        <v>4</v>
      </c>
      <c r="S367" t="s">
        <v>523</v>
      </c>
      <c r="T367" t="s">
        <v>526</v>
      </c>
      <c r="U367" t="s">
        <v>893</v>
      </c>
    </row>
    <row r="368" spans="1:21" x14ac:dyDescent="0.3">
      <c r="A368" t="s">
        <v>402</v>
      </c>
      <c r="B368" s="126">
        <v>2025</v>
      </c>
      <c r="C368" t="s">
        <v>514</v>
      </c>
      <c r="D368" t="s">
        <v>479</v>
      </c>
      <c r="E368" t="s">
        <v>117</v>
      </c>
      <c r="F368" t="s">
        <v>516</v>
      </c>
      <c r="G368" s="137">
        <v>5.49</v>
      </c>
      <c r="H368" s="138">
        <v>5.3620000000000001</v>
      </c>
      <c r="I368" s="138">
        <v>0.123</v>
      </c>
      <c r="J368" s="139">
        <v>1</v>
      </c>
      <c r="K368" s="137">
        <v>4.82</v>
      </c>
      <c r="L368" s="137">
        <v>5.9</v>
      </c>
      <c r="M368" t="s">
        <v>499</v>
      </c>
      <c r="N368" t="s">
        <v>525</v>
      </c>
      <c r="O368" t="s">
        <v>112</v>
      </c>
      <c r="P368" s="137">
        <v>2.3871689668034337</v>
      </c>
      <c r="Q368" s="137">
        <v>2.3871689668034337</v>
      </c>
      <c r="R368" s="126">
        <v>4</v>
      </c>
      <c r="S368" t="s">
        <v>523</v>
      </c>
      <c r="T368" t="s">
        <v>526</v>
      </c>
      <c r="U368" t="s">
        <v>894</v>
      </c>
    </row>
    <row r="369" spans="1:21" x14ac:dyDescent="0.3">
      <c r="A369" t="s">
        <v>402</v>
      </c>
      <c r="B369" s="126">
        <v>2025</v>
      </c>
      <c r="C369" t="s">
        <v>514</v>
      </c>
      <c r="D369" t="s">
        <v>479</v>
      </c>
      <c r="E369" t="s">
        <v>117</v>
      </c>
      <c r="F369" t="s">
        <v>517</v>
      </c>
      <c r="G369" s="137">
        <v>2.17</v>
      </c>
      <c r="H369" s="138">
        <v>2.052</v>
      </c>
      <c r="I369" s="138">
        <v>7.3999999999999996E-2</v>
      </c>
      <c r="J369" s="139">
        <v>1.6</v>
      </c>
      <c r="K369" s="137">
        <v>1.84</v>
      </c>
      <c r="L369" s="137">
        <v>2.2599999999999998</v>
      </c>
      <c r="M369" t="s">
        <v>499</v>
      </c>
      <c r="N369" t="s">
        <v>525</v>
      </c>
      <c r="O369" t="s">
        <v>112</v>
      </c>
      <c r="P369" s="137">
        <v>5.7504873294346917</v>
      </c>
      <c r="Q369" s="137">
        <v>5.7504873294346917</v>
      </c>
      <c r="R369" s="126">
        <v>4</v>
      </c>
      <c r="S369" t="s">
        <v>523</v>
      </c>
      <c r="T369" t="s">
        <v>526</v>
      </c>
      <c r="U369" t="s">
        <v>895</v>
      </c>
    </row>
    <row r="370" spans="1:21" x14ac:dyDescent="0.3">
      <c r="A370" t="s">
        <v>402</v>
      </c>
      <c r="B370" s="126">
        <v>2025</v>
      </c>
      <c r="C370" t="s">
        <v>514</v>
      </c>
      <c r="D370" t="s">
        <v>479</v>
      </c>
      <c r="E370" t="s">
        <v>117</v>
      </c>
      <c r="F370" t="s">
        <v>518</v>
      </c>
      <c r="G370" s="137">
        <v>4.18</v>
      </c>
      <c r="H370" s="138">
        <v>4.1689999999999996</v>
      </c>
      <c r="I370" s="138">
        <v>0.104</v>
      </c>
      <c r="J370" s="139">
        <v>0.1</v>
      </c>
      <c r="K370" s="137">
        <v>3.75</v>
      </c>
      <c r="L370" s="137">
        <v>4.59</v>
      </c>
      <c r="M370" t="s">
        <v>499</v>
      </c>
      <c r="N370" t="s">
        <v>525</v>
      </c>
      <c r="O370" t="s">
        <v>112</v>
      </c>
      <c r="P370" s="137">
        <v>0.26385224274406627</v>
      </c>
      <c r="Q370" s="137">
        <v>0.26385224274406627</v>
      </c>
      <c r="R370" s="126">
        <v>4</v>
      </c>
      <c r="S370" t="s">
        <v>523</v>
      </c>
      <c r="T370" t="s">
        <v>526</v>
      </c>
      <c r="U370" t="s">
        <v>896</v>
      </c>
    </row>
    <row r="371" spans="1:21" x14ac:dyDescent="0.3">
      <c r="A371" t="s">
        <v>402</v>
      </c>
      <c r="B371" s="126">
        <v>2025</v>
      </c>
      <c r="C371" t="s">
        <v>514</v>
      </c>
      <c r="D371" t="s">
        <v>479</v>
      </c>
      <c r="E371" t="s">
        <v>117</v>
      </c>
      <c r="F371" t="s">
        <v>519</v>
      </c>
      <c r="G371" s="137">
        <v>2.4</v>
      </c>
      <c r="H371" s="138">
        <v>2.266</v>
      </c>
      <c r="I371" s="138">
        <v>0.08</v>
      </c>
      <c r="J371" s="139">
        <v>1.7</v>
      </c>
      <c r="K371" s="137">
        <v>2.0299999999999998</v>
      </c>
      <c r="L371" s="137">
        <v>2.5</v>
      </c>
      <c r="M371" t="s">
        <v>499</v>
      </c>
      <c r="N371" t="s">
        <v>525</v>
      </c>
      <c r="O371" t="s">
        <v>112</v>
      </c>
      <c r="P371" s="137">
        <v>5.9135039717563949</v>
      </c>
      <c r="Q371" s="137">
        <v>5.9135039717563949</v>
      </c>
      <c r="R371" s="126">
        <v>4</v>
      </c>
      <c r="S371" t="s">
        <v>523</v>
      </c>
      <c r="T371" t="s">
        <v>526</v>
      </c>
      <c r="U371" t="s">
        <v>897</v>
      </c>
    </row>
    <row r="372" spans="1:21" x14ac:dyDescent="0.3">
      <c r="A372" t="s">
        <v>402</v>
      </c>
      <c r="B372" s="126">
        <v>2025</v>
      </c>
      <c r="C372" t="s">
        <v>514</v>
      </c>
      <c r="D372" t="s">
        <v>480</v>
      </c>
      <c r="F372" t="s">
        <v>515</v>
      </c>
      <c r="G372" s="137">
        <v>212</v>
      </c>
      <c r="H372" s="138">
        <v>215.4</v>
      </c>
      <c r="I372" s="138">
        <v>6.4</v>
      </c>
      <c r="J372" s="139">
        <v>-0.5</v>
      </c>
      <c r="K372" s="137">
        <v>172</v>
      </c>
      <c r="L372" s="137">
        <v>259</v>
      </c>
      <c r="M372" t="s">
        <v>499</v>
      </c>
      <c r="N372" t="s">
        <v>525</v>
      </c>
      <c r="O372" t="s">
        <v>504</v>
      </c>
      <c r="P372" s="137">
        <v>-1.578458681522751</v>
      </c>
      <c r="Q372" s="137">
        <v>1.578458681522751</v>
      </c>
      <c r="R372" s="126">
        <v>9</v>
      </c>
      <c r="S372" t="s">
        <v>523</v>
      </c>
      <c r="T372" t="s">
        <v>526</v>
      </c>
      <c r="U372" t="s">
        <v>898</v>
      </c>
    </row>
    <row r="373" spans="1:21" x14ac:dyDescent="0.3">
      <c r="A373" t="s">
        <v>402</v>
      </c>
      <c r="B373" s="126">
        <v>2025</v>
      </c>
      <c r="C373" t="s">
        <v>514</v>
      </c>
      <c r="D373" t="s">
        <v>480</v>
      </c>
      <c r="F373" t="s">
        <v>516</v>
      </c>
      <c r="G373" s="137">
        <v>67</v>
      </c>
      <c r="H373" s="138">
        <v>70.8</v>
      </c>
      <c r="I373" s="138">
        <v>2.7</v>
      </c>
      <c r="J373" s="139">
        <v>-1.4</v>
      </c>
      <c r="K373" s="137">
        <v>56</v>
      </c>
      <c r="L373" s="137">
        <v>85</v>
      </c>
      <c r="M373" t="s">
        <v>499</v>
      </c>
      <c r="N373" t="s">
        <v>525</v>
      </c>
      <c r="O373" t="s">
        <v>504</v>
      </c>
      <c r="P373" s="137">
        <v>-5.3672316384180752</v>
      </c>
      <c r="Q373" s="137">
        <v>5.3672316384180752</v>
      </c>
      <c r="R373" s="126">
        <v>9</v>
      </c>
      <c r="S373" t="s">
        <v>523</v>
      </c>
      <c r="T373" t="s">
        <v>526</v>
      </c>
      <c r="U373" t="s">
        <v>899</v>
      </c>
    </row>
    <row r="374" spans="1:21" x14ac:dyDescent="0.3">
      <c r="A374" t="s">
        <v>402</v>
      </c>
      <c r="B374" s="126">
        <v>2025</v>
      </c>
      <c r="C374" t="s">
        <v>514</v>
      </c>
      <c r="D374" t="s">
        <v>480</v>
      </c>
      <c r="F374" t="s">
        <v>517</v>
      </c>
      <c r="G374" s="137">
        <v>46</v>
      </c>
      <c r="H374" s="138">
        <v>48.6</v>
      </c>
      <c r="I374" s="138">
        <v>1.9</v>
      </c>
      <c r="J374" s="139">
        <v>-1.4</v>
      </c>
      <c r="K374" s="137">
        <v>38</v>
      </c>
      <c r="L374" s="137">
        <v>59</v>
      </c>
      <c r="M374" t="s">
        <v>499</v>
      </c>
      <c r="N374" t="s">
        <v>525</v>
      </c>
      <c r="O374" t="s">
        <v>504</v>
      </c>
      <c r="P374" s="137">
        <v>-5.3497942386831303</v>
      </c>
      <c r="Q374" s="137">
        <v>5.3497942386831303</v>
      </c>
      <c r="R374" s="126">
        <v>9</v>
      </c>
      <c r="S374" t="s">
        <v>523</v>
      </c>
      <c r="T374" t="s">
        <v>526</v>
      </c>
      <c r="U374" t="s">
        <v>900</v>
      </c>
    </row>
    <row r="375" spans="1:21" x14ac:dyDescent="0.3">
      <c r="A375" t="s">
        <v>402</v>
      </c>
      <c r="B375" s="126">
        <v>2025</v>
      </c>
      <c r="C375" t="s">
        <v>514</v>
      </c>
      <c r="D375" t="s">
        <v>480</v>
      </c>
      <c r="F375" t="s">
        <v>518</v>
      </c>
      <c r="G375" s="137">
        <v>73</v>
      </c>
      <c r="H375" s="138">
        <v>77.8</v>
      </c>
      <c r="I375" s="138">
        <v>2.7</v>
      </c>
      <c r="J375" s="139">
        <v>-1.8</v>
      </c>
      <c r="K375" s="137">
        <v>62</v>
      </c>
      <c r="L375" s="137">
        <v>94</v>
      </c>
      <c r="M375" t="s">
        <v>499</v>
      </c>
      <c r="N375" t="s">
        <v>525</v>
      </c>
      <c r="O375" t="s">
        <v>504</v>
      </c>
      <c r="P375" s="137">
        <v>-6.1696658097686337</v>
      </c>
      <c r="Q375" s="137">
        <v>6.1696658097686337</v>
      </c>
      <c r="R375" s="126">
        <v>9</v>
      </c>
      <c r="S375" t="s">
        <v>523</v>
      </c>
      <c r="T375" t="s">
        <v>526</v>
      </c>
      <c r="U375" t="s">
        <v>901</v>
      </c>
    </row>
    <row r="376" spans="1:21" x14ac:dyDescent="0.3">
      <c r="A376" t="s">
        <v>402</v>
      </c>
      <c r="B376" s="126">
        <v>2025</v>
      </c>
      <c r="C376" t="s">
        <v>514</v>
      </c>
      <c r="D376" t="s">
        <v>480</v>
      </c>
      <c r="F376" t="s">
        <v>519</v>
      </c>
      <c r="G376" s="137">
        <v>162</v>
      </c>
      <c r="H376" s="138">
        <v>168.1</v>
      </c>
      <c r="I376" s="138">
        <v>4.4000000000000004</v>
      </c>
      <c r="J376" s="139">
        <v>-1.4</v>
      </c>
      <c r="K376" s="137">
        <v>134</v>
      </c>
      <c r="L376" s="137">
        <v>202</v>
      </c>
      <c r="M376" t="s">
        <v>499</v>
      </c>
      <c r="N376" t="s">
        <v>525</v>
      </c>
      <c r="O376" t="s">
        <v>504</v>
      </c>
      <c r="P376" s="137">
        <v>-3.6287923854848274</v>
      </c>
      <c r="Q376" s="137">
        <v>3.6287923854848274</v>
      </c>
      <c r="R376" s="126">
        <v>9</v>
      </c>
      <c r="S376" t="s">
        <v>523</v>
      </c>
      <c r="T376" t="s">
        <v>526</v>
      </c>
      <c r="U376" t="s">
        <v>902</v>
      </c>
    </row>
    <row r="377" spans="1:21" x14ac:dyDescent="0.3">
      <c r="A377" t="s">
        <v>402</v>
      </c>
      <c r="B377" s="126">
        <v>2025</v>
      </c>
      <c r="C377" t="s">
        <v>514</v>
      </c>
      <c r="D377" t="s">
        <v>481</v>
      </c>
      <c r="E377" t="s">
        <v>126</v>
      </c>
      <c r="F377" t="s">
        <v>515</v>
      </c>
      <c r="G377" s="137">
        <v>178</v>
      </c>
      <c r="H377" s="138">
        <v>172</v>
      </c>
      <c r="I377" s="138">
        <v>4.2</v>
      </c>
      <c r="J377" s="139">
        <v>1.4</v>
      </c>
      <c r="K377" s="137">
        <v>146</v>
      </c>
      <c r="L377" s="137">
        <v>198</v>
      </c>
      <c r="M377" t="s">
        <v>499</v>
      </c>
      <c r="N377" t="s">
        <v>525</v>
      </c>
      <c r="O377" t="s">
        <v>123</v>
      </c>
      <c r="P377" s="137">
        <v>3.4883720930232558</v>
      </c>
      <c r="Q377" s="137">
        <v>3.4883720930232558</v>
      </c>
      <c r="R377" s="126">
        <v>8</v>
      </c>
      <c r="S377" t="s">
        <v>523</v>
      </c>
      <c r="T377" t="s">
        <v>526</v>
      </c>
      <c r="U377" t="s">
        <v>903</v>
      </c>
    </row>
    <row r="378" spans="1:21" x14ac:dyDescent="0.3">
      <c r="A378" t="s">
        <v>402</v>
      </c>
      <c r="B378" s="126">
        <v>2025</v>
      </c>
      <c r="C378" t="s">
        <v>514</v>
      </c>
      <c r="D378" t="s">
        <v>481</v>
      </c>
      <c r="E378" t="s">
        <v>126</v>
      </c>
      <c r="F378" t="s">
        <v>516</v>
      </c>
      <c r="G378" s="137">
        <v>76</v>
      </c>
      <c r="H378" s="138">
        <v>75</v>
      </c>
      <c r="I378" s="138">
        <v>2.4</v>
      </c>
      <c r="J378" s="139">
        <v>0.4</v>
      </c>
      <c r="K378" s="137">
        <v>63</v>
      </c>
      <c r="L378" s="137">
        <v>87</v>
      </c>
      <c r="M378" t="s">
        <v>499</v>
      </c>
      <c r="N378" t="s">
        <v>525</v>
      </c>
      <c r="O378" t="s">
        <v>123</v>
      </c>
      <c r="P378" s="137">
        <v>1.3333333333333335</v>
      </c>
      <c r="Q378" s="137">
        <v>1.3333333333333335</v>
      </c>
      <c r="R378" s="126">
        <v>8</v>
      </c>
      <c r="S378" t="s">
        <v>523</v>
      </c>
      <c r="T378" t="s">
        <v>526</v>
      </c>
      <c r="U378" t="s">
        <v>904</v>
      </c>
    </row>
    <row r="379" spans="1:21" x14ac:dyDescent="0.3">
      <c r="A379" t="s">
        <v>402</v>
      </c>
      <c r="B379" s="126">
        <v>2025</v>
      </c>
      <c r="C379" t="s">
        <v>514</v>
      </c>
      <c r="D379" t="s">
        <v>481</v>
      </c>
      <c r="E379" t="s">
        <v>126</v>
      </c>
      <c r="F379" t="s">
        <v>517</v>
      </c>
      <c r="G379" s="137">
        <v>320</v>
      </c>
      <c r="H379" s="138">
        <v>310.60000000000002</v>
      </c>
      <c r="I379" s="138">
        <v>6.8</v>
      </c>
      <c r="J379" s="139">
        <v>1.4</v>
      </c>
      <c r="K379" s="137">
        <v>263</v>
      </c>
      <c r="L379" s="137">
        <v>358</v>
      </c>
      <c r="M379" t="s">
        <v>499</v>
      </c>
      <c r="N379" t="s">
        <v>525</v>
      </c>
      <c r="O379" t="s">
        <v>123</v>
      </c>
      <c r="P379" s="137">
        <v>3.026400515131995</v>
      </c>
      <c r="Q379" s="137">
        <v>3.026400515131995</v>
      </c>
      <c r="R379" s="126">
        <v>8</v>
      </c>
      <c r="S379" t="s">
        <v>523</v>
      </c>
      <c r="T379" t="s">
        <v>526</v>
      </c>
      <c r="U379" t="s">
        <v>905</v>
      </c>
    </row>
    <row r="380" spans="1:21" x14ac:dyDescent="0.3">
      <c r="A380" t="s">
        <v>402</v>
      </c>
      <c r="B380" s="126">
        <v>2025</v>
      </c>
      <c r="C380" t="s">
        <v>514</v>
      </c>
      <c r="D380" t="s">
        <v>481</v>
      </c>
      <c r="E380" t="s">
        <v>126</v>
      </c>
      <c r="F380" t="s">
        <v>518</v>
      </c>
      <c r="G380" s="137">
        <v>147</v>
      </c>
      <c r="H380" s="138">
        <v>141.69999999999999</v>
      </c>
      <c r="I380" s="138">
        <v>3.7</v>
      </c>
      <c r="J380" s="139">
        <v>1.4</v>
      </c>
      <c r="K380" s="137">
        <v>120</v>
      </c>
      <c r="L380" s="137">
        <v>163</v>
      </c>
      <c r="M380" t="s">
        <v>499</v>
      </c>
      <c r="N380" t="s">
        <v>525</v>
      </c>
      <c r="O380" t="s">
        <v>123</v>
      </c>
      <c r="P380" s="137">
        <v>3.740296400846868</v>
      </c>
      <c r="Q380" s="137">
        <v>3.740296400846868</v>
      </c>
      <c r="R380" s="126">
        <v>8</v>
      </c>
      <c r="S380" t="s">
        <v>523</v>
      </c>
      <c r="T380" t="s">
        <v>526</v>
      </c>
      <c r="U380" t="s">
        <v>906</v>
      </c>
    </row>
    <row r="381" spans="1:21" x14ac:dyDescent="0.3">
      <c r="A381" t="s">
        <v>402</v>
      </c>
      <c r="B381" s="126">
        <v>2025</v>
      </c>
      <c r="C381" t="s">
        <v>514</v>
      </c>
      <c r="D381" t="s">
        <v>481</v>
      </c>
      <c r="E381" t="s">
        <v>126</v>
      </c>
      <c r="F381" t="s">
        <v>519</v>
      </c>
      <c r="G381" s="137">
        <v>148</v>
      </c>
      <c r="H381" s="138">
        <v>141.69999999999999</v>
      </c>
      <c r="I381" s="138">
        <v>3.6</v>
      </c>
      <c r="J381" s="139">
        <v>1.7</v>
      </c>
      <c r="K381" s="137">
        <v>120</v>
      </c>
      <c r="L381" s="137">
        <v>163</v>
      </c>
      <c r="M381" t="s">
        <v>499</v>
      </c>
      <c r="N381" t="s">
        <v>525</v>
      </c>
      <c r="O381" t="s">
        <v>123</v>
      </c>
      <c r="P381" s="137">
        <v>4.4460127028934453</v>
      </c>
      <c r="Q381" s="137">
        <v>4.4460127028934453</v>
      </c>
      <c r="R381" s="126">
        <v>8</v>
      </c>
      <c r="S381" t="s">
        <v>523</v>
      </c>
      <c r="T381" t="s">
        <v>526</v>
      </c>
      <c r="U381" t="s">
        <v>907</v>
      </c>
    </row>
    <row r="382" spans="1:21" x14ac:dyDescent="0.3">
      <c r="A382" t="s">
        <v>402</v>
      </c>
      <c r="B382" s="126">
        <v>2025</v>
      </c>
      <c r="C382" t="s">
        <v>514</v>
      </c>
      <c r="D382" t="s">
        <v>482</v>
      </c>
      <c r="E382" t="s">
        <v>111</v>
      </c>
      <c r="F382" t="s">
        <v>515</v>
      </c>
      <c r="G382" s="137">
        <v>57</v>
      </c>
      <c r="H382" s="138">
        <v>63.85</v>
      </c>
      <c r="I382" s="138">
        <v>3.61</v>
      </c>
      <c r="J382" s="139">
        <v>-1.9</v>
      </c>
      <c r="K382" s="137">
        <v>57.8</v>
      </c>
      <c r="L382" s="137">
        <v>69.900000000000006</v>
      </c>
      <c r="M382" t="s">
        <v>506</v>
      </c>
      <c r="N382" t="s">
        <v>668</v>
      </c>
      <c r="O382" t="s">
        <v>112</v>
      </c>
      <c r="P382" s="137">
        <v>-10.728269381362571</v>
      </c>
      <c r="Q382" s="137">
        <v>10.728269381362571</v>
      </c>
      <c r="R382" s="126">
        <v>4</v>
      </c>
      <c r="S382" t="s">
        <v>523</v>
      </c>
      <c r="T382" t="s">
        <v>526</v>
      </c>
      <c r="U382" t="s">
        <v>908</v>
      </c>
    </row>
    <row r="383" spans="1:21" x14ac:dyDescent="0.3">
      <c r="A383" t="s">
        <v>402</v>
      </c>
      <c r="B383" s="126">
        <v>2025</v>
      </c>
      <c r="C383" t="s">
        <v>514</v>
      </c>
      <c r="D383" t="s">
        <v>482</v>
      </c>
      <c r="E383" t="s">
        <v>111</v>
      </c>
      <c r="F383" t="s">
        <v>516</v>
      </c>
      <c r="G383" s="137">
        <v>80</v>
      </c>
      <c r="H383" s="138">
        <v>83.15</v>
      </c>
      <c r="I383" s="138">
        <v>2.13</v>
      </c>
      <c r="J383" s="139">
        <v>-1.5</v>
      </c>
      <c r="K383" s="137">
        <v>76.5</v>
      </c>
      <c r="L383" s="137">
        <v>89.9</v>
      </c>
      <c r="M383" t="s">
        <v>499</v>
      </c>
      <c r="N383" t="s">
        <v>525</v>
      </c>
      <c r="O383" t="s">
        <v>112</v>
      </c>
      <c r="P383" s="137">
        <v>-3.7883343355381904</v>
      </c>
      <c r="Q383" s="137">
        <v>3.7883343355381904</v>
      </c>
      <c r="R383" s="126">
        <v>4</v>
      </c>
      <c r="S383" t="s">
        <v>523</v>
      </c>
      <c r="T383" t="s">
        <v>526</v>
      </c>
      <c r="U383" t="s">
        <v>909</v>
      </c>
    </row>
    <row r="384" spans="1:21" x14ac:dyDescent="0.3">
      <c r="A384" t="s">
        <v>402</v>
      </c>
      <c r="B384" s="126">
        <v>2025</v>
      </c>
      <c r="C384" t="s">
        <v>514</v>
      </c>
      <c r="D384" t="s">
        <v>482</v>
      </c>
      <c r="E384" t="s">
        <v>111</v>
      </c>
      <c r="F384" t="s">
        <v>517</v>
      </c>
      <c r="G384" s="137">
        <v>286</v>
      </c>
      <c r="H384" s="138">
        <v>288.04000000000002</v>
      </c>
      <c r="I384" s="138">
        <v>5.13</v>
      </c>
      <c r="J384" s="139">
        <v>-0.4</v>
      </c>
      <c r="K384" s="137">
        <v>264.89999999999998</v>
      </c>
      <c r="L384" s="137">
        <v>311.10000000000002</v>
      </c>
      <c r="M384" t="s">
        <v>499</v>
      </c>
      <c r="N384" t="s">
        <v>525</v>
      </c>
      <c r="O384" t="s">
        <v>112</v>
      </c>
      <c r="P384" s="137">
        <v>-0.70823496736565072</v>
      </c>
      <c r="Q384" s="137">
        <v>0.70823496736565072</v>
      </c>
      <c r="R384" s="126">
        <v>4</v>
      </c>
      <c r="S384" t="s">
        <v>523</v>
      </c>
      <c r="T384" t="s">
        <v>526</v>
      </c>
      <c r="U384" t="s">
        <v>910</v>
      </c>
    </row>
    <row r="385" spans="1:21" x14ac:dyDescent="0.3">
      <c r="A385" t="s">
        <v>402</v>
      </c>
      <c r="B385" s="126">
        <v>2025</v>
      </c>
      <c r="C385" t="s">
        <v>514</v>
      </c>
      <c r="D385" t="s">
        <v>482</v>
      </c>
      <c r="E385" t="s">
        <v>111</v>
      </c>
      <c r="F385" t="s">
        <v>518</v>
      </c>
      <c r="G385" s="137">
        <v>129</v>
      </c>
      <c r="H385" s="138">
        <v>133.54</v>
      </c>
      <c r="I385" s="138">
        <v>3.3</v>
      </c>
      <c r="J385" s="139">
        <v>-1.4</v>
      </c>
      <c r="K385" s="137">
        <v>122.8</v>
      </c>
      <c r="L385" s="137">
        <v>144.30000000000001</v>
      </c>
      <c r="M385" t="s">
        <v>499</v>
      </c>
      <c r="N385" t="s">
        <v>525</v>
      </c>
      <c r="O385" t="s">
        <v>112</v>
      </c>
      <c r="P385" s="137">
        <v>-3.3997304178523229</v>
      </c>
      <c r="Q385" s="137">
        <v>3.3997304178523229</v>
      </c>
      <c r="R385" s="126">
        <v>4</v>
      </c>
      <c r="S385" t="s">
        <v>523</v>
      </c>
      <c r="T385" t="s">
        <v>526</v>
      </c>
      <c r="U385" t="s">
        <v>911</v>
      </c>
    </row>
    <row r="386" spans="1:21" x14ac:dyDescent="0.3">
      <c r="A386" t="s">
        <v>402</v>
      </c>
      <c r="B386" s="126">
        <v>2025</v>
      </c>
      <c r="C386" t="s">
        <v>514</v>
      </c>
      <c r="D386" t="s">
        <v>482</v>
      </c>
      <c r="E386" t="s">
        <v>111</v>
      </c>
      <c r="F386" t="s">
        <v>519</v>
      </c>
      <c r="G386" s="137">
        <v>67</v>
      </c>
      <c r="H386" s="138">
        <v>72.62</v>
      </c>
      <c r="I386" s="138">
        <v>2.73</v>
      </c>
      <c r="J386" s="139">
        <v>-2.1</v>
      </c>
      <c r="K386" s="137">
        <v>66.599999999999994</v>
      </c>
      <c r="L386" s="137">
        <v>78.7</v>
      </c>
      <c r="M386" t="s">
        <v>499</v>
      </c>
      <c r="N386" t="s">
        <v>525</v>
      </c>
      <c r="O386" t="s">
        <v>112</v>
      </c>
      <c r="P386" s="137">
        <v>-7.7389148994767343</v>
      </c>
      <c r="Q386" s="137">
        <v>7.7389148994767343</v>
      </c>
      <c r="R386" s="126">
        <v>4</v>
      </c>
      <c r="S386" t="s">
        <v>523</v>
      </c>
      <c r="T386" t="s">
        <v>526</v>
      </c>
      <c r="U386" t="s">
        <v>912</v>
      </c>
    </row>
    <row r="387" spans="1:21" x14ac:dyDescent="0.3">
      <c r="A387" t="s">
        <v>402</v>
      </c>
      <c r="B387" s="126">
        <v>2025</v>
      </c>
      <c r="C387" t="s">
        <v>514</v>
      </c>
      <c r="D387" t="s">
        <v>483</v>
      </c>
      <c r="E387" t="s">
        <v>120</v>
      </c>
      <c r="F387" t="s">
        <v>515</v>
      </c>
      <c r="G387" s="137">
        <v>51</v>
      </c>
      <c r="H387" s="138">
        <v>58.683999999999997</v>
      </c>
      <c r="I387" s="138">
        <v>4.4969999999999999</v>
      </c>
      <c r="J387" s="139">
        <v>-1.7</v>
      </c>
      <c r="K387" s="137">
        <v>46.94</v>
      </c>
      <c r="L387" s="137">
        <v>70.430000000000007</v>
      </c>
      <c r="M387" t="s">
        <v>499</v>
      </c>
      <c r="N387" t="s">
        <v>525</v>
      </c>
      <c r="O387" t="s">
        <v>112</v>
      </c>
      <c r="P387" s="137">
        <v>-13.093858632676705</v>
      </c>
      <c r="Q387" s="137">
        <v>13.093858632676705</v>
      </c>
      <c r="R387" s="126">
        <v>4</v>
      </c>
      <c r="S387" t="s">
        <v>523</v>
      </c>
      <c r="T387" t="s">
        <v>526</v>
      </c>
      <c r="U387" t="s">
        <v>913</v>
      </c>
    </row>
    <row r="388" spans="1:21" x14ac:dyDescent="0.3">
      <c r="A388" t="s">
        <v>402</v>
      </c>
      <c r="B388" s="126">
        <v>2025</v>
      </c>
      <c r="C388" t="s">
        <v>514</v>
      </c>
      <c r="D388" t="s">
        <v>483</v>
      </c>
      <c r="E388" t="s">
        <v>120</v>
      </c>
      <c r="F388" t="s">
        <v>516</v>
      </c>
      <c r="G388" s="137">
        <v>36</v>
      </c>
      <c r="H388" s="138">
        <v>37.343000000000004</v>
      </c>
      <c r="I388" s="138">
        <v>2.4769999999999999</v>
      </c>
      <c r="J388" s="139">
        <v>-0.5</v>
      </c>
      <c r="K388" s="137">
        <v>29.87</v>
      </c>
      <c r="L388" s="137">
        <v>44.82</v>
      </c>
      <c r="M388" t="s">
        <v>499</v>
      </c>
      <c r="N388" t="s">
        <v>525</v>
      </c>
      <c r="O388" t="s">
        <v>112</v>
      </c>
      <c r="P388" s="137">
        <v>-3.5963902203893729</v>
      </c>
      <c r="Q388" s="137">
        <v>3.5963902203893729</v>
      </c>
      <c r="R388" s="126">
        <v>4</v>
      </c>
      <c r="S388" t="s">
        <v>523</v>
      </c>
      <c r="T388" t="s">
        <v>526</v>
      </c>
      <c r="U388" t="s">
        <v>914</v>
      </c>
    </row>
    <row r="389" spans="1:21" x14ac:dyDescent="0.3">
      <c r="A389" t="s">
        <v>402</v>
      </c>
      <c r="B389" s="126">
        <v>2025</v>
      </c>
      <c r="C389" t="s">
        <v>514</v>
      </c>
      <c r="D389" t="s">
        <v>483</v>
      </c>
      <c r="E389" t="s">
        <v>120</v>
      </c>
      <c r="F389" t="s">
        <v>517</v>
      </c>
      <c r="G389" s="137">
        <v>62</v>
      </c>
      <c r="H389" s="138">
        <v>61.040999999999997</v>
      </c>
      <c r="I389" s="138">
        <v>3.282</v>
      </c>
      <c r="J389" s="139">
        <v>0.3</v>
      </c>
      <c r="K389" s="137">
        <v>48.83</v>
      </c>
      <c r="L389" s="137">
        <v>73.25</v>
      </c>
      <c r="M389" t="s">
        <v>499</v>
      </c>
      <c r="N389" t="s">
        <v>525</v>
      </c>
      <c r="O389" t="s">
        <v>112</v>
      </c>
      <c r="P389" s="137">
        <v>1.571075178978069</v>
      </c>
      <c r="Q389" s="137">
        <v>1.571075178978069</v>
      </c>
      <c r="R389" s="126">
        <v>4</v>
      </c>
      <c r="S389" t="s">
        <v>523</v>
      </c>
      <c r="T389" t="s">
        <v>526</v>
      </c>
      <c r="U389" t="s">
        <v>915</v>
      </c>
    </row>
    <row r="390" spans="1:21" x14ac:dyDescent="0.3">
      <c r="A390" t="s">
        <v>402</v>
      </c>
      <c r="B390" s="126">
        <v>2025</v>
      </c>
      <c r="C390" t="s">
        <v>514</v>
      </c>
      <c r="D390" t="s">
        <v>483</v>
      </c>
      <c r="E390" t="s">
        <v>120</v>
      </c>
      <c r="F390" t="s">
        <v>518</v>
      </c>
      <c r="G390" s="137">
        <v>42</v>
      </c>
      <c r="H390" s="138">
        <v>44.99</v>
      </c>
      <c r="I390" s="138">
        <v>2.7130000000000001</v>
      </c>
      <c r="J390" s="139">
        <v>-1.1000000000000001</v>
      </c>
      <c r="K390" s="137">
        <v>35.99</v>
      </c>
      <c r="L390" s="137">
        <v>53.99</v>
      </c>
      <c r="M390" t="s">
        <v>499</v>
      </c>
      <c r="N390" t="s">
        <v>525</v>
      </c>
      <c r="O390" t="s">
        <v>112</v>
      </c>
      <c r="P390" s="137">
        <v>-6.6459213158479704</v>
      </c>
      <c r="Q390" s="137">
        <v>6.6459213158479704</v>
      </c>
      <c r="R390" s="126">
        <v>4</v>
      </c>
      <c r="S390" t="s">
        <v>523</v>
      </c>
      <c r="T390" t="s">
        <v>526</v>
      </c>
      <c r="U390" t="s">
        <v>916</v>
      </c>
    </row>
    <row r="391" spans="1:21" x14ac:dyDescent="0.3">
      <c r="A391" t="s">
        <v>402</v>
      </c>
      <c r="B391" s="126">
        <v>2025</v>
      </c>
      <c r="C391" t="s">
        <v>514</v>
      </c>
      <c r="D391" t="s">
        <v>483</v>
      </c>
      <c r="E391" t="s">
        <v>120</v>
      </c>
      <c r="F391" t="s">
        <v>519</v>
      </c>
      <c r="G391" s="137">
        <v>49</v>
      </c>
      <c r="H391" s="138">
        <v>53.002000000000002</v>
      </c>
      <c r="I391" s="138">
        <v>3.5630000000000002</v>
      </c>
      <c r="J391" s="139">
        <v>-1.1000000000000001</v>
      </c>
      <c r="K391" s="137">
        <v>42.4</v>
      </c>
      <c r="L391" s="137">
        <v>63.61</v>
      </c>
      <c r="M391" t="s">
        <v>499</v>
      </c>
      <c r="N391" t="s">
        <v>525</v>
      </c>
      <c r="O391" t="s">
        <v>112</v>
      </c>
      <c r="P391" s="137">
        <v>-7.5506584657182794</v>
      </c>
      <c r="Q391" s="137">
        <v>7.5506584657182794</v>
      </c>
      <c r="R391" s="126">
        <v>4</v>
      </c>
      <c r="S391" t="s">
        <v>523</v>
      </c>
      <c r="T391" t="s">
        <v>526</v>
      </c>
      <c r="U391" t="s">
        <v>917</v>
      </c>
    </row>
    <row r="392" spans="1:21" x14ac:dyDescent="0.3">
      <c r="A392" t="s">
        <v>402</v>
      </c>
      <c r="B392" s="126">
        <v>2025</v>
      </c>
      <c r="C392" t="s">
        <v>514</v>
      </c>
      <c r="D392" t="s">
        <v>484</v>
      </c>
      <c r="E392" t="s">
        <v>344</v>
      </c>
      <c r="F392" t="s">
        <v>515</v>
      </c>
      <c r="G392" s="137">
        <v>229</v>
      </c>
      <c r="H392" s="138">
        <v>228.8</v>
      </c>
      <c r="I392" s="138">
        <v>2.8</v>
      </c>
      <c r="J392" s="139">
        <v>0.1</v>
      </c>
      <c r="K392" s="137">
        <v>194</v>
      </c>
      <c r="L392" s="137">
        <v>264</v>
      </c>
      <c r="M392" t="s">
        <v>499</v>
      </c>
      <c r="N392" t="s">
        <v>525</v>
      </c>
      <c r="O392" t="s">
        <v>505</v>
      </c>
      <c r="P392" s="137">
        <v>8.741258741258244E-2</v>
      </c>
      <c r="Q392" s="137">
        <v>8.741258741258244E-2</v>
      </c>
      <c r="R392" s="126">
        <v>8</v>
      </c>
      <c r="S392" t="s">
        <v>523</v>
      </c>
      <c r="T392" t="s">
        <v>526</v>
      </c>
      <c r="U392" t="s">
        <v>918</v>
      </c>
    </row>
    <row r="393" spans="1:21" x14ac:dyDescent="0.3">
      <c r="A393" t="s">
        <v>402</v>
      </c>
      <c r="B393" s="126">
        <v>2025</v>
      </c>
      <c r="C393" t="s">
        <v>514</v>
      </c>
      <c r="D393" t="s">
        <v>484</v>
      </c>
      <c r="E393" t="s">
        <v>344</v>
      </c>
      <c r="F393" t="s">
        <v>516</v>
      </c>
      <c r="G393" s="137">
        <v>76</v>
      </c>
      <c r="H393" s="138">
        <v>77.2</v>
      </c>
      <c r="I393" s="138">
        <v>1.4</v>
      </c>
      <c r="J393" s="139">
        <v>-0.8</v>
      </c>
      <c r="K393" s="137">
        <v>65</v>
      </c>
      <c r="L393" s="137">
        <v>89</v>
      </c>
      <c r="M393" t="s">
        <v>499</v>
      </c>
      <c r="N393" t="s">
        <v>525</v>
      </c>
      <c r="O393" t="s">
        <v>505</v>
      </c>
      <c r="P393" s="137">
        <v>-1.5544041450777237</v>
      </c>
      <c r="Q393" s="137">
        <v>1.5544041450777237</v>
      </c>
      <c r="R393" s="126">
        <v>8</v>
      </c>
      <c r="S393" t="s">
        <v>523</v>
      </c>
      <c r="T393" t="s">
        <v>526</v>
      </c>
      <c r="U393" t="s">
        <v>919</v>
      </c>
    </row>
    <row r="394" spans="1:21" x14ac:dyDescent="0.3">
      <c r="A394" t="s">
        <v>402</v>
      </c>
      <c r="B394" s="126">
        <v>2025</v>
      </c>
      <c r="C394" t="s">
        <v>514</v>
      </c>
      <c r="D394" t="s">
        <v>484</v>
      </c>
      <c r="E394" t="s">
        <v>344</v>
      </c>
      <c r="F394" t="s">
        <v>517</v>
      </c>
      <c r="G394" s="137">
        <v>135</v>
      </c>
      <c r="H394" s="138">
        <v>131.6</v>
      </c>
      <c r="I394" s="138">
        <v>1.8</v>
      </c>
      <c r="J394" s="139">
        <v>1.9</v>
      </c>
      <c r="K394" s="137">
        <v>111</v>
      </c>
      <c r="L394" s="137">
        <v>152</v>
      </c>
      <c r="M394" t="s">
        <v>499</v>
      </c>
      <c r="N394" t="s">
        <v>525</v>
      </c>
      <c r="O394" t="s">
        <v>505</v>
      </c>
      <c r="P394" s="137">
        <v>2.5835866261398222</v>
      </c>
      <c r="Q394" s="137">
        <v>2.5835866261398222</v>
      </c>
      <c r="R394" s="126">
        <v>8</v>
      </c>
      <c r="S394" t="s">
        <v>523</v>
      </c>
      <c r="T394" t="s">
        <v>526</v>
      </c>
      <c r="U394" t="s">
        <v>920</v>
      </c>
    </row>
    <row r="395" spans="1:21" x14ac:dyDescent="0.3">
      <c r="A395" t="s">
        <v>402</v>
      </c>
      <c r="B395" s="126">
        <v>2025</v>
      </c>
      <c r="C395" t="s">
        <v>514</v>
      </c>
      <c r="D395" t="s">
        <v>484</v>
      </c>
      <c r="E395" t="s">
        <v>344</v>
      </c>
      <c r="F395" t="s">
        <v>518</v>
      </c>
      <c r="G395" s="137">
        <v>103</v>
      </c>
      <c r="H395" s="138">
        <v>102.9</v>
      </c>
      <c r="I395" s="138">
        <v>1.9</v>
      </c>
      <c r="J395" s="139">
        <v>0.1</v>
      </c>
      <c r="K395" s="137">
        <v>87</v>
      </c>
      <c r="L395" s="137">
        <v>119</v>
      </c>
      <c r="M395" t="s">
        <v>499</v>
      </c>
      <c r="N395" t="s">
        <v>525</v>
      </c>
      <c r="O395" t="s">
        <v>505</v>
      </c>
      <c r="P395" s="137">
        <v>9.7181729834785527E-2</v>
      </c>
      <c r="Q395" s="137">
        <v>9.7181729834785527E-2</v>
      </c>
      <c r="R395" s="126">
        <v>8</v>
      </c>
      <c r="S395" t="s">
        <v>523</v>
      </c>
      <c r="T395" t="s">
        <v>526</v>
      </c>
      <c r="U395" t="s">
        <v>921</v>
      </c>
    </row>
    <row r="396" spans="1:21" x14ac:dyDescent="0.3">
      <c r="A396" t="s">
        <v>402</v>
      </c>
      <c r="B396" s="126">
        <v>2025</v>
      </c>
      <c r="C396" t="s">
        <v>514</v>
      </c>
      <c r="D396" t="s">
        <v>484</v>
      </c>
      <c r="E396" t="s">
        <v>344</v>
      </c>
      <c r="F396" t="s">
        <v>519</v>
      </c>
      <c r="G396" s="137">
        <v>180</v>
      </c>
      <c r="H396" s="138">
        <v>178.9</v>
      </c>
      <c r="I396" s="138">
        <v>2.2000000000000002</v>
      </c>
      <c r="J396" s="139">
        <v>0.5</v>
      </c>
      <c r="K396" s="137">
        <v>152</v>
      </c>
      <c r="L396" s="137">
        <v>206</v>
      </c>
      <c r="M396" t="s">
        <v>499</v>
      </c>
      <c r="N396" t="s">
        <v>525</v>
      </c>
      <c r="O396" t="s">
        <v>505</v>
      </c>
      <c r="P396" s="137">
        <v>0.61486864169927014</v>
      </c>
      <c r="Q396" s="137">
        <v>0.61486864169927014</v>
      </c>
      <c r="R396" s="126">
        <v>8</v>
      </c>
      <c r="S396" t="s">
        <v>523</v>
      </c>
      <c r="T396" t="s">
        <v>526</v>
      </c>
      <c r="U396" t="s">
        <v>922</v>
      </c>
    </row>
    <row r="397" spans="1:21" x14ac:dyDescent="0.3">
      <c r="A397" t="s">
        <v>402</v>
      </c>
      <c r="B397" s="126">
        <v>2025</v>
      </c>
      <c r="C397" t="s">
        <v>514</v>
      </c>
      <c r="D397" t="s">
        <v>485</v>
      </c>
      <c r="E397" t="s">
        <v>339</v>
      </c>
      <c r="F397" t="s">
        <v>515</v>
      </c>
      <c r="G397" s="137">
        <v>12.5</v>
      </c>
      <c r="H397" s="138">
        <v>12.39</v>
      </c>
      <c r="I397" s="138">
        <v>0.38</v>
      </c>
      <c r="J397" s="139">
        <v>0.3</v>
      </c>
      <c r="K397" s="137">
        <v>11.2</v>
      </c>
      <c r="L397" s="137">
        <v>13.6</v>
      </c>
      <c r="M397" t="s">
        <v>499</v>
      </c>
      <c r="N397" t="s">
        <v>525</v>
      </c>
      <c r="O397" t="s">
        <v>134</v>
      </c>
      <c r="P397" s="137">
        <v>0.88781275221952727</v>
      </c>
      <c r="Q397" s="137">
        <v>0.88781275221952727</v>
      </c>
      <c r="R397" s="126">
        <v>9</v>
      </c>
      <c r="S397" t="s">
        <v>523</v>
      </c>
      <c r="T397" t="s">
        <v>526</v>
      </c>
      <c r="U397" t="s">
        <v>923</v>
      </c>
    </row>
    <row r="398" spans="1:21" x14ac:dyDescent="0.3">
      <c r="A398" t="s">
        <v>402</v>
      </c>
      <c r="B398" s="126">
        <v>2025</v>
      </c>
      <c r="C398" t="s">
        <v>514</v>
      </c>
      <c r="D398" t="s">
        <v>485</v>
      </c>
      <c r="E398" t="s">
        <v>339</v>
      </c>
      <c r="F398" t="s">
        <v>516</v>
      </c>
      <c r="G398" s="137">
        <v>4.3</v>
      </c>
      <c r="H398" s="138">
        <v>4.3499999999999996</v>
      </c>
      <c r="I398" s="138">
        <v>0.19</v>
      </c>
      <c r="J398" s="139">
        <v>-0.3</v>
      </c>
      <c r="K398" s="137">
        <v>3.7</v>
      </c>
      <c r="L398" s="137">
        <v>5</v>
      </c>
      <c r="M398" t="s">
        <v>499</v>
      </c>
      <c r="N398" t="s">
        <v>525</v>
      </c>
      <c r="O398" t="s">
        <v>134</v>
      </c>
      <c r="P398" s="137">
        <v>-1.1494252873563178</v>
      </c>
      <c r="Q398" s="137">
        <v>1.1494252873563178</v>
      </c>
      <c r="R398" s="126">
        <v>9</v>
      </c>
      <c r="S398" t="s">
        <v>523</v>
      </c>
      <c r="T398" t="s">
        <v>526</v>
      </c>
      <c r="U398" t="s">
        <v>924</v>
      </c>
    </row>
    <row r="399" spans="1:21" x14ac:dyDescent="0.3">
      <c r="A399" t="s">
        <v>402</v>
      </c>
      <c r="B399" s="126">
        <v>2025</v>
      </c>
      <c r="C399" t="s">
        <v>514</v>
      </c>
      <c r="D399" t="s">
        <v>485</v>
      </c>
      <c r="E399" t="s">
        <v>339</v>
      </c>
      <c r="F399" t="s">
        <v>517</v>
      </c>
      <c r="G399" s="137">
        <v>4</v>
      </c>
      <c r="H399" s="138">
        <v>3.99</v>
      </c>
      <c r="I399" s="138">
        <v>0.17</v>
      </c>
      <c r="J399" s="139">
        <v>0.1</v>
      </c>
      <c r="K399" s="137">
        <v>3.4</v>
      </c>
      <c r="L399" s="137">
        <v>4.5</v>
      </c>
      <c r="M399" t="s">
        <v>499</v>
      </c>
      <c r="N399" t="s">
        <v>525</v>
      </c>
      <c r="O399" t="s">
        <v>134</v>
      </c>
      <c r="P399" s="137">
        <v>0.25062656641603476</v>
      </c>
      <c r="Q399" s="137">
        <v>0.25062656641603476</v>
      </c>
      <c r="R399" s="126">
        <v>9</v>
      </c>
      <c r="S399" t="s">
        <v>523</v>
      </c>
      <c r="T399" t="s">
        <v>526</v>
      </c>
      <c r="U399" t="s">
        <v>925</v>
      </c>
    </row>
    <row r="400" spans="1:21" x14ac:dyDescent="0.3">
      <c r="A400" t="s">
        <v>402</v>
      </c>
      <c r="B400" s="126">
        <v>2025</v>
      </c>
      <c r="C400" t="s">
        <v>514</v>
      </c>
      <c r="D400" t="s">
        <v>485</v>
      </c>
      <c r="E400" t="s">
        <v>339</v>
      </c>
      <c r="F400" t="s">
        <v>518</v>
      </c>
      <c r="G400" s="137">
        <v>5</v>
      </c>
      <c r="H400" s="138">
        <v>4.92</v>
      </c>
      <c r="I400" s="138">
        <v>0.19</v>
      </c>
      <c r="J400" s="139">
        <v>0.4</v>
      </c>
      <c r="K400" s="137">
        <v>4.3</v>
      </c>
      <c r="L400" s="137">
        <v>5.5</v>
      </c>
      <c r="M400" t="s">
        <v>499</v>
      </c>
      <c r="N400" t="s">
        <v>525</v>
      </c>
      <c r="O400" t="s">
        <v>134</v>
      </c>
      <c r="P400" s="137">
        <v>1.6260162601626031</v>
      </c>
      <c r="Q400" s="137">
        <v>1.6260162601626031</v>
      </c>
      <c r="R400" s="126">
        <v>9</v>
      </c>
      <c r="S400" t="s">
        <v>523</v>
      </c>
      <c r="T400" t="s">
        <v>526</v>
      </c>
      <c r="U400" t="s">
        <v>926</v>
      </c>
    </row>
    <row r="401" spans="1:21" x14ac:dyDescent="0.3">
      <c r="A401" t="s">
        <v>402</v>
      </c>
      <c r="B401" s="126">
        <v>2025</v>
      </c>
      <c r="C401" t="s">
        <v>514</v>
      </c>
      <c r="D401" t="s">
        <v>485</v>
      </c>
      <c r="E401" t="s">
        <v>339</v>
      </c>
      <c r="F401" t="s">
        <v>519</v>
      </c>
      <c r="G401" s="137">
        <v>9.6</v>
      </c>
      <c r="H401" s="138">
        <v>9.68</v>
      </c>
      <c r="I401" s="138">
        <v>0.32</v>
      </c>
      <c r="J401" s="139">
        <v>-0.3</v>
      </c>
      <c r="K401" s="137">
        <v>8.6999999999999993</v>
      </c>
      <c r="L401" s="137">
        <v>10.7</v>
      </c>
      <c r="M401" t="s">
        <v>499</v>
      </c>
      <c r="N401" t="s">
        <v>525</v>
      </c>
      <c r="O401" t="s">
        <v>134</v>
      </c>
      <c r="P401" s="137">
        <v>-0.82644628099173623</v>
      </c>
      <c r="Q401" s="137">
        <v>0.82644628099173623</v>
      </c>
      <c r="R401" s="126">
        <v>9</v>
      </c>
      <c r="S401" t="s">
        <v>523</v>
      </c>
      <c r="T401" t="s">
        <v>526</v>
      </c>
      <c r="U401" t="s">
        <v>927</v>
      </c>
    </row>
    <row r="402" spans="1:21" x14ac:dyDescent="0.3">
      <c r="A402" t="s">
        <v>402</v>
      </c>
      <c r="B402" s="126">
        <v>2025</v>
      </c>
      <c r="C402" t="s">
        <v>514</v>
      </c>
      <c r="D402" t="s">
        <v>486</v>
      </c>
      <c r="E402" t="s">
        <v>349</v>
      </c>
      <c r="F402" t="s">
        <v>515</v>
      </c>
      <c r="G402" s="137">
        <v>286</v>
      </c>
      <c r="H402" s="138">
        <v>291</v>
      </c>
      <c r="I402" s="138">
        <v>9.4</v>
      </c>
      <c r="J402" s="139">
        <v>-0.5</v>
      </c>
      <c r="K402" s="137">
        <v>247</v>
      </c>
      <c r="L402" s="137">
        <v>335</v>
      </c>
      <c r="M402" t="s">
        <v>499</v>
      </c>
      <c r="N402" t="s">
        <v>525</v>
      </c>
      <c r="O402" t="s">
        <v>123</v>
      </c>
      <c r="P402" s="137">
        <v>-1.7182130584192441</v>
      </c>
      <c r="Q402" s="137">
        <v>1.7182130584192441</v>
      </c>
      <c r="R402" s="126">
        <v>8</v>
      </c>
      <c r="S402" t="s">
        <v>523</v>
      </c>
      <c r="T402" t="s">
        <v>526</v>
      </c>
      <c r="U402" t="s">
        <v>928</v>
      </c>
    </row>
    <row r="403" spans="1:21" x14ac:dyDescent="0.3">
      <c r="A403" t="s">
        <v>402</v>
      </c>
      <c r="B403" s="126">
        <v>2025</v>
      </c>
      <c r="C403" t="s">
        <v>514</v>
      </c>
      <c r="D403" t="s">
        <v>486</v>
      </c>
      <c r="E403" t="s">
        <v>349</v>
      </c>
      <c r="F403" t="s">
        <v>516</v>
      </c>
      <c r="G403" s="137">
        <v>168</v>
      </c>
      <c r="H403" s="138">
        <v>172.8</v>
      </c>
      <c r="I403" s="138">
        <v>6.9</v>
      </c>
      <c r="J403" s="139">
        <v>-0.7</v>
      </c>
      <c r="K403" s="137">
        <v>146</v>
      </c>
      <c r="L403" s="137">
        <v>199</v>
      </c>
      <c r="M403" t="s">
        <v>499</v>
      </c>
      <c r="N403" t="s">
        <v>525</v>
      </c>
      <c r="O403" t="s">
        <v>123</v>
      </c>
      <c r="P403" s="137">
        <v>-2.7777777777777843</v>
      </c>
      <c r="Q403" s="137">
        <v>2.7777777777777843</v>
      </c>
      <c r="R403" s="126">
        <v>8</v>
      </c>
      <c r="S403" t="s">
        <v>523</v>
      </c>
      <c r="T403" t="s">
        <v>526</v>
      </c>
      <c r="U403" t="s">
        <v>929</v>
      </c>
    </row>
    <row r="404" spans="1:21" x14ac:dyDescent="0.3">
      <c r="A404" t="s">
        <v>402</v>
      </c>
      <c r="B404" s="126">
        <v>2025</v>
      </c>
      <c r="C404" t="s">
        <v>514</v>
      </c>
      <c r="D404" t="s">
        <v>486</v>
      </c>
      <c r="E404" t="s">
        <v>349</v>
      </c>
      <c r="F404" t="s">
        <v>517</v>
      </c>
      <c r="G404" s="137">
        <v>475</v>
      </c>
      <c r="H404" s="138">
        <v>478.4</v>
      </c>
      <c r="I404" s="138">
        <v>13.7</v>
      </c>
      <c r="J404" s="139">
        <v>-0.3</v>
      </c>
      <c r="K404" s="137">
        <v>406</v>
      </c>
      <c r="L404" s="137">
        <v>551</v>
      </c>
      <c r="M404" t="s">
        <v>499</v>
      </c>
      <c r="N404" t="s">
        <v>525</v>
      </c>
      <c r="O404" t="s">
        <v>123</v>
      </c>
      <c r="P404" s="137">
        <v>-0.71070234113711905</v>
      </c>
      <c r="Q404" s="137">
        <v>0.71070234113711905</v>
      </c>
      <c r="R404" s="126">
        <v>8</v>
      </c>
      <c r="S404" t="s">
        <v>523</v>
      </c>
      <c r="T404" t="s">
        <v>526</v>
      </c>
      <c r="U404" t="s">
        <v>930</v>
      </c>
    </row>
    <row r="405" spans="1:21" x14ac:dyDescent="0.3">
      <c r="A405" t="s">
        <v>402</v>
      </c>
      <c r="B405" s="126">
        <v>2025</v>
      </c>
      <c r="C405" t="s">
        <v>514</v>
      </c>
      <c r="D405" t="s">
        <v>486</v>
      </c>
      <c r="E405" t="s">
        <v>349</v>
      </c>
      <c r="F405" t="s">
        <v>518</v>
      </c>
      <c r="G405" s="137">
        <v>252</v>
      </c>
      <c r="H405" s="138">
        <v>258.3</v>
      </c>
      <c r="I405" s="138">
        <v>9.3000000000000007</v>
      </c>
      <c r="J405" s="139">
        <v>-0.7</v>
      </c>
      <c r="K405" s="137">
        <v>219</v>
      </c>
      <c r="L405" s="137">
        <v>297</v>
      </c>
      <c r="M405" t="s">
        <v>499</v>
      </c>
      <c r="N405" t="s">
        <v>525</v>
      </c>
      <c r="O405" t="s">
        <v>123</v>
      </c>
      <c r="P405" s="137">
        <v>-2.4390243902439068</v>
      </c>
      <c r="Q405" s="137">
        <v>2.4390243902439068</v>
      </c>
      <c r="R405" s="126">
        <v>8</v>
      </c>
      <c r="S405" t="s">
        <v>523</v>
      </c>
      <c r="T405" t="s">
        <v>526</v>
      </c>
      <c r="U405" t="s">
        <v>931</v>
      </c>
    </row>
    <row r="406" spans="1:21" x14ac:dyDescent="0.3">
      <c r="A406" t="s">
        <v>402</v>
      </c>
      <c r="B406" s="126">
        <v>2025</v>
      </c>
      <c r="C406" t="s">
        <v>514</v>
      </c>
      <c r="D406" t="s">
        <v>486</v>
      </c>
      <c r="E406" t="s">
        <v>349</v>
      </c>
      <c r="F406" t="s">
        <v>519</v>
      </c>
      <c r="G406" s="137">
        <v>250</v>
      </c>
      <c r="H406" s="138">
        <v>253.3</v>
      </c>
      <c r="I406" s="138">
        <v>8.5</v>
      </c>
      <c r="J406" s="139">
        <v>-0.4</v>
      </c>
      <c r="K406" s="137">
        <v>215</v>
      </c>
      <c r="L406" s="137">
        <v>292</v>
      </c>
      <c r="M406" t="s">
        <v>499</v>
      </c>
      <c r="N406" t="s">
        <v>525</v>
      </c>
      <c r="O406" t="s">
        <v>123</v>
      </c>
      <c r="P406" s="137">
        <v>-1.3028030003947932</v>
      </c>
      <c r="Q406" s="137">
        <v>1.3028030003947932</v>
      </c>
      <c r="R406" s="126">
        <v>8</v>
      </c>
      <c r="S406" t="s">
        <v>523</v>
      </c>
      <c r="T406" t="s">
        <v>526</v>
      </c>
      <c r="U406" t="s">
        <v>932</v>
      </c>
    </row>
    <row r="407" spans="1:21" x14ac:dyDescent="0.3">
      <c r="A407" t="s">
        <v>402</v>
      </c>
      <c r="B407" s="126">
        <v>2025</v>
      </c>
      <c r="C407" t="s">
        <v>514</v>
      </c>
      <c r="D407" t="s">
        <v>350</v>
      </c>
      <c r="E407" t="s">
        <v>350</v>
      </c>
      <c r="F407" t="s">
        <v>515</v>
      </c>
      <c r="G407" s="137">
        <v>229</v>
      </c>
      <c r="H407" s="138">
        <v>261.2</v>
      </c>
      <c r="I407" s="138">
        <v>14.7</v>
      </c>
      <c r="J407" s="139">
        <v>-2.2000000000000002</v>
      </c>
      <c r="K407" s="137">
        <v>182</v>
      </c>
      <c r="L407" s="137">
        <v>340</v>
      </c>
      <c r="M407" t="s">
        <v>499</v>
      </c>
      <c r="N407" t="s">
        <v>525</v>
      </c>
      <c r="O407" t="s">
        <v>123</v>
      </c>
      <c r="P407" s="137">
        <v>-12.327718223583457</v>
      </c>
      <c r="Q407" s="137">
        <v>12.327718223583457</v>
      </c>
      <c r="R407" s="126">
        <v>10</v>
      </c>
      <c r="S407" t="s">
        <v>523</v>
      </c>
      <c r="T407" t="s">
        <v>526</v>
      </c>
      <c r="U407" t="s">
        <v>933</v>
      </c>
    </row>
    <row r="408" spans="1:21" x14ac:dyDescent="0.3">
      <c r="A408" t="s">
        <v>402</v>
      </c>
      <c r="B408" s="126">
        <v>2025</v>
      </c>
      <c r="C408" t="s">
        <v>514</v>
      </c>
      <c r="D408" t="s">
        <v>350</v>
      </c>
      <c r="E408" t="s">
        <v>350</v>
      </c>
      <c r="F408" t="s">
        <v>516</v>
      </c>
      <c r="G408" s="137">
        <v>70</v>
      </c>
      <c r="H408" s="138">
        <v>77.400000000000006</v>
      </c>
      <c r="I408" s="138">
        <v>3.1</v>
      </c>
      <c r="J408" s="139">
        <v>-2.4</v>
      </c>
      <c r="K408" s="137">
        <v>54</v>
      </c>
      <c r="L408" s="137">
        <v>101</v>
      </c>
      <c r="M408" t="s">
        <v>499</v>
      </c>
      <c r="N408" t="s">
        <v>525</v>
      </c>
      <c r="O408" t="s">
        <v>123</v>
      </c>
      <c r="P408" s="137">
        <v>-9.560723514211892</v>
      </c>
      <c r="Q408" s="137">
        <v>9.560723514211892</v>
      </c>
      <c r="R408" s="126">
        <v>10</v>
      </c>
      <c r="S408" t="s">
        <v>523</v>
      </c>
      <c r="T408" t="s">
        <v>526</v>
      </c>
      <c r="U408" t="s">
        <v>934</v>
      </c>
    </row>
    <row r="409" spans="1:21" x14ac:dyDescent="0.3">
      <c r="A409" t="s">
        <v>402</v>
      </c>
      <c r="B409" s="126">
        <v>2025</v>
      </c>
      <c r="C409" t="s">
        <v>514</v>
      </c>
      <c r="D409" t="s">
        <v>350</v>
      </c>
      <c r="E409" t="s">
        <v>350</v>
      </c>
      <c r="F409" t="s">
        <v>517</v>
      </c>
      <c r="G409" s="137">
        <v>38</v>
      </c>
      <c r="H409" s="138">
        <v>40</v>
      </c>
      <c r="I409" s="138">
        <v>1.4</v>
      </c>
      <c r="J409" s="139">
        <v>-1.4</v>
      </c>
      <c r="K409" s="137">
        <v>27</v>
      </c>
      <c r="L409" s="137">
        <v>52</v>
      </c>
      <c r="M409" t="s">
        <v>499</v>
      </c>
      <c r="N409" t="s">
        <v>525</v>
      </c>
      <c r="O409" t="s">
        <v>123</v>
      </c>
      <c r="P409" s="137">
        <v>-5</v>
      </c>
      <c r="Q409" s="137">
        <v>5</v>
      </c>
      <c r="R409" s="126">
        <v>10</v>
      </c>
      <c r="S409" t="s">
        <v>523</v>
      </c>
      <c r="T409" t="s">
        <v>526</v>
      </c>
      <c r="U409" t="s">
        <v>935</v>
      </c>
    </row>
    <row r="410" spans="1:21" x14ac:dyDescent="0.3">
      <c r="A410" t="s">
        <v>402</v>
      </c>
      <c r="B410" s="126">
        <v>2025</v>
      </c>
      <c r="C410" t="s">
        <v>514</v>
      </c>
      <c r="D410" t="s">
        <v>350</v>
      </c>
      <c r="E410" t="s">
        <v>350</v>
      </c>
      <c r="F410" t="s">
        <v>518</v>
      </c>
      <c r="G410" s="137">
        <v>79</v>
      </c>
      <c r="H410" s="138">
        <v>83.6</v>
      </c>
      <c r="I410" s="138">
        <v>3.2</v>
      </c>
      <c r="J410" s="139">
        <v>-1.4</v>
      </c>
      <c r="K410" s="137">
        <v>58</v>
      </c>
      <c r="L410" s="137">
        <v>109</v>
      </c>
      <c r="M410" t="s">
        <v>499</v>
      </c>
      <c r="N410" t="s">
        <v>525</v>
      </c>
      <c r="O410" t="s">
        <v>123</v>
      </c>
      <c r="P410" s="137">
        <v>-5.5023923444976006</v>
      </c>
      <c r="Q410" s="137">
        <v>5.5023923444976006</v>
      </c>
      <c r="R410" s="126">
        <v>10</v>
      </c>
      <c r="S410" t="s">
        <v>523</v>
      </c>
      <c r="T410" t="s">
        <v>526</v>
      </c>
      <c r="U410" t="s">
        <v>936</v>
      </c>
    </row>
    <row r="411" spans="1:21" x14ac:dyDescent="0.3">
      <c r="A411" t="s">
        <v>402</v>
      </c>
      <c r="B411" s="126">
        <v>2025</v>
      </c>
      <c r="C411" t="s">
        <v>514</v>
      </c>
      <c r="D411" t="s">
        <v>350</v>
      </c>
      <c r="E411" t="s">
        <v>350</v>
      </c>
      <c r="F411" t="s">
        <v>519</v>
      </c>
      <c r="G411" s="137">
        <v>185</v>
      </c>
      <c r="H411" s="138">
        <v>198</v>
      </c>
      <c r="I411" s="138">
        <v>7.6</v>
      </c>
      <c r="J411" s="139">
        <v>-1.7</v>
      </c>
      <c r="K411" s="137">
        <v>138</v>
      </c>
      <c r="L411" s="137">
        <v>258</v>
      </c>
      <c r="M411" t="s">
        <v>499</v>
      </c>
      <c r="N411" t="s">
        <v>525</v>
      </c>
      <c r="O411" t="s">
        <v>123</v>
      </c>
      <c r="P411" s="137">
        <v>-6.5656565656565666</v>
      </c>
      <c r="Q411" s="137">
        <v>6.5656565656565666</v>
      </c>
      <c r="R411" s="126">
        <v>10</v>
      </c>
      <c r="S411" t="s">
        <v>523</v>
      </c>
      <c r="T411" t="s">
        <v>526</v>
      </c>
      <c r="U411" t="s">
        <v>937</v>
      </c>
    </row>
    <row r="412" spans="1:21" x14ac:dyDescent="0.3">
      <c r="A412" t="s">
        <v>402</v>
      </c>
      <c r="B412" s="126">
        <v>2025</v>
      </c>
      <c r="C412" t="s">
        <v>514</v>
      </c>
      <c r="D412" t="s">
        <v>487</v>
      </c>
      <c r="E412" t="s">
        <v>347</v>
      </c>
      <c r="F412" t="s">
        <v>515</v>
      </c>
      <c r="G412" s="137">
        <v>3.08</v>
      </c>
      <c r="H412" s="138">
        <v>3.22</v>
      </c>
      <c r="I412" s="138">
        <v>9.6000000000000002E-2</v>
      </c>
      <c r="J412" s="139">
        <v>-1.4</v>
      </c>
      <c r="K412" s="137">
        <v>2.73</v>
      </c>
      <c r="L412" s="137">
        <v>3.71</v>
      </c>
      <c r="M412" t="s">
        <v>499</v>
      </c>
      <c r="N412" t="s">
        <v>525</v>
      </c>
      <c r="O412" t="s">
        <v>112</v>
      </c>
      <c r="P412" s="137">
        <v>-4.3478260869565251</v>
      </c>
      <c r="Q412" s="137">
        <v>4.3478260869565251</v>
      </c>
      <c r="R412" s="126">
        <v>8</v>
      </c>
      <c r="S412" t="s">
        <v>523</v>
      </c>
      <c r="T412" t="s">
        <v>526</v>
      </c>
      <c r="U412" t="s">
        <v>938</v>
      </c>
    </row>
    <row r="413" spans="1:21" x14ac:dyDescent="0.3">
      <c r="A413" t="s">
        <v>402</v>
      </c>
      <c r="B413" s="126">
        <v>2025</v>
      </c>
      <c r="C413" t="s">
        <v>514</v>
      </c>
      <c r="D413" t="s">
        <v>487</v>
      </c>
      <c r="E413" t="s">
        <v>347</v>
      </c>
      <c r="F413" t="s">
        <v>516</v>
      </c>
      <c r="G413" s="137">
        <v>4.93</v>
      </c>
      <c r="H413" s="138">
        <v>4.9740000000000002</v>
      </c>
      <c r="I413" s="138">
        <v>0.125</v>
      </c>
      <c r="J413" s="139">
        <v>-0.4</v>
      </c>
      <c r="K413" s="137">
        <v>4.22</v>
      </c>
      <c r="L413" s="137">
        <v>5.73</v>
      </c>
      <c r="M413" t="s">
        <v>499</v>
      </c>
      <c r="N413" t="s">
        <v>525</v>
      </c>
      <c r="O413" t="s">
        <v>112</v>
      </c>
      <c r="P413" s="137">
        <v>-0.88459991958183515</v>
      </c>
      <c r="Q413" s="137">
        <v>0.88459991958183515</v>
      </c>
      <c r="R413" s="126">
        <v>8</v>
      </c>
      <c r="S413" t="s">
        <v>523</v>
      </c>
      <c r="T413" t="s">
        <v>526</v>
      </c>
      <c r="U413" t="s">
        <v>939</v>
      </c>
    </row>
    <row r="414" spans="1:21" x14ac:dyDescent="0.3">
      <c r="A414" t="s">
        <v>402</v>
      </c>
      <c r="B414" s="126">
        <v>2025</v>
      </c>
      <c r="C414" t="s">
        <v>514</v>
      </c>
      <c r="D414" t="s">
        <v>487</v>
      </c>
      <c r="E414" t="s">
        <v>347</v>
      </c>
      <c r="F414" t="s">
        <v>517</v>
      </c>
      <c r="G414" s="137">
        <v>1.25</v>
      </c>
      <c r="H414" s="138">
        <v>1.331</v>
      </c>
      <c r="I414" s="138">
        <v>6.8000000000000005E-2</v>
      </c>
      <c r="J414" s="139">
        <v>-1.2</v>
      </c>
      <c r="K414" s="137">
        <v>1.1299999999999999</v>
      </c>
      <c r="L414" s="137">
        <v>1.54</v>
      </c>
      <c r="M414" t="s">
        <v>499</v>
      </c>
      <c r="N414" t="s">
        <v>525</v>
      </c>
      <c r="O414" t="s">
        <v>112</v>
      </c>
      <c r="P414" s="137">
        <v>-6.0856498873027771</v>
      </c>
      <c r="Q414" s="137">
        <v>6.0856498873027771</v>
      </c>
      <c r="R414" s="126">
        <v>8</v>
      </c>
      <c r="S414" t="s">
        <v>523</v>
      </c>
      <c r="T414" t="s">
        <v>526</v>
      </c>
      <c r="U414" t="s">
        <v>940</v>
      </c>
    </row>
    <row r="415" spans="1:21" x14ac:dyDescent="0.3">
      <c r="A415" t="s">
        <v>402</v>
      </c>
      <c r="B415" s="126">
        <v>2025</v>
      </c>
      <c r="C415" t="s">
        <v>514</v>
      </c>
      <c r="D415" t="s">
        <v>487</v>
      </c>
      <c r="E415" t="s">
        <v>347</v>
      </c>
      <c r="F415" t="s">
        <v>518</v>
      </c>
      <c r="G415" s="137">
        <v>3.84</v>
      </c>
      <c r="H415" s="138">
        <v>3.93</v>
      </c>
      <c r="I415" s="138">
        <v>0.10199999999999999</v>
      </c>
      <c r="J415" s="139">
        <v>-0.9</v>
      </c>
      <c r="K415" s="137">
        <v>3.34</v>
      </c>
      <c r="L415" s="137">
        <v>4.5199999999999996</v>
      </c>
      <c r="M415" t="s">
        <v>499</v>
      </c>
      <c r="N415" t="s">
        <v>525</v>
      </c>
      <c r="O415" t="s">
        <v>112</v>
      </c>
      <c r="P415" s="137">
        <v>-2.2900763358778704</v>
      </c>
      <c r="Q415" s="137">
        <v>2.2900763358778704</v>
      </c>
      <c r="R415" s="126">
        <v>8</v>
      </c>
      <c r="S415" t="s">
        <v>523</v>
      </c>
      <c r="T415" t="s">
        <v>526</v>
      </c>
      <c r="U415" t="s">
        <v>941</v>
      </c>
    </row>
    <row r="416" spans="1:21" x14ac:dyDescent="0.3">
      <c r="A416" t="s">
        <v>402</v>
      </c>
      <c r="B416" s="126">
        <v>2025</v>
      </c>
      <c r="C416" t="s">
        <v>514</v>
      </c>
      <c r="D416" t="s">
        <v>487</v>
      </c>
      <c r="E416" t="s">
        <v>347</v>
      </c>
      <c r="F416" t="s">
        <v>519</v>
      </c>
      <c r="G416" s="137">
        <v>3.88</v>
      </c>
      <c r="H416" s="138">
        <v>3.7879999999999998</v>
      </c>
      <c r="I416" s="138">
        <v>0.1</v>
      </c>
      <c r="J416" s="139">
        <v>0.9</v>
      </c>
      <c r="K416" s="137">
        <v>3.21</v>
      </c>
      <c r="L416" s="137">
        <v>4.3600000000000003</v>
      </c>
      <c r="M416" t="s">
        <v>499</v>
      </c>
      <c r="N416" t="s">
        <v>525</v>
      </c>
      <c r="O416" t="s">
        <v>112</v>
      </c>
      <c r="P416" s="137">
        <v>2.4287222808870137</v>
      </c>
      <c r="Q416" s="137">
        <v>2.4287222808870137</v>
      </c>
      <c r="R416" s="126">
        <v>8</v>
      </c>
      <c r="S416" t="s">
        <v>523</v>
      </c>
      <c r="T416" t="s">
        <v>526</v>
      </c>
      <c r="U416" t="s">
        <v>942</v>
      </c>
    </row>
    <row r="417" spans="1:21" x14ac:dyDescent="0.3">
      <c r="A417" t="s">
        <v>402</v>
      </c>
      <c r="B417" s="126">
        <v>2025</v>
      </c>
      <c r="C417" t="s">
        <v>514</v>
      </c>
      <c r="D417" t="s">
        <v>488</v>
      </c>
      <c r="E417" t="s">
        <v>132</v>
      </c>
      <c r="F417" t="s">
        <v>515</v>
      </c>
      <c r="G417" s="137">
        <v>4.3600000000000003</v>
      </c>
      <c r="H417" s="138">
        <v>4.3730000000000002</v>
      </c>
      <c r="I417" s="138">
        <v>0.11600000000000001</v>
      </c>
      <c r="J417" s="139">
        <v>-0.1</v>
      </c>
      <c r="K417" s="137">
        <v>3.93</v>
      </c>
      <c r="L417" s="137">
        <v>4.8099999999999996</v>
      </c>
      <c r="M417" t="s">
        <v>499</v>
      </c>
      <c r="N417" t="s">
        <v>525</v>
      </c>
      <c r="O417" t="s">
        <v>112</v>
      </c>
      <c r="P417" s="137">
        <v>-0.29727875600274184</v>
      </c>
      <c r="Q417" s="137">
        <v>0.29727875600274184</v>
      </c>
      <c r="R417" s="126">
        <v>9</v>
      </c>
      <c r="S417" t="s">
        <v>523</v>
      </c>
      <c r="T417" t="s">
        <v>526</v>
      </c>
      <c r="U417" t="s">
        <v>943</v>
      </c>
    </row>
    <row r="418" spans="1:21" x14ac:dyDescent="0.3">
      <c r="A418" t="s">
        <v>402</v>
      </c>
      <c r="B418" s="126">
        <v>2025</v>
      </c>
      <c r="C418" t="s">
        <v>514</v>
      </c>
      <c r="D418" t="s">
        <v>488</v>
      </c>
      <c r="E418" t="s">
        <v>132</v>
      </c>
      <c r="F418" t="s">
        <v>516</v>
      </c>
      <c r="G418" s="137">
        <v>6.44</v>
      </c>
      <c r="H418" s="138">
        <v>6.5090000000000003</v>
      </c>
      <c r="I418" s="138">
        <v>0.14000000000000001</v>
      </c>
      <c r="J418" s="139">
        <v>-0.5</v>
      </c>
      <c r="K418" s="137">
        <v>5.85</v>
      </c>
      <c r="L418" s="137">
        <v>7.16</v>
      </c>
      <c r="M418" t="s">
        <v>499</v>
      </c>
      <c r="N418" t="s">
        <v>525</v>
      </c>
      <c r="O418" t="s">
        <v>112</v>
      </c>
      <c r="P418" s="137">
        <v>-1.060070671378091</v>
      </c>
      <c r="Q418" s="137">
        <v>1.060070671378091</v>
      </c>
      <c r="R418" s="126">
        <v>9</v>
      </c>
      <c r="S418" t="s">
        <v>523</v>
      </c>
      <c r="T418" t="s">
        <v>526</v>
      </c>
      <c r="U418" t="s">
        <v>944</v>
      </c>
    </row>
    <row r="419" spans="1:21" x14ac:dyDescent="0.3">
      <c r="A419" t="s">
        <v>402</v>
      </c>
      <c r="B419" s="126">
        <v>2025</v>
      </c>
      <c r="C419" t="s">
        <v>514</v>
      </c>
      <c r="D419" t="s">
        <v>488</v>
      </c>
      <c r="E419" t="s">
        <v>132</v>
      </c>
      <c r="F419" t="s">
        <v>517</v>
      </c>
      <c r="G419" s="137">
        <v>2.15</v>
      </c>
      <c r="H419" s="138">
        <v>2.1760000000000002</v>
      </c>
      <c r="I419" s="138">
        <v>9.6000000000000002E-2</v>
      </c>
      <c r="J419" s="139">
        <v>-0.3</v>
      </c>
      <c r="K419" s="137">
        <v>1.87</v>
      </c>
      <c r="L419" s="137">
        <v>2.48</v>
      </c>
      <c r="M419" t="s">
        <v>499</v>
      </c>
      <c r="N419" t="s">
        <v>525</v>
      </c>
      <c r="O419" t="s">
        <v>112</v>
      </c>
      <c r="P419" s="137">
        <v>-1.1948529411764819</v>
      </c>
      <c r="Q419" s="137">
        <v>1.1948529411764819</v>
      </c>
      <c r="R419" s="126">
        <v>9</v>
      </c>
      <c r="S419" t="s">
        <v>523</v>
      </c>
      <c r="T419" t="s">
        <v>526</v>
      </c>
      <c r="U419" t="s">
        <v>945</v>
      </c>
    </row>
    <row r="420" spans="1:21" x14ac:dyDescent="0.3">
      <c r="A420" t="s">
        <v>402</v>
      </c>
      <c r="B420" s="126">
        <v>2025</v>
      </c>
      <c r="C420" t="s">
        <v>514</v>
      </c>
      <c r="D420" t="s">
        <v>488</v>
      </c>
      <c r="E420" t="s">
        <v>132</v>
      </c>
      <c r="F420" t="s">
        <v>518</v>
      </c>
      <c r="G420" s="137">
        <v>5.25</v>
      </c>
      <c r="H420" s="138">
        <v>5.2750000000000004</v>
      </c>
      <c r="I420" s="138">
        <v>9.4E-2</v>
      </c>
      <c r="J420" s="139">
        <v>-0.3</v>
      </c>
      <c r="K420" s="137">
        <v>4.74</v>
      </c>
      <c r="L420" s="137">
        <v>5.81</v>
      </c>
      <c r="M420" t="s">
        <v>499</v>
      </c>
      <c r="N420" t="s">
        <v>525</v>
      </c>
      <c r="O420" t="s">
        <v>112</v>
      </c>
      <c r="P420" s="137">
        <v>-0.47393364928910625</v>
      </c>
      <c r="Q420" s="137">
        <v>0.47393364928910625</v>
      </c>
      <c r="R420" s="126">
        <v>9</v>
      </c>
      <c r="S420" t="s">
        <v>523</v>
      </c>
      <c r="T420" t="s">
        <v>526</v>
      </c>
      <c r="U420" t="s">
        <v>946</v>
      </c>
    </row>
    <row r="421" spans="1:21" x14ac:dyDescent="0.3">
      <c r="A421" t="s">
        <v>402</v>
      </c>
      <c r="B421" s="126">
        <v>2025</v>
      </c>
      <c r="C421" t="s">
        <v>514</v>
      </c>
      <c r="D421" t="s">
        <v>488</v>
      </c>
      <c r="E421" t="s">
        <v>132</v>
      </c>
      <c r="F421" t="s">
        <v>519</v>
      </c>
      <c r="G421" s="137">
        <v>5.04</v>
      </c>
      <c r="H421" s="138">
        <v>5.0540000000000003</v>
      </c>
      <c r="I421" s="138">
        <v>0.127</v>
      </c>
      <c r="J421" s="139">
        <v>-0.1</v>
      </c>
      <c r="K421" s="137">
        <v>4.54</v>
      </c>
      <c r="L421" s="137">
        <v>5.56</v>
      </c>
      <c r="M421" t="s">
        <v>499</v>
      </c>
      <c r="N421" t="s">
        <v>525</v>
      </c>
      <c r="O421" t="s">
        <v>112</v>
      </c>
      <c r="P421" s="137">
        <v>-0.27700831024931211</v>
      </c>
      <c r="Q421" s="137">
        <v>0.27700831024931211</v>
      </c>
      <c r="R421" s="126">
        <v>9</v>
      </c>
      <c r="S421" t="s">
        <v>523</v>
      </c>
      <c r="T421" t="s">
        <v>526</v>
      </c>
      <c r="U421" t="s">
        <v>947</v>
      </c>
    </row>
    <row r="422" spans="1:21" x14ac:dyDescent="0.3">
      <c r="A422" t="s">
        <v>402</v>
      </c>
      <c r="B422" s="126">
        <v>2025</v>
      </c>
      <c r="C422" t="s">
        <v>514</v>
      </c>
      <c r="D422" t="s">
        <v>489</v>
      </c>
      <c r="E422" t="s">
        <v>135</v>
      </c>
      <c r="F422" t="s">
        <v>515</v>
      </c>
      <c r="G422" s="137">
        <v>4.9000000000000004</v>
      </c>
      <c r="H422" s="138">
        <v>5.13</v>
      </c>
      <c r="I422" s="138">
        <v>0.09</v>
      </c>
      <c r="J422" s="139">
        <v>-2.7</v>
      </c>
      <c r="K422" s="137">
        <v>4.8</v>
      </c>
      <c r="L422" s="137">
        <v>5.5</v>
      </c>
      <c r="M422" t="s">
        <v>499</v>
      </c>
      <c r="N422" t="s">
        <v>525</v>
      </c>
      <c r="O422" t="s">
        <v>134</v>
      </c>
      <c r="P422" s="137">
        <v>-4.4834307992202644</v>
      </c>
      <c r="Q422" s="137">
        <v>4.4834307992202644</v>
      </c>
      <c r="R422" s="126">
        <v>5</v>
      </c>
      <c r="S422" t="s">
        <v>523</v>
      </c>
      <c r="T422" t="s">
        <v>526</v>
      </c>
      <c r="U422" t="s">
        <v>948</v>
      </c>
    </row>
    <row r="423" spans="1:21" x14ac:dyDescent="0.3">
      <c r="A423" t="s">
        <v>402</v>
      </c>
      <c r="B423" s="126">
        <v>2025</v>
      </c>
      <c r="C423" t="s">
        <v>514</v>
      </c>
      <c r="D423" t="s">
        <v>489</v>
      </c>
      <c r="E423" t="s">
        <v>135</v>
      </c>
      <c r="F423" t="s">
        <v>516</v>
      </c>
      <c r="G423" s="137">
        <v>6.1</v>
      </c>
      <c r="H423" s="138">
        <v>5.91</v>
      </c>
      <c r="I423" s="138">
        <v>0.08</v>
      </c>
      <c r="J423" s="139">
        <v>2.4</v>
      </c>
      <c r="K423" s="137">
        <v>5.6</v>
      </c>
      <c r="L423" s="137">
        <v>6.3</v>
      </c>
      <c r="M423" t="s">
        <v>499</v>
      </c>
      <c r="N423" t="s">
        <v>525</v>
      </c>
      <c r="O423" t="s">
        <v>134</v>
      </c>
      <c r="P423" s="137">
        <v>3.2148900169204651</v>
      </c>
      <c r="Q423" s="137">
        <v>3.2148900169204651</v>
      </c>
      <c r="R423" s="126">
        <v>5</v>
      </c>
      <c r="S423" t="s">
        <v>523</v>
      </c>
      <c r="T423" t="s">
        <v>526</v>
      </c>
      <c r="U423" t="s">
        <v>949</v>
      </c>
    </row>
    <row r="424" spans="1:21" x14ac:dyDescent="0.3">
      <c r="A424" t="s">
        <v>402</v>
      </c>
      <c r="B424" s="126">
        <v>2025</v>
      </c>
      <c r="C424" t="s">
        <v>514</v>
      </c>
      <c r="D424" t="s">
        <v>489</v>
      </c>
      <c r="E424" t="s">
        <v>135</v>
      </c>
      <c r="F424" t="s">
        <v>517</v>
      </c>
      <c r="G424" s="137">
        <v>2.2000000000000002</v>
      </c>
      <c r="H424" s="138">
        <v>2.2999999999999998</v>
      </c>
      <c r="I424" s="138">
        <v>0.02</v>
      </c>
      <c r="J424" s="139">
        <v>-4.0999999999999996</v>
      </c>
      <c r="K424" s="137">
        <v>1.9</v>
      </c>
      <c r="L424" s="137">
        <v>2.6</v>
      </c>
      <c r="M424" t="s">
        <v>499</v>
      </c>
      <c r="N424" t="s">
        <v>525</v>
      </c>
      <c r="O424" t="s">
        <v>134</v>
      </c>
      <c r="P424" s="137">
        <v>-4.3478260869565064</v>
      </c>
      <c r="Q424" s="137">
        <v>4.3478260869565064</v>
      </c>
      <c r="R424" s="126">
        <v>5</v>
      </c>
      <c r="S424" t="s">
        <v>523</v>
      </c>
      <c r="T424" t="s">
        <v>526</v>
      </c>
      <c r="U424" t="s">
        <v>950</v>
      </c>
    </row>
    <row r="425" spans="1:21" x14ac:dyDescent="0.3">
      <c r="A425" t="s">
        <v>402</v>
      </c>
      <c r="B425" s="126">
        <v>2025</v>
      </c>
      <c r="C425" t="s">
        <v>514</v>
      </c>
      <c r="D425" t="s">
        <v>489</v>
      </c>
      <c r="E425" t="s">
        <v>135</v>
      </c>
      <c r="F425" t="s">
        <v>518</v>
      </c>
      <c r="G425" s="137">
        <v>5</v>
      </c>
      <c r="H425" s="138">
        <v>4.95</v>
      </c>
      <c r="I425" s="138">
        <v>7.0000000000000007E-2</v>
      </c>
      <c r="J425" s="139">
        <v>0.7</v>
      </c>
      <c r="K425" s="137">
        <v>4.5999999999999996</v>
      </c>
      <c r="L425" s="137">
        <v>5.3</v>
      </c>
      <c r="M425" t="s">
        <v>499</v>
      </c>
      <c r="N425" t="s">
        <v>525</v>
      </c>
      <c r="O425" t="s">
        <v>134</v>
      </c>
      <c r="P425" s="137">
        <v>1.0101010101010066</v>
      </c>
      <c r="Q425" s="137">
        <v>1.0101010101010066</v>
      </c>
      <c r="R425" s="126">
        <v>5</v>
      </c>
      <c r="S425" t="s">
        <v>523</v>
      </c>
      <c r="T425" t="s">
        <v>526</v>
      </c>
      <c r="U425" t="s">
        <v>951</v>
      </c>
    </row>
    <row r="426" spans="1:21" x14ac:dyDescent="0.3">
      <c r="A426" t="s">
        <v>402</v>
      </c>
      <c r="B426" s="126">
        <v>2025</v>
      </c>
      <c r="C426" t="s">
        <v>514</v>
      </c>
      <c r="D426" t="s">
        <v>489</v>
      </c>
      <c r="E426" t="s">
        <v>135</v>
      </c>
      <c r="F426" t="s">
        <v>519</v>
      </c>
      <c r="G426" s="137">
        <v>5.3</v>
      </c>
      <c r="H426" s="138">
        <v>5.38</v>
      </c>
      <c r="I426" s="138">
        <v>0.08</v>
      </c>
      <c r="J426" s="139">
        <v>-1</v>
      </c>
      <c r="K426" s="137">
        <v>5</v>
      </c>
      <c r="L426" s="137">
        <v>5.7</v>
      </c>
      <c r="M426" t="s">
        <v>499</v>
      </c>
      <c r="N426" t="s">
        <v>525</v>
      </c>
      <c r="O426" t="s">
        <v>134</v>
      </c>
      <c r="P426" s="137">
        <v>-1.4869888475836444</v>
      </c>
      <c r="Q426" s="137">
        <v>1.4869888475836444</v>
      </c>
      <c r="R426" s="126">
        <v>5</v>
      </c>
      <c r="S426" t="s">
        <v>523</v>
      </c>
      <c r="T426" t="s">
        <v>526</v>
      </c>
      <c r="U426" t="s">
        <v>952</v>
      </c>
    </row>
    <row r="427" spans="1:21" x14ac:dyDescent="0.3">
      <c r="A427" t="s">
        <v>402</v>
      </c>
      <c r="B427" s="126">
        <v>2025</v>
      </c>
      <c r="C427" t="s">
        <v>514</v>
      </c>
      <c r="D427" t="s">
        <v>490</v>
      </c>
      <c r="E427" t="s">
        <v>128</v>
      </c>
      <c r="F427" t="s">
        <v>515</v>
      </c>
      <c r="G427" s="137">
        <v>8.8000000000000007</v>
      </c>
      <c r="H427" s="138">
        <v>8.36</v>
      </c>
      <c r="I427" s="138">
        <v>0.14000000000000001</v>
      </c>
      <c r="J427" s="139">
        <v>3.1</v>
      </c>
      <c r="K427" s="137">
        <v>7.6</v>
      </c>
      <c r="L427" s="137">
        <v>9.1</v>
      </c>
      <c r="M427" t="s">
        <v>499</v>
      </c>
      <c r="N427" t="s">
        <v>525</v>
      </c>
      <c r="O427" t="s">
        <v>129</v>
      </c>
      <c r="P427" s="137">
        <v>5.2631578947368576</v>
      </c>
      <c r="Q427" s="137">
        <v>5.2631578947368576</v>
      </c>
      <c r="R427" s="126">
        <v>9</v>
      </c>
      <c r="S427" t="s">
        <v>523</v>
      </c>
      <c r="T427" t="s">
        <v>526</v>
      </c>
      <c r="U427" t="s">
        <v>953</v>
      </c>
    </row>
    <row r="428" spans="1:21" x14ac:dyDescent="0.3">
      <c r="A428" t="s">
        <v>402</v>
      </c>
      <c r="B428" s="126">
        <v>2025</v>
      </c>
      <c r="C428" t="s">
        <v>514</v>
      </c>
      <c r="D428" t="s">
        <v>490</v>
      </c>
      <c r="E428" t="s">
        <v>128</v>
      </c>
      <c r="F428" t="s">
        <v>516</v>
      </c>
      <c r="G428" s="137">
        <v>3.2</v>
      </c>
      <c r="H428" s="138">
        <v>3.26</v>
      </c>
      <c r="I428" s="138">
        <v>0.08</v>
      </c>
      <c r="J428" s="139">
        <v>-0.8</v>
      </c>
      <c r="K428" s="137">
        <v>3</v>
      </c>
      <c r="L428" s="137">
        <v>3.6</v>
      </c>
      <c r="M428" t="s">
        <v>499</v>
      </c>
      <c r="N428" t="s">
        <v>525</v>
      </c>
      <c r="O428" t="s">
        <v>129</v>
      </c>
      <c r="P428" s="137">
        <v>-1.8404907975460003</v>
      </c>
      <c r="Q428" s="137">
        <v>1.8404907975460003</v>
      </c>
      <c r="R428" s="126">
        <v>9</v>
      </c>
      <c r="S428" t="s">
        <v>523</v>
      </c>
      <c r="T428" t="s">
        <v>526</v>
      </c>
      <c r="U428" t="s">
        <v>954</v>
      </c>
    </row>
    <row r="429" spans="1:21" x14ac:dyDescent="0.3">
      <c r="A429" t="s">
        <v>402</v>
      </c>
      <c r="B429" s="126">
        <v>2025</v>
      </c>
      <c r="C429" t="s">
        <v>514</v>
      </c>
      <c r="D429" t="s">
        <v>490</v>
      </c>
      <c r="E429" t="s">
        <v>128</v>
      </c>
      <c r="F429" t="s">
        <v>517</v>
      </c>
      <c r="G429" s="137">
        <v>4.4000000000000004</v>
      </c>
      <c r="H429" s="138">
        <v>4.32</v>
      </c>
      <c r="I429" s="138">
        <v>0.08</v>
      </c>
      <c r="J429" s="139">
        <v>0.9</v>
      </c>
      <c r="K429" s="137">
        <v>3.9</v>
      </c>
      <c r="L429" s="137">
        <v>4.7</v>
      </c>
      <c r="M429" t="s">
        <v>499</v>
      </c>
      <c r="N429" t="s">
        <v>525</v>
      </c>
      <c r="O429" t="s">
        <v>129</v>
      </c>
      <c r="P429" s="137">
        <v>1.8518518518518534</v>
      </c>
      <c r="Q429" s="137">
        <v>1.8518518518518534</v>
      </c>
      <c r="R429" s="126">
        <v>9</v>
      </c>
      <c r="S429" t="s">
        <v>523</v>
      </c>
      <c r="T429" t="s">
        <v>526</v>
      </c>
      <c r="U429" t="s">
        <v>955</v>
      </c>
    </row>
    <row r="430" spans="1:21" x14ac:dyDescent="0.3">
      <c r="A430" t="s">
        <v>402</v>
      </c>
      <c r="B430" s="126">
        <v>2025</v>
      </c>
      <c r="C430" t="s">
        <v>514</v>
      </c>
      <c r="D430" t="s">
        <v>490</v>
      </c>
      <c r="E430" t="s">
        <v>128</v>
      </c>
      <c r="F430" t="s">
        <v>518</v>
      </c>
      <c r="G430" s="137">
        <v>4</v>
      </c>
      <c r="H430" s="138">
        <v>3.97</v>
      </c>
      <c r="I430" s="138">
        <v>0.08</v>
      </c>
      <c r="J430" s="139">
        <v>0.4</v>
      </c>
      <c r="K430" s="137">
        <v>3.6</v>
      </c>
      <c r="L430" s="137">
        <v>4.3</v>
      </c>
      <c r="M430" t="s">
        <v>499</v>
      </c>
      <c r="N430" t="s">
        <v>525</v>
      </c>
      <c r="O430" t="s">
        <v>129</v>
      </c>
      <c r="P430" s="137">
        <v>0.75566750629722423</v>
      </c>
      <c r="Q430" s="137">
        <v>0.75566750629722423</v>
      </c>
      <c r="R430" s="126">
        <v>9</v>
      </c>
      <c r="S430" t="s">
        <v>523</v>
      </c>
      <c r="T430" t="s">
        <v>526</v>
      </c>
      <c r="U430" t="s">
        <v>956</v>
      </c>
    </row>
    <row r="431" spans="1:21" x14ac:dyDescent="0.3">
      <c r="A431" t="s">
        <v>402</v>
      </c>
      <c r="B431" s="126">
        <v>2025</v>
      </c>
      <c r="C431" t="s">
        <v>514</v>
      </c>
      <c r="D431" t="s">
        <v>490</v>
      </c>
      <c r="E431" t="s">
        <v>128</v>
      </c>
      <c r="F431" t="s">
        <v>519</v>
      </c>
      <c r="G431" s="137">
        <v>7.1</v>
      </c>
      <c r="H431" s="138">
        <v>6.69</v>
      </c>
      <c r="I431" s="138">
        <v>0.11</v>
      </c>
      <c r="J431" s="139">
        <v>3.7</v>
      </c>
      <c r="K431" s="137">
        <v>6.1</v>
      </c>
      <c r="L431" s="137">
        <v>7.3</v>
      </c>
      <c r="M431" t="s">
        <v>499</v>
      </c>
      <c r="N431" t="s">
        <v>525</v>
      </c>
      <c r="O431" t="s">
        <v>129</v>
      </c>
      <c r="P431" s="137">
        <v>6.1285500747384045</v>
      </c>
      <c r="Q431" s="137">
        <v>6.1285500747384045</v>
      </c>
      <c r="R431" s="126">
        <v>9</v>
      </c>
      <c r="S431" t="s">
        <v>523</v>
      </c>
      <c r="T431" t="s">
        <v>526</v>
      </c>
      <c r="U431" t="s">
        <v>957</v>
      </c>
    </row>
    <row r="432" spans="1:21" x14ac:dyDescent="0.3">
      <c r="A432" t="s">
        <v>402</v>
      </c>
      <c r="B432" s="126">
        <v>2025</v>
      </c>
      <c r="C432" t="s">
        <v>514</v>
      </c>
      <c r="D432" t="s">
        <v>491</v>
      </c>
      <c r="E432" t="s">
        <v>133</v>
      </c>
      <c r="F432" t="s">
        <v>515</v>
      </c>
      <c r="G432" s="137">
        <v>159</v>
      </c>
      <c r="H432" s="138">
        <v>161.4</v>
      </c>
      <c r="I432" s="138">
        <v>4.3</v>
      </c>
      <c r="J432" s="139">
        <v>-0.5</v>
      </c>
      <c r="K432" s="137">
        <v>157</v>
      </c>
      <c r="L432" s="137">
        <v>166</v>
      </c>
      <c r="M432" t="s">
        <v>499</v>
      </c>
      <c r="N432" t="s">
        <v>525</v>
      </c>
      <c r="O432" t="s">
        <v>134</v>
      </c>
      <c r="P432" s="137">
        <v>-1.4869888475836466</v>
      </c>
      <c r="Q432" s="137">
        <v>1.4869888475836466</v>
      </c>
      <c r="R432" s="126">
        <v>5</v>
      </c>
      <c r="S432" t="s">
        <v>523</v>
      </c>
      <c r="T432" t="s">
        <v>526</v>
      </c>
      <c r="U432" t="s">
        <v>958</v>
      </c>
    </row>
    <row r="433" spans="1:21" x14ac:dyDescent="0.3">
      <c r="A433" t="s">
        <v>402</v>
      </c>
      <c r="B433" s="126">
        <v>2025</v>
      </c>
      <c r="C433" t="s">
        <v>514</v>
      </c>
      <c r="D433" t="s">
        <v>491</v>
      </c>
      <c r="E433" t="s">
        <v>133</v>
      </c>
      <c r="F433" t="s">
        <v>516</v>
      </c>
      <c r="G433" s="137">
        <v>147</v>
      </c>
      <c r="H433" s="138">
        <v>144.30000000000001</v>
      </c>
      <c r="I433" s="138">
        <v>2.2999999999999998</v>
      </c>
      <c r="J433" s="139">
        <v>1.2</v>
      </c>
      <c r="K433" s="137">
        <v>140</v>
      </c>
      <c r="L433" s="137">
        <v>149</v>
      </c>
      <c r="M433" t="s">
        <v>499</v>
      </c>
      <c r="N433" t="s">
        <v>525</v>
      </c>
      <c r="O433" t="s">
        <v>134</v>
      </c>
      <c r="P433" s="137">
        <v>1.8711018711018632</v>
      </c>
      <c r="Q433" s="137">
        <v>1.8711018711018632</v>
      </c>
      <c r="R433" s="126">
        <v>5</v>
      </c>
      <c r="S433" t="s">
        <v>523</v>
      </c>
      <c r="T433" t="s">
        <v>526</v>
      </c>
      <c r="U433" t="s">
        <v>959</v>
      </c>
    </row>
    <row r="434" spans="1:21" x14ac:dyDescent="0.3">
      <c r="A434" t="s">
        <v>402</v>
      </c>
      <c r="B434" s="126">
        <v>2025</v>
      </c>
      <c r="C434" t="s">
        <v>514</v>
      </c>
      <c r="D434" t="s">
        <v>491</v>
      </c>
      <c r="E434" t="s">
        <v>133</v>
      </c>
      <c r="F434" t="s">
        <v>517</v>
      </c>
      <c r="G434" s="137">
        <v>125</v>
      </c>
      <c r="H434" s="138">
        <v>123.6</v>
      </c>
      <c r="I434" s="138">
        <v>2.2999999999999998</v>
      </c>
      <c r="J434" s="139">
        <v>0.6</v>
      </c>
      <c r="K434" s="137">
        <v>119</v>
      </c>
      <c r="L434" s="137">
        <v>128</v>
      </c>
      <c r="M434" t="s">
        <v>499</v>
      </c>
      <c r="N434" t="s">
        <v>525</v>
      </c>
      <c r="O434" t="s">
        <v>134</v>
      </c>
      <c r="P434" s="137">
        <v>1.1326860841423994</v>
      </c>
      <c r="Q434" s="137">
        <v>1.1326860841423994</v>
      </c>
      <c r="R434" s="126">
        <v>5</v>
      </c>
      <c r="S434" t="s">
        <v>523</v>
      </c>
      <c r="T434" t="s">
        <v>526</v>
      </c>
      <c r="U434" t="s">
        <v>960</v>
      </c>
    </row>
    <row r="435" spans="1:21" x14ac:dyDescent="0.3">
      <c r="A435" t="s">
        <v>402</v>
      </c>
      <c r="B435" s="126">
        <v>2025</v>
      </c>
      <c r="C435" t="s">
        <v>514</v>
      </c>
      <c r="D435" t="s">
        <v>491</v>
      </c>
      <c r="E435" t="s">
        <v>133</v>
      </c>
      <c r="F435" t="s">
        <v>518</v>
      </c>
      <c r="G435" s="137">
        <v>142</v>
      </c>
      <c r="H435" s="138">
        <v>140.19999999999999</v>
      </c>
      <c r="I435" s="138">
        <v>2</v>
      </c>
      <c r="J435" s="139">
        <v>0.9</v>
      </c>
      <c r="K435" s="137">
        <v>136</v>
      </c>
      <c r="L435" s="137">
        <v>145</v>
      </c>
      <c r="M435" t="s">
        <v>499</v>
      </c>
      <c r="N435" t="s">
        <v>525</v>
      </c>
      <c r="O435" t="s">
        <v>134</v>
      </c>
      <c r="P435" s="137">
        <v>1.2838801711840311</v>
      </c>
      <c r="Q435" s="137">
        <v>1.2838801711840311</v>
      </c>
      <c r="R435" s="126">
        <v>5</v>
      </c>
      <c r="S435" t="s">
        <v>523</v>
      </c>
      <c r="T435" t="s">
        <v>526</v>
      </c>
      <c r="U435" t="s">
        <v>961</v>
      </c>
    </row>
    <row r="436" spans="1:21" x14ac:dyDescent="0.3">
      <c r="A436" t="s">
        <v>402</v>
      </c>
      <c r="B436" s="126">
        <v>2025</v>
      </c>
      <c r="C436" t="s">
        <v>514</v>
      </c>
      <c r="D436" t="s">
        <v>491</v>
      </c>
      <c r="E436" t="s">
        <v>133</v>
      </c>
      <c r="F436" t="s">
        <v>519</v>
      </c>
      <c r="G436" s="137">
        <v>155</v>
      </c>
      <c r="H436" s="138">
        <v>155.19999999999999</v>
      </c>
      <c r="I436" s="138">
        <v>3.1</v>
      </c>
      <c r="J436" s="139">
        <v>-0.1</v>
      </c>
      <c r="K436" s="137">
        <v>151</v>
      </c>
      <c r="L436" s="137">
        <v>160</v>
      </c>
      <c r="M436" t="s">
        <v>499</v>
      </c>
      <c r="N436" t="s">
        <v>525</v>
      </c>
      <c r="O436" t="s">
        <v>134</v>
      </c>
      <c r="P436" s="137">
        <v>-0.12886597938143599</v>
      </c>
      <c r="Q436" s="137">
        <v>0.12886597938143599</v>
      </c>
      <c r="R436" s="126">
        <v>5</v>
      </c>
      <c r="S436" t="s">
        <v>523</v>
      </c>
      <c r="T436" t="s">
        <v>526</v>
      </c>
      <c r="U436" t="s">
        <v>962</v>
      </c>
    </row>
    <row r="437" spans="1:21" x14ac:dyDescent="0.3">
      <c r="A437" t="s">
        <v>402</v>
      </c>
      <c r="B437" s="126">
        <v>2025</v>
      </c>
      <c r="C437" t="s">
        <v>514</v>
      </c>
      <c r="D437" t="s">
        <v>492</v>
      </c>
      <c r="E437" t="s">
        <v>342</v>
      </c>
      <c r="F437" t="s">
        <v>515</v>
      </c>
      <c r="G437" s="137">
        <v>410</v>
      </c>
      <c r="H437" s="138">
        <v>413.3</v>
      </c>
      <c r="I437" s="138">
        <v>12.4</v>
      </c>
      <c r="J437" s="139">
        <v>-0.3</v>
      </c>
      <c r="K437" s="137">
        <v>330</v>
      </c>
      <c r="L437" s="137">
        <v>496</v>
      </c>
      <c r="M437" t="s">
        <v>499</v>
      </c>
      <c r="N437" t="s">
        <v>525</v>
      </c>
      <c r="O437" t="s">
        <v>505</v>
      </c>
      <c r="P437" s="137">
        <v>-0.7984514880232304</v>
      </c>
      <c r="Q437" s="137">
        <v>0.7984514880232304</v>
      </c>
      <c r="R437" s="126">
        <v>10</v>
      </c>
      <c r="S437" t="s">
        <v>523</v>
      </c>
      <c r="T437" t="s">
        <v>526</v>
      </c>
      <c r="U437" t="s">
        <v>963</v>
      </c>
    </row>
    <row r="438" spans="1:21" x14ac:dyDescent="0.3">
      <c r="A438" t="s">
        <v>402</v>
      </c>
      <c r="B438" s="126">
        <v>2025</v>
      </c>
      <c r="C438" t="s">
        <v>514</v>
      </c>
      <c r="D438" t="s">
        <v>492</v>
      </c>
      <c r="E438" t="s">
        <v>342</v>
      </c>
      <c r="F438" t="s">
        <v>516</v>
      </c>
      <c r="G438" s="137">
        <v>150</v>
      </c>
      <c r="H438" s="138">
        <v>148.1</v>
      </c>
      <c r="I438" s="138">
        <v>8.9</v>
      </c>
      <c r="J438" s="139">
        <v>0.2</v>
      </c>
      <c r="K438" s="137">
        <v>118</v>
      </c>
      <c r="L438" s="137">
        <v>178</v>
      </c>
      <c r="M438" t="s">
        <v>499</v>
      </c>
      <c r="N438" t="s">
        <v>525</v>
      </c>
      <c r="O438" t="s">
        <v>505</v>
      </c>
      <c r="P438" s="137">
        <v>1.2829169480081064</v>
      </c>
      <c r="Q438" s="137">
        <v>1.2829169480081064</v>
      </c>
      <c r="R438" s="126">
        <v>10</v>
      </c>
      <c r="S438" t="s">
        <v>523</v>
      </c>
      <c r="T438" t="s">
        <v>526</v>
      </c>
      <c r="U438" t="s">
        <v>964</v>
      </c>
    </row>
    <row r="439" spans="1:21" x14ac:dyDescent="0.3">
      <c r="A439" t="s">
        <v>402</v>
      </c>
      <c r="B439" s="126">
        <v>2025</v>
      </c>
      <c r="C439" t="s">
        <v>514</v>
      </c>
      <c r="D439" t="s">
        <v>492</v>
      </c>
      <c r="E439" t="s">
        <v>342</v>
      </c>
      <c r="F439" t="s">
        <v>517</v>
      </c>
      <c r="G439" s="137">
        <v>189</v>
      </c>
      <c r="H439" s="138">
        <v>189.7</v>
      </c>
      <c r="I439" s="138">
        <v>9.1</v>
      </c>
      <c r="J439" s="139">
        <v>-0.1</v>
      </c>
      <c r="K439" s="137">
        <v>151</v>
      </c>
      <c r="L439" s="137">
        <v>228</v>
      </c>
      <c r="M439" t="s">
        <v>499</v>
      </c>
      <c r="N439" t="s">
        <v>525</v>
      </c>
      <c r="O439" t="s">
        <v>505</v>
      </c>
      <c r="P439" s="137">
        <v>-0.36900369003689443</v>
      </c>
      <c r="Q439" s="137">
        <v>0.36900369003689443</v>
      </c>
      <c r="R439" s="126">
        <v>10</v>
      </c>
      <c r="S439" t="s">
        <v>523</v>
      </c>
      <c r="T439" t="s">
        <v>526</v>
      </c>
      <c r="U439" t="s">
        <v>965</v>
      </c>
    </row>
    <row r="440" spans="1:21" x14ac:dyDescent="0.3">
      <c r="A440" t="s">
        <v>402</v>
      </c>
      <c r="B440" s="126">
        <v>2025</v>
      </c>
      <c r="C440" t="s">
        <v>514</v>
      </c>
      <c r="D440" t="s">
        <v>492</v>
      </c>
      <c r="E440" t="s">
        <v>342</v>
      </c>
      <c r="F440" t="s">
        <v>518</v>
      </c>
      <c r="G440" s="137">
        <v>180</v>
      </c>
      <c r="H440" s="138">
        <v>179.1</v>
      </c>
      <c r="I440" s="138">
        <v>9.1</v>
      </c>
      <c r="J440" s="139">
        <v>0.1</v>
      </c>
      <c r="K440" s="137">
        <v>143</v>
      </c>
      <c r="L440" s="137">
        <v>215</v>
      </c>
      <c r="M440" t="s">
        <v>499</v>
      </c>
      <c r="N440" t="s">
        <v>525</v>
      </c>
      <c r="O440" t="s">
        <v>505</v>
      </c>
      <c r="P440" s="137">
        <v>0.50251256281407353</v>
      </c>
      <c r="Q440" s="137">
        <v>0.50251256281407353</v>
      </c>
      <c r="R440" s="126">
        <v>10</v>
      </c>
      <c r="S440" t="s">
        <v>523</v>
      </c>
      <c r="T440" t="s">
        <v>526</v>
      </c>
      <c r="U440" t="s">
        <v>966</v>
      </c>
    </row>
    <row r="441" spans="1:21" x14ac:dyDescent="0.3">
      <c r="A441" t="s">
        <v>402</v>
      </c>
      <c r="B441" s="126">
        <v>2025</v>
      </c>
      <c r="C441" t="s">
        <v>514</v>
      </c>
      <c r="D441" t="s">
        <v>492</v>
      </c>
      <c r="E441" t="s">
        <v>342</v>
      </c>
      <c r="F441" t="s">
        <v>519</v>
      </c>
      <c r="G441" s="137">
        <v>319</v>
      </c>
      <c r="H441" s="138">
        <v>323</v>
      </c>
      <c r="I441" s="138">
        <v>10.9</v>
      </c>
      <c r="J441" s="139">
        <v>-0.4</v>
      </c>
      <c r="K441" s="137">
        <v>258</v>
      </c>
      <c r="L441" s="137">
        <v>388</v>
      </c>
      <c r="M441" t="s">
        <v>499</v>
      </c>
      <c r="N441" t="s">
        <v>525</v>
      </c>
      <c r="O441" t="s">
        <v>505</v>
      </c>
      <c r="P441" s="137">
        <v>-1.2383900928792571</v>
      </c>
      <c r="Q441" s="137">
        <v>1.2383900928792571</v>
      </c>
      <c r="R441" s="126">
        <v>10</v>
      </c>
      <c r="S441" t="s">
        <v>523</v>
      </c>
      <c r="T441" t="s">
        <v>526</v>
      </c>
      <c r="U441" t="s">
        <v>967</v>
      </c>
    </row>
    <row r="442" spans="1:21" x14ac:dyDescent="0.3">
      <c r="A442" t="s">
        <v>402</v>
      </c>
      <c r="B442" s="126">
        <v>2025</v>
      </c>
      <c r="C442" t="s">
        <v>514</v>
      </c>
      <c r="D442" t="s">
        <v>494</v>
      </c>
      <c r="E442" t="s">
        <v>121</v>
      </c>
      <c r="F442" t="s">
        <v>515</v>
      </c>
      <c r="G442" s="137">
        <v>326</v>
      </c>
      <c r="H442" s="138">
        <v>324.72899999999998</v>
      </c>
      <c r="I442" s="138">
        <v>4.7110000000000003</v>
      </c>
      <c r="J442" s="139">
        <v>0.3</v>
      </c>
      <c r="K442" s="137">
        <v>276.01</v>
      </c>
      <c r="L442" s="137">
        <v>373.44</v>
      </c>
      <c r="M442" t="s">
        <v>499</v>
      </c>
      <c r="N442" t="s">
        <v>525</v>
      </c>
      <c r="O442" t="s">
        <v>112</v>
      </c>
      <c r="P442" s="137">
        <v>0.39140329320757156</v>
      </c>
      <c r="Q442" s="137">
        <v>0.39140329320757156</v>
      </c>
      <c r="R442" s="126">
        <v>5</v>
      </c>
      <c r="S442" t="s">
        <v>523</v>
      </c>
      <c r="T442" t="s">
        <v>526</v>
      </c>
      <c r="U442" t="s">
        <v>968</v>
      </c>
    </row>
    <row r="443" spans="1:21" x14ac:dyDescent="0.3">
      <c r="A443" t="s">
        <v>402</v>
      </c>
      <c r="B443" s="126">
        <v>2025</v>
      </c>
      <c r="C443" t="s">
        <v>514</v>
      </c>
      <c r="D443" t="s">
        <v>494</v>
      </c>
      <c r="E443" t="s">
        <v>121</v>
      </c>
      <c r="F443" t="s">
        <v>516</v>
      </c>
      <c r="G443" s="137">
        <v>137</v>
      </c>
      <c r="H443" s="138">
        <v>140.53200000000001</v>
      </c>
      <c r="I443" s="138">
        <v>2.4910000000000001</v>
      </c>
      <c r="J443" s="139">
        <v>-1.4</v>
      </c>
      <c r="K443" s="137">
        <v>119.45</v>
      </c>
      <c r="L443" s="137">
        <v>161.62</v>
      </c>
      <c r="M443" t="s">
        <v>499</v>
      </c>
      <c r="N443" t="s">
        <v>525</v>
      </c>
      <c r="O443" t="s">
        <v>112</v>
      </c>
      <c r="P443" s="137">
        <v>-2.5133065778612775</v>
      </c>
      <c r="Q443" s="137">
        <v>2.5133065778612775</v>
      </c>
      <c r="R443" s="126">
        <v>5</v>
      </c>
      <c r="S443" t="s">
        <v>523</v>
      </c>
      <c r="T443" t="s">
        <v>526</v>
      </c>
      <c r="U443" t="s">
        <v>969</v>
      </c>
    </row>
    <row r="444" spans="1:21" x14ac:dyDescent="0.3">
      <c r="A444" t="s">
        <v>402</v>
      </c>
      <c r="B444" s="126">
        <v>2025</v>
      </c>
      <c r="C444" t="s">
        <v>514</v>
      </c>
      <c r="D444" t="s">
        <v>494</v>
      </c>
      <c r="E444" t="s">
        <v>121</v>
      </c>
      <c r="F444" t="s">
        <v>517</v>
      </c>
      <c r="G444" s="137">
        <v>113</v>
      </c>
      <c r="H444" s="138">
        <v>116.051</v>
      </c>
      <c r="I444" s="138">
        <v>2.8580000000000001</v>
      </c>
      <c r="J444" s="139">
        <v>-1.1000000000000001</v>
      </c>
      <c r="K444" s="137">
        <v>98.64</v>
      </c>
      <c r="L444" s="137">
        <v>133.46</v>
      </c>
      <c r="M444" t="s">
        <v>499</v>
      </c>
      <c r="N444" t="s">
        <v>525</v>
      </c>
      <c r="O444" t="s">
        <v>112</v>
      </c>
      <c r="P444" s="137">
        <v>-2.6290165530671876</v>
      </c>
      <c r="Q444" s="137">
        <v>2.6290165530671876</v>
      </c>
      <c r="R444" s="126">
        <v>5</v>
      </c>
      <c r="S444" t="s">
        <v>523</v>
      </c>
      <c r="T444" t="s">
        <v>526</v>
      </c>
      <c r="U444" t="s">
        <v>970</v>
      </c>
    </row>
    <row r="445" spans="1:21" x14ac:dyDescent="0.3">
      <c r="A445" t="s">
        <v>402</v>
      </c>
      <c r="B445" s="126">
        <v>2025</v>
      </c>
      <c r="C445" t="s">
        <v>514</v>
      </c>
      <c r="D445" t="s">
        <v>494</v>
      </c>
      <c r="E445" t="s">
        <v>121</v>
      </c>
      <c r="F445" t="s">
        <v>518</v>
      </c>
      <c r="G445" s="137">
        <v>151</v>
      </c>
      <c r="H445" s="138">
        <v>149.613</v>
      </c>
      <c r="I445" s="138">
        <v>3.177</v>
      </c>
      <c r="J445" s="139">
        <v>0.4</v>
      </c>
      <c r="K445" s="137">
        <v>127.17</v>
      </c>
      <c r="L445" s="137">
        <v>172.06</v>
      </c>
      <c r="M445" t="s">
        <v>499</v>
      </c>
      <c r="N445" t="s">
        <v>525</v>
      </c>
      <c r="O445" t="s">
        <v>112</v>
      </c>
      <c r="P445" s="137">
        <v>0.92705847753871673</v>
      </c>
      <c r="Q445" s="137">
        <v>0.92705847753871673</v>
      </c>
      <c r="R445" s="126">
        <v>5</v>
      </c>
      <c r="S445" t="s">
        <v>523</v>
      </c>
      <c r="T445" t="s">
        <v>526</v>
      </c>
      <c r="U445" t="s">
        <v>971</v>
      </c>
    </row>
    <row r="446" spans="1:21" x14ac:dyDescent="0.3">
      <c r="A446" t="s">
        <v>402</v>
      </c>
      <c r="B446" s="126">
        <v>2025</v>
      </c>
      <c r="C446" t="s">
        <v>514</v>
      </c>
      <c r="D446" t="s">
        <v>494</v>
      </c>
      <c r="E446" t="s">
        <v>121</v>
      </c>
      <c r="F446" t="s">
        <v>519</v>
      </c>
      <c r="G446" s="137">
        <v>265</v>
      </c>
      <c r="H446" s="138">
        <v>263.68900000000002</v>
      </c>
      <c r="I446" s="138">
        <v>4.4260000000000002</v>
      </c>
      <c r="J446" s="139">
        <v>0.3</v>
      </c>
      <c r="K446" s="137">
        <v>224.13</v>
      </c>
      <c r="L446" s="137">
        <v>303.25</v>
      </c>
      <c r="M446" t="s">
        <v>499</v>
      </c>
      <c r="N446" t="s">
        <v>525</v>
      </c>
      <c r="O446" t="s">
        <v>112</v>
      </c>
      <c r="P446" s="137">
        <v>0.49717659818952575</v>
      </c>
      <c r="Q446" s="137">
        <v>0.49717659818952575</v>
      </c>
      <c r="R446" s="126">
        <v>5</v>
      </c>
      <c r="S446" t="s">
        <v>523</v>
      </c>
      <c r="T446" t="s">
        <v>526</v>
      </c>
      <c r="U446" t="s">
        <v>972</v>
      </c>
    </row>
    <row r="447" spans="1:21" x14ac:dyDescent="0.3">
      <c r="A447" t="s">
        <v>402</v>
      </c>
      <c r="B447" s="126">
        <v>2025</v>
      </c>
      <c r="C447" t="s">
        <v>514</v>
      </c>
      <c r="D447" t="s">
        <v>495</v>
      </c>
      <c r="E447" t="s">
        <v>115</v>
      </c>
      <c r="F447" t="s">
        <v>515</v>
      </c>
      <c r="G447" s="137">
        <v>20.6</v>
      </c>
      <c r="H447" s="138">
        <v>20.47</v>
      </c>
      <c r="I447" s="138">
        <v>0.93</v>
      </c>
      <c r="J447" s="139">
        <v>0.1</v>
      </c>
      <c r="K447" s="137">
        <v>18.399999999999999</v>
      </c>
      <c r="L447" s="137">
        <v>22.5</v>
      </c>
      <c r="M447" t="s">
        <v>499</v>
      </c>
      <c r="N447" t="s">
        <v>525</v>
      </c>
      <c r="O447" t="s">
        <v>112</v>
      </c>
      <c r="P447" s="137">
        <v>0.63507572056669548</v>
      </c>
      <c r="Q447" s="137">
        <v>0.63507572056669548</v>
      </c>
      <c r="R447" s="126">
        <v>6</v>
      </c>
      <c r="S447" t="s">
        <v>523</v>
      </c>
      <c r="T447" t="s">
        <v>526</v>
      </c>
      <c r="U447" t="s">
        <v>973</v>
      </c>
    </row>
    <row r="448" spans="1:21" x14ac:dyDescent="0.3">
      <c r="A448" t="s">
        <v>402</v>
      </c>
      <c r="B448" s="126">
        <v>2025</v>
      </c>
      <c r="C448" t="s">
        <v>514</v>
      </c>
      <c r="D448" t="s">
        <v>495</v>
      </c>
      <c r="E448" t="s">
        <v>115</v>
      </c>
      <c r="F448" t="s">
        <v>516</v>
      </c>
      <c r="G448" s="137">
        <v>9.3000000000000007</v>
      </c>
      <c r="H448" s="138">
        <v>10.039999999999999</v>
      </c>
      <c r="I448" s="138">
        <v>0.79</v>
      </c>
      <c r="J448" s="139">
        <v>-0.9</v>
      </c>
      <c r="K448" s="137">
        <v>8</v>
      </c>
      <c r="L448" s="137">
        <v>12.1</v>
      </c>
      <c r="M448" t="s">
        <v>499</v>
      </c>
      <c r="N448" t="s">
        <v>525</v>
      </c>
      <c r="O448" t="s">
        <v>112</v>
      </c>
      <c r="P448" s="137">
        <v>-7.370517928286838</v>
      </c>
      <c r="Q448" s="137">
        <v>7.370517928286838</v>
      </c>
      <c r="R448" s="126">
        <v>6</v>
      </c>
      <c r="S448" t="s">
        <v>523</v>
      </c>
      <c r="T448" t="s">
        <v>526</v>
      </c>
      <c r="U448" t="s">
        <v>974</v>
      </c>
    </row>
    <row r="449" spans="1:21" x14ac:dyDescent="0.3">
      <c r="A449" t="s">
        <v>402</v>
      </c>
      <c r="B449" s="126">
        <v>2025</v>
      </c>
      <c r="C449" t="s">
        <v>514</v>
      </c>
      <c r="D449" t="s">
        <v>495</v>
      </c>
      <c r="E449" t="s">
        <v>115</v>
      </c>
      <c r="F449" t="s">
        <v>517</v>
      </c>
      <c r="G449" s="137">
        <v>46.3</v>
      </c>
      <c r="H449" s="138">
        <v>44.76</v>
      </c>
      <c r="I449" s="138">
        <v>1.38</v>
      </c>
      <c r="J449" s="139">
        <v>1.1000000000000001</v>
      </c>
      <c r="K449" s="137">
        <v>40.700000000000003</v>
      </c>
      <c r="L449" s="137">
        <v>48.8</v>
      </c>
      <c r="M449" t="s">
        <v>499</v>
      </c>
      <c r="N449" t="s">
        <v>525</v>
      </c>
      <c r="O449" t="s">
        <v>112</v>
      </c>
      <c r="P449" s="137">
        <v>3.4405719392314551</v>
      </c>
      <c r="Q449" s="137">
        <v>3.4405719392314551</v>
      </c>
      <c r="R449" s="126">
        <v>6</v>
      </c>
      <c r="S449" t="s">
        <v>523</v>
      </c>
      <c r="T449" t="s">
        <v>526</v>
      </c>
      <c r="U449" t="s">
        <v>975</v>
      </c>
    </row>
    <row r="450" spans="1:21" x14ac:dyDescent="0.3">
      <c r="A450" t="s">
        <v>402</v>
      </c>
      <c r="B450" s="126">
        <v>2025</v>
      </c>
      <c r="C450" t="s">
        <v>514</v>
      </c>
      <c r="D450" t="s">
        <v>495</v>
      </c>
      <c r="E450" t="s">
        <v>115</v>
      </c>
      <c r="F450" t="s">
        <v>518</v>
      </c>
      <c r="G450" s="137">
        <v>19.600000000000001</v>
      </c>
      <c r="H450" s="138">
        <v>19.57</v>
      </c>
      <c r="I450" s="138">
        <v>0.93</v>
      </c>
      <c r="J450" s="139">
        <v>0</v>
      </c>
      <c r="K450" s="137">
        <v>17.5</v>
      </c>
      <c r="L450" s="137">
        <v>21.6</v>
      </c>
      <c r="M450" t="s">
        <v>499</v>
      </c>
      <c r="N450" t="s">
        <v>525</v>
      </c>
      <c r="O450" t="s">
        <v>112</v>
      </c>
      <c r="P450" s="137">
        <v>0.15329586101175849</v>
      </c>
      <c r="Q450" s="137">
        <v>0.15329586101175849</v>
      </c>
      <c r="R450" s="126">
        <v>6</v>
      </c>
      <c r="S450" t="s">
        <v>523</v>
      </c>
      <c r="T450" t="s">
        <v>526</v>
      </c>
      <c r="U450" t="s">
        <v>976</v>
      </c>
    </row>
    <row r="451" spans="1:21" x14ac:dyDescent="0.3">
      <c r="A451" t="s">
        <v>402</v>
      </c>
      <c r="B451" s="126">
        <v>2025</v>
      </c>
      <c r="C451" t="s">
        <v>514</v>
      </c>
      <c r="D451" t="s">
        <v>495</v>
      </c>
      <c r="E451" t="s">
        <v>115</v>
      </c>
      <c r="F451" t="s">
        <v>519</v>
      </c>
      <c r="G451" s="137">
        <v>16.8</v>
      </c>
      <c r="H451" s="138">
        <v>17.18</v>
      </c>
      <c r="I451" s="138">
        <v>0.92</v>
      </c>
      <c r="J451" s="139">
        <v>-0.4</v>
      </c>
      <c r="K451" s="137">
        <v>15.1</v>
      </c>
      <c r="L451" s="137">
        <v>19.2</v>
      </c>
      <c r="M451" t="s">
        <v>499</v>
      </c>
      <c r="N451" t="s">
        <v>525</v>
      </c>
      <c r="O451" t="s">
        <v>112</v>
      </c>
      <c r="P451" s="137">
        <v>-2.2118742724097729</v>
      </c>
      <c r="Q451" s="137">
        <v>2.2118742724097729</v>
      </c>
      <c r="R451" s="126">
        <v>6</v>
      </c>
      <c r="S451" t="s">
        <v>523</v>
      </c>
      <c r="T451" t="s">
        <v>526</v>
      </c>
      <c r="U451" t="s">
        <v>977</v>
      </c>
    </row>
    <row r="452" spans="1:21" x14ac:dyDescent="0.3">
      <c r="A452" t="s">
        <v>402</v>
      </c>
      <c r="B452" s="126">
        <v>2025</v>
      </c>
      <c r="C452" t="s">
        <v>514</v>
      </c>
      <c r="D452" t="s">
        <v>496</v>
      </c>
      <c r="E452" t="s">
        <v>118</v>
      </c>
      <c r="F452" t="s">
        <v>515</v>
      </c>
      <c r="G452" s="137">
        <v>1.8</v>
      </c>
      <c r="H452" s="138">
        <v>1.91</v>
      </c>
      <c r="I452" s="138">
        <v>0.12</v>
      </c>
      <c r="J452" s="139">
        <v>-0.9</v>
      </c>
      <c r="K452" s="137">
        <v>1.7</v>
      </c>
      <c r="L452" s="137">
        <v>2.1</v>
      </c>
      <c r="M452" t="s">
        <v>499</v>
      </c>
      <c r="N452" t="s">
        <v>525</v>
      </c>
      <c r="O452" t="s">
        <v>112</v>
      </c>
      <c r="P452" s="137">
        <v>-5.7591623036649153</v>
      </c>
      <c r="Q452" s="137">
        <v>5.7591623036649153</v>
      </c>
      <c r="R452" s="126">
        <v>6</v>
      </c>
      <c r="S452" t="s">
        <v>523</v>
      </c>
      <c r="T452" t="s">
        <v>526</v>
      </c>
      <c r="U452" t="s">
        <v>978</v>
      </c>
    </row>
    <row r="453" spans="1:21" x14ac:dyDescent="0.3">
      <c r="A453" t="s">
        <v>402</v>
      </c>
      <c r="B453" s="126">
        <v>2025</v>
      </c>
      <c r="C453" t="s">
        <v>514</v>
      </c>
      <c r="D453" t="s">
        <v>496</v>
      </c>
      <c r="E453" t="s">
        <v>118</v>
      </c>
      <c r="F453" t="s">
        <v>516</v>
      </c>
      <c r="G453" s="137">
        <v>4.7</v>
      </c>
      <c r="H453" s="138">
        <v>4.74</v>
      </c>
      <c r="I453" s="138">
        <v>0.12</v>
      </c>
      <c r="J453" s="139">
        <v>-0.3</v>
      </c>
      <c r="K453" s="137">
        <v>4.2</v>
      </c>
      <c r="L453" s="137">
        <v>5.3</v>
      </c>
      <c r="M453" t="s">
        <v>499</v>
      </c>
      <c r="N453" t="s">
        <v>525</v>
      </c>
      <c r="O453" t="s">
        <v>112</v>
      </c>
      <c r="P453" s="137">
        <v>-0.84388185654008518</v>
      </c>
      <c r="Q453" s="137">
        <v>0.84388185654008518</v>
      </c>
      <c r="R453" s="126">
        <v>6</v>
      </c>
      <c r="S453" t="s">
        <v>523</v>
      </c>
      <c r="T453" t="s">
        <v>526</v>
      </c>
      <c r="U453" t="s">
        <v>979</v>
      </c>
    </row>
    <row r="454" spans="1:21" x14ac:dyDescent="0.3">
      <c r="A454" t="s">
        <v>402</v>
      </c>
      <c r="B454" s="126">
        <v>2025</v>
      </c>
      <c r="C454" t="s">
        <v>514</v>
      </c>
      <c r="D454" t="s">
        <v>496</v>
      </c>
      <c r="E454" t="s">
        <v>118</v>
      </c>
      <c r="F454" t="s">
        <v>517</v>
      </c>
      <c r="G454" s="137">
        <v>10.5</v>
      </c>
      <c r="H454" s="138">
        <v>10.85</v>
      </c>
      <c r="I454" s="138">
        <v>0.28999999999999998</v>
      </c>
      <c r="J454" s="139">
        <v>-1.2</v>
      </c>
      <c r="K454" s="137">
        <v>9.6999999999999993</v>
      </c>
      <c r="L454" s="137">
        <v>12</v>
      </c>
      <c r="M454" t="s">
        <v>499</v>
      </c>
      <c r="N454" t="s">
        <v>525</v>
      </c>
      <c r="O454" t="s">
        <v>112</v>
      </c>
      <c r="P454" s="137">
        <v>-3.2258064516129004</v>
      </c>
      <c r="Q454" s="137">
        <v>3.2258064516129004</v>
      </c>
      <c r="R454" s="126">
        <v>6</v>
      </c>
      <c r="S454" t="s">
        <v>523</v>
      </c>
      <c r="T454" t="s">
        <v>526</v>
      </c>
      <c r="U454" t="s">
        <v>980</v>
      </c>
    </row>
    <row r="455" spans="1:21" x14ac:dyDescent="0.3">
      <c r="A455" t="s">
        <v>402</v>
      </c>
      <c r="B455" s="126">
        <v>2025</v>
      </c>
      <c r="C455" t="s">
        <v>514</v>
      </c>
      <c r="D455" t="s">
        <v>496</v>
      </c>
      <c r="E455" t="s">
        <v>118</v>
      </c>
      <c r="F455" t="s">
        <v>518</v>
      </c>
      <c r="G455" s="137">
        <v>6.1</v>
      </c>
      <c r="H455" s="138">
        <v>6.05</v>
      </c>
      <c r="I455" s="138">
        <v>0.14000000000000001</v>
      </c>
      <c r="J455" s="139">
        <v>0.3</v>
      </c>
      <c r="K455" s="137">
        <v>5.4</v>
      </c>
      <c r="L455" s="137">
        <v>6.7</v>
      </c>
      <c r="M455" t="s">
        <v>499</v>
      </c>
      <c r="N455" t="s">
        <v>525</v>
      </c>
      <c r="O455" t="s">
        <v>112</v>
      </c>
      <c r="P455" s="137">
        <v>0.82644628099173256</v>
      </c>
      <c r="Q455" s="137">
        <v>0.82644628099173256</v>
      </c>
      <c r="R455" s="126">
        <v>6</v>
      </c>
      <c r="S455" t="s">
        <v>523</v>
      </c>
      <c r="T455" t="s">
        <v>526</v>
      </c>
      <c r="U455" t="s">
        <v>981</v>
      </c>
    </row>
    <row r="456" spans="1:21" x14ac:dyDescent="0.3">
      <c r="A456" t="s">
        <v>402</v>
      </c>
      <c r="B456" s="126">
        <v>2025</v>
      </c>
      <c r="C456" t="s">
        <v>514</v>
      </c>
      <c r="D456" t="s">
        <v>496</v>
      </c>
      <c r="E456" t="s">
        <v>118</v>
      </c>
      <c r="F456" t="s">
        <v>519</v>
      </c>
      <c r="G456" s="137">
        <v>2.9</v>
      </c>
      <c r="H456" s="138">
        <v>2.87</v>
      </c>
      <c r="I456" s="138">
        <v>0.11</v>
      </c>
      <c r="J456" s="139">
        <v>0.3</v>
      </c>
      <c r="K456" s="137">
        <v>2.5</v>
      </c>
      <c r="L456" s="137">
        <v>3.2</v>
      </c>
      <c r="M456" t="s">
        <v>499</v>
      </c>
      <c r="N456" t="s">
        <v>525</v>
      </c>
      <c r="O456" t="s">
        <v>112</v>
      </c>
      <c r="P456" s="137">
        <v>1.0452961672473799</v>
      </c>
      <c r="Q456" s="137">
        <v>1.0452961672473799</v>
      </c>
      <c r="R456" s="126">
        <v>6</v>
      </c>
      <c r="S456" t="s">
        <v>523</v>
      </c>
      <c r="T456" t="s">
        <v>526</v>
      </c>
      <c r="U456" t="s">
        <v>982</v>
      </c>
    </row>
    <row r="457" spans="1:21" x14ac:dyDescent="0.3">
      <c r="A457" t="s">
        <v>402</v>
      </c>
      <c r="B457" s="126">
        <v>2025</v>
      </c>
      <c r="C457" t="s">
        <v>393</v>
      </c>
      <c r="D457" t="s">
        <v>119</v>
      </c>
      <c r="E457" t="s">
        <v>119</v>
      </c>
      <c r="F457">
        <v>1</v>
      </c>
      <c r="G457" s="137">
        <v>258.5761</v>
      </c>
      <c r="H457" s="138">
        <v>256.52030000000002</v>
      </c>
      <c r="I457" s="138">
        <v>7.6955999999999998</v>
      </c>
      <c r="J457" s="139">
        <v>0.26713966422370922</v>
      </c>
      <c r="K457" s="137">
        <v>233.43350000000001</v>
      </c>
      <c r="L457" s="137">
        <v>279.6071</v>
      </c>
      <c r="M457" t="s">
        <v>520</v>
      </c>
      <c r="N457" t="s">
        <v>525</v>
      </c>
      <c r="P457" s="137">
        <v>0.80141805541314914</v>
      </c>
      <c r="Q457" s="137">
        <v>0.80141805541314914</v>
      </c>
      <c r="R457" s="126"/>
      <c r="S457" t="s">
        <v>524</v>
      </c>
      <c r="T457" t="s">
        <v>983</v>
      </c>
      <c r="U457" t="s">
        <v>984</v>
      </c>
    </row>
    <row r="458" spans="1:21" x14ac:dyDescent="0.3">
      <c r="A458" t="s">
        <v>402</v>
      </c>
      <c r="B458" s="126">
        <v>2025</v>
      </c>
      <c r="C458" t="s">
        <v>393</v>
      </c>
      <c r="D458" t="s">
        <v>119</v>
      </c>
      <c r="E458" t="s">
        <v>119</v>
      </c>
      <c r="F458">
        <v>2</v>
      </c>
      <c r="G458" s="137">
        <v>256.9348</v>
      </c>
      <c r="H458" s="138">
        <v>254.31010000000001</v>
      </c>
      <c r="I458" s="138">
        <v>7.6292999999999997</v>
      </c>
      <c r="J458" s="139">
        <v>0.34402894105618997</v>
      </c>
      <c r="K458" s="137">
        <v>231.4222</v>
      </c>
      <c r="L458" s="137">
        <v>277.19799999999998</v>
      </c>
      <c r="M458" t="s">
        <v>520</v>
      </c>
      <c r="N458" t="s">
        <v>525</v>
      </c>
      <c r="P458" s="137">
        <v>1.0320864173306485</v>
      </c>
      <c r="Q458" s="137">
        <v>1.0320864173306485</v>
      </c>
      <c r="R458" s="126"/>
      <c r="S458" t="s">
        <v>524</v>
      </c>
      <c r="T458" t="s">
        <v>983</v>
      </c>
      <c r="U458" t="s">
        <v>985</v>
      </c>
    </row>
    <row r="459" spans="1:21" x14ac:dyDescent="0.3">
      <c r="A459" t="s">
        <v>402</v>
      </c>
      <c r="B459" s="126">
        <v>2025</v>
      </c>
      <c r="C459" t="s">
        <v>393</v>
      </c>
      <c r="D459" t="s">
        <v>119</v>
      </c>
      <c r="E459" t="s">
        <v>119</v>
      </c>
      <c r="F459">
        <v>3</v>
      </c>
      <c r="G459" s="137">
        <v>259.89800000000002</v>
      </c>
      <c r="H459" s="138">
        <v>255.48949999999999</v>
      </c>
      <c r="I459" s="138">
        <v>7.6646999999999998</v>
      </c>
      <c r="J459" s="139">
        <v>0.57516928255509436</v>
      </c>
      <c r="K459" s="137">
        <v>232.49539999999999</v>
      </c>
      <c r="L459" s="137">
        <v>278.48360000000002</v>
      </c>
      <c r="M459" t="s">
        <v>520</v>
      </c>
      <c r="N459" t="s">
        <v>525</v>
      </c>
      <c r="P459" s="137">
        <v>1.725511224531745</v>
      </c>
      <c r="Q459" s="137">
        <v>1.725511224531745</v>
      </c>
      <c r="R459" s="126"/>
      <c r="S459" t="s">
        <v>524</v>
      </c>
      <c r="T459" t="s">
        <v>983</v>
      </c>
      <c r="U459" t="s">
        <v>986</v>
      </c>
    </row>
    <row r="460" spans="1:21" x14ac:dyDescent="0.3">
      <c r="A460" t="s">
        <v>402</v>
      </c>
      <c r="B460" s="126">
        <v>2025</v>
      </c>
      <c r="C460" t="s">
        <v>393</v>
      </c>
      <c r="D460" t="s">
        <v>119</v>
      </c>
      <c r="E460" t="s">
        <v>119</v>
      </c>
      <c r="F460">
        <v>4</v>
      </c>
      <c r="G460" s="137">
        <v>259.24200000000002</v>
      </c>
      <c r="H460" s="138">
        <v>255.05629999999999</v>
      </c>
      <c r="I460" s="138">
        <v>7.6516999999999999</v>
      </c>
      <c r="J460" s="139">
        <v>0.54702876484964458</v>
      </c>
      <c r="K460" s="137">
        <v>232.10120000000001</v>
      </c>
      <c r="L460" s="137">
        <v>278.01139999999998</v>
      </c>
      <c r="M460" t="s">
        <v>520</v>
      </c>
      <c r="N460" t="s">
        <v>525</v>
      </c>
      <c r="P460" s="137">
        <v>1.6410886537599838</v>
      </c>
      <c r="Q460" s="137">
        <v>1.6410886537599838</v>
      </c>
      <c r="R460" s="126"/>
      <c r="S460" t="s">
        <v>524</v>
      </c>
      <c r="T460" t="s">
        <v>983</v>
      </c>
      <c r="U460" t="s">
        <v>987</v>
      </c>
    </row>
    <row r="461" spans="1:21" x14ac:dyDescent="0.3">
      <c r="A461" t="s">
        <v>402</v>
      </c>
      <c r="B461" s="126">
        <v>2025</v>
      </c>
      <c r="C461" t="s">
        <v>393</v>
      </c>
      <c r="D461" t="s">
        <v>119</v>
      </c>
      <c r="E461" t="s">
        <v>119</v>
      </c>
      <c r="F461">
        <v>5</v>
      </c>
      <c r="G461" s="137">
        <v>257.37599999999998</v>
      </c>
      <c r="H461" s="138">
        <v>253.92930000000001</v>
      </c>
      <c r="I461" s="138">
        <v>7.6178999999999997</v>
      </c>
      <c r="J461" s="139">
        <v>0.45244752490843465</v>
      </c>
      <c r="K461" s="137">
        <v>231.07560000000001</v>
      </c>
      <c r="L461" s="137">
        <v>276.78300000000002</v>
      </c>
      <c r="M461" t="s">
        <v>520</v>
      </c>
      <c r="N461" t="s">
        <v>525</v>
      </c>
      <c r="P461" s="137">
        <v>1.3573463164746897</v>
      </c>
      <c r="Q461" s="137">
        <v>1.3573463164746897</v>
      </c>
      <c r="R461" s="126"/>
      <c r="S461" t="s">
        <v>524</v>
      </c>
      <c r="T461" t="s">
        <v>983</v>
      </c>
      <c r="U461" t="s">
        <v>988</v>
      </c>
    </row>
    <row r="462" spans="1:21" x14ac:dyDescent="0.3">
      <c r="A462" t="s">
        <v>402</v>
      </c>
      <c r="B462" s="126">
        <v>2025</v>
      </c>
      <c r="C462" t="s">
        <v>393</v>
      </c>
      <c r="D462" t="s">
        <v>117</v>
      </c>
      <c r="E462" t="s">
        <v>117</v>
      </c>
      <c r="F462">
        <v>1</v>
      </c>
      <c r="G462" s="137">
        <v>5.1372999999999998</v>
      </c>
      <c r="H462" s="138">
        <v>5.0872000000000002</v>
      </c>
      <c r="I462" s="138">
        <v>0.15260000000000001</v>
      </c>
      <c r="J462" s="139">
        <v>0.32830930537352282</v>
      </c>
      <c r="K462" s="137">
        <v>4.6294000000000004</v>
      </c>
      <c r="L462" s="137">
        <v>5.5449999999999999</v>
      </c>
      <c r="M462" t="s">
        <v>520</v>
      </c>
      <c r="N462" t="s">
        <v>525</v>
      </c>
      <c r="P462" s="137">
        <v>0.98482465796508079</v>
      </c>
      <c r="Q462" s="137">
        <v>0.98482465796508079</v>
      </c>
      <c r="R462" s="126"/>
      <c r="S462" t="s">
        <v>524</v>
      </c>
      <c r="T462" t="s">
        <v>983</v>
      </c>
      <c r="U462" t="s">
        <v>989</v>
      </c>
    </row>
    <row r="463" spans="1:21" x14ac:dyDescent="0.3">
      <c r="A463" t="s">
        <v>402</v>
      </c>
      <c r="B463" s="126">
        <v>2025</v>
      </c>
      <c r="C463" t="s">
        <v>393</v>
      </c>
      <c r="D463" t="s">
        <v>117</v>
      </c>
      <c r="E463" t="s">
        <v>117</v>
      </c>
      <c r="F463">
        <v>2</v>
      </c>
      <c r="G463" s="137">
        <v>5.1154000000000002</v>
      </c>
      <c r="H463" s="138">
        <v>5.0776000000000003</v>
      </c>
      <c r="I463" s="138">
        <v>0.15229999999999999</v>
      </c>
      <c r="J463" s="139">
        <v>0.24819435325016306</v>
      </c>
      <c r="K463" s="137">
        <v>4.6207000000000003</v>
      </c>
      <c r="L463" s="137">
        <v>5.5345000000000004</v>
      </c>
      <c r="M463" t="s">
        <v>520</v>
      </c>
      <c r="N463" t="s">
        <v>525</v>
      </c>
      <c r="P463" s="137">
        <v>0.74444619505277754</v>
      </c>
      <c r="Q463" s="137">
        <v>0.74444619505277754</v>
      </c>
      <c r="R463" s="126"/>
      <c r="S463" t="s">
        <v>524</v>
      </c>
      <c r="T463" t="s">
        <v>983</v>
      </c>
      <c r="U463" t="s">
        <v>990</v>
      </c>
    </row>
    <row r="464" spans="1:21" x14ac:dyDescent="0.3">
      <c r="A464" t="s">
        <v>402</v>
      </c>
      <c r="B464" s="126">
        <v>2025</v>
      </c>
      <c r="C464" t="s">
        <v>393</v>
      </c>
      <c r="D464" t="s">
        <v>117</v>
      </c>
      <c r="E464" t="s">
        <v>117</v>
      </c>
      <c r="F464">
        <v>3</v>
      </c>
      <c r="G464" s="137">
        <v>5.1424000000000003</v>
      </c>
      <c r="H464" s="138">
        <v>5.1174999999999997</v>
      </c>
      <c r="I464" s="138">
        <v>0.1535</v>
      </c>
      <c r="J464" s="139">
        <v>0.16221498371335888</v>
      </c>
      <c r="K464" s="137">
        <v>4.657</v>
      </c>
      <c r="L464" s="137">
        <v>5.5780000000000003</v>
      </c>
      <c r="M464" t="s">
        <v>520</v>
      </c>
      <c r="N464" t="s">
        <v>525</v>
      </c>
      <c r="P464" s="137">
        <v>0.48656570591110093</v>
      </c>
      <c r="Q464" s="137">
        <v>0.48656570591110093</v>
      </c>
      <c r="R464" s="126"/>
      <c r="S464" t="s">
        <v>524</v>
      </c>
      <c r="T464" t="s">
        <v>983</v>
      </c>
      <c r="U464" t="s">
        <v>991</v>
      </c>
    </row>
    <row r="465" spans="1:21" x14ac:dyDescent="0.3">
      <c r="A465" t="s">
        <v>402</v>
      </c>
      <c r="B465" s="126">
        <v>2025</v>
      </c>
      <c r="C465" t="s">
        <v>393</v>
      </c>
      <c r="D465" t="s">
        <v>117</v>
      </c>
      <c r="E465" t="s">
        <v>117</v>
      </c>
      <c r="F465">
        <v>4</v>
      </c>
      <c r="G465" s="137">
        <v>5.1673999999999998</v>
      </c>
      <c r="H465" s="138">
        <v>5.1304999999999996</v>
      </c>
      <c r="I465" s="138">
        <v>0.15390000000000001</v>
      </c>
      <c r="J465" s="139">
        <v>0.23976608187134602</v>
      </c>
      <c r="K465" s="137">
        <v>4.6688000000000001</v>
      </c>
      <c r="L465" s="137">
        <v>5.5922000000000001</v>
      </c>
      <c r="M465" t="s">
        <v>520</v>
      </c>
      <c r="N465" t="s">
        <v>525</v>
      </c>
      <c r="P465" s="137">
        <v>0.71922814540493429</v>
      </c>
      <c r="Q465" s="137">
        <v>0.71922814540493429</v>
      </c>
      <c r="R465" s="126"/>
      <c r="S465" t="s">
        <v>524</v>
      </c>
      <c r="T465" t="s">
        <v>983</v>
      </c>
      <c r="U465" t="s">
        <v>992</v>
      </c>
    </row>
    <row r="466" spans="1:21" x14ac:dyDescent="0.3">
      <c r="A466" t="s">
        <v>402</v>
      </c>
      <c r="B466" s="126">
        <v>2025</v>
      </c>
      <c r="C466" t="s">
        <v>393</v>
      </c>
      <c r="D466" t="s">
        <v>117</v>
      </c>
      <c r="E466" t="s">
        <v>117</v>
      </c>
      <c r="F466">
        <v>5</v>
      </c>
      <c r="G466" s="137">
        <v>5.1555</v>
      </c>
      <c r="H466" s="138">
        <v>5.1250999999999998</v>
      </c>
      <c r="I466" s="138">
        <v>0.15379999999999999</v>
      </c>
      <c r="J466" s="139">
        <v>0.19765929778933813</v>
      </c>
      <c r="K466" s="137">
        <v>4.6637000000000004</v>
      </c>
      <c r="L466" s="137">
        <v>5.5865</v>
      </c>
      <c r="M466" t="s">
        <v>520</v>
      </c>
      <c r="N466" t="s">
        <v>525</v>
      </c>
      <c r="P466" s="137">
        <v>0.59315915787009443</v>
      </c>
      <c r="Q466" s="137">
        <v>0.59315915787009443</v>
      </c>
      <c r="R466" s="126"/>
      <c r="S466" t="s">
        <v>524</v>
      </c>
      <c r="T466" t="s">
        <v>983</v>
      </c>
      <c r="U466" t="s">
        <v>993</v>
      </c>
    </row>
    <row r="467" spans="1:21" x14ac:dyDescent="0.3">
      <c r="A467" t="s">
        <v>402</v>
      </c>
      <c r="B467" s="126">
        <v>2025</v>
      </c>
      <c r="C467" t="s">
        <v>393</v>
      </c>
      <c r="D467" t="s">
        <v>111</v>
      </c>
      <c r="E467" t="s">
        <v>111</v>
      </c>
      <c r="F467">
        <v>1</v>
      </c>
      <c r="G467" s="137">
        <v>259.41930000000002</v>
      </c>
      <c r="H467" s="138">
        <v>255.0872</v>
      </c>
      <c r="I467" s="138">
        <v>7.6525999999999996</v>
      </c>
      <c r="J467" s="139">
        <v>0.56609518333638575</v>
      </c>
      <c r="K467" s="137">
        <v>232.1294</v>
      </c>
      <c r="L467" s="137">
        <v>278.04500000000002</v>
      </c>
      <c r="M467" t="s">
        <v>520</v>
      </c>
      <c r="N467" t="s">
        <v>525</v>
      </c>
      <c r="P467" s="137">
        <v>1.6982819992535987</v>
      </c>
      <c r="Q467" s="137">
        <v>1.6982819992535987</v>
      </c>
      <c r="R467" s="126"/>
      <c r="S467" t="s">
        <v>524</v>
      </c>
      <c r="T467" t="s">
        <v>983</v>
      </c>
      <c r="U467" t="s">
        <v>994</v>
      </c>
    </row>
    <row r="468" spans="1:21" x14ac:dyDescent="0.3">
      <c r="A468" t="s">
        <v>402</v>
      </c>
      <c r="B468" s="126">
        <v>2025</v>
      </c>
      <c r="C468" t="s">
        <v>393</v>
      </c>
      <c r="D468" t="s">
        <v>111</v>
      </c>
      <c r="E468" t="s">
        <v>111</v>
      </c>
      <c r="F468">
        <v>2</v>
      </c>
      <c r="G468" s="137">
        <v>260.38279999999997</v>
      </c>
      <c r="H468" s="138">
        <v>258.12299999999999</v>
      </c>
      <c r="I468" s="138">
        <v>7.7436999999999996</v>
      </c>
      <c r="J468" s="139">
        <v>0.29182432170667566</v>
      </c>
      <c r="K468" s="137">
        <v>234.89189999999999</v>
      </c>
      <c r="L468" s="137">
        <v>281.35410000000002</v>
      </c>
      <c r="M468" t="s">
        <v>520</v>
      </c>
      <c r="N468" t="s">
        <v>525</v>
      </c>
      <c r="P468" s="137">
        <v>0.87547409568305978</v>
      </c>
      <c r="Q468" s="137">
        <v>0.87547409568305978</v>
      </c>
      <c r="R468" s="126"/>
      <c r="S468" t="s">
        <v>524</v>
      </c>
      <c r="T468" t="s">
        <v>983</v>
      </c>
      <c r="U468" t="s">
        <v>995</v>
      </c>
    </row>
    <row r="469" spans="1:21" x14ac:dyDescent="0.3">
      <c r="A469" t="s">
        <v>402</v>
      </c>
      <c r="B469" s="126">
        <v>2025</v>
      </c>
      <c r="C469" t="s">
        <v>393</v>
      </c>
      <c r="D469" t="s">
        <v>111</v>
      </c>
      <c r="E469" t="s">
        <v>111</v>
      </c>
      <c r="F469">
        <v>3</v>
      </c>
      <c r="G469" s="137">
        <v>256.44690000000003</v>
      </c>
      <c r="H469" s="138">
        <v>254.24019999999999</v>
      </c>
      <c r="I469" s="138">
        <v>7.6272000000000002</v>
      </c>
      <c r="J469" s="139">
        <v>0.28931980281099756</v>
      </c>
      <c r="K469" s="137">
        <v>231.3586</v>
      </c>
      <c r="L469" s="137">
        <v>277.12180000000001</v>
      </c>
      <c r="M469" t="s">
        <v>520</v>
      </c>
      <c r="N469" t="s">
        <v>525</v>
      </c>
      <c r="P469" s="137">
        <v>0.86795872564607823</v>
      </c>
      <c r="Q469" s="137">
        <v>0.86795872564607823</v>
      </c>
      <c r="R469" s="126"/>
      <c r="S469" t="s">
        <v>524</v>
      </c>
      <c r="T469" t="s">
        <v>983</v>
      </c>
      <c r="U469" t="s">
        <v>996</v>
      </c>
    </row>
    <row r="470" spans="1:21" x14ac:dyDescent="0.3">
      <c r="A470" t="s">
        <v>402</v>
      </c>
      <c r="B470" s="126">
        <v>2025</v>
      </c>
      <c r="C470" t="s">
        <v>393</v>
      </c>
      <c r="D470" t="s">
        <v>111</v>
      </c>
      <c r="E470" t="s">
        <v>111</v>
      </c>
      <c r="F470">
        <v>4</v>
      </c>
      <c r="G470" s="137">
        <v>259.21050000000002</v>
      </c>
      <c r="H470" s="138">
        <v>256.45280000000002</v>
      </c>
      <c r="I470" s="138">
        <v>7.6936</v>
      </c>
      <c r="J470" s="139">
        <v>0.3584407819486326</v>
      </c>
      <c r="K470" s="137">
        <v>233.37200000000001</v>
      </c>
      <c r="L470" s="137">
        <v>279.53359999999998</v>
      </c>
      <c r="M470" t="s">
        <v>520</v>
      </c>
      <c r="N470" t="s">
        <v>525</v>
      </c>
      <c r="P470" s="137">
        <v>1.0753245821453303</v>
      </c>
      <c r="Q470" s="137">
        <v>1.0753245821453303</v>
      </c>
      <c r="R470" s="126"/>
      <c r="S470" t="s">
        <v>524</v>
      </c>
      <c r="T470" t="s">
        <v>983</v>
      </c>
      <c r="U470" t="s">
        <v>997</v>
      </c>
    </row>
    <row r="471" spans="1:21" x14ac:dyDescent="0.3">
      <c r="A471" t="s">
        <v>402</v>
      </c>
      <c r="B471" s="126">
        <v>2025</v>
      </c>
      <c r="C471" t="s">
        <v>393</v>
      </c>
      <c r="D471" t="s">
        <v>111</v>
      </c>
      <c r="E471" t="s">
        <v>111</v>
      </c>
      <c r="F471">
        <v>5</v>
      </c>
      <c r="G471" s="137">
        <v>257.64240000000001</v>
      </c>
      <c r="H471" s="138">
        <v>256.90460000000002</v>
      </c>
      <c r="I471" s="138">
        <v>7.7070999999999996</v>
      </c>
      <c r="J471" s="139">
        <v>9.5729911380414548E-2</v>
      </c>
      <c r="K471" s="137">
        <v>233.7833</v>
      </c>
      <c r="L471" s="137">
        <v>280.02589999999998</v>
      </c>
      <c r="M471" t="s">
        <v>520</v>
      </c>
      <c r="N471" t="s">
        <v>525</v>
      </c>
      <c r="P471" s="137">
        <v>0.28718831815389556</v>
      </c>
      <c r="Q471" s="137">
        <v>0.28718831815389556</v>
      </c>
      <c r="R471" s="126"/>
      <c r="S471" t="s">
        <v>524</v>
      </c>
      <c r="T471" t="s">
        <v>983</v>
      </c>
      <c r="U471" t="s">
        <v>998</v>
      </c>
    </row>
    <row r="472" spans="1:21" x14ac:dyDescent="0.3">
      <c r="A472" t="s">
        <v>402</v>
      </c>
      <c r="B472" s="126">
        <v>2025</v>
      </c>
      <c r="C472" t="s">
        <v>393</v>
      </c>
      <c r="D472" t="s">
        <v>120</v>
      </c>
      <c r="E472" t="s">
        <v>120</v>
      </c>
      <c r="F472">
        <v>1</v>
      </c>
      <c r="G472" s="137">
        <v>72.783000000000001</v>
      </c>
      <c r="H472" s="138">
        <v>72.162199999999999</v>
      </c>
      <c r="I472" s="138">
        <v>2.1648999999999998</v>
      </c>
      <c r="J472" s="139">
        <v>0.28675689408286881</v>
      </c>
      <c r="K472" s="137">
        <v>65.667500000000004</v>
      </c>
      <c r="L472" s="137">
        <v>78.656899999999993</v>
      </c>
      <c r="M472" t="s">
        <v>520</v>
      </c>
      <c r="N472" t="s">
        <v>525</v>
      </c>
      <c r="P472" s="137">
        <v>0.86028419310941562</v>
      </c>
      <c r="Q472" s="137">
        <v>0.86028419310941562</v>
      </c>
      <c r="R472" s="126"/>
      <c r="S472" t="s">
        <v>524</v>
      </c>
      <c r="T472" t="s">
        <v>983</v>
      </c>
      <c r="U472" t="s">
        <v>999</v>
      </c>
    </row>
    <row r="473" spans="1:21" x14ac:dyDescent="0.3">
      <c r="A473" t="s">
        <v>402</v>
      </c>
      <c r="B473" s="126">
        <v>2025</v>
      </c>
      <c r="C473" t="s">
        <v>393</v>
      </c>
      <c r="D473" t="s">
        <v>120</v>
      </c>
      <c r="E473" t="s">
        <v>120</v>
      </c>
      <c r="F473">
        <v>2</v>
      </c>
      <c r="G473" s="137">
        <v>72.738699999999994</v>
      </c>
      <c r="H473" s="138">
        <v>72.4161</v>
      </c>
      <c r="I473" s="138">
        <v>2.1724999999999999</v>
      </c>
      <c r="J473" s="139">
        <v>0.14849252013808711</v>
      </c>
      <c r="K473" s="137">
        <v>65.898600000000002</v>
      </c>
      <c r="L473" s="137">
        <v>78.933599999999998</v>
      </c>
      <c r="M473" t="s">
        <v>520</v>
      </c>
      <c r="N473" t="s">
        <v>525</v>
      </c>
      <c r="P473" s="137">
        <v>0.44548104634189667</v>
      </c>
      <c r="Q473" s="137">
        <v>0.44548104634189667</v>
      </c>
      <c r="R473" s="126"/>
      <c r="S473" t="s">
        <v>524</v>
      </c>
      <c r="T473" t="s">
        <v>983</v>
      </c>
      <c r="U473" t="s">
        <v>1000</v>
      </c>
    </row>
    <row r="474" spans="1:21" x14ac:dyDescent="0.3">
      <c r="A474" t="s">
        <v>402</v>
      </c>
      <c r="B474" s="126">
        <v>2025</v>
      </c>
      <c r="C474" t="s">
        <v>393</v>
      </c>
      <c r="D474" t="s">
        <v>120</v>
      </c>
      <c r="E474" t="s">
        <v>120</v>
      </c>
      <c r="F474">
        <v>3</v>
      </c>
      <c r="G474" s="137">
        <v>72.252700000000004</v>
      </c>
      <c r="H474" s="138">
        <v>71.478899999999996</v>
      </c>
      <c r="I474" s="138">
        <v>2.1444000000000001</v>
      </c>
      <c r="J474" s="139">
        <v>0.36084685692968121</v>
      </c>
      <c r="K474" s="137">
        <v>65.045699999999997</v>
      </c>
      <c r="L474" s="137">
        <v>77.912099999999995</v>
      </c>
      <c r="M474" t="s">
        <v>520</v>
      </c>
      <c r="N474" t="s">
        <v>525</v>
      </c>
      <c r="P474" s="137">
        <v>1.0825572301756303</v>
      </c>
      <c r="Q474" s="137">
        <v>1.0825572301756303</v>
      </c>
      <c r="R474" s="126"/>
      <c r="S474" t="s">
        <v>524</v>
      </c>
      <c r="T474" t="s">
        <v>983</v>
      </c>
      <c r="U474" t="s">
        <v>1001</v>
      </c>
    </row>
    <row r="475" spans="1:21" x14ac:dyDescent="0.3">
      <c r="A475" t="s">
        <v>402</v>
      </c>
      <c r="B475" s="126">
        <v>2025</v>
      </c>
      <c r="C475" t="s">
        <v>393</v>
      </c>
      <c r="D475" t="s">
        <v>120</v>
      </c>
      <c r="E475" t="s">
        <v>120</v>
      </c>
      <c r="F475">
        <v>4</v>
      </c>
      <c r="G475" s="137">
        <v>73.298900000000003</v>
      </c>
      <c r="H475" s="138">
        <v>72.544799999999995</v>
      </c>
      <c r="I475" s="138">
        <v>2.1762999999999999</v>
      </c>
      <c r="J475" s="139">
        <v>0.3465055369204651</v>
      </c>
      <c r="K475" s="137">
        <v>66.015900000000002</v>
      </c>
      <c r="L475" s="137">
        <v>79.073700000000002</v>
      </c>
      <c r="M475" t="s">
        <v>520</v>
      </c>
      <c r="N475" t="s">
        <v>525</v>
      </c>
      <c r="P475" s="137">
        <v>1.0394955944464777</v>
      </c>
      <c r="Q475" s="137">
        <v>1.0394955944464777</v>
      </c>
      <c r="R475" s="126"/>
      <c r="S475" t="s">
        <v>524</v>
      </c>
      <c r="T475" t="s">
        <v>983</v>
      </c>
      <c r="U475" t="s">
        <v>1002</v>
      </c>
    </row>
    <row r="476" spans="1:21" x14ac:dyDescent="0.3">
      <c r="A476" t="s">
        <v>402</v>
      </c>
      <c r="B476" s="126">
        <v>2025</v>
      </c>
      <c r="C476" t="s">
        <v>393</v>
      </c>
      <c r="D476" t="s">
        <v>120</v>
      </c>
      <c r="E476" t="s">
        <v>120</v>
      </c>
      <c r="F476">
        <v>5</v>
      </c>
      <c r="G476" s="137">
        <v>73.83</v>
      </c>
      <c r="H476" s="138">
        <v>73.533199999999994</v>
      </c>
      <c r="I476" s="138">
        <v>2.206</v>
      </c>
      <c r="J476" s="139">
        <v>0.13454215775158868</v>
      </c>
      <c r="K476" s="137">
        <v>66.915199999999999</v>
      </c>
      <c r="L476" s="137">
        <v>80.151200000000003</v>
      </c>
      <c r="M476" t="s">
        <v>520</v>
      </c>
      <c r="N476" t="s">
        <v>525</v>
      </c>
      <c r="P476" s="137">
        <v>0.40362720512639821</v>
      </c>
      <c r="Q476" s="137">
        <v>0.40362720512639821</v>
      </c>
      <c r="R476" s="126"/>
      <c r="S476" t="s">
        <v>524</v>
      </c>
      <c r="T476" t="s">
        <v>983</v>
      </c>
      <c r="U476" t="s">
        <v>1003</v>
      </c>
    </row>
    <row r="477" spans="1:21" x14ac:dyDescent="0.3">
      <c r="A477" t="s">
        <v>402</v>
      </c>
      <c r="B477" s="126">
        <v>2025</v>
      </c>
      <c r="C477" t="s">
        <v>393</v>
      </c>
      <c r="D477" t="s">
        <v>115</v>
      </c>
      <c r="E477" t="s">
        <v>115</v>
      </c>
      <c r="F477">
        <v>1</v>
      </c>
      <c r="G477" s="137">
        <v>79.342100000000002</v>
      </c>
      <c r="H477" s="138">
        <v>78.6999</v>
      </c>
      <c r="I477" s="138">
        <v>2.3610000000000002</v>
      </c>
      <c r="J477" s="139">
        <v>0.27200338839474902</v>
      </c>
      <c r="K477" s="137">
        <v>71.616900000000001</v>
      </c>
      <c r="L477" s="137">
        <v>85.782899999999998</v>
      </c>
      <c r="M477" t="s">
        <v>520</v>
      </c>
      <c r="N477" t="s">
        <v>525</v>
      </c>
      <c r="P477" s="137">
        <v>0.81601120204727384</v>
      </c>
      <c r="Q477" s="137">
        <v>0.81601120204727384</v>
      </c>
      <c r="R477" s="126"/>
      <c r="S477" t="s">
        <v>524</v>
      </c>
      <c r="T477" t="s">
        <v>983</v>
      </c>
      <c r="U477" t="s">
        <v>1004</v>
      </c>
    </row>
    <row r="478" spans="1:21" x14ac:dyDescent="0.3">
      <c r="A478" t="s">
        <v>402</v>
      </c>
      <c r="B478" s="126">
        <v>2025</v>
      </c>
      <c r="C478" t="s">
        <v>393</v>
      </c>
      <c r="D478" t="s">
        <v>115</v>
      </c>
      <c r="E478" t="s">
        <v>115</v>
      </c>
      <c r="F478">
        <v>2</v>
      </c>
      <c r="G478" s="137">
        <v>78.224100000000007</v>
      </c>
      <c r="H478" s="138">
        <v>77.42</v>
      </c>
      <c r="I478" s="138">
        <v>2.3226</v>
      </c>
      <c r="J478" s="139">
        <v>0.34620683716524814</v>
      </c>
      <c r="K478" s="137">
        <v>70.452200000000005</v>
      </c>
      <c r="L478" s="137">
        <v>84.387799999999999</v>
      </c>
      <c r="M478" t="s">
        <v>520</v>
      </c>
      <c r="N478" t="s">
        <v>525</v>
      </c>
      <c r="P478" s="137">
        <v>1.0386205114957443</v>
      </c>
      <c r="Q478" s="137">
        <v>1.0386205114957443</v>
      </c>
      <c r="R478" s="126"/>
      <c r="S478" t="s">
        <v>524</v>
      </c>
      <c r="T478" t="s">
        <v>983</v>
      </c>
      <c r="U478" t="s">
        <v>1005</v>
      </c>
    </row>
    <row r="479" spans="1:21" x14ac:dyDescent="0.3">
      <c r="A479" t="s">
        <v>402</v>
      </c>
      <c r="B479" s="126">
        <v>2025</v>
      </c>
      <c r="C479" t="s">
        <v>393</v>
      </c>
      <c r="D479" t="s">
        <v>115</v>
      </c>
      <c r="E479" t="s">
        <v>115</v>
      </c>
      <c r="F479">
        <v>3</v>
      </c>
      <c r="G479" s="137">
        <v>79.181600000000003</v>
      </c>
      <c r="H479" s="138">
        <v>78.559399999999997</v>
      </c>
      <c r="I479" s="138">
        <v>2.3567999999999998</v>
      </c>
      <c r="J479" s="139">
        <v>0.26400203665988059</v>
      </c>
      <c r="K479" s="137">
        <v>71.489000000000004</v>
      </c>
      <c r="L479" s="137">
        <v>85.629800000000003</v>
      </c>
      <c r="M479" t="s">
        <v>520</v>
      </c>
      <c r="N479" t="s">
        <v>525</v>
      </c>
      <c r="P479" s="137">
        <v>0.79201215895234256</v>
      </c>
      <c r="Q479" s="137">
        <v>0.79201215895234256</v>
      </c>
      <c r="R479" s="126"/>
      <c r="S479" t="s">
        <v>524</v>
      </c>
      <c r="T479" t="s">
        <v>983</v>
      </c>
      <c r="U479" t="s">
        <v>1006</v>
      </c>
    </row>
    <row r="480" spans="1:21" x14ac:dyDescent="0.3">
      <c r="A480" t="s">
        <v>402</v>
      </c>
      <c r="B480" s="126">
        <v>2025</v>
      </c>
      <c r="C480" t="s">
        <v>393</v>
      </c>
      <c r="D480" t="s">
        <v>115</v>
      </c>
      <c r="E480" t="s">
        <v>115</v>
      </c>
      <c r="F480">
        <v>4</v>
      </c>
      <c r="G480" s="137">
        <v>79.4251</v>
      </c>
      <c r="H480" s="138">
        <v>78.424800000000005</v>
      </c>
      <c r="I480" s="138">
        <v>2.3527</v>
      </c>
      <c r="J480" s="139">
        <v>0.42517108003570186</v>
      </c>
      <c r="K480" s="137">
        <v>71.366699999999994</v>
      </c>
      <c r="L480" s="137">
        <v>85.482900000000001</v>
      </c>
      <c r="M480" t="s">
        <v>520</v>
      </c>
      <c r="N480" t="s">
        <v>525</v>
      </c>
      <c r="P480" s="137">
        <v>1.2754893860105423</v>
      </c>
      <c r="Q480" s="137">
        <v>1.2754893860105423</v>
      </c>
      <c r="R480" s="126"/>
      <c r="S480" t="s">
        <v>524</v>
      </c>
      <c r="T480" t="s">
        <v>983</v>
      </c>
      <c r="U480" t="s">
        <v>1007</v>
      </c>
    </row>
    <row r="481" spans="1:21" x14ac:dyDescent="0.3">
      <c r="A481" t="s">
        <v>402</v>
      </c>
      <c r="B481" s="126">
        <v>2025</v>
      </c>
      <c r="C481" t="s">
        <v>393</v>
      </c>
      <c r="D481" t="s">
        <v>115</v>
      </c>
      <c r="E481" t="s">
        <v>115</v>
      </c>
      <c r="F481">
        <v>5</v>
      </c>
      <c r="G481" s="137">
        <v>78.311199999999999</v>
      </c>
      <c r="H481" s="138">
        <v>77.8386</v>
      </c>
      <c r="I481" s="138">
        <v>2.3351999999999999</v>
      </c>
      <c r="J481" s="139">
        <v>0.20238095238095236</v>
      </c>
      <c r="K481" s="137">
        <v>70.832999999999998</v>
      </c>
      <c r="L481" s="137">
        <v>84.844200000000001</v>
      </c>
      <c r="M481" t="s">
        <v>520</v>
      </c>
      <c r="N481" t="s">
        <v>525</v>
      </c>
      <c r="P481" s="137">
        <v>0.60715377717482066</v>
      </c>
      <c r="Q481" s="137">
        <v>0.60715377717482066</v>
      </c>
      <c r="R481" s="126"/>
      <c r="S481" t="s">
        <v>524</v>
      </c>
      <c r="T481" t="s">
        <v>983</v>
      </c>
      <c r="U481" t="s">
        <v>1008</v>
      </c>
    </row>
    <row r="482" spans="1:21" x14ac:dyDescent="0.3">
      <c r="A482" t="s">
        <v>402</v>
      </c>
      <c r="B482" s="126">
        <v>2025</v>
      </c>
      <c r="C482" t="s">
        <v>393</v>
      </c>
      <c r="D482" t="s">
        <v>118</v>
      </c>
      <c r="E482" t="s">
        <v>118</v>
      </c>
      <c r="F482">
        <v>1</v>
      </c>
      <c r="G482" s="137">
        <v>9.7314000000000007</v>
      </c>
      <c r="H482" s="138">
        <v>9.6921999999999997</v>
      </c>
      <c r="I482" s="138">
        <v>0.2908</v>
      </c>
      <c r="J482" s="139">
        <v>0.13480055020633086</v>
      </c>
      <c r="K482" s="137">
        <v>8.8198000000000008</v>
      </c>
      <c r="L482" s="137">
        <v>10.5646</v>
      </c>
      <c r="M482" t="s">
        <v>520</v>
      </c>
      <c r="N482" t="s">
        <v>525</v>
      </c>
      <c r="P482" s="137">
        <v>0.40444893832154732</v>
      </c>
      <c r="Q482" s="137">
        <v>0.40444893832154732</v>
      </c>
      <c r="R482" s="126"/>
      <c r="S482" t="s">
        <v>524</v>
      </c>
      <c r="T482" t="s">
        <v>983</v>
      </c>
      <c r="U482" t="s">
        <v>1009</v>
      </c>
    </row>
    <row r="483" spans="1:21" x14ac:dyDescent="0.3">
      <c r="A483" t="s">
        <v>402</v>
      </c>
      <c r="B483" s="126">
        <v>2025</v>
      </c>
      <c r="C483" t="s">
        <v>393</v>
      </c>
      <c r="D483" t="s">
        <v>118</v>
      </c>
      <c r="E483" t="s">
        <v>118</v>
      </c>
      <c r="F483">
        <v>2</v>
      </c>
      <c r="G483" s="137">
        <v>9.6148000000000007</v>
      </c>
      <c r="H483" s="138">
        <v>9.4453999999999994</v>
      </c>
      <c r="I483" s="138">
        <v>0.28339999999999999</v>
      </c>
      <c r="J483" s="139">
        <v>0.5977417078334557</v>
      </c>
      <c r="K483" s="137">
        <v>8.5952000000000002</v>
      </c>
      <c r="L483" s="137">
        <v>10.2956</v>
      </c>
      <c r="M483" t="s">
        <v>520</v>
      </c>
      <c r="N483" t="s">
        <v>525</v>
      </c>
      <c r="P483" s="137">
        <v>1.7934656023037812</v>
      </c>
      <c r="Q483" s="137">
        <v>1.7934656023037812</v>
      </c>
      <c r="R483" s="126"/>
      <c r="S483" t="s">
        <v>524</v>
      </c>
      <c r="T483" t="s">
        <v>983</v>
      </c>
      <c r="U483" t="s">
        <v>1010</v>
      </c>
    </row>
    <row r="484" spans="1:21" x14ac:dyDescent="0.3">
      <c r="A484" t="s">
        <v>402</v>
      </c>
      <c r="B484" s="126">
        <v>2025</v>
      </c>
      <c r="C484" t="s">
        <v>393</v>
      </c>
      <c r="D484" t="s">
        <v>118</v>
      </c>
      <c r="E484" t="s">
        <v>118</v>
      </c>
      <c r="F484">
        <v>3</v>
      </c>
      <c r="G484" s="137">
        <v>9.8079000000000001</v>
      </c>
      <c r="H484" s="138">
        <v>9.65</v>
      </c>
      <c r="I484" s="138">
        <v>0.28949999999999998</v>
      </c>
      <c r="J484" s="139">
        <v>0.54542314335060349</v>
      </c>
      <c r="K484" s="137">
        <v>8.7814999999999994</v>
      </c>
      <c r="L484" s="137">
        <v>10.5185</v>
      </c>
      <c r="M484" t="s">
        <v>520</v>
      </c>
      <c r="N484" t="s">
        <v>525</v>
      </c>
      <c r="P484" s="137">
        <v>1.6362694300518104</v>
      </c>
      <c r="Q484" s="137">
        <v>1.6362694300518104</v>
      </c>
      <c r="R484" s="126"/>
      <c r="S484" t="s">
        <v>524</v>
      </c>
      <c r="T484" t="s">
        <v>983</v>
      </c>
      <c r="U484" t="s">
        <v>1011</v>
      </c>
    </row>
    <row r="485" spans="1:21" x14ac:dyDescent="0.3">
      <c r="A485" t="s">
        <v>402</v>
      </c>
      <c r="B485" s="126">
        <v>2025</v>
      </c>
      <c r="C485" t="s">
        <v>393</v>
      </c>
      <c r="D485" t="s">
        <v>118</v>
      </c>
      <c r="E485" t="s">
        <v>118</v>
      </c>
      <c r="F485">
        <v>4</v>
      </c>
      <c r="G485" s="137">
        <v>9.5768000000000004</v>
      </c>
      <c r="H485" s="138">
        <v>9.4291</v>
      </c>
      <c r="I485" s="138">
        <v>0.28289999999999998</v>
      </c>
      <c r="J485" s="139">
        <v>0.52209261223047154</v>
      </c>
      <c r="K485" s="137">
        <v>8.5803999999999991</v>
      </c>
      <c r="L485" s="137">
        <v>10.277799999999999</v>
      </c>
      <c r="M485" t="s">
        <v>520</v>
      </c>
      <c r="N485" t="s">
        <v>525</v>
      </c>
      <c r="P485" s="137">
        <v>1.5664273366493131</v>
      </c>
      <c r="Q485" s="137">
        <v>1.5664273366493131</v>
      </c>
      <c r="R485" s="126"/>
      <c r="S485" t="s">
        <v>524</v>
      </c>
      <c r="T485" t="s">
        <v>983</v>
      </c>
      <c r="U485" t="s">
        <v>1012</v>
      </c>
    </row>
    <row r="486" spans="1:21" x14ac:dyDescent="0.3">
      <c r="A486" t="s">
        <v>402</v>
      </c>
      <c r="B486" s="126">
        <v>2025</v>
      </c>
      <c r="C486" t="s">
        <v>393</v>
      </c>
      <c r="D486" t="s">
        <v>118</v>
      </c>
      <c r="E486" t="s">
        <v>118</v>
      </c>
      <c r="F486">
        <v>5</v>
      </c>
      <c r="G486" s="137">
        <v>9.6204999999999998</v>
      </c>
      <c r="H486" s="138">
        <v>9.4984000000000002</v>
      </c>
      <c r="I486" s="138">
        <v>0.28499999999999998</v>
      </c>
      <c r="J486" s="139">
        <v>0.42842105263157776</v>
      </c>
      <c r="K486" s="137">
        <v>8.6433999999999997</v>
      </c>
      <c r="L486" s="137">
        <v>10.353400000000001</v>
      </c>
      <c r="M486" t="s">
        <v>520</v>
      </c>
      <c r="N486" t="s">
        <v>525</v>
      </c>
      <c r="P486" s="137">
        <v>1.2854796597321618</v>
      </c>
      <c r="Q486" s="137">
        <v>1.2854796597321618</v>
      </c>
      <c r="R486" s="126"/>
      <c r="S486" t="s">
        <v>524</v>
      </c>
      <c r="T486" t="s">
        <v>983</v>
      </c>
      <c r="U486" t="s">
        <v>1013</v>
      </c>
    </row>
    <row r="487" spans="1:21" x14ac:dyDescent="0.3">
      <c r="A487" t="s">
        <v>402</v>
      </c>
      <c r="B487" s="126">
        <v>2025</v>
      </c>
      <c r="C487" t="s">
        <v>394</v>
      </c>
      <c r="D487" t="s">
        <v>119</v>
      </c>
      <c r="E487" t="s">
        <v>119</v>
      </c>
      <c r="F487">
        <v>1</v>
      </c>
      <c r="G487" s="137">
        <v>250.80529999999999</v>
      </c>
      <c r="H487" s="138">
        <v>249.54750000000001</v>
      </c>
      <c r="I487" s="138">
        <v>7.4863999999999997</v>
      </c>
      <c r="J487" s="139">
        <v>0.16801132720666473</v>
      </c>
      <c r="K487" s="137">
        <v>227.0883</v>
      </c>
      <c r="L487" s="137">
        <v>272.00670000000002</v>
      </c>
      <c r="M487" t="s">
        <v>520</v>
      </c>
      <c r="N487" t="s">
        <v>525</v>
      </c>
      <c r="P487" s="137">
        <v>0.50403229846020281</v>
      </c>
      <c r="Q487" s="137">
        <v>0.50403229846020281</v>
      </c>
      <c r="R487" s="126"/>
      <c r="S487" t="s">
        <v>524</v>
      </c>
      <c r="T487" t="s">
        <v>983</v>
      </c>
      <c r="U487" t="s">
        <v>1014</v>
      </c>
    </row>
    <row r="488" spans="1:21" x14ac:dyDescent="0.3">
      <c r="A488" t="s">
        <v>402</v>
      </c>
      <c r="B488" s="126">
        <v>2025</v>
      </c>
      <c r="C488" t="s">
        <v>394</v>
      </c>
      <c r="D488" t="s">
        <v>119</v>
      </c>
      <c r="E488" t="s">
        <v>119</v>
      </c>
      <c r="F488">
        <v>2</v>
      </c>
      <c r="G488" s="137">
        <v>259.38589999999999</v>
      </c>
      <c r="H488" s="138">
        <v>257.02960000000002</v>
      </c>
      <c r="I488" s="138">
        <v>7.7108999999999996</v>
      </c>
      <c r="J488" s="139">
        <v>0.30558041214384524</v>
      </c>
      <c r="K488" s="137">
        <v>233.89689999999999</v>
      </c>
      <c r="L488" s="137">
        <v>280.16230000000002</v>
      </c>
      <c r="M488" t="s">
        <v>520</v>
      </c>
      <c r="N488" t="s">
        <v>525</v>
      </c>
      <c r="P488" s="137">
        <v>0.91674266310182784</v>
      </c>
      <c r="Q488" s="137">
        <v>0.91674266310182784</v>
      </c>
      <c r="R488" s="126"/>
      <c r="S488" t="s">
        <v>524</v>
      </c>
      <c r="T488" t="s">
        <v>983</v>
      </c>
      <c r="U488" t="s">
        <v>1015</v>
      </c>
    </row>
    <row r="489" spans="1:21" x14ac:dyDescent="0.3">
      <c r="A489" t="s">
        <v>402</v>
      </c>
      <c r="B489" s="126">
        <v>2025</v>
      </c>
      <c r="C489" t="s">
        <v>394</v>
      </c>
      <c r="D489" t="s">
        <v>119</v>
      </c>
      <c r="E489" t="s">
        <v>119</v>
      </c>
      <c r="F489">
        <v>3</v>
      </c>
      <c r="G489" s="137">
        <v>260.2242</v>
      </c>
      <c r="H489" s="138">
        <v>256.47879999999998</v>
      </c>
      <c r="I489" s="138">
        <v>7.6943999999999999</v>
      </c>
      <c r="J489" s="139">
        <v>0.48676959866916431</v>
      </c>
      <c r="K489" s="137">
        <v>233.3956</v>
      </c>
      <c r="L489" s="137">
        <v>279.56200000000001</v>
      </c>
      <c r="M489" t="s">
        <v>520</v>
      </c>
      <c r="N489" t="s">
        <v>525</v>
      </c>
      <c r="P489" s="137">
        <v>1.4603156284262162</v>
      </c>
      <c r="Q489" s="137">
        <v>1.4603156284262162</v>
      </c>
      <c r="R489" s="126"/>
      <c r="S489" t="s">
        <v>524</v>
      </c>
      <c r="T489" t="s">
        <v>983</v>
      </c>
      <c r="U489" t="s">
        <v>1016</v>
      </c>
    </row>
    <row r="490" spans="1:21" x14ac:dyDescent="0.3">
      <c r="A490" t="s">
        <v>402</v>
      </c>
      <c r="B490" s="126">
        <v>2025</v>
      </c>
      <c r="C490" t="s">
        <v>394</v>
      </c>
      <c r="D490" t="s">
        <v>119</v>
      </c>
      <c r="E490" t="s">
        <v>119</v>
      </c>
      <c r="F490">
        <v>4</v>
      </c>
      <c r="G490" s="137">
        <v>262.47910000000002</v>
      </c>
      <c r="H490" s="138">
        <v>258.37180000000001</v>
      </c>
      <c r="I490" s="138">
        <v>7.7511999999999999</v>
      </c>
      <c r="J490" s="139">
        <v>0.52989214573227494</v>
      </c>
      <c r="K490" s="137">
        <v>235.1182</v>
      </c>
      <c r="L490" s="137">
        <v>281.62540000000001</v>
      </c>
      <c r="M490" t="s">
        <v>520</v>
      </c>
      <c r="N490" t="s">
        <v>525</v>
      </c>
      <c r="P490" s="137">
        <v>1.5896858712909108</v>
      </c>
      <c r="Q490" s="137">
        <v>1.5896858712909108</v>
      </c>
      <c r="R490" s="126"/>
      <c r="S490" t="s">
        <v>524</v>
      </c>
      <c r="T490" t="s">
        <v>983</v>
      </c>
      <c r="U490" t="s">
        <v>1017</v>
      </c>
    </row>
    <row r="491" spans="1:21" x14ac:dyDescent="0.3">
      <c r="A491" t="s">
        <v>402</v>
      </c>
      <c r="B491" s="126">
        <v>2025</v>
      </c>
      <c r="C491" t="s">
        <v>394</v>
      </c>
      <c r="D491" t="s">
        <v>119</v>
      </c>
      <c r="E491" t="s">
        <v>119</v>
      </c>
      <c r="F491">
        <v>5</v>
      </c>
      <c r="G491" s="137">
        <v>260.54629999999997</v>
      </c>
      <c r="H491" s="138">
        <v>257.5933</v>
      </c>
      <c r="I491" s="138">
        <v>7.7278000000000002</v>
      </c>
      <c r="J491" s="139">
        <v>0.38212686663733203</v>
      </c>
      <c r="K491" s="137">
        <v>234.40989999999999</v>
      </c>
      <c r="L491" s="137">
        <v>280.77670000000001</v>
      </c>
      <c r="M491" t="s">
        <v>520</v>
      </c>
      <c r="N491" t="s">
        <v>525</v>
      </c>
      <c r="P491" s="137">
        <v>1.1463807482570294</v>
      </c>
      <c r="Q491" s="137">
        <v>1.1463807482570294</v>
      </c>
      <c r="R491" s="126"/>
      <c r="S491" t="s">
        <v>524</v>
      </c>
      <c r="T491" t="s">
        <v>983</v>
      </c>
      <c r="U491" t="s">
        <v>1018</v>
      </c>
    </row>
    <row r="492" spans="1:21" x14ac:dyDescent="0.3">
      <c r="A492" t="s">
        <v>402</v>
      </c>
      <c r="B492" s="126">
        <v>2025</v>
      </c>
      <c r="C492" t="s">
        <v>394</v>
      </c>
      <c r="D492" t="s">
        <v>117</v>
      </c>
      <c r="E492" t="s">
        <v>117</v>
      </c>
      <c r="F492">
        <v>1</v>
      </c>
      <c r="G492" s="137">
        <v>5.2034000000000002</v>
      </c>
      <c r="H492" s="138">
        <v>5.1554000000000002</v>
      </c>
      <c r="I492" s="138">
        <v>0.1547</v>
      </c>
      <c r="J492" s="139">
        <v>0.31027795733678115</v>
      </c>
      <c r="K492" s="137">
        <v>4.6913</v>
      </c>
      <c r="L492" s="137">
        <v>5.6195000000000004</v>
      </c>
      <c r="M492" t="s">
        <v>520</v>
      </c>
      <c r="N492" t="s">
        <v>525</v>
      </c>
      <c r="P492" s="137">
        <v>0.93106257516390667</v>
      </c>
      <c r="Q492" s="137">
        <v>0.93106257516390667</v>
      </c>
      <c r="R492" s="126"/>
      <c r="S492" t="s">
        <v>524</v>
      </c>
      <c r="T492" t="s">
        <v>983</v>
      </c>
      <c r="U492" t="s">
        <v>1019</v>
      </c>
    </row>
    <row r="493" spans="1:21" x14ac:dyDescent="0.3">
      <c r="A493" t="s">
        <v>402</v>
      </c>
      <c r="B493" s="126">
        <v>2025</v>
      </c>
      <c r="C493" t="s">
        <v>394</v>
      </c>
      <c r="D493" t="s">
        <v>117</v>
      </c>
      <c r="E493" t="s">
        <v>117</v>
      </c>
      <c r="F493">
        <v>2</v>
      </c>
      <c r="G493" s="137">
        <v>5.1387</v>
      </c>
      <c r="H493" s="138">
        <v>5.0909000000000004</v>
      </c>
      <c r="I493" s="138">
        <v>0.1527</v>
      </c>
      <c r="J493" s="139">
        <v>0.31303208906352076</v>
      </c>
      <c r="K493" s="137">
        <v>4.6327999999999996</v>
      </c>
      <c r="L493" s="137">
        <v>5.5490000000000004</v>
      </c>
      <c r="M493" t="s">
        <v>520</v>
      </c>
      <c r="N493" t="s">
        <v>525</v>
      </c>
      <c r="P493" s="137">
        <v>0.93893024808972114</v>
      </c>
      <c r="Q493" s="137">
        <v>0.93893024808972114</v>
      </c>
      <c r="R493" s="126"/>
      <c r="S493" t="s">
        <v>524</v>
      </c>
      <c r="T493" t="s">
        <v>983</v>
      </c>
      <c r="U493" t="s">
        <v>1020</v>
      </c>
    </row>
    <row r="494" spans="1:21" x14ac:dyDescent="0.3">
      <c r="A494" t="s">
        <v>402</v>
      </c>
      <c r="B494" s="126">
        <v>2025</v>
      </c>
      <c r="C494" t="s">
        <v>394</v>
      </c>
      <c r="D494" t="s">
        <v>117</v>
      </c>
      <c r="E494" t="s">
        <v>117</v>
      </c>
      <c r="F494">
        <v>3</v>
      </c>
      <c r="G494" s="137">
        <v>5.2306999999999997</v>
      </c>
      <c r="H494" s="138">
        <v>5.1642000000000001</v>
      </c>
      <c r="I494" s="138">
        <v>0.15490000000000001</v>
      </c>
      <c r="J494" s="139">
        <v>0.42930923176242453</v>
      </c>
      <c r="K494" s="137">
        <v>4.6994999999999996</v>
      </c>
      <c r="L494" s="137">
        <v>5.6288999999999998</v>
      </c>
      <c r="M494" t="s">
        <v>520</v>
      </c>
      <c r="N494" t="s">
        <v>525</v>
      </c>
      <c r="P494" s="137">
        <v>1.2877115526122063</v>
      </c>
      <c r="Q494" s="137">
        <v>1.2877115526122063</v>
      </c>
      <c r="R494" s="126"/>
      <c r="S494" t="s">
        <v>524</v>
      </c>
      <c r="T494" t="s">
        <v>983</v>
      </c>
      <c r="U494" t="s">
        <v>1021</v>
      </c>
    </row>
    <row r="495" spans="1:21" x14ac:dyDescent="0.3">
      <c r="A495" t="s">
        <v>402</v>
      </c>
      <c r="B495" s="126">
        <v>2025</v>
      </c>
      <c r="C495" t="s">
        <v>394</v>
      </c>
      <c r="D495" t="s">
        <v>117</v>
      </c>
      <c r="E495" t="s">
        <v>117</v>
      </c>
      <c r="F495">
        <v>4</v>
      </c>
      <c r="G495" s="137">
        <v>5.0705999999999998</v>
      </c>
      <c r="H495" s="138">
        <v>5.0197000000000003</v>
      </c>
      <c r="I495" s="138">
        <v>0.15060000000000001</v>
      </c>
      <c r="J495" s="139">
        <v>0.33798140770251989</v>
      </c>
      <c r="K495" s="137">
        <v>4.5678999999999998</v>
      </c>
      <c r="L495" s="137">
        <v>5.4714999999999998</v>
      </c>
      <c r="M495" t="s">
        <v>520</v>
      </c>
      <c r="N495" t="s">
        <v>525</v>
      </c>
      <c r="P495" s="137">
        <v>1.0140048210052295</v>
      </c>
      <c r="Q495" s="137">
        <v>1.0140048210052295</v>
      </c>
      <c r="R495" s="126"/>
      <c r="S495" t="s">
        <v>524</v>
      </c>
      <c r="T495" t="s">
        <v>983</v>
      </c>
      <c r="U495" t="s">
        <v>1022</v>
      </c>
    </row>
    <row r="496" spans="1:21" x14ac:dyDescent="0.3">
      <c r="A496" t="s">
        <v>402</v>
      </c>
      <c r="B496" s="126">
        <v>2025</v>
      </c>
      <c r="C496" t="s">
        <v>394</v>
      </c>
      <c r="D496" t="s">
        <v>117</v>
      </c>
      <c r="E496" t="s">
        <v>117</v>
      </c>
      <c r="F496">
        <v>5</v>
      </c>
      <c r="G496" s="137">
        <v>5.1607000000000003</v>
      </c>
      <c r="H496" s="138">
        <v>5.1237000000000004</v>
      </c>
      <c r="I496" s="138">
        <v>0.1537</v>
      </c>
      <c r="J496" s="139">
        <v>0.24072869225764426</v>
      </c>
      <c r="K496" s="137">
        <v>4.6626000000000003</v>
      </c>
      <c r="L496" s="137">
        <v>5.5848000000000004</v>
      </c>
      <c r="M496" t="s">
        <v>520</v>
      </c>
      <c r="N496" t="s">
        <v>525</v>
      </c>
      <c r="P496" s="137">
        <v>0.72213439506606392</v>
      </c>
      <c r="Q496" s="137">
        <v>0.72213439506606392</v>
      </c>
      <c r="R496" s="126"/>
      <c r="S496" t="s">
        <v>524</v>
      </c>
      <c r="T496" t="s">
        <v>983</v>
      </c>
      <c r="U496" t="s">
        <v>1023</v>
      </c>
    </row>
    <row r="497" spans="1:21" x14ac:dyDescent="0.3">
      <c r="A497" t="s">
        <v>402</v>
      </c>
      <c r="B497" s="126">
        <v>2025</v>
      </c>
      <c r="C497" t="s">
        <v>394</v>
      </c>
      <c r="D497" t="s">
        <v>111</v>
      </c>
      <c r="E497" t="s">
        <v>111</v>
      </c>
      <c r="F497">
        <v>1</v>
      </c>
      <c r="G497" s="137">
        <v>261.7337</v>
      </c>
      <c r="H497" s="138">
        <v>258.99470000000002</v>
      </c>
      <c r="I497" s="138">
        <v>7.7698</v>
      </c>
      <c r="J497" s="139">
        <v>0.3525187263507395</v>
      </c>
      <c r="K497" s="137">
        <v>235.68530000000001</v>
      </c>
      <c r="L497" s="137">
        <v>282.30410000000001</v>
      </c>
      <c r="M497" t="s">
        <v>520</v>
      </c>
      <c r="N497" t="s">
        <v>525</v>
      </c>
      <c r="P497" s="137">
        <v>1.0575505985257518</v>
      </c>
      <c r="Q497" s="137">
        <v>1.0575505985257518</v>
      </c>
      <c r="R497" s="126"/>
      <c r="S497" t="s">
        <v>524</v>
      </c>
      <c r="T497" t="s">
        <v>983</v>
      </c>
      <c r="U497" t="s">
        <v>1024</v>
      </c>
    </row>
    <row r="498" spans="1:21" x14ac:dyDescent="0.3">
      <c r="A498" t="s">
        <v>402</v>
      </c>
      <c r="B498" s="126">
        <v>2025</v>
      </c>
      <c r="C498" t="s">
        <v>394</v>
      </c>
      <c r="D498" t="s">
        <v>111</v>
      </c>
      <c r="E498" t="s">
        <v>111</v>
      </c>
      <c r="F498">
        <v>2</v>
      </c>
      <c r="G498" s="137">
        <v>259.40480000000002</v>
      </c>
      <c r="H498" s="138">
        <v>256.73500000000001</v>
      </c>
      <c r="I498" s="138">
        <v>7.702</v>
      </c>
      <c r="J498" s="139">
        <v>0.3466372370812788</v>
      </c>
      <c r="K498" s="137">
        <v>233.62899999999999</v>
      </c>
      <c r="L498" s="137">
        <v>279.84100000000001</v>
      </c>
      <c r="M498" t="s">
        <v>520</v>
      </c>
      <c r="N498" t="s">
        <v>525</v>
      </c>
      <c r="P498" s="137">
        <v>1.039904960367698</v>
      </c>
      <c r="Q498" s="137">
        <v>1.039904960367698</v>
      </c>
      <c r="R498" s="126"/>
      <c r="S498" t="s">
        <v>524</v>
      </c>
      <c r="T498" t="s">
        <v>983</v>
      </c>
      <c r="U498" t="s">
        <v>1025</v>
      </c>
    </row>
    <row r="499" spans="1:21" x14ac:dyDescent="0.3">
      <c r="A499" t="s">
        <v>402</v>
      </c>
      <c r="B499" s="126">
        <v>2025</v>
      </c>
      <c r="C499" t="s">
        <v>394</v>
      </c>
      <c r="D499" t="s">
        <v>111</v>
      </c>
      <c r="E499" t="s">
        <v>111</v>
      </c>
      <c r="F499">
        <v>3</v>
      </c>
      <c r="G499" s="137">
        <v>257.34530000000001</v>
      </c>
      <c r="H499" s="138">
        <v>254.0333</v>
      </c>
      <c r="I499" s="138">
        <v>7.6210000000000004</v>
      </c>
      <c r="J499" s="139">
        <v>0.43458863666185693</v>
      </c>
      <c r="K499" s="137">
        <v>231.1703</v>
      </c>
      <c r="L499" s="137">
        <v>276.8963</v>
      </c>
      <c r="M499" t="s">
        <v>520</v>
      </c>
      <c r="N499" t="s">
        <v>525</v>
      </c>
      <c r="P499" s="137">
        <v>1.303766081061031</v>
      </c>
      <c r="Q499" s="137">
        <v>1.303766081061031</v>
      </c>
      <c r="R499" s="126"/>
      <c r="S499" t="s">
        <v>524</v>
      </c>
      <c r="T499" t="s">
        <v>983</v>
      </c>
      <c r="U499" t="s">
        <v>1026</v>
      </c>
    </row>
    <row r="500" spans="1:21" x14ac:dyDescent="0.3">
      <c r="A500" t="s">
        <v>402</v>
      </c>
      <c r="B500" s="126">
        <v>2025</v>
      </c>
      <c r="C500" t="s">
        <v>394</v>
      </c>
      <c r="D500" t="s">
        <v>111</v>
      </c>
      <c r="E500" t="s">
        <v>111</v>
      </c>
      <c r="F500">
        <v>4</v>
      </c>
      <c r="G500" s="137">
        <v>259.70150000000001</v>
      </c>
      <c r="H500" s="138">
        <v>257.10250000000002</v>
      </c>
      <c r="I500" s="138">
        <v>7.7130999999999998</v>
      </c>
      <c r="J500" s="139">
        <v>0.3369591992843331</v>
      </c>
      <c r="K500" s="137">
        <v>233.9632</v>
      </c>
      <c r="L500" s="137">
        <v>280.24180000000001</v>
      </c>
      <c r="M500" t="s">
        <v>520</v>
      </c>
      <c r="N500" t="s">
        <v>525</v>
      </c>
      <c r="P500" s="137">
        <v>1.010880874359444</v>
      </c>
      <c r="Q500" s="137">
        <v>1.010880874359444</v>
      </c>
      <c r="R500" s="126"/>
      <c r="S500" t="s">
        <v>524</v>
      </c>
      <c r="T500" t="s">
        <v>983</v>
      </c>
      <c r="U500" t="s">
        <v>1027</v>
      </c>
    </row>
    <row r="501" spans="1:21" x14ac:dyDescent="0.3">
      <c r="A501" t="s">
        <v>402</v>
      </c>
      <c r="B501" s="126">
        <v>2025</v>
      </c>
      <c r="C501" t="s">
        <v>394</v>
      </c>
      <c r="D501" t="s">
        <v>111</v>
      </c>
      <c r="E501" t="s">
        <v>111</v>
      </c>
      <c r="F501">
        <v>5</v>
      </c>
      <c r="G501" s="137">
        <v>258.17930000000001</v>
      </c>
      <c r="H501" s="138">
        <v>254.6104</v>
      </c>
      <c r="I501" s="138">
        <v>7.6383000000000001</v>
      </c>
      <c r="J501" s="139">
        <v>0.46723747430711199</v>
      </c>
      <c r="K501" s="137">
        <v>231.69550000000001</v>
      </c>
      <c r="L501" s="137">
        <v>277.52530000000002</v>
      </c>
      <c r="M501" t="s">
        <v>520</v>
      </c>
      <c r="N501" t="s">
        <v>525</v>
      </c>
      <c r="P501" s="137">
        <v>1.4017102207922432</v>
      </c>
      <c r="Q501" s="137">
        <v>1.4017102207922432</v>
      </c>
      <c r="R501" s="126"/>
      <c r="S501" t="s">
        <v>524</v>
      </c>
      <c r="T501" t="s">
        <v>983</v>
      </c>
      <c r="U501" t="s">
        <v>1028</v>
      </c>
    </row>
    <row r="502" spans="1:21" x14ac:dyDescent="0.3">
      <c r="A502" t="s">
        <v>402</v>
      </c>
      <c r="B502" s="126">
        <v>2025</v>
      </c>
      <c r="C502" t="s">
        <v>394</v>
      </c>
      <c r="D502" t="s">
        <v>120</v>
      </c>
      <c r="E502" t="s">
        <v>120</v>
      </c>
      <c r="F502">
        <v>1</v>
      </c>
      <c r="G502" s="137">
        <v>72.790499999999994</v>
      </c>
      <c r="H502" s="138">
        <v>72.2774</v>
      </c>
      <c r="I502" s="138">
        <v>2.1682999999999999</v>
      </c>
      <c r="J502" s="139">
        <v>0.23663699672554275</v>
      </c>
      <c r="K502" s="137">
        <v>65.772499999999994</v>
      </c>
      <c r="L502" s="137">
        <v>78.782300000000006</v>
      </c>
      <c r="M502" t="s">
        <v>520</v>
      </c>
      <c r="N502" t="s">
        <v>525</v>
      </c>
      <c r="P502" s="137">
        <v>0.70990378735260862</v>
      </c>
      <c r="Q502" s="137">
        <v>0.70990378735260862</v>
      </c>
      <c r="R502" s="126"/>
      <c r="S502" t="s">
        <v>524</v>
      </c>
      <c r="T502" t="s">
        <v>983</v>
      </c>
      <c r="U502" t="s">
        <v>1029</v>
      </c>
    </row>
    <row r="503" spans="1:21" x14ac:dyDescent="0.3">
      <c r="A503" t="s">
        <v>402</v>
      </c>
      <c r="B503" s="126">
        <v>2025</v>
      </c>
      <c r="C503" t="s">
        <v>394</v>
      </c>
      <c r="D503" t="s">
        <v>120</v>
      </c>
      <c r="E503" t="s">
        <v>120</v>
      </c>
      <c r="F503">
        <v>2</v>
      </c>
      <c r="G503" s="137">
        <v>72.9315</v>
      </c>
      <c r="H503" s="138">
        <v>72.402900000000002</v>
      </c>
      <c r="I503" s="138">
        <v>2.1720999999999999</v>
      </c>
      <c r="J503" s="139">
        <v>0.24335896137378449</v>
      </c>
      <c r="K503" s="137">
        <v>65.886600000000001</v>
      </c>
      <c r="L503" s="137">
        <v>78.919200000000004</v>
      </c>
      <c r="M503" t="s">
        <v>520</v>
      </c>
      <c r="N503" t="s">
        <v>525</v>
      </c>
      <c r="P503" s="137">
        <v>0.73008125365143839</v>
      </c>
      <c r="Q503" s="137">
        <v>0.73008125365143839</v>
      </c>
      <c r="R503" s="126"/>
      <c r="S503" t="s">
        <v>524</v>
      </c>
      <c r="T503" t="s">
        <v>983</v>
      </c>
      <c r="U503" t="s">
        <v>1030</v>
      </c>
    </row>
    <row r="504" spans="1:21" x14ac:dyDescent="0.3">
      <c r="A504" t="s">
        <v>402</v>
      </c>
      <c r="B504" s="126">
        <v>2025</v>
      </c>
      <c r="C504" t="s">
        <v>394</v>
      </c>
      <c r="D504" t="s">
        <v>120</v>
      </c>
      <c r="E504" t="s">
        <v>120</v>
      </c>
      <c r="F504">
        <v>3</v>
      </c>
      <c r="G504" s="137">
        <v>72.608500000000006</v>
      </c>
      <c r="H504" s="138">
        <v>72.145499999999998</v>
      </c>
      <c r="I504" s="138">
        <v>2.1644000000000001</v>
      </c>
      <c r="J504" s="139">
        <v>0.21391609683977456</v>
      </c>
      <c r="K504" s="137">
        <v>65.652299999999997</v>
      </c>
      <c r="L504" s="137">
        <v>78.6387</v>
      </c>
      <c r="M504" t="s">
        <v>520</v>
      </c>
      <c r="N504" t="s">
        <v>525</v>
      </c>
      <c r="P504" s="137">
        <v>0.64175866824681804</v>
      </c>
      <c r="Q504" s="137">
        <v>0.64175866824681804</v>
      </c>
      <c r="R504" s="126"/>
      <c r="S504" t="s">
        <v>524</v>
      </c>
      <c r="T504" t="s">
        <v>983</v>
      </c>
      <c r="U504" t="s">
        <v>1031</v>
      </c>
    </row>
    <row r="505" spans="1:21" x14ac:dyDescent="0.3">
      <c r="A505" t="s">
        <v>402</v>
      </c>
      <c r="B505" s="126">
        <v>2025</v>
      </c>
      <c r="C505" t="s">
        <v>394</v>
      </c>
      <c r="D505" t="s">
        <v>120</v>
      </c>
      <c r="E505" t="s">
        <v>120</v>
      </c>
      <c r="F505">
        <v>4</v>
      </c>
      <c r="G505" s="137">
        <v>71.315600000000003</v>
      </c>
      <c r="H505" s="138">
        <v>70.918199999999999</v>
      </c>
      <c r="I505" s="138">
        <v>2.1274999999999999</v>
      </c>
      <c r="J505" s="139">
        <v>0.18679200940070723</v>
      </c>
      <c r="K505" s="137">
        <v>64.535700000000006</v>
      </c>
      <c r="L505" s="137">
        <v>77.300700000000006</v>
      </c>
      <c r="M505" t="s">
        <v>520</v>
      </c>
      <c r="N505" t="s">
        <v>525</v>
      </c>
      <c r="P505" s="137">
        <v>0.56036391222564108</v>
      </c>
      <c r="Q505" s="137">
        <v>0.56036391222564108</v>
      </c>
      <c r="R505" s="126"/>
      <c r="S505" t="s">
        <v>524</v>
      </c>
      <c r="T505" t="s">
        <v>983</v>
      </c>
      <c r="U505" t="s">
        <v>1032</v>
      </c>
    </row>
    <row r="506" spans="1:21" x14ac:dyDescent="0.3">
      <c r="A506" t="s">
        <v>402</v>
      </c>
      <c r="B506" s="126">
        <v>2025</v>
      </c>
      <c r="C506" t="s">
        <v>394</v>
      </c>
      <c r="D506" t="s">
        <v>120</v>
      </c>
      <c r="E506" t="s">
        <v>120</v>
      </c>
      <c r="F506">
        <v>5</v>
      </c>
      <c r="G506" s="137">
        <v>71.912099999999995</v>
      </c>
      <c r="H506" s="138">
        <v>71.461699999999993</v>
      </c>
      <c r="I506" s="138">
        <v>2.1438999999999999</v>
      </c>
      <c r="J506" s="139">
        <v>0.21008442557955218</v>
      </c>
      <c r="K506" s="137">
        <v>65.03</v>
      </c>
      <c r="L506" s="137">
        <v>77.8934</v>
      </c>
      <c r="M506" t="s">
        <v>520</v>
      </c>
      <c r="N506" t="s">
        <v>525</v>
      </c>
      <c r="P506" s="137">
        <v>0.63026768184916104</v>
      </c>
      <c r="Q506" s="137">
        <v>0.63026768184916104</v>
      </c>
      <c r="R506" s="126"/>
      <c r="S506" t="s">
        <v>524</v>
      </c>
      <c r="T506" t="s">
        <v>983</v>
      </c>
      <c r="U506" t="s">
        <v>1033</v>
      </c>
    </row>
    <row r="507" spans="1:21" x14ac:dyDescent="0.3">
      <c r="A507" t="s">
        <v>402</v>
      </c>
      <c r="B507" s="126">
        <v>2025</v>
      </c>
      <c r="C507" t="s">
        <v>394</v>
      </c>
      <c r="D507" t="s">
        <v>115</v>
      </c>
      <c r="E507" t="s">
        <v>115</v>
      </c>
      <c r="F507">
        <v>1</v>
      </c>
      <c r="G507" s="137">
        <v>79.045400000000001</v>
      </c>
      <c r="H507" s="138">
        <v>78.271199999999993</v>
      </c>
      <c r="I507" s="138">
        <v>2.3481000000000001</v>
      </c>
      <c r="J507" s="139">
        <v>0.32971338529023786</v>
      </c>
      <c r="K507" s="137">
        <v>71.226900000000001</v>
      </c>
      <c r="L507" s="137">
        <v>85.3155</v>
      </c>
      <c r="M507" t="s">
        <v>520</v>
      </c>
      <c r="N507" t="s">
        <v>525</v>
      </c>
      <c r="P507" s="137">
        <v>0.98912499105674578</v>
      </c>
      <c r="Q507" s="137">
        <v>0.98912499105674578</v>
      </c>
      <c r="R507" s="126"/>
      <c r="S507" t="s">
        <v>524</v>
      </c>
      <c r="T507" t="s">
        <v>983</v>
      </c>
      <c r="U507" t="s">
        <v>1034</v>
      </c>
    </row>
    <row r="508" spans="1:21" x14ac:dyDescent="0.3">
      <c r="A508" t="s">
        <v>402</v>
      </c>
      <c r="B508" s="126">
        <v>2025</v>
      </c>
      <c r="C508" t="s">
        <v>394</v>
      </c>
      <c r="D508" t="s">
        <v>115</v>
      </c>
      <c r="E508" t="s">
        <v>115</v>
      </c>
      <c r="F508">
        <v>2</v>
      </c>
      <c r="G508" s="137">
        <v>79.202100000000002</v>
      </c>
      <c r="H508" s="138">
        <v>78.857100000000003</v>
      </c>
      <c r="I508" s="138">
        <v>2.3656999999999999</v>
      </c>
      <c r="J508" s="139">
        <v>0.1458342139747216</v>
      </c>
      <c r="K508" s="137">
        <v>71.760000000000005</v>
      </c>
      <c r="L508" s="137">
        <v>85.9542</v>
      </c>
      <c r="M508" t="s">
        <v>520</v>
      </c>
      <c r="N508" t="s">
        <v>525</v>
      </c>
      <c r="P508" s="137">
        <v>0.43750023777186692</v>
      </c>
      <c r="Q508" s="137">
        <v>0.43750023777186692</v>
      </c>
      <c r="R508" s="126"/>
      <c r="S508" t="s">
        <v>524</v>
      </c>
      <c r="T508" t="s">
        <v>983</v>
      </c>
      <c r="U508" t="s">
        <v>1035</v>
      </c>
    </row>
    <row r="509" spans="1:21" x14ac:dyDescent="0.3">
      <c r="A509" t="s">
        <v>402</v>
      </c>
      <c r="B509" s="126">
        <v>2025</v>
      </c>
      <c r="C509" t="s">
        <v>394</v>
      </c>
      <c r="D509" t="s">
        <v>115</v>
      </c>
      <c r="E509" t="s">
        <v>115</v>
      </c>
      <c r="F509">
        <v>3</v>
      </c>
      <c r="G509" s="137">
        <v>77.947500000000005</v>
      </c>
      <c r="H509" s="138">
        <v>77.483900000000006</v>
      </c>
      <c r="I509" s="138">
        <v>2.3245</v>
      </c>
      <c r="J509" s="139">
        <v>0.1994407399440738</v>
      </c>
      <c r="K509" s="137">
        <v>70.510400000000004</v>
      </c>
      <c r="L509" s="137">
        <v>84.457400000000007</v>
      </c>
      <c r="M509" t="s">
        <v>520</v>
      </c>
      <c r="N509" t="s">
        <v>525</v>
      </c>
      <c r="P509" s="137">
        <v>0.59831784409406286</v>
      </c>
      <c r="Q509" s="137">
        <v>0.59831784409406286</v>
      </c>
      <c r="R509" s="126"/>
      <c r="S509" t="s">
        <v>524</v>
      </c>
      <c r="T509" t="s">
        <v>983</v>
      </c>
      <c r="U509" t="s">
        <v>1036</v>
      </c>
    </row>
    <row r="510" spans="1:21" x14ac:dyDescent="0.3">
      <c r="A510" t="s">
        <v>402</v>
      </c>
      <c r="B510" s="126">
        <v>2025</v>
      </c>
      <c r="C510" t="s">
        <v>394</v>
      </c>
      <c r="D510" t="s">
        <v>115</v>
      </c>
      <c r="E510" t="s">
        <v>115</v>
      </c>
      <c r="F510">
        <v>4</v>
      </c>
      <c r="G510" s="137">
        <v>77.372200000000007</v>
      </c>
      <c r="H510" s="138">
        <v>76.647499999999994</v>
      </c>
      <c r="I510" s="138">
        <v>2.2993999999999999</v>
      </c>
      <c r="J510" s="139">
        <v>0.31516917456728399</v>
      </c>
      <c r="K510" s="137">
        <v>69.749300000000005</v>
      </c>
      <c r="L510" s="137">
        <v>83.545699999999997</v>
      </c>
      <c r="M510" t="s">
        <v>520</v>
      </c>
      <c r="N510" t="s">
        <v>525</v>
      </c>
      <c r="P510" s="137">
        <v>0.94549724387620326</v>
      </c>
      <c r="Q510" s="137">
        <v>0.94549724387620326</v>
      </c>
      <c r="R510" s="126"/>
      <c r="S510" t="s">
        <v>524</v>
      </c>
      <c r="T510" t="s">
        <v>983</v>
      </c>
      <c r="U510" t="s">
        <v>1037</v>
      </c>
    </row>
    <row r="511" spans="1:21" x14ac:dyDescent="0.3">
      <c r="A511" t="s">
        <v>402</v>
      </c>
      <c r="B511" s="126">
        <v>2025</v>
      </c>
      <c r="C511" t="s">
        <v>394</v>
      </c>
      <c r="D511" t="s">
        <v>115</v>
      </c>
      <c r="E511" t="s">
        <v>115</v>
      </c>
      <c r="F511">
        <v>5</v>
      </c>
      <c r="G511" s="137">
        <v>78.908900000000003</v>
      </c>
      <c r="H511" s="138">
        <v>78.411699999999996</v>
      </c>
      <c r="I511" s="138">
        <v>2.3523999999999998</v>
      </c>
      <c r="J511" s="139">
        <v>0.2113586124808734</v>
      </c>
      <c r="K511" s="137">
        <v>71.354500000000002</v>
      </c>
      <c r="L511" s="137">
        <v>85.468900000000005</v>
      </c>
      <c r="M511" t="s">
        <v>520</v>
      </c>
      <c r="N511" t="s">
        <v>525</v>
      </c>
      <c r="P511" s="137">
        <v>0.63408904538481703</v>
      </c>
      <c r="Q511" s="137">
        <v>0.63408904538481703</v>
      </c>
      <c r="R511" s="126"/>
      <c r="S511" t="s">
        <v>524</v>
      </c>
      <c r="T511" t="s">
        <v>983</v>
      </c>
      <c r="U511" t="s">
        <v>1038</v>
      </c>
    </row>
    <row r="512" spans="1:21" x14ac:dyDescent="0.3">
      <c r="A512" t="s">
        <v>402</v>
      </c>
      <c r="B512" s="126">
        <v>2025</v>
      </c>
      <c r="C512" t="s">
        <v>394</v>
      </c>
      <c r="D512" t="s">
        <v>118</v>
      </c>
      <c r="E512" t="s">
        <v>118</v>
      </c>
      <c r="F512">
        <v>1</v>
      </c>
      <c r="G512" s="137">
        <v>9.5827000000000009</v>
      </c>
      <c r="H512" s="138">
        <v>9.4301999999999992</v>
      </c>
      <c r="I512" s="138">
        <v>0.28289999999999998</v>
      </c>
      <c r="J512" s="139">
        <v>0.53905973842347699</v>
      </c>
      <c r="K512" s="137">
        <v>8.5815000000000001</v>
      </c>
      <c r="L512" s="137">
        <v>10.2789</v>
      </c>
      <c r="M512" t="s">
        <v>520</v>
      </c>
      <c r="N512" t="s">
        <v>525</v>
      </c>
      <c r="P512" s="137">
        <v>1.6171449173930739</v>
      </c>
      <c r="Q512" s="137">
        <v>1.6171449173930739</v>
      </c>
      <c r="R512" s="126"/>
      <c r="S512" t="s">
        <v>524</v>
      </c>
      <c r="T512" t="s">
        <v>983</v>
      </c>
      <c r="U512" t="s">
        <v>1039</v>
      </c>
    </row>
    <row r="513" spans="1:21" x14ac:dyDescent="0.3">
      <c r="A513" t="s">
        <v>402</v>
      </c>
      <c r="B513" s="126">
        <v>2025</v>
      </c>
      <c r="C513" t="s">
        <v>394</v>
      </c>
      <c r="D513" t="s">
        <v>118</v>
      </c>
      <c r="E513" t="s">
        <v>118</v>
      </c>
      <c r="F513">
        <v>2</v>
      </c>
      <c r="G513" s="137">
        <v>9.6576000000000004</v>
      </c>
      <c r="H513" s="138">
        <v>9.5291999999999994</v>
      </c>
      <c r="I513" s="138">
        <v>0.28589999999999999</v>
      </c>
      <c r="J513" s="139">
        <v>0.44910807974816708</v>
      </c>
      <c r="K513" s="137">
        <v>8.6715</v>
      </c>
      <c r="L513" s="137">
        <v>10.386900000000001</v>
      </c>
      <c r="M513" t="s">
        <v>520</v>
      </c>
      <c r="N513" t="s">
        <v>525</v>
      </c>
      <c r="P513" s="137">
        <v>1.34743735045965</v>
      </c>
      <c r="Q513" s="137">
        <v>1.34743735045965</v>
      </c>
      <c r="R513" s="126"/>
      <c r="S513" t="s">
        <v>524</v>
      </c>
      <c r="T513" t="s">
        <v>983</v>
      </c>
      <c r="U513" t="s">
        <v>1040</v>
      </c>
    </row>
    <row r="514" spans="1:21" x14ac:dyDescent="0.3">
      <c r="A514" t="s">
        <v>402</v>
      </c>
      <c r="B514" s="126">
        <v>2025</v>
      </c>
      <c r="C514" t="s">
        <v>394</v>
      </c>
      <c r="D514" t="s">
        <v>118</v>
      </c>
      <c r="E514" t="s">
        <v>118</v>
      </c>
      <c r="F514">
        <v>3</v>
      </c>
      <c r="G514" s="137">
        <v>9.5434000000000001</v>
      </c>
      <c r="H514" s="138">
        <v>9.4788999999999994</v>
      </c>
      <c r="I514" s="138">
        <v>0.28439999999999999</v>
      </c>
      <c r="J514" s="139">
        <v>0.22679324894515004</v>
      </c>
      <c r="K514" s="137">
        <v>8.6257000000000001</v>
      </c>
      <c r="L514" s="137">
        <v>10.332100000000001</v>
      </c>
      <c r="M514" t="s">
        <v>520</v>
      </c>
      <c r="N514" t="s">
        <v>525</v>
      </c>
      <c r="P514" s="137">
        <v>0.68045870301406985</v>
      </c>
      <c r="Q514" s="137">
        <v>0.68045870301406985</v>
      </c>
      <c r="R514" s="126"/>
      <c r="S514" t="s">
        <v>524</v>
      </c>
      <c r="T514" t="s">
        <v>983</v>
      </c>
      <c r="U514" t="s">
        <v>1041</v>
      </c>
    </row>
    <row r="515" spans="1:21" x14ac:dyDescent="0.3">
      <c r="A515" t="s">
        <v>402</v>
      </c>
      <c r="B515" s="126">
        <v>2025</v>
      </c>
      <c r="C515" t="s">
        <v>394</v>
      </c>
      <c r="D515" t="s">
        <v>118</v>
      </c>
      <c r="E515" t="s">
        <v>118</v>
      </c>
      <c r="F515">
        <v>4</v>
      </c>
      <c r="G515" s="137">
        <v>9.65</v>
      </c>
      <c r="H515" s="138">
        <v>9.4537999999999993</v>
      </c>
      <c r="I515" s="138">
        <v>0.28360000000000002</v>
      </c>
      <c r="J515" s="139">
        <v>0.69181946403385408</v>
      </c>
      <c r="K515" s="137">
        <v>8.6029999999999998</v>
      </c>
      <c r="L515" s="137">
        <v>10.304600000000001</v>
      </c>
      <c r="M515" t="s">
        <v>520</v>
      </c>
      <c r="N515" t="s">
        <v>525</v>
      </c>
      <c r="P515" s="137">
        <v>2.07535594152617</v>
      </c>
      <c r="Q515" s="137">
        <v>2.07535594152617</v>
      </c>
      <c r="R515" s="126"/>
      <c r="S515" t="s">
        <v>524</v>
      </c>
      <c r="T515" t="s">
        <v>983</v>
      </c>
      <c r="U515" t="s">
        <v>1042</v>
      </c>
    </row>
    <row r="516" spans="1:21" x14ac:dyDescent="0.3">
      <c r="A516" t="s">
        <v>402</v>
      </c>
      <c r="B516" s="126">
        <v>2025</v>
      </c>
      <c r="C516" t="s">
        <v>394</v>
      </c>
      <c r="D516" t="s">
        <v>118</v>
      </c>
      <c r="E516" t="s">
        <v>118</v>
      </c>
      <c r="F516">
        <v>5</v>
      </c>
      <c r="G516" s="137">
        <v>9.5381999999999998</v>
      </c>
      <c r="H516" s="138">
        <v>9.4818999999999996</v>
      </c>
      <c r="I516" s="138">
        <v>0.28449999999999998</v>
      </c>
      <c r="J516" s="139">
        <v>0.197891036906855</v>
      </c>
      <c r="K516" s="137">
        <v>8.6283999999999992</v>
      </c>
      <c r="L516" s="137">
        <v>10.3354</v>
      </c>
      <c r="M516" t="s">
        <v>520</v>
      </c>
      <c r="N516" t="s">
        <v>525</v>
      </c>
      <c r="P516" s="137">
        <v>0.59376285343655011</v>
      </c>
      <c r="Q516" s="137">
        <v>0.59376285343655011</v>
      </c>
      <c r="R516" s="126"/>
      <c r="S516" t="s">
        <v>524</v>
      </c>
      <c r="T516" t="s">
        <v>983</v>
      </c>
      <c r="U516" t="s">
        <v>1043</v>
      </c>
    </row>
    <row r="517" spans="1:21" x14ac:dyDescent="0.3">
      <c r="A517" t="s">
        <v>402</v>
      </c>
      <c r="B517" s="126">
        <v>2025</v>
      </c>
      <c r="C517" t="s">
        <v>395</v>
      </c>
      <c r="D517" t="s">
        <v>119</v>
      </c>
      <c r="E517" t="s">
        <v>119</v>
      </c>
      <c r="F517">
        <v>1</v>
      </c>
      <c r="G517" s="137">
        <v>255.3689</v>
      </c>
      <c r="H517" s="138">
        <v>253.21940000000001</v>
      </c>
      <c r="I517" s="138">
        <v>7.5965999999999996</v>
      </c>
      <c r="J517" s="139">
        <v>0.28295553273832891</v>
      </c>
      <c r="K517" s="137">
        <v>230.42959999999999</v>
      </c>
      <c r="L517" s="137">
        <v>276.00920000000002</v>
      </c>
      <c r="M517" t="s">
        <v>520</v>
      </c>
      <c r="N517" t="s">
        <v>525</v>
      </c>
      <c r="P517" s="137">
        <v>0.84886860959309951</v>
      </c>
      <c r="Q517" s="137">
        <v>0.84886860959309951</v>
      </c>
      <c r="R517" s="126"/>
      <c r="S517" t="s">
        <v>524</v>
      </c>
      <c r="T517" t="s">
        <v>983</v>
      </c>
      <c r="U517" t="s">
        <v>1044</v>
      </c>
    </row>
    <row r="518" spans="1:21" x14ac:dyDescent="0.3">
      <c r="A518" t="s">
        <v>402</v>
      </c>
      <c r="B518" s="126">
        <v>2025</v>
      </c>
      <c r="C518" t="s">
        <v>395</v>
      </c>
      <c r="D518" t="s">
        <v>119</v>
      </c>
      <c r="E518" t="s">
        <v>119</v>
      </c>
      <c r="F518">
        <v>2</v>
      </c>
      <c r="G518" s="137">
        <v>255.42439999999999</v>
      </c>
      <c r="H518" s="138">
        <v>253.75550000000001</v>
      </c>
      <c r="I518" s="138">
        <v>7.6127000000000002</v>
      </c>
      <c r="J518" s="139">
        <v>0.21922576746751868</v>
      </c>
      <c r="K518" s="137">
        <v>230.91739999999999</v>
      </c>
      <c r="L518" s="137">
        <v>276.59359999999998</v>
      </c>
      <c r="M518" t="s">
        <v>520</v>
      </c>
      <c r="N518" t="s">
        <v>525</v>
      </c>
      <c r="P518" s="137">
        <v>0.65768032614070604</v>
      </c>
      <c r="Q518" s="137">
        <v>0.65768032614070604</v>
      </c>
      <c r="R518" s="126"/>
      <c r="S518" t="s">
        <v>524</v>
      </c>
      <c r="T518" t="s">
        <v>983</v>
      </c>
      <c r="U518" t="s">
        <v>1045</v>
      </c>
    </row>
    <row r="519" spans="1:21" x14ac:dyDescent="0.3">
      <c r="A519" t="s">
        <v>402</v>
      </c>
      <c r="B519" s="126">
        <v>2025</v>
      </c>
      <c r="C519" t="s">
        <v>395</v>
      </c>
      <c r="D519" t="s">
        <v>119</v>
      </c>
      <c r="E519" t="s">
        <v>119</v>
      </c>
      <c r="F519">
        <v>3</v>
      </c>
      <c r="G519" s="137">
        <v>256.53460000000001</v>
      </c>
      <c r="H519" s="138">
        <v>253.60400000000001</v>
      </c>
      <c r="I519" s="138">
        <v>7.6081000000000003</v>
      </c>
      <c r="J519" s="139">
        <v>0.38519472667288784</v>
      </c>
      <c r="K519" s="137">
        <v>230.77969999999999</v>
      </c>
      <c r="L519" s="137">
        <v>276.42829999999998</v>
      </c>
      <c r="M519" t="s">
        <v>520</v>
      </c>
      <c r="N519" t="s">
        <v>525</v>
      </c>
      <c r="P519" s="137">
        <v>1.155581142253276</v>
      </c>
      <c r="Q519" s="137">
        <v>1.155581142253276</v>
      </c>
      <c r="R519" s="126"/>
      <c r="S519" t="s">
        <v>524</v>
      </c>
      <c r="T519" t="s">
        <v>983</v>
      </c>
      <c r="U519" t="s">
        <v>1046</v>
      </c>
    </row>
    <row r="520" spans="1:21" x14ac:dyDescent="0.3">
      <c r="A520" t="s">
        <v>402</v>
      </c>
      <c r="B520" s="126">
        <v>2025</v>
      </c>
      <c r="C520" t="s">
        <v>395</v>
      </c>
      <c r="D520" t="s">
        <v>119</v>
      </c>
      <c r="E520" t="s">
        <v>119</v>
      </c>
      <c r="F520">
        <v>4</v>
      </c>
      <c r="G520" s="137">
        <v>258.29349999999999</v>
      </c>
      <c r="H520" s="138">
        <v>255.64160000000001</v>
      </c>
      <c r="I520" s="138">
        <v>7.6692</v>
      </c>
      <c r="J520" s="139">
        <v>0.34578574036405146</v>
      </c>
      <c r="K520" s="137">
        <v>232.63399999999999</v>
      </c>
      <c r="L520" s="137">
        <v>278.64920000000001</v>
      </c>
      <c r="M520" t="s">
        <v>520</v>
      </c>
      <c r="N520" t="s">
        <v>525</v>
      </c>
      <c r="P520" s="137">
        <v>1.0373507285199213</v>
      </c>
      <c r="Q520" s="137">
        <v>1.0373507285199213</v>
      </c>
      <c r="R520" s="126"/>
      <c r="S520" t="s">
        <v>524</v>
      </c>
      <c r="T520" t="s">
        <v>983</v>
      </c>
      <c r="U520" t="s">
        <v>1047</v>
      </c>
    </row>
    <row r="521" spans="1:21" x14ac:dyDescent="0.3">
      <c r="A521" t="s">
        <v>402</v>
      </c>
      <c r="B521" s="126">
        <v>2025</v>
      </c>
      <c r="C521" t="s">
        <v>395</v>
      </c>
      <c r="D521" t="s">
        <v>119</v>
      </c>
      <c r="E521" t="s">
        <v>119</v>
      </c>
      <c r="F521">
        <v>5</v>
      </c>
      <c r="G521" s="137">
        <v>253.00899999999999</v>
      </c>
      <c r="H521" s="138">
        <v>250.09460000000001</v>
      </c>
      <c r="I521" s="138">
        <v>7.5027999999999997</v>
      </c>
      <c r="J521" s="139">
        <v>0.38844164845124118</v>
      </c>
      <c r="K521" s="137">
        <v>227.58619999999999</v>
      </c>
      <c r="L521" s="137">
        <v>272.60300000000001</v>
      </c>
      <c r="M521" t="s">
        <v>520</v>
      </c>
      <c r="N521" t="s">
        <v>525</v>
      </c>
      <c r="P521" s="137">
        <v>1.1653190432740139</v>
      </c>
      <c r="Q521" s="137">
        <v>1.1653190432740139</v>
      </c>
      <c r="R521" s="126"/>
      <c r="S521" t="s">
        <v>524</v>
      </c>
      <c r="T521" t="s">
        <v>983</v>
      </c>
      <c r="U521" t="s">
        <v>1048</v>
      </c>
    </row>
    <row r="522" spans="1:21" x14ac:dyDescent="0.3">
      <c r="A522" t="s">
        <v>402</v>
      </c>
      <c r="B522" s="126">
        <v>2025</v>
      </c>
      <c r="C522" t="s">
        <v>395</v>
      </c>
      <c r="D522" t="s">
        <v>117</v>
      </c>
      <c r="E522" t="s">
        <v>117</v>
      </c>
      <c r="F522">
        <v>1</v>
      </c>
      <c r="G522" s="137">
        <v>5.1055999999999999</v>
      </c>
      <c r="H522" s="138">
        <v>5.0487000000000002</v>
      </c>
      <c r="I522" s="138">
        <v>0.1515</v>
      </c>
      <c r="J522" s="139">
        <v>0.37557755775577378</v>
      </c>
      <c r="K522" s="137">
        <v>4.5941999999999998</v>
      </c>
      <c r="L522" s="137">
        <v>5.5031999999999996</v>
      </c>
      <c r="M522" t="s">
        <v>520</v>
      </c>
      <c r="N522" t="s">
        <v>525</v>
      </c>
      <c r="P522" s="137">
        <v>1.1270227979479812</v>
      </c>
      <c r="Q522" s="137">
        <v>1.1270227979479812</v>
      </c>
      <c r="R522" s="126"/>
      <c r="S522" t="s">
        <v>524</v>
      </c>
      <c r="T522" t="s">
        <v>983</v>
      </c>
      <c r="U522" t="s">
        <v>1049</v>
      </c>
    </row>
    <row r="523" spans="1:21" x14ac:dyDescent="0.3">
      <c r="A523" t="s">
        <v>402</v>
      </c>
      <c r="B523" s="126">
        <v>2025</v>
      </c>
      <c r="C523" t="s">
        <v>395</v>
      </c>
      <c r="D523" t="s">
        <v>117</v>
      </c>
      <c r="E523" t="s">
        <v>117</v>
      </c>
      <c r="F523">
        <v>2</v>
      </c>
      <c r="G523" s="137">
        <v>5.0819999999999999</v>
      </c>
      <c r="H523" s="138">
        <v>5.0357000000000003</v>
      </c>
      <c r="I523" s="138">
        <v>0.15110000000000001</v>
      </c>
      <c r="J523" s="139">
        <v>0.30641958967570854</v>
      </c>
      <c r="K523" s="137">
        <v>4.5823999999999998</v>
      </c>
      <c r="L523" s="137">
        <v>5.4889999999999999</v>
      </c>
      <c r="M523" t="s">
        <v>520</v>
      </c>
      <c r="N523" t="s">
        <v>525</v>
      </c>
      <c r="P523" s="137">
        <v>0.91943523244036696</v>
      </c>
      <c r="Q523" s="137">
        <v>0.91943523244036696</v>
      </c>
      <c r="R523" s="126"/>
      <c r="S523" t="s">
        <v>524</v>
      </c>
      <c r="T523" t="s">
        <v>983</v>
      </c>
      <c r="U523" t="s">
        <v>1050</v>
      </c>
    </row>
    <row r="524" spans="1:21" x14ac:dyDescent="0.3">
      <c r="A524" t="s">
        <v>402</v>
      </c>
      <c r="B524" s="126">
        <v>2025</v>
      </c>
      <c r="C524" t="s">
        <v>395</v>
      </c>
      <c r="D524" t="s">
        <v>117</v>
      </c>
      <c r="E524" t="s">
        <v>117</v>
      </c>
      <c r="F524">
        <v>3</v>
      </c>
      <c r="G524" s="137">
        <v>5.1803999999999997</v>
      </c>
      <c r="H524" s="138">
        <v>5.1664000000000003</v>
      </c>
      <c r="I524" s="138">
        <v>0.155</v>
      </c>
      <c r="J524" s="139">
        <v>9.032258064515708E-2</v>
      </c>
      <c r="K524" s="137">
        <v>4.7013999999999996</v>
      </c>
      <c r="L524" s="137">
        <v>5.6314000000000002</v>
      </c>
      <c r="M524" t="s">
        <v>520</v>
      </c>
      <c r="N524" t="s">
        <v>525</v>
      </c>
      <c r="P524" s="137">
        <v>0.27098172808917903</v>
      </c>
      <c r="Q524" s="137">
        <v>0.27098172808917903</v>
      </c>
      <c r="R524" s="126"/>
      <c r="S524" t="s">
        <v>524</v>
      </c>
      <c r="T524" t="s">
        <v>983</v>
      </c>
      <c r="U524" t="s">
        <v>1051</v>
      </c>
    </row>
    <row r="525" spans="1:21" x14ac:dyDescent="0.3">
      <c r="A525" t="s">
        <v>402</v>
      </c>
      <c r="B525" s="126">
        <v>2025</v>
      </c>
      <c r="C525" t="s">
        <v>395</v>
      </c>
      <c r="D525" t="s">
        <v>117</v>
      </c>
      <c r="E525" t="s">
        <v>117</v>
      </c>
      <c r="F525">
        <v>4</v>
      </c>
      <c r="G525" s="137">
        <v>5.1028000000000002</v>
      </c>
      <c r="H525" s="138">
        <v>5.0846</v>
      </c>
      <c r="I525" s="138">
        <v>0.1525</v>
      </c>
      <c r="J525" s="139">
        <v>0.11934426229508338</v>
      </c>
      <c r="K525" s="137">
        <v>4.6271000000000004</v>
      </c>
      <c r="L525" s="137">
        <v>5.5420999999999996</v>
      </c>
      <c r="M525" t="s">
        <v>520</v>
      </c>
      <c r="N525" t="s">
        <v>525</v>
      </c>
      <c r="P525" s="137">
        <v>0.35794359438304324</v>
      </c>
      <c r="Q525" s="137">
        <v>0.35794359438304324</v>
      </c>
      <c r="R525" s="126"/>
      <c r="S525" t="s">
        <v>524</v>
      </c>
      <c r="T525" t="s">
        <v>983</v>
      </c>
      <c r="U525" t="s">
        <v>1052</v>
      </c>
    </row>
    <row r="526" spans="1:21" x14ac:dyDescent="0.3">
      <c r="A526" t="s">
        <v>402</v>
      </c>
      <c r="B526" s="126">
        <v>2025</v>
      </c>
      <c r="C526" t="s">
        <v>395</v>
      </c>
      <c r="D526" t="s">
        <v>117</v>
      </c>
      <c r="E526" t="s">
        <v>117</v>
      </c>
      <c r="F526">
        <v>5</v>
      </c>
      <c r="G526" s="137">
        <v>5.1740000000000004</v>
      </c>
      <c r="H526" s="138">
        <v>5.1124000000000001</v>
      </c>
      <c r="I526" s="138">
        <v>0.15340000000000001</v>
      </c>
      <c r="J526" s="139">
        <v>0.40156453715775958</v>
      </c>
      <c r="K526" s="137">
        <v>4.6521999999999997</v>
      </c>
      <c r="L526" s="137">
        <v>5.5726000000000004</v>
      </c>
      <c r="M526" t="s">
        <v>520</v>
      </c>
      <c r="N526" t="s">
        <v>525</v>
      </c>
      <c r="P526" s="137">
        <v>1.2049135435412002</v>
      </c>
      <c r="Q526" s="137">
        <v>1.2049135435412002</v>
      </c>
      <c r="R526" s="126"/>
      <c r="S526" t="s">
        <v>524</v>
      </c>
      <c r="T526" t="s">
        <v>983</v>
      </c>
      <c r="U526" t="s">
        <v>1053</v>
      </c>
    </row>
    <row r="527" spans="1:21" x14ac:dyDescent="0.3">
      <c r="A527" t="s">
        <v>402</v>
      </c>
      <c r="B527" s="126">
        <v>2025</v>
      </c>
      <c r="C527" t="s">
        <v>395</v>
      </c>
      <c r="D527" t="s">
        <v>111</v>
      </c>
      <c r="E527" t="s">
        <v>111</v>
      </c>
      <c r="F527">
        <v>1</v>
      </c>
      <c r="G527" s="137">
        <v>253.8768</v>
      </c>
      <c r="H527" s="138">
        <v>252.78059999999999</v>
      </c>
      <c r="I527" s="138">
        <v>7.5834000000000001</v>
      </c>
      <c r="J527" s="139">
        <v>0.14455257536197619</v>
      </c>
      <c r="K527" s="137">
        <v>230.03039999999999</v>
      </c>
      <c r="L527" s="137">
        <v>275.5308</v>
      </c>
      <c r="M527" t="s">
        <v>520</v>
      </c>
      <c r="N527" t="s">
        <v>525</v>
      </c>
      <c r="P527" s="137">
        <v>0.4336566967560051</v>
      </c>
      <c r="Q527" s="137">
        <v>0.4336566967560051</v>
      </c>
      <c r="R527" s="126"/>
      <c r="S527" t="s">
        <v>524</v>
      </c>
      <c r="T527" t="s">
        <v>983</v>
      </c>
      <c r="U527" t="s">
        <v>1054</v>
      </c>
    </row>
    <row r="528" spans="1:21" x14ac:dyDescent="0.3">
      <c r="A528" t="s">
        <v>402</v>
      </c>
      <c r="B528" s="126">
        <v>2025</v>
      </c>
      <c r="C528" t="s">
        <v>395</v>
      </c>
      <c r="D528" t="s">
        <v>111</v>
      </c>
      <c r="E528" t="s">
        <v>111</v>
      </c>
      <c r="F528">
        <v>2</v>
      </c>
      <c r="G528" s="137">
        <v>258.06790000000001</v>
      </c>
      <c r="H528" s="138">
        <v>256.00720000000001</v>
      </c>
      <c r="I528" s="138">
        <v>7.6802000000000001</v>
      </c>
      <c r="J528" s="139">
        <v>0.26831332517382323</v>
      </c>
      <c r="K528" s="137">
        <v>232.9666</v>
      </c>
      <c r="L528" s="137">
        <v>279.0478</v>
      </c>
      <c r="M528" t="s">
        <v>520</v>
      </c>
      <c r="N528" t="s">
        <v>525</v>
      </c>
      <c r="P528" s="137">
        <v>0.80493829861035038</v>
      </c>
      <c r="Q528" s="137">
        <v>0.80493829861035038</v>
      </c>
      <c r="R528" s="126"/>
      <c r="S528" t="s">
        <v>524</v>
      </c>
      <c r="T528" t="s">
        <v>983</v>
      </c>
      <c r="U528" t="s">
        <v>1055</v>
      </c>
    </row>
    <row r="529" spans="1:21" x14ac:dyDescent="0.3">
      <c r="A529" t="s">
        <v>402</v>
      </c>
      <c r="B529" s="126">
        <v>2025</v>
      </c>
      <c r="C529" t="s">
        <v>395</v>
      </c>
      <c r="D529" t="s">
        <v>111</v>
      </c>
      <c r="E529" t="s">
        <v>111</v>
      </c>
      <c r="F529">
        <v>3</v>
      </c>
      <c r="G529" s="137">
        <v>251.95840000000001</v>
      </c>
      <c r="H529" s="138">
        <v>250.10310000000001</v>
      </c>
      <c r="I529" s="138">
        <v>7.5030999999999999</v>
      </c>
      <c r="J529" s="139">
        <v>0.24727112793378733</v>
      </c>
      <c r="K529" s="137">
        <v>227.59379999999999</v>
      </c>
      <c r="L529" s="137">
        <v>272.61239999999998</v>
      </c>
      <c r="M529" t="s">
        <v>520</v>
      </c>
      <c r="N529" t="s">
        <v>525</v>
      </c>
      <c r="P529" s="137">
        <v>0.74181407587510895</v>
      </c>
      <c r="Q529" s="137">
        <v>0.74181407587510895</v>
      </c>
      <c r="R529" s="126"/>
      <c r="S529" t="s">
        <v>524</v>
      </c>
      <c r="T529" t="s">
        <v>983</v>
      </c>
      <c r="U529" t="s">
        <v>1056</v>
      </c>
    </row>
    <row r="530" spans="1:21" x14ac:dyDescent="0.3">
      <c r="A530" t="s">
        <v>402</v>
      </c>
      <c r="B530" s="126">
        <v>2025</v>
      </c>
      <c r="C530" t="s">
        <v>395</v>
      </c>
      <c r="D530" t="s">
        <v>111</v>
      </c>
      <c r="E530" t="s">
        <v>111</v>
      </c>
      <c r="F530">
        <v>4</v>
      </c>
      <c r="G530" s="137">
        <v>255.267</v>
      </c>
      <c r="H530" s="138">
        <v>253.80760000000001</v>
      </c>
      <c r="I530" s="138">
        <v>7.6142000000000003</v>
      </c>
      <c r="J530" s="139">
        <v>0.19166819889154316</v>
      </c>
      <c r="K530" s="137">
        <v>230.965</v>
      </c>
      <c r="L530" s="137">
        <v>276.65019999999998</v>
      </c>
      <c r="M530" t="s">
        <v>520</v>
      </c>
      <c r="N530" t="s">
        <v>525</v>
      </c>
      <c r="P530" s="137">
        <v>0.57500248219516992</v>
      </c>
      <c r="Q530" s="137">
        <v>0.57500248219516992</v>
      </c>
      <c r="R530" s="126"/>
      <c r="S530" t="s">
        <v>524</v>
      </c>
      <c r="T530" t="s">
        <v>983</v>
      </c>
      <c r="U530" t="s">
        <v>1057</v>
      </c>
    </row>
    <row r="531" spans="1:21" x14ac:dyDescent="0.3">
      <c r="A531" t="s">
        <v>402</v>
      </c>
      <c r="B531" s="126">
        <v>2025</v>
      </c>
      <c r="C531" t="s">
        <v>395</v>
      </c>
      <c r="D531" t="s">
        <v>111</v>
      </c>
      <c r="E531" t="s">
        <v>111</v>
      </c>
      <c r="F531">
        <v>5</v>
      </c>
      <c r="G531" s="137">
        <v>253.99780000000001</v>
      </c>
      <c r="H531" s="138">
        <v>251.1942</v>
      </c>
      <c r="I531" s="138">
        <v>7.5358000000000001</v>
      </c>
      <c r="J531" s="139">
        <v>0.37203747445526913</v>
      </c>
      <c r="K531" s="137">
        <v>228.58680000000001</v>
      </c>
      <c r="L531" s="137">
        <v>273.80160000000001</v>
      </c>
      <c r="M531" t="s">
        <v>520</v>
      </c>
      <c r="N531" t="s">
        <v>525</v>
      </c>
      <c r="P531" s="137">
        <v>1.116108572570552</v>
      </c>
      <c r="Q531" s="137">
        <v>1.116108572570552</v>
      </c>
      <c r="R531" s="126"/>
      <c r="S531" t="s">
        <v>524</v>
      </c>
      <c r="T531" t="s">
        <v>983</v>
      </c>
      <c r="U531" t="s">
        <v>1058</v>
      </c>
    </row>
    <row r="532" spans="1:21" x14ac:dyDescent="0.3">
      <c r="A532" t="s">
        <v>402</v>
      </c>
      <c r="B532" s="126">
        <v>2025</v>
      </c>
      <c r="C532" t="s">
        <v>395</v>
      </c>
      <c r="D532" t="s">
        <v>120</v>
      </c>
      <c r="E532" t="s">
        <v>120</v>
      </c>
      <c r="F532">
        <v>1</v>
      </c>
      <c r="G532" s="137">
        <v>72.199799999999996</v>
      </c>
      <c r="H532" s="138">
        <v>71.663399999999996</v>
      </c>
      <c r="I532" s="138">
        <v>2.1499000000000001</v>
      </c>
      <c r="J532" s="139">
        <v>0.24949997674310451</v>
      </c>
      <c r="K532" s="137">
        <v>65.213700000000003</v>
      </c>
      <c r="L532" s="137">
        <v>78.113100000000003</v>
      </c>
      <c r="M532" t="s">
        <v>520</v>
      </c>
      <c r="N532" t="s">
        <v>525</v>
      </c>
      <c r="P532" s="137">
        <v>0.74849923391856998</v>
      </c>
      <c r="Q532" s="137">
        <v>0.74849923391856998</v>
      </c>
      <c r="R532" s="126"/>
      <c r="S532" t="s">
        <v>524</v>
      </c>
      <c r="T532" t="s">
        <v>983</v>
      </c>
      <c r="U532" t="s">
        <v>1059</v>
      </c>
    </row>
    <row r="533" spans="1:21" x14ac:dyDescent="0.3">
      <c r="A533" t="s">
        <v>402</v>
      </c>
      <c r="B533" s="126">
        <v>2025</v>
      </c>
      <c r="C533" t="s">
        <v>395</v>
      </c>
      <c r="D533" t="s">
        <v>120</v>
      </c>
      <c r="E533" t="s">
        <v>120</v>
      </c>
      <c r="F533">
        <v>2</v>
      </c>
      <c r="G533" s="137">
        <v>73.078999999999994</v>
      </c>
      <c r="H533" s="138">
        <v>72.589699999999993</v>
      </c>
      <c r="I533" s="138">
        <v>2.1777000000000002</v>
      </c>
      <c r="J533" s="139">
        <v>0.22468659594985535</v>
      </c>
      <c r="K533" s="137">
        <v>66.056600000000003</v>
      </c>
      <c r="L533" s="137">
        <v>79.122799999999998</v>
      </c>
      <c r="M533" t="s">
        <v>520</v>
      </c>
      <c r="N533" t="s">
        <v>525</v>
      </c>
      <c r="P533" s="137">
        <v>0.67406257361581612</v>
      </c>
      <c r="Q533" s="137">
        <v>0.67406257361581612</v>
      </c>
      <c r="R533" s="126"/>
      <c r="S533" t="s">
        <v>524</v>
      </c>
      <c r="T533" t="s">
        <v>983</v>
      </c>
      <c r="U533" t="s">
        <v>1060</v>
      </c>
    </row>
    <row r="534" spans="1:21" x14ac:dyDescent="0.3">
      <c r="A534" t="s">
        <v>402</v>
      </c>
      <c r="B534" s="126">
        <v>2025</v>
      </c>
      <c r="C534" t="s">
        <v>395</v>
      </c>
      <c r="D534" t="s">
        <v>120</v>
      </c>
      <c r="E534" t="s">
        <v>120</v>
      </c>
      <c r="F534">
        <v>3</v>
      </c>
      <c r="G534" s="137">
        <v>72.677099999999996</v>
      </c>
      <c r="H534" s="138">
        <v>72.227599999999995</v>
      </c>
      <c r="I534" s="138">
        <v>2.1667999999999998</v>
      </c>
      <c r="J534" s="139">
        <v>0.20744877238323817</v>
      </c>
      <c r="K534" s="137">
        <v>65.727199999999996</v>
      </c>
      <c r="L534" s="137">
        <v>78.727999999999994</v>
      </c>
      <c r="M534" t="s">
        <v>520</v>
      </c>
      <c r="N534" t="s">
        <v>525</v>
      </c>
      <c r="P534" s="137">
        <v>0.62233827511920714</v>
      </c>
      <c r="Q534" s="137">
        <v>0.62233827511920714</v>
      </c>
      <c r="R534" s="126"/>
      <c r="S534" t="s">
        <v>524</v>
      </c>
      <c r="T534" t="s">
        <v>983</v>
      </c>
      <c r="U534" t="s">
        <v>1061</v>
      </c>
    </row>
    <row r="535" spans="1:21" x14ac:dyDescent="0.3">
      <c r="A535" t="s">
        <v>402</v>
      </c>
      <c r="B535" s="126">
        <v>2025</v>
      </c>
      <c r="C535" t="s">
        <v>395</v>
      </c>
      <c r="D535" t="s">
        <v>120</v>
      </c>
      <c r="E535" t="s">
        <v>120</v>
      </c>
      <c r="F535">
        <v>4</v>
      </c>
      <c r="G535" s="137">
        <v>72.079400000000007</v>
      </c>
      <c r="H535" s="138">
        <v>71.677599999999998</v>
      </c>
      <c r="I535" s="138">
        <v>2.1503000000000001</v>
      </c>
      <c r="J535" s="139">
        <v>0.18685764777008257</v>
      </c>
      <c r="K535" s="137">
        <v>65.226699999999994</v>
      </c>
      <c r="L535" s="137">
        <v>78.128500000000003</v>
      </c>
      <c r="M535" t="s">
        <v>520</v>
      </c>
      <c r="N535" t="s">
        <v>525</v>
      </c>
      <c r="P535" s="137">
        <v>0.56056564393898312</v>
      </c>
      <c r="Q535" s="137">
        <v>0.56056564393898312</v>
      </c>
      <c r="R535" s="126"/>
      <c r="S535" t="s">
        <v>524</v>
      </c>
      <c r="T535" t="s">
        <v>983</v>
      </c>
      <c r="U535" t="s">
        <v>1062</v>
      </c>
    </row>
    <row r="536" spans="1:21" x14ac:dyDescent="0.3">
      <c r="A536" t="s">
        <v>402</v>
      </c>
      <c r="B536" s="126">
        <v>2025</v>
      </c>
      <c r="C536" t="s">
        <v>395</v>
      </c>
      <c r="D536" t="s">
        <v>120</v>
      </c>
      <c r="E536" t="s">
        <v>120</v>
      </c>
      <c r="F536">
        <v>5</v>
      </c>
      <c r="G536" s="137">
        <v>72.139700000000005</v>
      </c>
      <c r="H536" s="138">
        <v>71.643100000000004</v>
      </c>
      <c r="I536" s="138">
        <v>2.1493000000000002</v>
      </c>
      <c r="J536" s="139">
        <v>0.23105197040897071</v>
      </c>
      <c r="K536" s="137">
        <v>65.1952</v>
      </c>
      <c r="L536" s="137">
        <v>78.090999999999994</v>
      </c>
      <c r="M536" t="s">
        <v>520</v>
      </c>
      <c r="N536" t="s">
        <v>525</v>
      </c>
      <c r="P536" s="137">
        <v>0.69315816875595948</v>
      </c>
      <c r="Q536" s="137">
        <v>0.69315816875595948</v>
      </c>
      <c r="R536" s="126"/>
      <c r="S536" t="s">
        <v>524</v>
      </c>
      <c r="T536" t="s">
        <v>983</v>
      </c>
      <c r="U536" t="s">
        <v>1063</v>
      </c>
    </row>
    <row r="537" spans="1:21" x14ac:dyDescent="0.3">
      <c r="A537" t="s">
        <v>402</v>
      </c>
      <c r="B537" s="126">
        <v>2025</v>
      </c>
      <c r="C537" t="s">
        <v>395</v>
      </c>
      <c r="D537" t="s">
        <v>115</v>
      </c>
      <c r="E537" t="s">
        <v>115</v>
      </c>
      <c r="F537">
        <v>1</v>
      </c>
      <c r="G537" s="137">
        <v>80.026499999999999</v>
      </c>
      <c r="H537" s="138">
        <v>79.080799999999996</v>
      </c>
      <c r="I537" s="138">
        <v>2.3723999999999998</v>
      </c>
      <c r="J537" s="139">
        <v>0.39862586410386203</v>
      </c>
      <c r="K537" s="137">
        <v>71.9636</v>
      </c>
      <c r="L537" s="137">
        <v>86.197999999999993</v>
      </c>
      <c r="M537" t="s">
        <v>520</v>
      </c>
      <c r="N537" t="s">
        <v>525</v>
      </c>
      <c r="P537" s="137">
        <v>1.1958654945321774</v>
      </c>
      <c r="Q537" s="137">
        <v>1.1958654945321774</v>
      </c>
      <c r="R537" s="126"/>
      <c r="S537" t="s">
        <v>524</v>
      </c>
      <c r="T537" t="s">
        <v>983</v>
      </c>
      <c r="U537" t="s">
        <v>1064</v>
      </c>
    </row>
    <row r="538" spans="1:21" x14ac:dyDescent="0.3">
      <c r="A538" t="s">
        <v>402</v>
      </c>
      <c r="B538" s="126">
        <v>2025</v>
      </c>
      <c r="C538" t="s">
        <v>395</v>
      </c>
      <c r="D538" t="s">
        <v>115</v>
      </c>
      <c r="E538" t="s">
        <v>115</v>
      </c>
      <c r="F538">
        <v>2</v>
      </c>
      <c r="G538" s="137">
        <v>79.309299999999993</v>
      </c>
      <c r="H538" s="138">
        <v>78.489400000000003</v>
      </c>
      <c r="I538" s="138">
        <v>2.3546999999999998</v>
      </c>
      <c r="J538" s="139">
        <v>0.34819722257612007</v>
      </c>
      <c r="K538" s="137">
        <v>71.425299999999993</v>
      </c>
      <c r="L538" s="137">
        <v>85.5535</v>
      </c>
      <c r="M538" t="s">
        <v>520</v>
      </c>
      <c r="N538" t="s">
        <v>525</v>
      </c>
      <c r="P538" s="137">
        <v>1.0445996529467543</v>
      </c>
      <c r="Q538" s="137">
        <v>1.0445996529467543</v>
      </c>
      <c r="R538" s="126"/>
      <c r="S538" t="s">
        <v>524</v>
      </c>
      <c r="T538" t="s">
        <v>983</v>
      </c>
      <c r="U538" t="s">
        <v>1065</v>
      </c>
    </row>
    <row r="539" spans="1:21" x14ac:dyDescent="0.3">
      <c r="A539" t="s">
        <v>402</v>
      </c>
      <c r="B539" s="126">
        <v>2025</v>
      </c>
      <c r="C539" t="s">
        <v>395</v>
      </c>
      <c r="D539" t="s">
        <v>115</v>
      </c>
      <c r="E539" t="s">
        <v>115</v>
      </c>
      <c r="F539">
        <v>3</v>
      </c>
      <c r="G539" s="137">
        <v>79.076499999999996</v>
      </c>
      <c r="H539" s="138">
        <v>78.745400000000004</v>
      </c>
      <c r="I539" s="138">
        <v>2.3624000000000001</v>
      </c>
      <c r="J539" s="139">
        <v>0.14015408059600076</v>
      </c>
      <c r="K539" s="137">
        <v>71.658199999999994</v>
      </c>
      <c r="L539" s="137">
        <v>85.832599999999999</v>
      </c>
      <c r="M539" t="s">
        <v>520</v>
      </c>
      <c r="N539" t="s">
        <v>525</v>
      </c>
      <c r="P539" s="137">
        <v>0.42046900517362557</v>
      </c>
      <c r="Q539" s="137">
        <v>0.42046900517362557</v>
      </c>
      <c r="R539" s="126"/>
      <c r="S539" t="s">
        <v>524</v>
      </c>
      <c r="T539" t="s">
        <v>983</v>
      </c>
      <c r="U539" t="s">
        <v>1066</v>
      </c>
    </row>
    <row r="540" spans="1:21" x14ac:dyDescent="0.3">
      <c r="A540" t="s">
        <v>402</v>
      </c>
      <c r="B540" s="126">
        <v>2025</v>
      </c>
      <c r="C540" t="s">
        <v>395</v>
      </c>
      <c r="D540" t="s">
        <v>115</v>
      </c>
      <c r="E540" t="s">
        <v>115</v>
      </c>
      <c r="F540">
        <v>4</v>
      </c>
      <c r="G540" s="137">
        <v>79.355500000000006</v>
      </c>
      <c r="H540" s="138">
        <v>78.478899999999996</v>
      </c>
      <c r="I540" s="138">
        <v>2.3544</v>
      </c>
      <c r="J540" s="139">
        <v>0.37232415902141119</v>
      </c>
      <c r="K540" s="137">
        <v>71.415700000000001</v>
      </c>
      <c r="L540" s="137">
        <v>85.542100000000005</v>
      </c>
      <c r="M540" t="s">
        <v>520</v>
      </c>
      <c r="N540" t="s">
        <v>525</v>
      </c>
      <c r="P540" s="137">
        <v>1.1169881331160485</v>
      </c>
      <c r="Q540" s="137">
        <v>1.1169881331160485</v>
      </c>
      <c r="R540" s="126"/>
      <c r="S540" t="s">
        <v>524</v>
      </c>
      <c r="T540" t="s">
        <v>983</v>
      </c>
      <c r="U540" t="s">
        <v>1067</v>
      </c>
    </row>
    <row r="541" spans="1:21" x14ac:dyDescent="0.3">
      <c r="A541" t="s">
        <v>402</v>
      </c>
      <c r="B541" s="126">
        <v>2025</v>
      </c>
      <c r="C541" t="s">
        <v>395</v>
      </c>
      <c r="D541" t="s">
        <v>115</v>
      </c>
      <c r="E541" t="s">
        <v>115</v>
      </c>
      <c r="F541">
        <v>5</v>
      </c>
      <c r="G541" s="137">
        <v>77.406499999999994</v>
      </c>
      <c r="H541" s="138">
        <v>76.621200000000002</v>
      </c>
      <c r="I541" s="138">
        <v>2.2986</v>
      </c>
      <c r="J541" s="139">
        <v>0.34164273905855408</v>
      </c>
      <c r="K541" s="137">
        <v>69.725399999999993</v>
      </c>
      <c r="L541" s="137">
        <v>83.516999999999996</v>
      </c>
      <c r="M541" t="s">
        <v>520</v>
      </c>
      <c r="N541" t="s">
        <v>525</v>
      </c>
      <c r="P541" s="137">
        <v>1.0249121653014992</v>
      </c>
      <c r="Q541" s="137">
        <v>1.0249121653014992</v>
      </c>
      <c r="R541" s="126"/>
      <c r="S541" t="s">
        <v>524</v>
      </c>
      <c r="T541" t="s">
        <v>983</v>
      </c>
      <c r="U541" t="s">
        <v>1068</v>
      </c>
    </row>
    <row r="542" spans="1:21" x14ac:dyDescent="0.3">
      <c r="A542" t="s">
        <v>402</v>
      </c>
      <c r="B542" s="126">
        <v>2025</v>
      </c>
      <c r="C542" t="s">
        <v>395</v>
      </c>
      <c r="D542" t="s">
        <v>118</v>
      </c>
      <c r="E542" t="s">
        <v>118</v>
      </c>
      <c r="F542">
        <v>1</v>
      </c>
      <c r="G542" s="137">
        <v>9.7902000000000005</v>
      </c>
      <c r="H542" s="138">
        <v>9.6267999999999994</v>
      </c>
      <c r="I542" s="138">
        <v>0.2888</v>
      </c>
      <c r="J542" s="139">
        <v>0.56578947368421428</v>
      </c>
      <c r="K542" s="137">
        <v>8.7604000000000006</v>
      </c>
      <c r="L542" s="137">
        <v>10.4932</v>
      </c>
      <c r="M542" t="s">
        <v>520</v>
      </c>
      <c r="N542" t="s">
        <v>525</v>
      </c>
      <c r="P542" s="137">
        <v>1.6973449121203423</v>
      </c>
      <c r="Q542" s="137">
        <v>1.6973449121203423</v>
      </c>
      <c r="R542" s="126"/>
      <c r="S542" t="s">
        <v>524</v>
      </c>
      <c r="T542" t="s">
        <v>983</v>
      </c>
      <c r="U542" t="s">
        <v>1069</v>
      </c>
    </row>
    <row r="543" spans="1:21" x14ac:dyDescent="0.3">
      <c r="A543" t="s">
        <v>402</v>
      </c>
      <c r="B543" s="126">
        <v>2025</v>
      </c>
      <c r="C543" t="s">
        <v>395</v>
      </c>
      <c r="D543" t="s">
        <v>118</v>
      </c>
      <c r="E543" t="s">
        <v>118</v>
      </c>
      <c r="F543">
        <v>2</v>
      </c>
      <c r="G543" s="137">
        <v>9.8394999999999992</v>
      </c>
      <c r="H543" s="138">
        <v>9.7003000000000004</v>
      </c>
      <c r="I543" s="138">
        <v>0.29099999999999998</v>
      </c>
      <c r="J543" s="139">
        <v>0.47835051546391372</v>
      </c>
      <c r="K543" s="137">
        <v>8.8272999999999993</v>
      </c>
      <c r="L543" s="137">
        <v>10.5733</v>
      </c>
      <c r="M543" t="s">
        <v>520</v>
      </c>
      <c r="N543" t="s">
        <v>525</v>
      </c>
      <c r="P543" s="137">
        <v>1.4350071647268525</v>
      </c>
      <c r="Q543" s="137">
        <v>1.4350071647268525</v>
      </c>
      <c r="R543" s="126"/>
      <c r="S543" t="s">
        <v>524</v>
      </c>
      <c r="T543" t="s">
        <v>983</v>
      </c>
      <c r="U543" t="s">
        <v>1070</v>
      </c>
    </row>
    <row r="544" spans="1:21" x14ac:dyDescent="0.3">
      <c r="A544" t="s">
        <v>402</v>
      </c>
      <c r="B544" s="126">
        <v>2025</v>
      </c>
      <c r="C544" t="s">
        <v>395</v>
      </c>
      <c r="D544" t="s">
        <v>118</v>
      </c>
      <c r="E544" t="s">
        <v>118</v>
      </c>
      <c r="F544">
        <v>3</v>
      </c>
      <c r="G544" s="137">
        <v>9.5119000000000007</v>
      </c>
      <c r="H544" s="138">
        <v>9.4562000000000008</v>
      </c>
      <c r="I544" s="138">
        <v>0.28370000000000001</v>
      </c>
      <c r="J544" s="139">
        <v>0.19633415579837807</v>
      </c>
      <c r="K544" s="137">
        <v>8.6051000000000002</v>
      </c>
      <c r="L544" s="137">
        <v>10.3073</v>
      </c>
      <c r="M544" t="s">
        <v>520</v>
      </c>
      <c r="N544" t="s">
        <v>525</v>
      </c>
      <c r="P544" s="137">
        <v>0.58903153486601234</v>
      </c>
      <c r="Q544" s="137">
        <v>0.58903153486601234</v>
      </c>
      <c r="R544" s="126"/>
      <c r="S544" t="s">
        <v>524</v>
      </c>
      <c r="T544" t="s">
        <v>983</v>
      </c>
      <c r="U544" t="s">
        <v>1071</v>
      </c>
    </row>
    <row r="545" spans="1:21" x14ac:dyDescent="0.3">
      <c r="A545" t="s">
        <v>402</v>
      </c>
      <c r="B545" s="126">
        <v>2025</v>
      </c>
      <c r="C545" t="s">
        <v>395</v>
      </c>
      <c r="D545" t="s">
        <v>118</v>
      </c>
      <c r="E545" t="s">
        <v>118</v>
      </c>
      <c r="F545">
        <v>4</v>
      </c>
      <c r="G545" s="137">
        <v>9.8991000000000007</v>
      </c>
      <c r="H545" s="138">
        <v>9.6257999999999999</v>
      </c>
      <c r="I545" s="138">
        <v>0.2888</v>
      </c>
      <c r="J545" s="139">
        <v>0.94632963988919927</v>
      </c>
      <c r="K545" s="137">
        <v>8.7593999999999994</v>
      </c>
      <c r="L545" s="137">
        <v>10.4922</v>
      </c>
      <c r="M545" t="s">
        <v>520</v>
      </c>
      <c r="N545" t="s">
        <v>525</v>
      </c>
      <c r="P545" s="137">
        <v>2.8392445303247604</v>
      </c>
      <c r="Q545" s="137">
        <v>2.8392445303247604</v>
      </c>
      <c r="R545" s="126"/>
      <c r="S545" t="s">
        <v>524</v>
      </c>
      <c r="T545" t="s">
        <v>983</v>
      </c>
      <c r="U545" t="s">
        <v>1072</v>
      </c>
    </row>
    <row r="546" spans="1:21" x14ac:dyDescent="0.3">
      <c r="A546" t="s">
        <v>402</v>
      </c>
      <c r="B546" s="126">
        <v>2025</v>
      </c>
      <c r="C546" t="s">
        <v>395</v>
      </c>
      <c r="D546" t="s">
        <v>118</v>
      </c>
      <c r="E546" t="s">
        <v>118</v>
      </c>
      <c r="F546">
        <v>5</v>
      </c>
      <c r="G546" s="137">
        <v>9.5198</v>
      </c>
      <c r="H546" s="138">
        <v>9.4220000000000006</v>
      </c>
      <c r="I546" s="138">
        <v>0.28270000000000001</v>
      </c>
      <c r="J546" s="139">
        <v>0.34594977007428174</v>
      </c>
      <c r="K546" s="137">
        <v>8.5739000000000001</v>
      </c>
      <c r="L546" s="137">
        <v>10.270099999999999</v>
      </c>
      <c r="M546" t="s">
        <v>520</v>
      </c>
      <c r="N546" t="s">
        <v>525</v>
      </c>
      <c r="P546" s="137">
        <v>1.0379961791551628</v>
      </c>
      <c r="Q546" s="137">
        <v>1.0379961791551628</v>
      </c>
      <c r="R546" s="126"/>
      <c r="S546" t="s">
        <v>524</v>
      </c>
      <c r="T546" t="s">
        <v>983</v>
      </c>
      <c r="U546" t="s">
        <v>1073</v>
      </c>
    </row>
    <row r="547" spans="1:21" x14ac:dyDescent="0.3">
      <c r="B547" s="126"/>
      <c r="G547" s="137"/>
      <c r="H547" s="138"/>
      <c r="I547" s="138"/>
      <c r="J547" s="139"/>
      <c r="K547" s="137"/>
      <c r="L547" s="137"/>
      <c r="P547" s="137"/>
      <c r="Q547" s="137"/>
      <c r="R547" s="126"/>
    </row>
    <row r="548" spans="1:21" x14ac:dyDescent="0.3">
      <c r="B548" s="126"/>
      <c r="G548" s="137"/>
      <c r="H548" s="138"/>
      <c r="I548" s="138"/>
      <c r="J548" s="139"/>
      <c r="K548" s="137"/>
      <c r="L548" s="137"/>
      <c r="P548" s="137"/>
      <c r="Q548" s="137"/>
      <c r="R548" s="126"/>
    </row>
    <row r="549" spans="1:21" x14ac:dyDescent="0.3">
      <c r="B549" s="126"/>
      <c r="G549" s="137"/>
      <c r="H549" s="138"/>
      <c r="I549" s="138"/>
      <c r="J549" s="139"/>
      <c r="K549" s="137"/>
      <c r="L549" s="137"/>
      <c r="P549" s="137"/>
      <c r="Q549" s="137"/>
      <c r="R549" s="126"/>
    </row>
    <row r="550" spans="1:21" x14ac:dyDescent="0.3">
      <c r="B550" s="126"/>
      <c r="G550" s="137"/>
      <c r="H550" s="138"/>
      <c r="I550" s="138"/>
      <c r="J550" s="139"/>
      <c r="K550" s="137"/>
      <c r="L550" s="137"/>
      <c r="P550" s="137"/>
      <c r="Q550" s="137"/>
      <c r="R550" s="126"/>
    </row>
    <row r="551" spans="1:21" x14ac:dyDescent="0.3">
      <c r="B551" s="126"/>
      <c r="G551" s="137"/>
      <c r="H551" s="138"/>
      <c r="I551" s="138"/>
      <c r="J551" s="139"/>
      <c r="K551" s="137"/>
      <c r="L551" s="137"/>
      <c r="P551" s="137"/>
      <c r="Q551" s="137"/>
      <c r="R551" s="126"/>
    </row>
    <row r="552" spans="1:21" x14ac:dyDescent="0.3">
      <c r="B552" s="126"/>
      <c r="G552" s="137"/>
      <c r="H552" s="138"/>
      <c r="I552" s="138"/>
      <c r="J552" s="139"/>
      <c r="K552" s="137"/>
      <c r="L552" s="137"/>
      <c r="P552" s="137"/>
      <c r="Q552" s="137"/>
      <c r="R552" s="126"/>
    </row>
    <row r="553" spans="1:21" x14ac:dyDescent="0.3">
      <c r="B553" s="126"/>
      <c r="G553" s="137"/>
      <c r="H553" s="138"/>
      <c r="I553" s="138"/>
      <c r="J553" s="139"/>
      <c r="K553" s="137"/>
      <c r="L553" s="137"/>
      <c r="P553" s="137"/>
      <c r="Q553" s="137"/>
      <c r="R553" s="126"/>
    </row>
    <row r="554" spans="1:21" x14ac:dyDescent="0.3">
      <c r="B554" s="126"/>
      <c r="G554" s="137"/>
      <c r="H554" s="138"/>
      <c r="I554" s="138"/>
      <c r="J554" s="139"/>
      <c r="K554" s="137"/>
      <c r="L554" s="137"/>
      <c r="P554" s="137"/>
      <c r="Q554" s="137"/>
      <c r="R554" s="126"/>
    </row>
    <row r="555" spans="1:21" x14ac:dyDescent="0.3">
      <c r="B555" s="126"/>
      <c r="G555" s="137"/>
      <c r="H555" s="138"/>
      <c r="I555" s="138"/>
      <c r="J555" s="139"/>
      <c r="K555" s="137"/>
      <c r="L555" s="137"/>
      <c r="P555" s="137"/>
      <c r="Q555" s="137"/>
      <c r="R555" s="126"/>
    </row>
    <row r="556" spans="1:21" x14ac:dyDescent="0.3">
      <c r="B556" s="126"/>
      <c r="G556" s="137"/>
      <c r="H556" s="138"/>
      <c r="I556" s="138"/>
      <c r="J556" s="139"/>
      <c r="K556" s="137"/>
      <c r="L556" s="137"/>
      <c r="P556" s="137"/>
      <c r="Q556" s="137"/>
      <c r="R556" s="126"/>
    </row>
    <row r="557" spans="1:21" x14ac:dyDescent="0.3">
      <c r="B557" s="126"/>
      <c r="G557" s="137"/>
      <c r="H557" s="138"/>
      <c r="I557" s="138"/>
      <c r="J557" s="139"/>
      <c r="K557" s="137"/>
      <c r="L557" s="137"/>
      <c r="P557" s="137"/>
      <c r="Q557" s="137"/>
      <c r="R557" s="126"/>
    </row>
    <row r="558" spans="1:21" x14ac:dyDescent="0.3">
      <c r="B558" s="126"/>
      <c r="G558" s="137"/>
      <c r="H558" s="138"/>
      <c r="I558" s="138"/>
      <c r="J558" s="139"/>
      <c r="K558" s="137"/>
      <c r="L558" s="137"/>
      <c r="P558" s="137"/>
      <c r="Q558" s="137"/>
      <c r="R558" s="126"/>
    </row>
    <row r="559" spans="1:21" x14ac:dyDescent="0.3">
      <c r="B559" s="126"/>
      <c r="G559" s="137"/>
      <c r="H559" s="138"/>
      <c r="I559" s="138"/>
      <c r="J559" s="139"/>
      <c r="K559" s="137"/>
      <c r="L559" s="137"/>
      <c r="P559" s="137"/>
      <c r="Q559" s="137"/>
      <c r="R559" s="126"/>
    </row>
    <row r="560" spans="1:21" x14ac:dyDescent="0.3">
      <c r="B560" s="126"/>
      <c r="G560" s="137"/>
      <c r="H560" s="138"/>
      <c r="I560" s="138"/>
      <c r="J560" s="139"/>
      <c r="K560" s="137"/>
      <c r="L560" s="137"/>
      <c r="P560" s="137"/>
      <c r="Q560" s="137"/>
      <c r="R560" s="126"/>
    </row>
    <row r="561" spans="2:18" x14ac:dyDescent="0.3">
      <c r="B561" s="126"/>
      <c r="G561" s="137"/>
      <c r="H561" s="138"/>
      <c r="I561" s="138"/>
      <c r="J561" s="139"/>
      <c r="K561" s="137"/>
      <c r="L561" s="137"/>
      <c r="P561" s="137"/>
      <c r="Q561" s="137"/>
      <c r="R561" s="126"/>
    </row>
    <row r="562" spans="2:18" x14ac:dyDescent="0.3">
      <c r="B562" s="126"/>
      <c r="G562" s="137"/>
      <c r="H562" s="138"/>
      <c r="I562" s="138"/>
      <c r="J562" s="139"/>
      <c r="K562" s="137"/>
      <c r="L562" s="137"/>
      <c r="P562" s="137"/>
      <c r="Q562" s="137"/>
      <c r="R562" s="126"/>
    </row>
    <row r="563" spans="2:18" x14ac:dyDescent="0.3">
      <c r="B563" s="126"/>
      <c r="G563" s="137"/>
      <c r="H563" s="138"/>
      <c r="I563" s="138"/>
      <c r="J563" s="139"/>
      <c r="K563" s="137"/>
      <c r="L563" s="137"/>
      <c r="P563" s="137"/>
      <c r="Q563" s="137"/>
      <c r="R563" s="126"/>
    </row>
    <row r="564" spans="2:18" x14ac:dyDescent="0.3">
      <c r="B564" s="126"/>
      <c r="G564" s="137"/>
      <c r="H564" s="138"/>
      <c r="I564" s="138"/>
      <c r="J564" s="139"/>
      <c r="K564" s="137"/>
      <c r="L564" s="137"/>
      <c r="P564" s="137"/>
      <c r="Q564" s="137"/>
      <c r="R564" s="126"/>
    </row>
    <row r="565" spans="2:18" x14ac:dyDescent="0.3">
      <c r="B565" s="126"/>
      <c r="G565" s="137"/>
      <c r="H565" s="138"/>
      <c r="I565" s="138"/>
      <c r="J565" s="139"/>
      <c r="K565" s="137"/>
      <c r="L565" s="137"/>
      <c r="P565" s="137"/>
      <c r="Q565" s="137"/>
      <c r="R565" s="126"/>
    </row>
    <row r="566" spans="2:18" x14ac:dyDescent="0.3">
      <c r="B566" s="126"/>
      <c r="G566" s="137"/>
      <c r="H566" s="138"/>
      <c r="I566" s="138"/>
      <c r="J566" s="139"/>
      <c r="K566" s="137"/>
      <c r="L566" s="137"/>
      <c r="P566" s="137"/>
      <c r="Q566" s="137"/>
      <c r="R566" s="126"/>
    </row>
    <row r="567" spans="2:18" x14ac:dyDescent="0.3">
      <c r="B567" s="126"/>
      <c r="G567" s="137"/>
      <c r="H567" s="138"/>
      <c r="I567" s="138"/>
      <c r="J567" s="139"/>
      <c r="K567" s="137"/>
      <c r="L567" s="137"/>
      <c r="P567" s="137"/>
      <c r="Q567" s="137"/>
      <c r="R567" s="126"/>
    </row>
    <row r="568" spans="2:18" x14ac:dyDescent="0.3">
      <c r="B568" s="126"/>
      <c r="G568" s="137"/>
      <c r="H568" s="138"/>
      <c r="I568" s="138"/>
      <c r="J568" s="139"/>
      <c r="K568" s="137"/>
      <c r="L568" s="137"/>
      <c r="P568" s="137"/>
      <c r="Q568" s="137"/>
      <c r="R568" s="126"/>
    </row>
    <row r="569" spans="2:18" x14ac:dyDescent="0.3">
      <c r="B569" s="126"/>
      <c r="G569" s="137"/>
      <c r="H569" s="138"/>
      <c r="I569" s="138"/>
      <c r="J569" s="139"/>
      <c r="K569" s="137"/>
      <c r="L569" s="137"/>
      <c r="P569" s="137"/>
      <c r="Q569" s="137"/>
      <c r="R569" s="126"/>
    </row>
    <row r="570" spans="2:18" x14ac:dyDescent="0.3">
      <c r="B570" s="126"/>
      <c r="G570" s="137"/>
      <c r="H570" s="138"/>
      <c r="I570" s="138"/>
      <c r="J570" s="139"/>
      <c r="K570" s="137"/>
      <c r="L570" s="137"/>
      <c r="P570" s="137"/>
      <c r="Q570" s="137"/>
      <c r="R570" s="126"/>
    </row>
    <row r="571" spans="2:18" x14ac:dyDescent="0.3">
      <c r="B571" s="126"/>
      <c r="G571" s="137"/>
      <c r="H571" s="138"/>
      <c r="I571" s="138"/>
      <c r="J571" s="139"/>
      <c r="K571" s="137"/>
      <c r="L571" s="137"/>
      <c r="P571" s="137"/>
      <c r="Q571" s="137"/>
      <c r="R571" s="126"/>
    </row>
    <row r="572" spans="2:18" x14ac:dyDescent="0.3">
      <c r="B572" s="126"/>
      <c r="G572" s="137"/>
      <c r="H572" s="138"/>
      <c r="I572" s="138"/>
      <c r="J572" s="139"/>
      <c r="K572" s="137"/>
      <c r="L572" s="137"/>
      <c r="P572" s="137"/>
      <c r="Q572" s="137"/>
      <c r="R572" s="126"/>
    </row>
    <row r="573" spans="2:18" x14ac:dyDescent="0.3">
      <c r="B573" s="126"/>
      <c r="G573" s="137"/>
      <c r="H573" s="138"/>
      <c r="I573" s="138"/>
      <c r="J573" s="139"/>
      <c r="K573" s="137"/>
      <c r="L573" s="137"/>
      <c r="P573" s="137"/>
      <c r="Q573" s="137"/>
      <c r="R573" s="126"/>
    </row>
    <row r="574" spans="2:18" x14ac:dyDescent="0.3">
      <c r="B574" s="126"/>
      <c r="G574" s="137"/>
      <c r="H574" s="138"/>
      <c r="I574" s="138"/>
      <c r="J574" s="139"/>
      <c r="K574" s="137"/>
      <c r="L574" s="137"/>
      <c r="P574" s="137"/>
      <c r="Q574" s="137"/>
      <c r="R574" s="126"/>
    </row>
    <row r="575" spans="2:18" x14ac:dyDescent="0.3">
      <c r="B575" s="126"/>
      <c r="G575" s="137"/>
      <c r="H575" s="138"/>
      <c r="I575" s="138"/>
      <c r="J575" s="139"/>
      <c r="K575" s="137"/>
      <c r="L575" s="137"/>
      <c r="P575" s="137"/>
      <c r="Q575" s="137"/>
      <c r="R575" s="126"/>
    </row>
    <row r="576" spans="2:18" x14ac:dyDescent="0.3">
      <c r="B576" s="126"/>
      <c r="G576" s="137"/>
      <c r="H576" s="138"/>
      <c r="I576" s="138"/>
      <c r="J576" s="139"/>
      <c r="K576" s="137"/>
      <c r="L576" s="137"/>
      <c r="P576" s="137"/>
      <c r="Q576" s="137"/>
      <c r="R576" s="126"/>
    </row>
    <row r="577" spans="2:18" x14ac:dyDescent="0.3">
      <c r="B577" s="126"/>
      <c r="G577" s="137"/>
      <c r="H577" s="138"/>
      <c r="I577" s="138"/>
      <c r="J577" s="139"/>
      <c r="K577" s="137"/>
      <c r="L577" s="137"/>
      <c r="P577" s="137"/>
      <c r="Q577" s="137"/>
      <c r="R577" s="126"/>
    </row>
    <row r="578" spans="2:18" x14ac:dyDescent="0.3">
      <c r="B578" s="126"/>
      <c r="G578" s="137"/>
      <c r="H578" s="138"/>
      <c r="I578" s="138"/>
      <c r="J578" s="139"/>
      <c r="K578" s="137"/>
      <c r="L578" s="137"/>
      <c r="P578" s="137"/>
      <c r="Q578" s="137"/>
      <c r="R578" s="126"/>
    </row>
    <row r="579" spans="2:18" x14ac:dyDescent="0.3">
      <c r="B579" s="126"/>
      <c r="G579" s="137"/>
      <c r="H579" s="138"/>
      <c r="I579" s="138"/>
      <c r="J579" s="139"/>
      <c r="K579" s="137"/>
      <c r="L579" s="137"/>
      <c r="P579" s="137"/>
      <c r="Q579" s="137"/>
      <c r="R579" s="126"/>
    </row>
    <row r="580" spans="2:18" x14ac:dyDescent="0.3">
      <c r="B580" s="126"/>
      <c r="G580" s="137"/>
      <c r="H580" s="138"/>
      <c r="I580" s="138"/>
      <c r="J580" s="139"/>
      <c r="K580" s="137"/>
      <c r="L580" s="137"/>
      <c r="P580" s="137"/>
      <c r="Q580" s="137"/>
      <c r="R580" s="126"/>
    </row>
    <row r="581" spans="2:18" x14ac:dyDescent="0.3">
      <c r="B581" s="126"/>
      <c r="G581" s="137"/>
      <c r="H581" s="138"/>
      <c r="I581" s="138"/>
      <c r="J581" s="139"/>
      <c r="K581" s="137"/>
      <c r="L581" s="137"/>
      <c r="P581" s="137"/>
      <c r="Q581" s="137"/>
      <c r="R581" s="126"/>
    </row>
    <row r="582" spans="2:18" x14ac:dyDescent="0.3">
      <c r="B582" s="126"/>
      <c r="G582" s="137"/>
      <c r="H582" s="138"/>
      <c r="I582" s="138"/>
      <c r="J582" s="139"/>
      <c r="K582" s="137"/>
      <c r="L582" s="137"/>
      <c r="P582" s="137"/>
      <c r="Q582" s="137"/>
      <c r="R582" s="126"/>
    </row>
    <row r="583" spans="2:18" x14ac:dyDescent="0.3">
      <c r="B583" s="126"/>
      <c r="G583" s="137"/>
      <c r="H583" s="138"/>
      <c r="I583" s="138"/>
      <c r="J583" s="139"/>
      <c r="K583" s="137"/>
      <c r="L583" s="137"/>
      <c r="P583" s="137"/>
      <c r="Q583" s="137"/>
      <c r="R583" s="126"/>
    </row>
    <row r="584" spans="2:18" x14ac:dyDescent="0.3">
      <c r="B584" s="126"/>
      <c r="G584" s="137"/>
      <c r="H584" s="138"/>
      <c r="I584" s="138"/>
      <c r="J584" s="139"/>
      <c r="K584" s="137"/>
      <c r="L584" s="137"/>
      <c r="P584" s="137"/>
      <c r="Q584" s="137"/>
      <c r="R584" s="126"/>
    </row>
    <row r="585" spans="2:18" x14ac:dyDescent="0.3">
      <c r="B585" s="126"/>
      <c r="G585" s="137"/>
      <c r="H585" s="138"/>
      <c r="I585" s="138"/>
      <c r="J585" s="139"/>
      <c r="K585" s="137"/>
      <c r="L585" s="137"/>
      <c r="P585" s="137"/>
      <c r="Q585" s="137"/>
      <c r="R585" s="126"/>
    </row>
    <row r="586" spans="2:18" x14ac:dyDescent="0.3">
      <c r="B586" s="126"/>
      <c r="G586" s="137"/>
      <c r="H586" s="138"/>
      <c r="I586" s="138"/>
      <c r="J586" s="139"/>
      <c r="K586" s="137"/>
      <c r="L586" s="137"/>
      <c r="P586" s="137"/>
      <c r="Q586" s="137"/>
      <c r="R586" s="126"/>
    </row>
    <row r="587" spans="2:18" x14ac:dyDescent="0.3">
      <c r="B587" s="126"/>
      <c r="G587" s="137"/>
      <c r="H587" s="138"/>
      <c r="I587" s="138"/>
      <c r="J587" s="139"/>
      <c r="K587" s="137"/>
      <c r="L587" s="137"/>
      <c r="P587" s="137"/>
      <c r="Q587" s="137"/>
      <c r="R587" s="126"/>
    </row>
    <row r="588" spans="2:18" x14ac:dyDescent="0.3">
      <c r="B588" s="126"/>
      <c r="G588" s="137"/>
      <c r="H588" s="138"/>
      <c r="I588" s="138"/>
      <c r="J588" s="139"/>
      <c r="K588" s="137"/>
      <c r="L588" s="137"/>
      <c r="P588" s="137"/>
      <c r="Q588" s="137"/>
      <c r="R588" s="126"/>
    </row>
    <row r="589" spans="2:18" x14ac:dyDescent="0.3">
      <c r="B589" s="126"/>
      <c r="G589" s="137"/>
      <c r="H589" s="138"/>
      <c r="I589" s="138"/>
      <c r="J589" s="139"/>
      <c r="K589" s="137"/>
      <c r="L589" s="137"/>
      <c r="P589" s="137"/>
      <c r="Q589" s="137"/>
      <c r="R589" s="126"/>
    </row>
    <row r="590" spans="2:18" x14ac:dyDescent="0.3">
      <c r="B590" s="126"/>
      <c r="G590" s="137"/>
      <c r="H590" s="138"/>
      <c r="I590" s="138"/>
      <c r="J590" s="139"/>
      <c r="K590" s="137"/>
      <c r="L590" s="137"/>
      <c r="P590" s="137"/>
      <c r="Q590" s="137"/>
      <c r="R590" s="126"/>
    </row>
    <row r="591" spans="2:18" x14ac:dyDescent="0.3">
      <c r="B591" s="126"/>
      <c r="G591" s="137"/>
      <c r="H591" s="138"/>
      <c r="I591" s="138"/>
      <c r="J591" s="139"/>
      <c r="K591" s="137"/>
      <c r="L591" s="137"/>
      <c r="P591" s="137"/>
      <c r="Q591" s="137"/>
      <c r="R591" s="126"/>
    </row>
    <row r="592" spans="2:18" x14ac:dyDescent="0.3">
      <c r="B592" s="126"/>
      <c r="G592" s="137"/>
      <c r="H592" s="138"/>
      <c r="I592" s="138"/>
      <c r="J592" s="139"/>
      <c r="K592" s="137"/>
      <c r="L592" s="137"/>
      <c r="P592" s="137"/>
      <c r="Q592" s="137"/>
      <c r="R592" s="126"/>
    </row>
    <row r="593" spans="2:18" x14ac:dyDescent="0.3">
      <c r="B593" s="126"/>
      <c r="G593" s="137"/>
      <c r="H593" s="138"/>
      <c r="I593" s="138"/>
      <c r="J593" s="139"/>
      <c r="K593" s="137"/>
      <c r="L593" s="137"/>
      <c r="P593" s="137"/>
      <c r="Q593" s="137"/>
      <c r="R593" s="126"/>
    </row>
    <row r="594" spans="2:18" x14ac:dyDescent="0.3">
      <c r="B594" s="126"/>
      <c r="G594" s="137"/>
      <c r="H594" s="138"/>
      <c r="I594" s="138"/>
      <c r="J594" s="139"/>
      <c r="K594" s="137"/>
      <c r="L594" s="137"/>
      <c r="P594" s="137"/>
      <c r="Q594" s="137"/>
      <c r="R594" s="126"/>
    </row>
    <row r="595" spans="2:18" x14ac:dyDescent="0.3">
      <c r="B595" s="126"/>
      <c r="G595" s="137"/>
      <c r="H595" s="138"/>
      <c r="I595" s="138"/>
      <c r="J595" s="139"/>
      <c r="K595" s="137"/>
      <c r="L595" s="137"/>
      <c r="P595" s="137"/>
      <c r="Q595" s="137"/>
      <c r="R595" s="126"/>
    </row>
    <row r="596" spans="2:18" x14ac:dyDescent="0.3">
      <c r="B596" s="126"/>
      <c r="G596" s="137"/>
      <c r="H596" s="138"/>
      <c r="I596" s="138"/>
      <c r="J596" s="139"/>
      <c r="K596" s="137"/>
      <c r="L596" s="137"/>
      <c r="P596" s="137"/>
      <c r="Q596" s="137"/>
      <c r="R596" s="126"/>
    </row>
    <row r="597" spans="2:18" x14ac:dyDescent="0.3">
      <c r="B597" s="126"/>
      <c r="G597" s="137"/>
      <c r="H597" s="138"/>
      <c r="I597" s="138"/>
      <c r="J597" s="139"/>
      <c r="K597" s="137"/>
      <c r="L597" s="137"/>
      <c r="P597" s="137"/>
      <c r="Q597" s="137"/>
      <c r="R597" s="126"/>
    </row>
    <row r="598" spans="2:18" x14ac:dyDescent="0.3">
      <c r="B598" s="126"/>
      <c r="G598" s="137"/>
      <c r="H598" s="138"/>
      <c r="I598" s="138"/>
      <c r="J598" s="139"/>
      <c r="K598" s="137"/>
      <c r="L598" s="137"/>
      <c r="P598" s="137"/>
      <c r="Q598" s="137"/>
      <c r="R598" s="126"/>
    </row>
    <row r="599" spans="2:18" x14ac:dyDescent="0.3">
      <c r="B599" s="126"/>
      <c r="G599" s="137"/>
      <c r="H599" s="138"/>
      <c r="I599" s="138"/>
      <c r="J599" s="139"/>
      <c r="K599" s="137"/>
      <c r="L599" s="137"/>
      <c r="P599" s="137"/>
      <c r="Q599" s="137"/>
      <c r="R599" s="126"/>
    </row>
    <row r="600" spans="2:18" x14ac:dyDescent="0.3">
      <c r="B600" s="126"/>
      <c r="G600" s="137"/>
      <c r="H600" s="138"/>
      <c r="I600" s="138"/>
      <c r="J600" s="139"/>
      <c r="K600" s="137"/>
      <c r="L600" s="137"/>
      <c r="P600" s="137"/>
      <c r="Q600" s="137"/>
      <c r="R600" s="126"/>
    </row>
    <row r="601" spans="2:18" x14ac:dyDescent="0.3">
      <c r="B601" s="126"/>
      <c r="G601" s="137"/>
      <c r="H601" s="138"/>
      <c r="I601" s="138"/>
      <c r="J601" s="139"/>
      <c r="K601" s="137"/>
      <c r="L601" s="137"/>
      <c r="P601" s="137"/>
      <c r="Q601" s="137"/>
      <c r="R601" s="126"/>
    </row>
    <row r="602" spans="2:18" x14ac:dyDescent="0.3">
      <c r="B602" s="126"/>
      <c r="G602" s="137"/>
      <c r="H602" s="138"/>
      <c r="I602" s="138"/>
      <c r="J602" s="139"/>
      <c r="K602" s="137"/>
      <c r="L602" s="137"/>
      <c r="P602" s="137"/>
      <c r="Q602" s="137"/>
      <c r="R602" s="126"/>
    </row>
    <row r="603" spans="2:18" x14ac:dyDescent="0.3">
      <c r="B603" s="126"/>
      <c r="G603" s="137"/>
      <c r="H603" s="138"/>
      <c r="I603" s="138"/>
      <c r="J603" s="139"/>
      <c r="K603" s="137"/>
      <c r="L603" s="137"/>
      <c r="P603" s="137"/>
      <c r="Q603" s="137"/>
      <c r="R603" s="126"/>
    </row>
    <row r="604" spans="2:18" x14ac:dyDescent="0.3">
      <c r="B604" s="126"/>
      <c r="G604" s="137"/>
      <c r="H604" s="138"/>
      <c r="I604" s="138"/>
      <c r="J604" s="139"/>
      <c r="K604" s="137"/>
      <c r="L604" s="137"/>
      <c r="P604" s="137"/>
      <c r="Q604" s="137"/>
      <c r="R604" s="126"/>
    </row>
    <row r="605" spans="2:18" x14ac:dyDescent="0.3">
      <c r="B605" s="126"/>
      <c r="G605" s="137"/>
      <c r="H605" s="138"/>
      <c r="I605" s="138"/>
      <c r="J605" s="139"/>
      <c r="K605" s="137"/>
      <c r="L605" s="137"/>
      <c r="P605" s="137"/>
      <c r="Q605" s="137"/>
      <c r="R605" s="126"/>
    </row>
    <row r="606" spans="2:18" x14ac:dyDescent="0.3">
      <c r="B606" s="126"/>
      <c r="G606" s="137"/>
      <c r="H606" s="138"/>
      <c r="I606" s="138"/>
      <c r="J606" s="139"/>
      <c r="K606" s="137"/>
      <c r="L606" s="137"/>
      <c r="P606" s="137"/>
      <c r="Q606" s="137"/>
      <c r="R606" s="126"/>
    </row>
    <row r="607" spans="2:18" x14ac:dyDescent="0.3">
      <c r="B607" s="126"/>
      <c r="G607" s="137"/>
      <c r="H607" s="138"/>
      <c r="I607" s="138"/>
      <c r="J607" s="139"/>
      <c r="K607" s="137"/>
      <c r="L607" s="137"/>
      <c r="P607" s="137"/>
      <c r="Q607" s="137"/>
      <c r="R607" s="126"/>
    </row>
    <row r="608" spans="2:18" x14ac:dyDescent="0.3">
      <c r="B608" s="126"/>
      <c r="G608" s="137"/>
      <c r="H608" s="138"/>
      <c r="I608" s="138"/>
      <c r="J608" s="139"/>
      <c r="K608" s="137"/>
      <c r="L608" s="137"/>
      <c r="P608" s="137"/>
      <c r="Q608" s="137"/>
      <c r="R608" s="126"/>
    </row>
    <row r="609" spans="2:18" x14ac:dyDescent="0.3">
      <c r="B609" s="126"/>
      <c r="G609" s="137"/>
      <c r="H609" s="138"/>
      <c r="I609" s="138"/>
      <c r="J609" s="139"/>
      <c r="K609" s="137"/>
      <c r="L609" s="137"/>
      <c r="P609" s="137"/>
      <c r="Q609" s="137"/>
      <c r="R609" s="126"/>
    </row>
    <row r="610" spans="2:18" x14ac:dyDescent="0.3">
      <c r="B610" s="126"/>
      <c r="G610" s="137"/>
      <c r="H610" s="138"/>
      <c r="I610" s="138"/>
      <c r="J610" s="139"/>
      <c r="K610" s="137"/>
      <c r="L610" s="137"/>
      <c r="P610" s="137"/>
      <c r="Q610" s="137"/>
      <c r="R610" s="126"/>
    </row>
    <row r="611" spans="2:18" x14ac:dyDescent="0.3">
      <c r="B611" s="126"/>
      <c r="G611" s="137"/>
      <c r="H611" s="138"/>
      <c r="I611" s="138"/>
      <c r="J611" s="139"/>
      <c r="K611" s="137"/>
      <c r="L611" s="137"/>
      <c r="P611" s="137"/>
      <c r="Q611" s="137"/>
      <c r="R611" s="126"/>
    </row>
    <row r="612" spans="2:18" x14ac:dyDescent="0.3">
      <c r="B612" s="126"/>
      <c r="G612" s="137"/>
      <c r="H612" s="138"/>
      <c r="I612" s="138"/>
      <c r="J612" s="139"/>
      <c r="K612" s="137"/>
      <c r="L612" s="137"/>
      <c r="P612" s="137"/>
      <c r="Q612" s="137"/>
      <c r="R612" s="126"/>
    </row>
    <row r="613" spans="2:18" x14ac:dyDescent="0.3">
      <c r="B613" s="126"/>
      <c r="G613" s="137"/>
      <c r="H613" s="138"/>
      <c r="I613" s="138"/>
      <c r="J613" s="139"/>
      <c r="K613" s="137"/>
      <c r="L613" s="137"/>
      <c r="P613" s="137"/>
      <c r="Q613" s="137"/>
      <c r="R613" s="126"/>
    </row>
    <row r="614" spans="2:18" x14ac:dyDescent="0.3">
      <c r="B614" s="126"/>
      <c r="G614" s="137"/>
      <c r="H614" s="138"/>
      <c r="I614" s="138"/>
      <c r="J614" s="139"/>
      <c r="K614" s="137"/>
      <c r="L614" s="137"/>
      <c r="P614" s="137"/>
      <c r="Q614" s="137"/>
      <c r="R614" s="126"/>
    </row>
    <row r="615" spans="2:18" x14ac:dyDescent="0.3">
      <c r="B615" s="126"/>
      <c r="G615" s="137"/>
      <c r="H615" s="138"/>
      <c r="I615" s="138"/>
      <c r="J615" s="139"/>
      <c r="K615" s="137"/>
      <c r="L615" s="137"/>
      <c r="P615" s="137"/>
      <c r="Q615" s="137"/>
      <c r="R615" s="126"/>
    </row>
    <row r="616" spans="2:18" x14ac:dyDescent="0.3">
      <c r="B616" s="126"/>
      <c r="G616" s="137"/>
      <c r="H616" s="138"/>
      <c r="I616" s="138"/>
      <c r="J616" s="139"/>
      <c r="K616" s="137"/>
      <c r="L616" s="137"/>
      <c r="P616" s="137"/>
      <c r="Q616" s="137"/>
      <c r="R616" s="126"/>
    </row>
    <row r="617" spans="2:18" x14ac:dyDescent="0.3">
      <c r="B617" s="126"/>
      <c r="G617" s="137"/>
      <c r="H617" s="138"/>
      <c r="I617" s="138"/>
      <c r="J617" s="139"/>
      <c r="K617" s="137"/>
      <c r="L617" s="137"/>
      <c r="P617" s="137"/>
      <c r="Q617" s="137"/>
      <c r="R617" s="126"/>
    </row>
    <row r="618" spans="2:18" x14ac:dyDescent="0.3">
      <c r="B618" s="126"/>
      <c r="G618" s="137"/>
      <c r="H618" s="138"/>
      <c r="I618" s="138"/>
      <c r="J618" s="139"/>
      <c r="K618" s="137"/>
      <c r="L618" s="137"/>
      <c r="P618" s="137"/>
      <c r="Q618" s="137"/>
      <c r="R618" s="126"/>
    </row>
    <row r="619" spans="2:18" x14ac:dyDescent="0.3">
      <c r="B619" s="126"/>
      <c r="G619" s="137"/>
      <c r="H619" s="138"/>
      <c r="I619" s="138"/>
      <c r="J619" s="139"/>
      <c r="K619" s="137"/>
      <c r="L619" s="137"/>
      <c r="P619" s="137"/>
      <c r="Q619" s="137"/>
      <c r="R619" s="126"/>
    </row>
    <row r="620" spans="2:18" x14ac:dyDescent="0.3">
      <c r="B620" s="126"/>
      <c r="G620" s="137"/>
      <c r="H620" s="138"/>
      <c r="I620" s="138"/>
      <c r="J620" s="139"/>
      <c r="K620" s="137"/>
      <c r="L620" s="137"/>
      <c r="P620" s="137"/>
      <c r="Q620" s="137"/>
      <c r="R620" s="126"/>
    </row>
    <row r="621" spans="2:18" x14ac:dyDescent="0.3">
      <c r="B621" s="126"/>
      <c r="G621" s="137"/>
      <c r="H621" s="138"/>
      <c r="I621" s="138"/>
      <c r="J621" s="139"/>
      <c r="K621" s="137"/>
      <c r="L621" s="137"/>
      <c r="P621" s="137"/>
      <c r="Q621" s="137"/>
      <c r="R621" s="126"/>
    </row>
    <row r="622" spans="2:18" x14ac:dyDescent="0.3">
      <c r="B622" s="126"/>
      <c r="G622" s="137"/>
      <c r="H622" s="138"/>
      <c r="I622" s="138"/>
      <c r="J622" s="139"/>
      <c r="K622" s="137"/>
      <c r="L622" s="137"/>
      <c r="P622" s="137"/>
      <c r="Q622" s="137"/>
      <c r="R622" s="126"/>
    </row>
    <row r="623" spans="2:18" x14ac:dyDescent="0.3">
      <c r="B623" s="126"/>
      <c r="G623" s="137"/>
      <c r="H623" s="138"/>
      <c r="I623" s="138"/>
      <c r="J623" s="139"/>
      <c r="K623" s="137"/>
      <c r="L623" s="137"/>
      <c r="P623" s="137"/>
      <c r="Q623" s="137"/>
      <c r="R623" s="126"/>
    </row>
    <row r="624" spans="2:18" x14ac:dyDescent="0.3">
      <c r="B624" s="126"/>
      <c r="G624" s="137"/>
      <c r="H624" s="138"/>
      <c r="I624" s="138"/>
      <c r="J624" s="139"/>
      <c r="K624" s="137"/>
      <c r="L624" s="137"/>
      <c r="P624" s="137"/>
      <c r="Q624" s="137"/>
      <c r="R624" s="126"/>
    </row>
    <row r="625" spans="2:18" x14ac:dyDescent="0.3">
      <c r="B625" s="126"/>
      <c r="G625" s="137"/>
      <c r="H625" s="138"/>
      <c r="I625" s="138"/>
      <c r="J625" s="139"/>
      <c r="K625" s="137"/>
      <c r="L625" s="137"/>
      <c r="P625" s="137"/>
      <c r="Q625" s="137"/>
      <c r="R625" s="126"/>
    </row>
    <row r="626" spans="2:18" x14ac:dyDescent="0.3">
      <c r="B626" s="126"/>
      <c r="G626" s="137"/>
      <c r="H626" s="138"/>
      <c r="I626" s="138"/>
      <c r="J626" s="139"/>
      <c r="K626" s="137"/>
      <c r="L626" s="137"/>
      <c r="P626" s="137"/>
      <c r="Q626" s="137"/>
      <c r="R626" s="126"/>
    </row>
    <row r="627" spans="2:18" x14ac:dyDescent="0.3">
      <c r="B627" s="126"/>
      <c r="G627" s="137"/>
      <c r="H627" s="138"/>
      <c r="I627" s="138"/>
      <c r="J627" s="139"/>
      <c r="K627" s="137"/>
      <c r="L627" s="137"/>
      <c r="P627" s="137"/>
      <c r="Q627" s="137"/>
      <c r="R627" s="126"/>
    </row>
    <row r="628" spans="2:18" x14ac:dyDescent="0.3">
      <c r="B628" s="126"/>
      <c r="G628" s="137"/>
      <c r="H628" s="138"/>
      <c r="I628" s="138"/>
      <c r="J628" s="139"/>
      <c r="K628" s="137"/>
      <c r="L628" s="137"/>
      <c r="P628" s="137"/>
      <c r="Q628" s="137"/>
      <c r="R628" s="126"/>
    </row>
    <row r="629" spans="2:18" x14ac:dyDescent="0.3">
      <c r="B629" s="126"/>
      <c r="G629" s="137"/>
      <c r="H629" s="138"/>
      <c r="I629" s="138"/>
      <c r="J629" s="139"/>
      <c r="K629" s="137"/>
      <c r="L629" s="137"/>
      <c r="P629" s="137"/>
      <c r="Q629" s="137"/>
      <c r="R629" s="126"/>
    </row>
    <row r="630" spans="2:18" x14ac:dyDescent="0.3">
      <c r="B630" s="126"/>
      <c r="G630" s="137"/>
      <c r="H630" s="138"/>
      <c r="I630" s="138"/>
      <c r="J630" s="139"/>
      <c r="K630" s="137"/>
      <c r="L630" s="137"/>
      <c r="P630" s="137"/>
      <c r="Q630" s="137"/>
      <c r="R630" s="126"/>
    </row>
    <row r="631" spans="2:18" x14ac:dyDescent="0.3">
      <c r="B631" s="126"/>
      <c r="G631" s="137"/>
      <c r="H631" s="138"/>
      <c r="I631" s="138"/>
      <c r="J631" s="139"/>
      <c r="K631" s="137"/>
      <c r="L631" s="137"/>
      <c r="P631" s="137"/>
      <c r="Q631" s="137"/>
      <c r="R631" s="126"/>
    </row>
    <row r="632" spans="2:18" x14ac:dyDescent="0.3">
      <c r="B632" s="126"/>
      <c r="G632" s="137"/>
      <c r="H632" s="138"/>
      <c r="I632" s="138"/>
      <c r="J632" s="139"/>
      <c r="K632" s="137"/>
      <c r="L632" s="137"/>
      <c r="P632" s="137"/>
      <c r="Q632" s="137"/>
      <c r="R632" s="126"/>
    </row>
    <row r="633" spans="2:18" x14ac:dyDescent="0.3">
      <c r="B633" s="126"/>
      <c r="G633" s="137"/>
      <c r="H633" s="138"/>
      <c r="I633" s="138"/>
      <c r="J633" s="139"/>
      <c r="K633" s="137"/>
      <c r="L633" s="137"/>
      <c r="P633" s="137"/>
      <c r="Q633" s="137"/>
      <c r="R633" s="126"/>
    </row>
    <row r="634" spans="2:18" x14ac:dyDescent="0.3">
      <c r="B634" s="126"/>
      <c r="G634" s="137"/>
      <c r="H634" s="138"/>
      <c r="I634" s="138"/>
      <c r="J634" s="139"/>
      <c r="K634" s="137"/>
      <c r="L634" s="137"/>
      <c r="P634" s="137"/>
      <c r="Q634" s="137"/>
      <c r="R634" s="126"/>
    </row>
    <row r="635" spans="2:18" x14ac:dyDescent="0.3">
      <c r="B635" s="126"/>
      <c r="G635" s="137"/>
      <c r="H635" s="138"/>
      <c r="I635" s="138"/>
      <c r="J635" s="139"/>
      <c r="K635" s="137"/>
      <c r="L635" s="137"/>
      <c r="P635" s="137"/>
      <c r="Q635" s="137"/>
      <c r="R635" s="126"/>
    </row>
    <row r="636" spans="2:18" x14ac:dyDescent="0.3">
      <c r="B636" s="126"/>
      <c r="G636" s="137"/>
      <c r="H636" s="138"/>
      <c r="I636" s="138"/>
      <c r="J636" s="139"/>
      <c r="K636" s="137"/>
      <c r="L636" s="137"/>
      <c r="P636" s="137"/>
      <c r="Q636" s="137"/>
      <c r="R636" s="126"/>
    </row>
    <row r="637" spans="2:18" x14ac:dyDescent="0.3">
      <c r="B637" s="126"/>
      <c r="G637" s="137"/>
      <c r="H637" s="138"/>
      <c r="I637" s="138"/>
      <c r="J637" s="139"/>
      <c r="K637" s="137"/>
      <c r="L637" s="137"/>
      <c r="P637" s="137"/>
      <c r="Q637" s="137"/>
      <c r="R637" s="126"/>
    </row>
    <row r="638" spans="2:18" x14ac:dyDescent="0.3">
      <c r="B638" s="126"/>
      <c r="G638" s="137"/>
      <c r="H638" s="138"/>
      <c r="I638" s="138"/>
      <c r="J638" s="139"/>
      <c r="K638" s="137"/>
      <c r="L638" s="137"/>
      <c r="P638" s="137"/>
      <c r="Q638" s="137"/>
      <c r="R638" s="126"/>
    </row>
    <row r="639" spans="2:18" x14ac:dyDescent="0.3">
      <c r="B639" s="126"/>
      <c r="G639" s="137"/>
      <c r="H639" s="138"/>
      <c r="I639" s="138"/>
      <c r="J639" s="139"/>
      <c r="K639" s="137"/>
      <c r="L639" s="137"/>
      <c r="P639" s="137"/>
      <c r="Q639" s="137"/>
      <c r="R639" s="126"/>
    </row>
    <row r="640" spans="2:18" x14ac:dyDescent="0.3">
      <c r="B640" s="126"/>
      <c r="G640" s="137"/>
      <c r="H640" s="138"/>
      <c r="I640" s="138"/>
      <c r="J640" s="139"/>
      <c r="K640" s="137"/>
      <c r="L640" s="137"/>
      <c r="P640" s="137"/>
      <c r="Q640" s="137"/>
      <c r="R640" s="126"/>
    </row>
    <row r="641" spans="2:18" x14ac:dyDescent="0.3">
      <c r="B641" s="126"/>
      <c r="G641" s="137"/>
      <c r="H641" s="138"/>
      <c r="I641" s="138"/>
      <c r="J641" s="139"/>
      <c r="K641" s="137"/>
      <c r="L641" s="137"/>
      <c r="P641" s="137"/>
      <c r="Q641" s="137"/>
      <c r="R641" s="126"/>
    </row>
    <row r="642" spans="2:18" x14ac:dyDescent="0.3">
      <c r="B642" s="126"/>
      <c r="G642" s="137"/>
      <c r="H642" s="138"/>
      <c r="I642" s="138"/>
      <c r="J642" s="139"/>
      <c r="K642" s="137"/>
      <c r="L642" s="137"/>
      <c r="P642" s="137"/>
      <c r="Q642" s="137"/>
      <c r="R642" s="126"/>
    </row>
    <row r="643" spans="2:18" x14ac:dyDescent="0.3">
      <c r="B643" s="126"/>
      <c r="G643" s="137"/>
      <c r="H643" s="138"/>
      <c r="I643" s="138"/>
      <c r="J643" s="139"/>
      <c r="K643" s="137"/>
      <c r="L643" s="137"/>
      <c r="P643" s="137"/>
      <c r="Q643" s="137"/>
      <c r="R643" s="126"/>
    </row>
    <row r="644" spans="2:18" x14ac:dyDescent="0.3">
      <c r="B644" s="126"/>
      <c r="G644" s="137"/>
      <c r="H644" s="138"/>
      <c r="I644" s="138"/>
      <c r="J644" s="139"/>
      <c r="K644" s="137"/>
      <c r="L644" s="137"/>
      <c r="P644" s="137"/>
      <c r="Q644" s="137"/>
      <c r="R644" s="126"/>
    </row>
    <row r="645" spans="2:18" x14ac:dyDescent="0.3">
      <c r="B645" s="126"/>
      <c r="G645" s="137"/>
      <c r="H645" s="138"/>
      <c r="I645" s="138"/>
      <c r="J645" s="139"/>
      <c r="K645" s="137"/>
      <c r="L645" s="137"/>
      <c r="P645" s="137"/>
      <c r="Q645" s="137"/>
      <c r="R645" s="126"/>
    </row>
    <row r="646" spans="2:18" x14ac:dyDescent="0.3">
      <c r="B646" s="126"/>
      <c r="G646" s="137"/>
      <c r="H646" s="138"/>
      <c r="I646" s="138"/>
      <c r="J646" s="139"/>
      <c r="K646" s="137"/>
      <c r="L646" s="137"/>
      <c r="P646" s="137"/>
      <c r="Q646" s="137"/>
      <c r="R646" s="126"/>
    </row>
    <row r="647" spans="2:18" x14ac:dyDescent="0.3">
      <c r="B647" s="126"/>
      <c r="G647" s="137"/>
      <c r="H647" s="138"/>
      <c r="I647" s="138"/>
      <c r="J647" s="139"/>
      <c r="K647" s="137"/>
      <c r="L647" s="137"/>
      <c r="P647" s="137"/>
      <c r="Q647" s="137"/>
      <c r="R647" s="126"/>
    </row>
    <row r="648" spans="2:18" x14ac:dyDescent="0.3">
      <c r="B648" s="126"/>
      <c r="G648" s="137"/>
      <c r="H648" s="138"/>
      <c r="I648" s="138"/>
      <c r="J648" s="139"/>
      <c r="K648" s="137"/>
      <c r="L648" s="137"/>
      <c r="P648" s="137"/>
      <c r="Q648" s="137"/>
      <c r="R648" s="126"/>
    </row>
    <row r="649" spans="2:18" x14ac:dyDescent="0.3">
      <c r="B649" s="126"/>
      <c r="G649" s="137"/>
      <c r="H649" s="138"/>
      <c r="I649" s="138"/>
      <c r="J649" s="139"/>
      <c r="K649" s="137"/>
      <c r="L649" s="137"/>
      <c r="P649" s="137"/>
      <c r="Q649" s="137"/>
      <c r="R649" s="126"/>
    </row>
    <row r="650" spans="2:18" x14ac:dyDescent="0.3">
      <c r="B650" s="126"/>
      <c r="G650" s="137"/>
      <c r="H650" s="138"/>
      <c r="I650" s="138"/>
      <c r="J650" s="139"/>
      <c r="K650" s="137"/>
      <c r="L650" s="137"/>
      <c r="P650" s="137"/>
      <c r="Q650" s="137"/>
      <c r="R650" s="126"/>
    </row>
    <row r="651" spans="2:18" x14ac:dyDescent="0.3">
      <c r="B651" s="126"/>
      <c r="G651" s="137"/>
      <c r="H651" s="138"/>
      <c r="I651" s="138"/>
      <c r="J651" s="139"/>
      <c r="K651" s="137"/>
      <c r="L651" s="137"/>
      <c r="P651" s="137"/>
      <c r="Q651" s="137"/>
      <c r="R651" s="126"/>
    </row>
    <row r="652" spans="2:18" x14ac:dyDescent="0.3">
      <c r="B652" s="126"/>
      <c r="G652" s="137"/>
      <c r="H652" s="138"/>
      <c r="I652" s="138"/>
      <c r="J652" s="139"/>
      <c r="K652" s="137"/>
      <c r="L652" s="137"/>
      <c r="P652" s="137"/>
      <c r="Q652" s="137"/>
      <c r="R652" s="126"/>
    </row>
    <row r="653" spans="2:18" x14ac:dyDescent="0.3">
      <c r="B653" s="126"/>
      <c r="G653" s="137"/>
      <c r="H653" s="138"/>
      <c r="I653" s="138"/>
      <c r="J653" s="139"/>
      <c r="K653" s="137"/>
      <c r="L653" s="137"/>
      <c r="P653" s="137"/>
      <c r="Q653" s="137"/>
      <c r="R653" s="126"/>
    </row>
    <row r="654" spans="2:18" x14ac:dyDescent="0.3">
      <c r="B654" s="126"/>
      <c r="G654" s="137"/>
      <c r="H654" s="138"/>
      <c r="I654" s="138"/>
      <c r="J654" s="139"/>
      <c r="K654" s="137"/>
      <c r="L654" s="137"/>
      <c r="P654" s="137"/>
      <c r="Q654" s="137"/>
      <c r="R654" s="126"/>
    </row>
    <row r="655" spans="2:18" x14ac:dyDescent="0.3">
      <c r="B655" s="126"/>
      <c r="G655" s="137"/>
      <c r="H655" s="138"/>
      <c r="I655" s="138"/>
      <c r="J655" s="139"/>
      <c r="K655" s="137"/>
      <c r="L655" s="137"/>
      <c r="P655" s="137"/>
      <c r="Q655" s="137"/>
      <c r="R655" s="126"/>
    </row>
    <row r="656" spans="2:18" x14ac:dyDescent="0.3">
      <c r="B656" s="126"/>
      <c r="G656" s="137"/>
      <c r="H656" s="138"/>
      <c r="I656" s="138"/>
      <c r="J656" s="139"/>
      <c r="K656" s="137"/>
      <c r="L656" s="137"/>
      <c r="P656" s="137"/>
      <c r="Q656" s="137"/>
      <c r="R656" s="126"/>
    </row>
    <row r="657" spans="2:18" x14ac:dyDescent="0.3">
      <c r="B657" s="126"/>
      <c r="G657" s="137"/>
      <c r="H657" s="138"/>
      <c r="I657" s="138"/>
      <c r="J657" s="139"/>
      <c r="K657" s="137"/>
      <c r="L657" s="137"/>
      <c r="P657" s="137"/>
      <c r="Q657" s="137"/>
      <c r="R657" s="126"/>
    </row>
    <row r="658" spans="2:18" x14ac:dyDescent="0.3">
      <c r="B658" s="126"/>
      <c r="G658" s="137"/>
      <c r="H658" s="138"/>
      <c r="I658" s="138"/>
      <c r="J658" s="139"/>
      <c r="K658" s="137"/>
      <c r="L658" s="137"/>
      <c r="P658" s="137"/>
      <c r="Q658" s="137"/>
      <c r="R658" s="126"/>
    </row>
    <row r="659" spans="2:18" x14ac:dyDescent="0.3">
      <c r="B659" s="126"/>
      <c r="G659" s="137"/>
      <c r="H659" s="138"/>
      <c r="I659" s="138"/>
      <c r="J659" s="139"/>
      <c r="K659" s="137"/>
      <c r="L659" s="137"/>
      <c r="P659" s="137"/>
      <c r="Q659" s="137"/>
      <c r="R659" s="126"/>
    </row>
    <row r="660" spans="2:18" x14ac:dyDescent="0.3">
      <c r="B660" s="126"/>
      <c r="G660" s="137"/>
      <c r="H660" s="138"/>
      <c r="I660" s="138"/>
      <c r="J660" s="139"/>
      <c r="K660" s="137"/>
      <c r="L660" s="137"/>
      <c r="P660" s="137"/>
      <c r="Q660" s="137"/>
      <c r="R660" s="126"/>
    </row>
    <row r="661" spans="2:18" x14ac:dyDescent="0.3">
      <c r="B661" s="126"/>
      <c r="G661" s="137"/>
      <c r="H661" s="138"/>
      <c r="I661" s="138"/>
      <c r="J661" s="139"/>
      <c r="K661" s="137"/>
      <c r="L661" s="137"/>
      <c r="P661" s="137"/>
      <c r="Q661" s="137"/>
      <c r="R661" s="126"/>
    </row>
    <row r="662" spans="2:18" x14ac:dyDescent="0.3">
      <c r="B662" s="126"/>
      <c r="G662" s="137"/>
      <c r="H662" s="138"/>
      <c r="I662" s="138"/>
      <c r="J662" s="139"/>
      <c r="K662" s="137"/>
      <c r="L662" s="137"/>
      <c r="P662" s="137"/>
      <c r="Q662" s="137"/>
      <c r="R662" s="126"/>
    </row>
    <row r="663" spans="2:18" x14ac:dyDescent="0.3">
      <c r="B663" s="126"/>
      <c r="G663" s="137"/>
      <c r="H663" s="138"/>
      <c r="I663" s="138"/>
      <c r="J663" s="139"/>
      <c r="K663" s="137"/>
      <c r="L663" s="137"/>
      <c r="P663" s="137"/>
      <c r="Q663" s="137"/>
      <c r="R663" s="126"/>
    </row>
    <row r="664" spans="2:18" x14ac:dyDescent="0.3">
      <c r="B664" s="126"/>
      <c r="G664" s="137"/>
      <c r="H664" s="138"/>
      <c r="I664" s="138"/>
      <c r="J664" s="139"/>
      <c r="K664" s="137"/>
      <c r="L664" s="137"/>
      <c r="P664" s="137"/>
      <c r="Q664" s="137"/>
      <c r="R664" s="126"/>
    </row>
    <row r="665" spans="2:18" x14ac:dyDescent="0.3">
      <c r="B665" s="126"/>
      <c r="G665" s="137"/>
      <c r="H665" s="138"/>
      <c r="I665" s="138"/>
      <c r="J665" s="139"/>
      <c r="K665" s="137"/>
      <c r="L665" s="137"/>
      <c r="P665" s="137"/>
      <c r="Q665" s="137"/>
      <c r="R665" s="126"/>
    </row>
    <row r="666" spans="2:18" x14ac:dyDescent="0.3">
      <c r="B666" s="126"/>
      <c r="G666" s="137"/>
      <c r="H666" s="138"/>
      <c r="I666" s="138"/>
      <c r="J666" s="139"/>
      <c r="K666" s="137"/>
      <c r="L666" s="137"/>
      <c r="P666" s="137"/>
      <c r="Q666" s="137"/>
      <c r="R666" s="126"/>
    </row>
    <row r="667" spans="2:18" x14ac:dyDescent="0.3">
      <c r="B667" s="126"/>
      <c r="G667" s="137"/>
      <c r="H667" s="138"/>
      <c r="I667" s="138"/>
      <c r="J667" s="139"/>
      <c r="K667" s="137"/>
      <c r="L667" s="137"/>
      <c r="P667" s="137"/>
      <c r="Q667" s="137"/>
      <c r="R667" s="126"/>
    </row>
    <row r="668" spans="2:18" x14ac:dyDescent="0.3">
      <c r="B668" s="126"/>
      <c r="G668" s="137"/>
      <c r="H668" s="138"/>
      <c r="I668" s="138"/>
      <c r="J668" s="139"/>
      <c r="K668" s="137"/>
      <c r="L668" s="137"/>
      <c r="P668" s="137"/>
      <c r="Q668" s="137"/>
      <c r="R668" s="126"/>
    </row>
    <row r="669" spans="2:18" x14ac:dyDescent="0.3">
      <c r="B669" s="126"/>
      <c r="G669" s="137"/>
      <c r="H669" s="138"/>
      <c r="I669" s="138"/>
      <c r="J669" s="139"/>
      <c r="K669" s="137"/>
      <c r="L669" s="137"/>
      <c r="P669" s="137"/>
      <c r="Q669" s="137"/>
      <c r="R669" s="126"/>
    </row>
    <row r="670" spans="2:18" x14ac:dyDescent="0.3">
      <c r="B670" s="126"/>
      <c r="G670" s="137"/>
      <c r="H670" s="138"/>
      <c r="I670" s="138"/>
      <c r="J670" s="139"/>
      <c r="K670" s="137"/>
      <c r="L670" s="137"/>
      <c r="P670" s="137"/>
      <c r="Q670" s="137"/>
      <c r="R670" s="126"/>
    </row>
    <row r="671" spans="2:18" x14ac:dyDescent="0.3">
      <c r="B671" s="126"/>
      <c r="G671" s="137"/>
      <c r="H671" s="138"/>
      <c r="I671" s="138"/>
      <c r="J671" s="139"/>
      <c r="K671" s="137"/>
      <c r="L671" s="137"/>
      <c r="P671" s="137"/>
      <c r="Q671" s="137"/>
      <c r="R671" s="126"/>
    </row>
    <row r="672" spans="2:18" x14ac:dyDescent="0.3">
      <c r="B672" s="126"/>
      <c r="G672" s="137"/>
      <c r="H672" s="138"/>
      <c r="I672" s="138"/>
      <c r="J672" s="139"/>
      <c r="K672" s="137"/>
      <c r="L672" s="137"/>
      <c r="P672" s="137"/>
      <c r="Q672" s="137"/>
      <c r="R672" s="126"/>
    </row>
    <row r="673" spans="2:18" x14ac:dyDescent="0.3">
      <c r="B673" s="126"/>
      <c r="G673" s="137"/>
      <c r="H673" s="138"/>
      <c r="I673" s="138"/>
      <c r="J673" s="139"/>
      <c r="K673" s="137"/>
      <c r="L673" s="137"/>
      <c r="P673" s="137"/>
      <c r="Q673" s="137"/>
      <c r="R673" s="126"/>
    </row>
    <row r="674" spans="2:18" x14ac:dyDescent="0.3">
      <c r="B674" s="126"/>
      <c r="G674" s="137"/>
      <c r="H674" s="138"/>
      <c r="I674" s="138"/>
      <c r="J674" s="139"/>
      <c r="K674" s="137"/>
      <c r="L674" s="137"/>
      <c r="P674" s="137"/>
      <c r="Q674" s="137"/>
      <c r="R674" s="126"/>
    </row>
    <row r="675" spans="2:18" x14ac:dyDescent="0.3">
      <c r="B675" s="126"/>
      <c r="G675" s="137"/>
      <c r="H675" s="138"/>
      <c r="I675" s="138"/>
      <c r="J675" s="139"/>
      <c r="K675" s="137"/>
      <c r="L675" s="137"/>
      <c r="P675" s="137"/>
      <c r="Q675" s="137"/>
      <c r="R675" s="126"/>
    </row>
    <row r="676" spans="2:18" x14ac:dyDescent="0.3">
      <c r="B676" s="126"/>
      <c r="G676" s="137"/>
      <c r="H676" s="138"/>
      <c r="I676" s="138"/>
      <c r="J676" s="139"/>
      <c r="K676" s="137"/>
      <c r="L676" s="137"/>
      <c r="P676" s="137"/>
      <c r="Q676" s="137"/>
      <c r="R676" s="126"/>
    </row>
    <row r="677" spans="2:18" x14ac:dyDescent="0.3">
      <c r="B677" s="126"/>
      <c r="G677" s="137"/>
      <c r="H677" s="138"/>
      <c r="I677" s="138"/>
      <c r="J677" s="139"/>
      <c r="K677" s="137"/>
      <c r="L677" s="137"/>
      <c r="P677" s="137"/>
      <c r="Q677" s="137"/>
      <c r="R677" s="126"/>
    </row>
    <row r="678" spans="2:18" x14ac:dyDescent="0.3">
      <c r="B678" s="126"/>
      <c r="G678" s="137"/>
      <c r="H678" s="138"/>
      <c r="I678" s="138"/>
      <c r="J678" s="139"/>
      <c r="K678" s="137"/>
      <c r="L678" s="137"/>
      <c r="P678" s="137"/>
      <c r="Q678" s="137"/>
      <c r="R678" s="126"/>
    </row>
    <row r="679" spans="2:18" x14ac:dyDescent="0.3">
      <c r="B679" s="126"/>
      <c r="G679" s="137"/>
      <c r="H679" s="138"/>
      <c r="I679" s="138"/>
      <c r="J679" s="139"/>
      <c r="K679" s="137"/>
      <c r="L679" s="137"/>
      <c r="P679" s="137"/>
      <c r="Q679" s="137"/>
      <c r="R679" s="126"/>
    </row>
    <row r="680" spans="2:18" x14ac:dyDescent="0.3">
      <c r="B680" s="126"/>
      <c r="G680" s="137"/>
      <c r="H680" s="138"/>
      <c r="I680" s="138"/>
      <c r="J680" s="139"/>
      <c r="K680" s="137"/>
      <c r="L680" s="137"/>
      <c r="P680" s="137"/>
      <c r="Q680" s="137"/>
      <c r="R680" s="126"/>
    </row>
    <row r="681" spans="2:18" x14ac:dyDescent="0.3">
      <c r="B681" s="126"/>
      <c r="G681" s="137"/>
      <c r="H681" s="138"/>
      <c r="I681" s="138"/>
      <c r="J681" s="139"/>
      <c r="K681" s="137"/>
      <c r="L681" s="137"/>
      <c r="P681" s="137"/>
      <c r="Q681" s="137"/>
      <c r="R681" s="126"/>
    </row>
    <row r="682" spans="2:18" x14ac:dyDescent="0.3">
      <c r="B682" s="126"/>
      <c r="G682" s="137"/>
      <c r="H682" s="138"/>
      <c r="I682" s="138"/>
      <c r="J682" s="139"/>
      <c r="K682" s="137"/>
      <c r="L682" s="137"/>
      <c r="P682" s="137"/>
      <c r="Q682" s="137"/>
      <c r="R682" s="126"/>
    </row>
    <row r="683" spans="2:18" x14ac:dyDescent="0.3">
      <c r="B683" s="126"/>
      <c r="G683" s="137"/>
      <c r="H683" s="138"/>
      <c r="I683" s="138"/>
      <c r="J683" s="139"/>
      <c r="K683" s="137"/>
      <c r="L683" s="137"/>
      <c r="P683" s="137"/>
      <c r="Q683" s="137"/>
      <c r="R683" s="126"/>
    </row>
    <row r="684" spans="2:18" x14ac:dyDescent="0.3">
      <c r="B684" s="126"/>
      <c r="G684" s="137"/>
      <c r="H684" s="138"/>
      <c r="I684" s="138"/>
      <c r="J684" s="139"/>
      <c r="K684" s="137"/>
      <c r="L684" s="137"/>
      <c r="P684" s="137"/>
      <c r="Q684" s="137"/>
      <c r="R684" s="126"/>
    </row>
    <row r="685" spans="2:18" x14ac:dyDescent="0.3">
      <c r="B685" s="126"/>
      <c r="G685" s="137"/>
      <c r="H685" s="138"/>
      <c r="I685" s="138"/>
      <c r="J685" s="139"/>
      <c r="K685" s="137"/>
      <c r="L685" s="137"/>
      <c r="P685" s="137"/>
      <c r="Q685" s="137"/>
      <c r="R685" s="126"/>
    </row>
    <row r="686" spans="2:18" x14ac:dyDescent="0.3">
      <c r="B686" s="126"/>
      <c r="G686" s="137"/>
      <c r="H686" s="138"/>
      <c r="I686" s="138"/>
      <c r="J686" s="139"/>
      <c r="K686" s="137"/>
      <c r="L686" s="137"/>
      <c r="P686" s="137"/>
      <c r="Q686" s="137"/>
      <c r="R686" s="126"/>
    </row>
    <row r="687" spans="2:18" x14ac:dyDescent="0.3">
      <c r="B687" s="126"/>
      <c r="G687" s="137"/>
      <c r="H687" s="138"/>
      <c r="I687" s="138"/>
      <c r="J687" s="139"/>
      <c r="K687" s="137"/>
      <c r="L687" s="137"/>
      <c r="P687" s="137"/>
      <c r="Q687" s="137"/>
      <c r="R687" s="126"/>
    </row>
    <row r="688" spans="2:18" x14ac:dyDescent="0.3">
      <c r="B688" s="126"/>
      <c r="G688" s="137"/>
      <c r="H688" s="138"/>
      <c r="I688" s="138"/>
      <c r="J688" s="139"/>
      <c r="K688" s="137"/>
      <c r="L688" s="137"/>
      <c r="P688" s="137"/>
      <c r="Q688" s="137"/>
      <c r="R688" s="126"/>
    </row>
    <row r="689" spans="2:18" x14ac:dyDescent="0.3">
      <c r="B689" s="126"/>
      <c r="G689" s="137"/>
      <c r="H689" s="138"/>
      <c r="I689" s="138"/>
      <c r="J689" s="139"/>
      <c r="K689" s="137"/>
      <c r="L689" s="137"/>
      <c r="P689" s="137"/>
      <c r="Q689" s="137"/>
      <c r="R689" s="126"/>
    </row>
    <row r="690" spans="2:18" x14ac:dyDescent="0.3">
      <c r="B690" s="126"/>
      <c r="G690" s="137"/>
      <c r="H690" s="138"/>
      <c r="I690" s="138"/>
      <c r="J690" s="139"/>
      <c r="K690" s="137"/>
      <c r="L690" s="137"/>
      <c r="P690" s="137"/>
      <c r="Q690" s="137"/>
      <c r="R690" s="126"/>
    </row>
    <row r="691" spans="2:18" x14ac:dyDescent="0.3">
      <c r="B691" s="126"/>
      <c r="G691" s="137"/>
      <c r="H691" s="138"/>
      <c r="I691" s="138"/>
      <c r="J691" s="139"/>
      <c r="K691" s="137"/>
      <c r="L691" s="137"/>
      <c r="P691" s="137"/>
      <c r="Q691" s="137"/>
      <c r="R691" s="126"/>
    </row>
    <row r="692" spans="2:18" x14ac:dyDescent="0.3">
      <c r="B692" s="126"/>
      <c r="G692" s="137"/>
      <c r="H692" s="138"/>
      <c r="I692" s="138"/>
      <c r="J692" s="139"/>
      <c r="K692" s="137"/>
      <c r="L692" s="137"/>
      <c r="P692" s="137"/>
      <c r="Q692" s="137"/>
      <c r="R692" s="126"/>
    </row>
    <row r="693" spans="2:18" x14ac:dyDescent="0.3">
      <c r="B693" s="126"/>
      <c r="G693" s="137"/>
      <c r="H693" s="138"/>
      <c r="I693" s="138"/>
      <c r="J693" s="139"/>
      <c r="K693" s="137"/>
      <c r="L693" s="137"/>
      <c r="P693" s="137"/>
      <c r="Q693" s="137"/>
      <c r="R693" s="126"/>
    </row>
    <row r="694" spans="2:18" x14ac:dyDescent="0.3">
      <c r="B694" s="126"/>
      <c r="G694" s="137"/>
      <c r="H694" s="138"/>
      <c r="I694" s="138"/>
      <c r="J694" s="139"/>
      <c r="K694" s="137"/>
      <c r="L694" s="137"/>
      <c r="P694" s="137"/>
      <c r="Q694" s="137"/>
      <c r="R694" s="126"/>
    </row>
    <row r="695" spans="2:18" x14ac:dyDescent="0.3">
      <c r="B695" s="126"/>
      <c r="G695" s="137"/>
      <c r="H695" s="138"/>
      <c r="I695" s="138"/>
      <c r="J695" s="139"/>
      <c r="K695" s="137"/>
      <c r="L695" s="137"/>
      <c r="P695" s="137"/>
      <c r="Q695" s="137"/>
      <c r="R695" s="126"/>
    </row>
    <row r="696" spans="2:18" x14ac:dyDescent="0.3">
      <c r="B696" s="126"/>
      <c r="G696" s="137"/>
      <c r="H696" s="138"/>
      <c r="I696" s="138"/>
      <c r="J696" s="139"/>
      <c r="K696" s="137"/>
      <c r="L696" s="137"/>
      <c r="P696" s="137"/>
      <c r="Q696" s="137"/>
      <c r="R696" s="126"/>
    </row>
    <row r="697" spans="2:18" x14ac:dyDescent="0.3">
      <c r="B697" s="126"/>
      <c r="G697" s="137"/>
      <c r="H697" s="138"/>
      <c r="I697" s="138"/>
      <c r="J697" s="139"/>
      <c r="K697" s="137"/>
      <c r="L697" s="137"/>
      <c r="P697" s="137"/>
      <c r="Q697" s="137"/>
      <c r="R697" s="126"/>
    </row>
    <row r="698" spans="2:18" x14ac:dyDescent="0.3">
      <c r="B698" s="126"/>
      <c r="G698" s="137"/>
      <c r="H698" s="138"/>
      <c r="I698" s="138"/>
      <c r="J698" s="139"/>
      <c r="K698" s="137"/>
      <c r="L698" s="137"/>
      <c r="P698" s="137"/>
      <c r="Q698" s="137"/>
      <c r="R698" s="126"/>
    </row>
    <row r="699" spans="2:18" x14ac:dyDescent="0.3">
      <c r="B699" s="126"/>
      <c r="G699" s="137"/>
      <c r="H699" s="138"/>
      <c r="I699" s="138"/>
      <c r="J699" s="139"/>
      <c r="K699" s="137"/>
      <c r="L699" s="137"/>
      <c r="P699" s="137"/>
      <c r="Q699" s="137"/>
      <c r="R699" s="126"/>
    </row>
    <row r="700" spans="2:18" x14ac:dyDescent="0.3">
      <c r="B700" s="126"/>
      <c r="G700" s="137"/>
      <c r="H700" s="138"/>
      <c r="I700" s="138"/>
      <c r="J700" s="139"/>
      <c r="K700" s="137"/>
      <c r="L700" s="137"/>
      <c r="P700" s="137"/>
      <c r="Q700" s="137"/>
      <c r="R700" s="126"/>
    </row>
    <row r="701" spans="2:18" x14ac:dyDescent="0.3">
      <c r="B701" s="126"/>
      <c r="G701" s="137"/>
      <c r="H701" s="138"/>
      <c r="I701" s="138"/>
      <c r="J701" s="139"/>
      <c r="K701" s="137"/>
      <c r="L701" s="137"/>
      <c r="P701" s="137"/>
      <c r="Q701" s="137"/>
      <c r="R701" s="126"/>
    </row>
    <row r="702" spans="2:18" x14ac:dyDescent="0.3">
      <c r="B702" s="126"/>
      <c r="G702" s="137"/>
      <c r="H702" s="138"/>
      <c r="I702" s="138"/>
      <c r="J702" s="139"/>
      <c r="K702" s="137"/>
      <c r="L702" s="137"/>
      <c r="P702" s="137"/>
      <c r="Q702" s="137"/>
      <c r="R702" s="126"/>
    </row>
    <row r="703" spans="2:18" x14ac:dyDescent="0.3">
      <c r="B703" s="126"/>
      <c r="G703" s="137"/>
      <c r="H703" s="138"/>
      <c r="I703" s="138"/>
      <c r="J703" s="139"/>
      <c r="K703" s="137"/>
      <c r="L703" s="137"/>
      <c r="P703" s="137"/>
      <c r="Q703" s="137"/>
      <c r="R703" s="126"/>
    </row>
    <row r="704" spans="2:18" x14ac:dyDescent="0.3">
      <c r="B704" s="126"/>
      <c r="G704" s="137"/>
      <c r="H704" s="138"/>
      <c r="I704" s="138"/>
      <c r="J704" s="139"/>
      <c r="K704" s="137"/>
      <c r="L704" s="137"/>
      <c r="P704" s="137"/>
      <c r="Q704" s="137"/>
      <c r="R704" s="126"/>
    </row>
    <row r="705" spans="2:18" x14ac:dyDescent="0.3">
      <c r="B705" s="126"/>
      <c r="G705" s="137"/>
      <c r="H705" s="138"/>
      <c r="I705" s="138"/>
      <c r="J705" s="139"/>
      <c r="K705" s="137"/>
      <c r="L705" s="137"/>
      <c r="P705" s="137"/>
      <c r="Q705" s="137"/>
      <c r="R705" s="126"/>
    </row>
    <row r="706" spans="2:18" x14ac:dyDescent="0.3">
      <c r="B706" s="126"/>
      <c r="G706" s="137"/>
      <c r="H706" s="138"/>
      <c r="I706" s="138"/>
      <c r="J706" s="139"/>
      <c r="K706" s="137"/>
      <c r="L706" s="137"/>
      <c r="P706" s="137"/>
      <c r="Q706" s="137"/>
      <c r="R706" s="126"/>
    </row>
    <row r="707" spans="2:18" x14ac:dyDescent="0.3">
      <c r="B707" s="126"/>
      <c r="G707" s="137"/>
      <c r="H707" s="138"/>
      <c r="I707" s="138"/>
      <c r="J707" s="139"/>
      <c r="K707" s="137"/>
      <c r="L707" s="137"/>
      <c r="P707" s="137"/>
      <c r="Q707" s="137"/>
      <c r="R707" s="126"/>
    </row>
    <row r="708" spans="2:18" x14ac:dyDescent="0.3">
      <c r="B708" s="126"/>
      <c r="G708" s="137"/>
      <c r="H708" s="138"/>
      <c r="I708" s="138"/>
      <c r="J708" s="139"/>
      <c r="K708" s="137"/>
      <c r="L708" s="137"/>
      <c r="P708" s="137"/>
      <c r="Q708" s="137"/>
      <c r="R708" s="126"/>
    </row>
    <row r="709" spans="2:18" x14ac:dyDescent="0.3">
      <c r="B709" s="126"/>
      <c r="G709" s="137"/>
      <c r="H709" s="138"/>
      <c r="I709" s="138"/>
      <c r="J709" s="139"/>
      <c r="K709" s="137"/>
      <c r="L709" s="137"/>
      <c r="P709" s="137"/>
      <c r="Q709" s="137"/>
      <c r="R709" s="126"/>
    </row>
    <row r="710" spans="2:18" x14ac:dyDescent="0.3">
      <c r="B710" s="126"/>
      <c r="G710" s="137"/>
      <c r="H710" s="138"/>
      <c r="I710" s="138"/>
      <c r="J710" s="139"/>
      <c r="K710" s="137"/>
      <c r="L710" s="137"/>
      <c r="P710" s="137"/>
      <c r="Q710" s="137"/>
      <c r="R710" s="126"/>
    </row>
    <row r="711" spans="2:18" x14ac:dyDescent="0.3">
      <c r="B711" s="126"/>
      <c r="G711" s="137"/>
      <c r="H711" s="138"/>
      <c r="I711" s="138"/>
      <c r="J711" s="139"/>
      <c r="K711" s="137"/>
      <c r="L711" s="137"/>
      <c r="P711" s="137"/>
      <c r="Q711" s="137"/>
      <c r="R711" s="126"/>
    </row>
    <row r="712" spans="2:18" x14ac:dyDescent="0.3">
      <c r="B712" s="126"/>
      <c r="G712" s="137"/>
      <c r="H712" s="138"/>
      <c r="I712" s="138"/>
      <c r="J712" s="139"/>
      <c r="K712" s="137"/>
      <c r="L712" s="137"/>
      <c r="P712" s="137"/>
      <c r="Q712" s="137"/>
      <c r="R712" s="126"/>
    </row>
    <row r="713" spans="2:18" x14ac:dyDescent="0.3">
      <c r="B713" s="126"/>
      <c r="G713" s="137"/>
      <c r="H713" s="138"/>
      <c r="I713" s="138"/>
      <c r="J713" s="139"/>
      <c r="K713" s="137"/>
      <c r="L713" s="137"/>
      <c r="P713" s="137"/>
      <c r="Q713" s="137"/>
      <c r="R713" s="126"/>
    </row>
    <row r="714" spans="2:18" x14ac:dyDescent="0.3">
      <c r="B714" s="126"/>
      <c r="G714" s="137"/>
      <c r="H714" s="138"/>
      <c r="I714" s="138"/>
      <c r="J714" s="139"/>
      <c r="K714" s="137"/>
      <c r="L714" s="137"/>
      <c r="P714" s="137"/>
      <c r="Q714" s="137"/>
      <c r="R714" s="126"/>
    </row>
    <row r="715" spans="2:18" x14ac:dyDescent="0.3">
      <c r="B715" s="126"/>
      <c r="G715" s="137"/>
      <c r="H715" s="138"/>
      <c r="I715" s="138"/>
      <c r="J715" s="139"/>
      <c r="K715" s="137"/>
      <c r="L715" s="137"/>
      <c r="P715" s="137"/>
      <c r="Q715" s="137"/>
      <c r="R715" s="126"/>
    </row>
    <row r="716" spans="2:18" x14ac:dyDescent="0.3">
      <c r="B716" s="126"/>
      <c r="G716" s="137"/>
      <c r="H716" s="138"/>
      <c r="I716" s="138"/>
      <c r="J716" s="139"/>
      <c r="K716" s="137"/>
      <c r="L716" s="137"/>
      <c r="P716" s="137"/>
      <c r="Q716" s="137"/>
      <c r="R716" s="126"/>
    </row>
    <row r="717" spans="2:18" x14ac:dyDescent="0.3">
      <c r="B717" s="126"/>
      <c r="G717" s="137"/>
      <c r="H717" s="138"/>
      <c r="I717" s="138"/>
      <c r="J717" s="139"/>
      <c r="K717" s="137"/>
      <c r="L717" s="137"/>
      <c r="P717" s="137"/>
      <c r="Q717" s="137"/>
      <c r="R717" s="126"/>
    </row>
    <row r="718" spans="2:18" x14ac:dyDescent="0.3">
      <c r="B718" s="126"/>
      <c r="G718" s="137"/>
      <c r="H718" s="138"/>
      <c r="I718" s="138"/>
      <c r="J718" s="139"/>
      <c r="K718" s="137"/>
      <c r="L718" s="137"/>
      <c r="P718" s="137"/>
      <c r="Q718" s="137"/>
      <c r="R718" s="126"/>
    </row>
    <row r="719" spans="2:18" x14ac:dyDescent="0.3">
      <c r="B719" s="126"/>
      <c r="G719" s="137"/>
      <c r="H719" s="138"/>
      <c r="I719" s="138"/>
      <c r="J719" s="139"/>
      <c r="K719" s="137"/>
      <c r="L719" s="137"/>
      <c r="P719" s="137"/>
      <c r="Q719" s="137"/>
      <c r="R719" s="126"/>
    </row>
    <row r="720" spans="2:18" x14ac:dyDescent="0.3">
      <c r="B720" s="126"/>
      <c r="G720" s="137"/>
      <c r="H720" s="138"/>
      <c r="I720" s="138"/>
      <c r="J720" s="139"/>
      <c r="K720" s="137"/>
      <c r="L720" s="137"/>
      <c r="P720" s="137"/>
      <c r="Q720" s="137"/>
      <c r="R720" s="126"/>
    </row>
    <row r="721" spans="2:18" x14ac:dyDescent="0.3">
      <c r="B721" s="126"/>
      <c r="G721" s="137"/>
      <c r="H721" s="138"/>
      <c r="I721" s="138"/>
      <c r="J721" s="139"/>
      <c r="K721" s="137"/>
      <c r="L721" s="137"/>
      <c r="P721" s="137"/>
      <c r="Q721" s="137"/>
      <c r="R721" s="126"/>
    </row>
    <row r="722" spans="2:18" x14ac:dyDescent="0.3">
      <c r="B722" s="126"/>
      <c r="G722" s="137"/>
      <c r="H722" s="138"/>
      <c r="I722" s="138"/>
      <c r="J722" s="139"/>
      <c r="K722" s="137"/>
      <c r="L722" s="137"/>
      <c r="P722" s="137"/>
      <c r="Q722" s="137"/>
      <c r="R722" s="126"/>
    </row>
    <row r="723" spans="2:18" x14ac:dyDescent="0.3">
      <c r="B723" s="126"/>
      <c r="G723" s="137"/>
      <c r="H723" s="138"/>
      <c r="I723" s="138"/>
      <c r="J723" s="139"/>
      <c r="K723" s="137"/>
      <c r="L723" s="137"/>
      <c r="P723" s="137"/>
      <c r="Q723" s="137"/>
      <c r="R723" s="126"/>
    </row>
    <row r="724" spans="2:18" x14ac:dyDescent="0.3">
      <c r="B724" s="126"/>
      <c r="G724" s="137"/>
      <c r="H724" s="138"/>
      <c r="I724" s="138"/>
      <c r="J724" s="139"/>
      <c r="K724" s="137"/>
      <c r="L724" s="137"/>
      <c r="P724" s="137"/>
      <c r="Q724" s="137"/>
      <c r="R724" s="126"/>
    </row>
    <row r="725" spans="2:18" x14ac:dyDescent="0.3">
      <c r="B725" s="126"/>
      <c r="G725" s="137"/>
      <c r="H725" s="138"/>
      <c r="I725" s="138"/>
      <c r="J725" s="139"/>
      <c r="K725" s="137"/>
      <c r="L725" s="137"/>
      <c r="P725" s="137"/>
      <c r="Q725" s="137"/>
      <c r="R725" s="126"/>
    </row>
    <row r="726" spans="2:18" x14ac:dyDescent="0.3">
      <c r="B726" s="126"/>
      <c r="G726" s="137"/>
      <c r="H726" s="138"/>
      <c r="I726" s="138"/>
      <c r="J726" s="139"/>
      <c r="K726" s="137"/>
      <c r="L726" s="137"/>
      <c r="P726" s="137"/>
      <c r="Q726" s="137"/>
      <c r="R726" s="126"/>
    </row>
    <row r="727" spans="2:18" x14ac:dyDescent="0.3">
      <c r="B727" s="126"/>
      <c r="G727" s="137"/>
      <c r="H727" s="138"/>
      <c r="I727" s="138"/>
      <c r="J727" s="139"/>
      <c r="K727" s="137"/>
      <c r="L727" s="137"/>
      <c r="P727" s="137"/>
      <c r="Q727" s="137"/>
      <c r="R727" s="126"/>
    </row>
    <row r="728" spans="2:18" x14ac:dyDescent="0.3">
      <c r="B728" s="126"/>
      <c r="G728" s="137"/>
      <c r="H728" s="138"/>
      <c r="I728" s="138"/>
      <c r="J728" s="139"/>
      <c r="K728" s="137"/>
      <c r="L728" s="137"/>
      <c r="P728" s="137"/>
      <c r="Q728" s="137"/>
      <c r="R728" s="126"/>
    </row>
    <row r="729" spans="2:18" x14ac:dyDescent="0.3">
      <c r="B729" s="126"/>
      <c r="G729" s="137"/>
      <c r="H729" s="138"/>
      <c r="I729" s="138"/>
      <c r="J729" s="139"/>
      <c r="K729" s="137"/>
      <c r="L729" s="137"/>
      <c r="P729" s="137"/>
      <c r="Q729" s="137"/>
      <c r="R729" s="126"/>
    </row>
    <row r="730" spans="2:18" x14ac:dyDescent="0.3">
      <c r="B730" s="126"/>
      <c r="G730" s="137"/>
      <c r="H730" s="138"/>
      <c r="I730" s="138"/>
      <c r="J730" s="139"/>
      <c r="K730" s="137"/>
      <c r="L730" s="137"/>
      <c r="P730" s="137"/>
      <c r="Q730" s="137"/>
      <c r="R730" s="126"/>
    </row>
    <row r="731" spans="2:18" x14ac:dyDescent="0.3">
      <c r="B731" s="126"/>
      <c r="G731" s="137"/>
      <c r="H731" s="138"/>
      <c r="I731" s="138"/>
      <c r="J731" s="139"/>
      <c r="K731" s="137"/>
      <c r="L731" s="137"/>
      <c r="P731" s="137"/>
      <c r="Q731" s="137"/>
      <c r="R731" s="126"/>
    </row>
    <row r="732" spans="2:18" x14ac:dyDescent="0.3">
      <c r="B732" s="126"/>
      <c r="G732" s="137"/>
      <c r="H732" s="138"/>
      <c r="I732" s="138"/>
      <c r="J732" s="139"/>
      <c r="K732" s="137"/>
      <c r="L732" s="137"/>
      <c r="P732" s="137"/>
      <c r="Q732" s="137"/>
      <c r="R732" s="126"/>
    </row>
    <row r="733" spans="2:18" x14ac:dyDescent="0.3">
      <c r="B733" s="126"/>
      <c r="G733" s="137"/>
      <c r="H733" s="138"/>
      <c r="I733" s="138"/>
      <c r="J733" s="139"/>
      <c r="K733" s="137"/>
      <c r="L733" s="137"/>
      <c r="P733" s="137"/>
      <c r="Q733" s="137"/>
      <c r="R733" s="126"/>
    </row>
    <row r="734" spans="2:18" x14ac:dyDescent="0.3">
      <c r="B734" s="126"/>
      <c r="G734" s="137"/>
      <c r="H734" s="138"/>
      <c r="I734" s="138"/>
      <c r="J734" s="139"/>
      <c r="K734" s="137"/>
      <c r="L734" s="137"/>
      <c r="P734" s="137"/>
      <c r="Q734" s="137"/>
      <c r="R734" s="126"/>
    </row>
    <row r="735" spans="2:18" x14ac:dyDescent="0.3">
      <c r="B735" s="126"/>
      <c r="G735" s="137"/>
      <c r="H735" s="138"/>
      <c r="I735" s="138"/>
      <c r="J735" s="139"/>
      <c r="K735" s="137"/>
      <c r="L735" s="137"/>
      <c r="P735" s="137"/>
      <c r="Q735" s="137"/>
      <c r="R735" s="126"/>
    </row>
    <row r="736" spans="2:18" x14ac:dyDescent="0.3">
      <c r="B736" s="126"/>
      <c r="G736" s="137"/>
      <c r="H736" s="138"/>
      <c r="I736" s="138"/>
      <c r="J736" s="139"/>
      <c r="K736" s="137"/>
      <c r="L736" s="137"/>
      <c r="P736" s="137"/>
      <c r="Q736" s="137"/>
      <c r="R736" s="126"/>
    </row>
    <row r="737" spans="2:18" x14ac:dyDescent="0.3">
      <c r="B737" s="126"/>
      <c r="G737" s="137"/>
      <c r="H737" s="138"/>
      <c r="I737" s="138"/>
      <c r="J737" s="139"/>
      <c r="K737" s="137"/>
      <c r="L737" s="137"/>
      <c r="P737" s="137"/>
      <c r="Q737" s="137"/>
      <c r="R737" s="126"/>
    </row>
    <row r="738" spans="2:18" x14ac:dyDescent="0.3">
      <c r="B738" s="126"/>
      <c r="G738" s="137"/>
      <c r="H738" s="138"/>
      <c r="I738" s="138"/>
      <c r="J738" s="139"/>
      <c r="K738" s="137"/>
      <c r="L738" s="137"/>
      <c r="P738" s="137"/>
      <c r="Q738" s="137"/>
      <c r="R738" s="126"/>
    </row>
    <row r="739" spans="2:18" x14ac:dyDescent="0.3">
      <c r="B739" s="126"/>
      <c r="G739" s="137"/>
      <c r="H739" s="138"/>
      <c r="I739" s="138"/>
      <c r="J739" s="139"/>
      <c r="K739" s="137"/>
      <c r="L739" s="137"/>
      <c r="P739" s="137"/>
      <c r="Q739" s="137"/>
      <c r="R739" s="126"/>
    </row>
    <row r="740" spans="2:18" x14ac:dyDescent="0.3">
      <c r="B740" s="126"/>
      <c r="G740" s="137"/>
      <c r="H740" s="138"/>
      <c r="I740" s="138"/>
      <c r="J740" s="139"/>
      <c r="K740" s="137"/>
      <c r="L740" s="137"/>
      <c r="P740" s="137"/>
      <c r="Q740" s="137"/>
      <c r="R740" s="126"/>
    </row>
    <row r="741" spans="2:18" x14ac:dyDescent="0.3">
      <c r="B741" s="126"/>
      <c r="G741" s="137"/>
      <c r="H741" s="138"/>
      <c r="I741" s="138"/>
      <c r="J741" s="139"/>
      <c r="K741" s="137"/>
      <c r="L741" s="137"/>
      <c r="P741" s="137"/>
      <c r="Q741" s="137"/>
      <c r="R741" s="126"/>
    </row>
    <row r="742" spans="2:18" x14ac:dyDescent="0.3">
      <c r="B742" s="126"/>
      <c r="G742" s="137"/>
      <c r="H742" s="138"/>
      <c r="I742" s="138"/>
      <c r="J742" s="139"/>
      <c r="K742" s="137"/>
      <c r="L742" s="137"/>
      <c r="P742" s="137"/>
      <c r="Q742" s="137"/>
      <c r="R742" s="126"/>
    </row>
    <row r="743" spans="2:18" x14ac:dyDescent="0.3">
      <c r="B743" s="126"/>
      <c r="G743" s="137"/>
      <c r="H743" s="138"/>
      <c r="I743" s="138"/>
      <c r="J743" s="139"/>
      <c r="K743" s="137"/>
      <c r="L743" s="137"/>
      <c r="P743" s="137"/>
      <c r="Q743" s="137"/>
      <c r="R743" s="126"/>
    </row>
    <row r="744" spans="2:18" x14ac:dyDescent="0.3">
      <c r="B744" s="126"/>
      <c r="G744" s="137"/>
      <c r="H744" s="138"/>
      <c r="I744" s="138"/>
      <c r="J744" s="139"/>
      <c r="K744" s="137"/>
      <c r="L744" s="137"/>
      <c r="P744" s="137"/>
      <c r="Q744" s="137"/>
      <c r="R744" s="126"/>
    </row>
    <row r="745" spans="2:18" x14ac:dyDescent="0.3">
      <c r="B745" s="126"/>
      <c r="G745" s="137"/>
      <c r="H745" s="138"/>
      <c r="I745" s="138"/>
      <c r="J745" s="139"/>
      <c r="K745" s="137"/>
      <c r="L745" s="137"/>
      <c r="P745" s="137"/>
      <c r="Q745" s="137"/>
      <c r="R745" s="126"/>
    </row>
    <row r="746" spans="2:18" x14ac:dyDescent="0.3">
      <c r="B746" s="126"/>
      <c r="G746" s="137"/>
      <c r="H746" s="138"/>
      <c r="I746" s="138"/>
      <c r="J746" s="139"/>
      <c r="K746" s="137"/>
      <c r="L746" s="137"/>
      <c r="P746" s="137"/>
      <c r="Q746" s="137"/>
      <c r="R746" s="126"/>
    </row>
    <row r="747" spans="2:18" x14ac:dyDescent="0.3">
      <c r="B747" s="126"/>
      <c r="G747" s="137"/>
      <c r="H747" s="138"/>
      <c r="I747" s="138"/>
      <c r="J747" s="139"/>
      <c r="K747" s="137"/>
      <c r="L747" s="137"/>
      <c r="P747" s="137"/>
      <c r="Q747" s="137"/>
      <c r="R747" s="126"/>
    </row>
    <row r="748" spans="2:18" x14ac:dyDescent="0.3">
      <c r="B748" s="126"/>
      <c r="G748" s="137"/>
      <c r="H748" s="138"/>
      <c r="I748" s="138"/>
      <c r="J748" s="139"/>
      <c r="K748" s="137"/>
      <c r="L748" s="137"/>
      <c r="P748" s="137"/>
      <c r="Q748" s="137"/>
      <c r="R748" s="126"/>
    </row>
    <row r="749" spans="2:18" x14ac:dyDescent="0.3">
      <c r="B749" s="126"/>
      <c r="G749" s="137"/>
      <c r="H749" s="138"/>
      <c r="I749" s="138"/>
      <c r="J749" s="139"/>
      <c r="K749" s="137"/>
      <c r="L749" s="137"/>
      <c r="P749" s="137"/>
      <c r="Q749" s="137"/>
      <c r="R749" s="126"/>
    </row>
    <row r="750" spans="2:18" x14ac:dyDescent="0.3">
      <c r="B750" s="126"/>
      <c r="G750" s="137"/>
      <c r="H750" s="138"/>
      <c r="I750" s="138"/>
      <c r="J750" s="139"/>
      <c r="K750" s="137"/>
      <c r="L750" s="137"/>
      <c r="P750" s="137"/>
      <c r="Q750" s="137"/>
      <c r="R750" s="126"/>
    </row>
    <row r="751" spans="2:18" x14ac:dyDescent="0.3">
      <c r="B751" s="126"/>
      <c r="G751" s="137"/>
      <c r="H751" s="138"/>
      <c r="I751" s="138"/>
      <c r="J751" s="139"/>
      <c r="K751" s="137"/>
      <c r="L751" s="137"/>
      <c r="P751" s="137"/>
      <c r="Q751" s="137"/>
      <c r="R751" s="126"/>
    </row>
    <row r="752" spans="2:18" x14ac:dyDescent="0.3">
      <c r="B752" s="126"/>
      <c r="G752" s="137"/>
      <c r="H752" s="138"/>
      <c r="I752" s="138"/>
      <c r="J752" s="139"/>
      <c r="K752" s="137"/>
      <c r="L752" s="137"/>
      <c r="P752" s="137"/>
      <c r="Q752" s="137"/>
      <c r="R752" s="126"/>
    </row>
    <row r="753" spans="2:18" x14ac:dyDescent="0.3">
      <c r="B753" s="126"/>
      <c r="G753" s="137"/>
      <c r="H753" s="138"/>
      <c r="I753" s="138"/>
      <c r="J753" s="139"/>
      <c r="K753" s="137"/>
      <c r="L753" s="137"/>
      <c r="P753" s="137"/>
      <c r="Q753" s="137"/>
      <c r="R753" s="126"/>
    </row>
    <row r="754" spans="2:18" x14ac:dyDescent="0.3">
      <c r="B754" s="126"/>
      <c r="G754" s="137"/>
      <c r="H754" s="138"/>
      <c r="I754" s="138"/>
      <c r="J754" s="139"/>
      <c r="K754" s="137"/>
      <c r="L754" s="137"/>
      <c r="P754" s="137"/>
      <c r="Q754" s="137"/>
      <c r="R754" s="126"/>
    </row>
    <row r="755" spans="2:18" x14ac:dyDescent="0.3">
      <c r="B755" s="126"/>
      <c r="G755" s="137"/>
      <c r="H755" s="138"/>
      <c r="I755" s="138"/>
      <c r="J755" s="139"/>
      <c r="K755" s="137"/>
      <c r="L755" s="137"/>
      <c r="P755" s="137"/>
      <c r="Q755" s="137"/>
      <c r="R755" s="126"/>
    </row>
    <row r="756" spans="2:18" x14ac:dyDescent="0.3">
      <c r="B756" s="126"/>
      <c r="G756" s="137"/>
      <c r="H756" s="138"/>
      <c r="I756" s="138"/>
      <c r="J756" s="139"/>
      <c r="K756" s="137"/>
      <c r="L756" s="137"/>
      <c r="P756" s="137"/>
      <c r="Q756" s="137"/>
      <c r="R756" s="126"/>
    </row>
    <row r="757" spans="2:18" x14ac:dyDescent="0.3">
      <c r="B757" s="126"/>
      <c r="G757" s="137"/>
      <c r="H757" s="138"/>
      <c r="I757" s="138"/>
      <c r="J757" s="139"/>
      <c r="K757" s="137"/>
      <c r="L757" s="137"/>
      <c r="P757" s="137"/>
      <c r="Q757" s="137"/>
      <c r="R757" s="126"/>
    </row>
    <row r="758" spans="2:18" x14ac:dyDescent="0.3">
      <c r="B758" s="126"/>
      <c r="G758" s="137"/>
      <c r="H758" s="138"/>
      <c r="I758" s="138"/>
      <c r="J758" s="139"/>
      <c r="K758" s="137"/>
      <c r="L758" s="137"/>
      <c r="P758" s="137"/>
      <c r="Q758" s="137"/>
      <c r="R758" s="126"/>
    </row>
    <row r="759" spans="2:18" x14ac:dyDescent="0.3">
      <c r="B759" s="126"/>
      <c r="G759" s="137"/>
      <c r="H759" s="138"/>
      <c r="I759" s="138"/>
      <c r="J759" s="139"/>
      <c r="K759" s="137"/>
      <c r="L759" s="137"/>
      <c r="P759" s="137"/>
      <c r="Q759" s="137"/>
      <c r="R759" s="126"/>
    </row>
    <row r="760" spans="2:18" x14ac:dyDescent="0.3">
      <c r="B760" s="126"/>
      <c r="G760" s="137"/>
      <c r="H760" s="138"/>
      <c r="I760" s="138"/>
      <c r="J760" s="139"/>
      <c r="K760" s="137"/>
      <c r="L760" s="137"/>
      <c r="P760" s="137"/>
      <c r="Q760" s="137"/>
      <c r="R760" s="126"/>
    </row>
    <row r="761" spans="2:18" x14ac:dyDescent="0.3">
      <c r="B761" s="126"/>
      <c r="G761" s="137"/>
      <c r="H761" s="138"/>
      <c r="I761" s="138"/>
      <c r="J761" s="139"/>
      <c r="K761" s="137"/>
      <c r="L761" s="137"/>
      <c r="P761" s="137"/>
      <c r="Q761" s="137"/>
      <c r="R761" s="126"/>
    </row>
    <row r="762" spans="2:18" x14ac:dyDescent="0.3">
      <c r="B762" s="126"/>
      <c r="G762" s="137"/>
      <c r="H762" s="138"/>
      <c r="I762" s="138"/>
      <c r="J762" s="139"/>
      <c r="K762" s="137"/>
      <c r="L762" s="137"/>
      <c r="P762" s="137"/>
      <c r="Q762" s="137"/>
      <c r="R762" s="126"/>
    </row>
    <row r="763" spans="2:18" x14ac:dyDescent="0.3">
      <c r="B763" s="126"/>
      <c r="G763" s="137"/>
      <c r="H763" s="138"/>
      <c r="I763" s="138"/>
      <c r="J763" s="139"/>
      <c r="K763" s="137"/>
      <c r="L763" s="137"/>
      <c r="P763" s="137"/>
      <c r="Q763" s="137"/>
      <c r="R763" s="126"/>
    </row>
    <row r="764" spans="2:18" x14ac:dyDescent="0.3">
      <c r="B764" s="126"/>
      <c r="G764" s="137"/>
      <c r="H764" s="138"/>
      <c r="I764" s="138"/>
      <c r="J764" s="139"/>
      <c r="K764" s="137"/>
      <c r="L764" s="137"/>
      <c r="P764" s="137"/>
      <c r="Q764" s="137"/>
      <c r="R764" s="126"/>
    </row>
    <row r="765" spans="2:18" x14ac:dyDescent="0.3">
      <c r="B765" s="126"/>
      <c r="G765" s="137"/>
      <c r="H765" s="138"/>
      <c r="I765" s="138"/>
      <c r="J765" s="139"/>
      <c r="K765" s="137"/>
      <c r="L765" s="137"/>
      <c r="P765" s="137"/>
      <c r="Q765" s="137"/>
      <c r="R765" s="126"/>
    </row>
    <row r="766" spans="2:18" x14ac:dyDescent="0.3">
      <c r="B766" s="126"/>
      <c r="G766" s="137"/>
      <c r="H766" s="138"/>
      <c r="I766" s="138"/>
      <c r="J766" s="139"/>
      <c r="K766" s="137"/>
      <c r="L766" s="137"/>
      <c r="P766" s="137"/>
      <c r="Q766" s="137"/>
      <c r="R766" s="126"/>
    </row>
    <row r="767" spans="2:18" x14ac:dyDescent="0.3">
      <c r="B767" s="126"/>
      <c r="G767" s="137"/>
      <c r="H767" s="138"/>
      <c r="I767" s="138"/>
      <c r="J767" s="139"/>
      <c r="K767" s="137"/>
      <c r="L767" s="137"/>
      <c r="P767" s="137"/>
      <c r="Q767" s="137"/>
      <c r="R767" s="126"/>
    </row>
    <row r="768" spans="2:18" x14ac:dyDescent="0.3">
      <c r="B768" s="126"/>
      <c r="G768" s="137"/>
      <c r="H768" s="138"/>
      <c r="I768" s="138"/>
      <c r="J768" s="139"/>
      <c r="K768" s="137"/>
      <c r="L768" s="137"/>
      <c r="P768" s="137"/>
      <c r="Q768" s="137"/>
      <c r="R768" s="126"/>
    </row>
    <row r="769" spans="2:18" x14ac:dyDescent="0.3">
      <c r="B769" s="126"/>
      <c r="G769" s="137"/>
      <c r="H769" s="138"/>
      <c r="I769" s="138"/>
      <c r="J769" s="139"/>
      <c r="K769" s="137"/>
      <c r="L769" s="137"/>
      <c r="P769" s="137"/>
      <c r="Q769" s="137"/>
      <c r="R769" s="126"/>
    </row>
    <row r="770" spans="2:18" x14ac:dyDescent="0.3">
      <c r="B770" s="126"/>
      <c r="G770" s="137"/>
      <c r="H770" s="138"/>
      <c r="I770" s="138"/>
      <c r="J770" s="139"/>
      <c r="K770" s="137"/>
      <c r="L770" s="137"/>
      <c r="P770" s="137"/>
      <c r="Q770" s="137"/>
      <c r="R770" s="126"/>
    </row>
    <row r="771" spans="2:18" x14ac:dyDescent="0.3">
      <c r="B771" s="126"/>
      <c r="G771" s="137"/>
      <c r="H771" s="138"/>
      <c r="I771" s="138"/>
      <c r="J771" s="139"/>
      <c r="K771" s="137"/>
      <c r="L771" s="137"/>
      <c r="P771" s="137"/>
      <c r="Q771" s="137"/>
      <c r="R771" s="126"/>
    </row>
    <row r="772" spans="2:18" x14ac:dyDescent="0.3">
      <c r="B772" s="126"/>
      <c r="G772" s="137"/>
      <c r="H772" s="138"/>
      <c r="I772" s="138"/>
      <c r="J772" s="139"/>
      <c r="K772" s="137"/>
      <c r="L772" s="137"/>
      <c r="P772" s="137"/>
      <c r="Q772" s="137"/>
      <c r="R772" s="126"/>
    </row>
    <row r="773" spans="2:18" x14ac:dyDescent="0.3">
      <c r="B773" s="126"/>
      <c r="G773" s="137"/>
      <c r="H773" s="138"/>
      <c r="I773" s="138"/>
      <c r="J773" s="139"/>
      <c r="K773" s="137"/>
      <c r="L773" s="137"/>
      <c r="P773" s="137"/>
      <c r="Q773" s="137"/>
      <c r="R773" s="126"/>
    </row>
    <row r="774" spans="2:18" x14ac:dyDescent="0.3">
      <c r="B774" s="126"/>
      <c r="G774" s="137"/>
      <c r="H774" s="138"/>
      <c r="I774" s="138"/>
      <c r="J774" s="139"/>
      <c r="K774" s="137"/>
      <c r="L774" s="137"/>
      <c r="P774" s="137"/>
      <c r="Q774" s="137"/>
      <c r="R774" s="126"/>
    </row>
    <row r="775" spans="2:18" x14ac:dyDescent="0.3">
      <c r="B775" s="126"/>
      <c r="G775" s="137"/>
      <c r="H775" s="138"/>
      <c r="I775" s="138"/>
      <c r="J775" s="139"/>
      <c r="K775" s="137"/>
      <c r="L775" s="137"/>
      <c r="P775" s="137"/>
      <c r="Q775" s="137"/>
      <c r="R775" s="126"/>
    </row>
    <row r="776" spans="2:18" x14ac:dyDescent="0.3">
      <c r="B776" s="126"/>
      <c r="G776" s="137"/>
      <c r="H776" s="138"/>
      <c r="I776" s="138"/>
      <c r="J776" s="139"/>
      <c r="K776" s="137"/>
      <c r="L776" s="137"/>
      <c r="P776" s="137"/>
      <c r="Q776" s="137"/>
      <c r="R776" s="126"/>
    </row>
    <row r="777" spans="2:18" x14ac:dyDescent="0.3">
      <c r="B777" s="126"/>
      <c r="G777" s="137"/>
      <c r="H777" s="138"/>
      <c r="I777" s="138"/>
      <c r="J777" s="139"/>
      <c r="K777" s="137"/>
      <c r="L777" s="137"/>
      <c r="P777" s="137"/>
      <c r="Q777" s="137"/>
      <c r="R777" s="126"/>
    </row>
    <row r="778" spans="2:18" x14ac:dyDescent="0.3">
      <c r="B778" s="126"/>
      <c r="G778" s="137"/>
      <c r="H778" s="138"/>
      <c r="I778" s="138"/>
      <c r="J778" s="139"/>
      <c r="K778" s="137"/>
      <c r="L778" s="137"/>
      <c r="P778" s="137"/>
      <c r="Q778" s="137"/>
      <c r="R778" s="126"/>
    </row>
    <row r="779" spans="2:18" x14ac:dyDescent="0.3">
      <c r="B779" s="126"/>
      <c r="G779" s="137"/>
      <c r="H779" s="138"/>
      <c r="I779" s="138"/>
      <c r="J779" s="139"/>
      <c r="K779" s="137"/>
      <c r="L779" s="137"/>
      <c r="P779" s="137"/>
      <c r="Q779" s="137"/>
      <c r="R779" s="126"/>
    </row>
    <row r="780" spans="2:18" x14ac:dyDescent="0.3">
      <c r="B780" s="126"/>
      <c r="G780" s="137"/>
      <c r="H780" s="138"/>
      <c r="I780" s="138"/>
      <c r="J780" s="139"/>
      <c r="K780" s="137"/>
      <c r="L780" s="137"/>
      <c r="P780" s="137"/>
      <c r="Q780" s="137"/>
      <c r="R780" s="126"/>
    </row>
    <row r="781" spans="2:18" x14ac:dyDescent="0.3">
      <c r="B781" s="126"/>
      <c r="G781" s="137"/>
      <c r="H781" s="138"/>
      <c r="I781" s="138"/>
      <c r="J781" s="139"/>
      <c r="K781" s="137"/>
      <c r="L781" s="137"/>
      <c r="P781" s="137"/>
      <c r="Q781" s="137"/>
      <c r="R781" s="126"/>
    </row>
    <row r="782" spans="2:18" x14ac:dyDescent="0.3">
      <c r="B782" s="126"/>
      <c r="G782" s="137"/>
      <c r="H782" s="138"/>
      <c r="I782" s="138"/>
      <c r="J782" s="139"/>
      <c r="K782" s="137"/>
      <c r="L782" s="137"/>
      <c r="P782" s="137"/>
      <c r="Q782" s="137"/>
      <c r="R782" s="126"/>
    </row>
    <row r="783" spans="2:18" x14ac:dyDescent="0.3">
      <c r="B783" s="126"/>
      <c r="G783" s="137"/>
      <c r="H783" s="138"/>
      <c r="I783" s="138"/>
      <c r="J783" s="139"/>
      <c r="K783" s="137"/>
      <c r="L783" s="137"/>
      <c r="P783" s="137"/>
      <c r="Q783" s="137"/>
      <c r="R783" s="126"/>
    </row>
    <row r="784" spans="2:18" x14ac:dyDescent="0.3">
      <c r="B784" s="126"/>
      <c r="G784" s="137"/>
      <c r="H784" s="138"/>
      <c r="I784" s="138"/>
      <c r="J784" s="139"/>
      <c r="K784" s="137"/>
      <c r="L784" s="137"/>
      <c r="P784" s="137"/>
      <c r="Q784" s="137"/>
      <c r="R784" s="126"/>
    </row>
    <row r="785" spans="2:18" x14ac:dyDescent="0.3">
      <c r="B785" s="126"/>
      <c r="G785" s="137"/>
      <c r="H785" s="138"/>
      <c r="I785" s="138"/>
      <c r="J785" s="139"/>
      <c r="K785" s="137"/>
      <c r="L785" s="137"/>
      <c r="P785" s="137"/>
      <c r="Q785" s="137"/>
      <c r="R785" s="126"/>
    </row>
    <row r="786" spans="2:18" x14ac:dyDescent="0.3">
      <c r="B786" s="126"/>
      <c r="G786" s="137"/>
      <c r="H786" s="138"/>
      <c r="I786" s="138"/>
      <c r="J786" s="139"/>
      <c r="K786" s="137"/>
      <c r="L786" s="137"/>
      <c r="P786" s="137"/>
      <c r="Q786" s="137"/>
      <c r="R786" s="126"/>
    </row>
    <row r="787" spans="2:18" x14ac:dyDescent="0.3">
      <c r="B787" s="126"/>
      <c r="G787" s="137"/>
      <c r="H787" s="138"/>
      <c r="I787" s="138"/>
      <c r="J787" s="139"/>
      <c r="K787" s="137"/>
      <c r="L787" s="137"/>
      <c r="P787" s="137"/>
      <c r="Q787" s="137"/>
      <c r="R787" s="126"/>
    </row>
    <row r="788" spans="2:18" x14ac:dyDescent="0.3">
      <c r="B788" s="126"/>
      <c r="G788" s="137"/>
      <c r="H788" s="138"/>
      <c r="I788" s="138"/>
      <c r="J788" s="139"/>
      <c r="K788" s="137"/>
      <c r="L788" s="137"/>
      <c r="P788" s="137"/>
      <c r="Q788" s="137"/>
      <c r="R788" s="126"/>
    </row>
    <row r="789" spans="2:18" x14ac:dyDescent="0.3">
      <c r="B789" s="126"/>
      <c r="G789" s="137"/>
      <c r="H789" s="138"/>
      <c r="I789" s="138"/>
      <c r="J789" s="139"/>
      <c r="K789" s="137"/>
      <c r="L789" s="137"/>
      <c r="P789" s="137"/>
      <c r="Q789" s="137"/>
      <c r="R789" s="126"/>
    </row>
    <row r="790" spans="2:18" x14ac:dyDescent="0.3">
      <c r="B790" s="126"/>
      <c r="G790" s="137"/>
      <c r="H790" s="138"/>
      <c r="I790" s="138"/>
      <c r="J790" s="139"/>
      <c r="K790" s="137"/>
      <c r="L790" s="137"/>
      <c r="P790" s="137"/>
      <c r="Q790" s="137"/>
      <c r="R790" s="126"/>
    </row>
    <row r="791" spans="2:18" x14ac:dyDescent="0.3">
      <c r="B791" s="126"/>
      <c r="G791" s="137"/>
      <c r="H791" s="138"/>
      <c r="I791" s="138"/>
      <c r="J791" s="139"/>
      <c r="K791" s="137"/>
      <c r="L791" s="137"/>
      <c r="P791" s="137"/>
      <c r="Q791" s="137"/>
      <c r="R791" s="126"/>
    </row>
    <row r="792" spans="2:18" x14ac:dyDescent="0.3">
      <c r="B792" s="126"/>
      <c r="G792" s="137"/>
      <c r="H792" s="138"/>
      <c r="I792" s="138"/>
      <c r="J792" s="139"/>
      <c r="K792" s="137"/>
      <c r="L792" s="137"/>
      <c r="P792" s="137"/>
      <c r="Q792" s="137"/>
      <c r="R792" s="126"/>
    </row>
    <row r="793" spans="2:18" x14ac:dyDescent="0.3">
      <c r="B793" s="126"/>
      <c r="G793" s="137"/>
      <c r="H793" s="138"/>
      <c r="I793" s="138"/>
      <c r="J793" s="139"/>
      <c r="K793" s="137"/>
      <c r="L793" s="137"/>
      <c r="P793" s="137"/>
      <c r="Q793" s="137"/>
      <c r="R793" s="126"/>
    </row>
    <row r="794" spans="2:18" x14ac:dyDescent="0.3">
      <c r="B794" s="126"/>
      <c r="G794" s="137"/>
      <c r="H794" s="138"/>
      <c r="I794" s="138"/>
      <c r="J794" s="139"/>
      <c r="K794" s="137"/>
      <c r="L794" s="137"/>
      <c r="P794" s="137"/>
      <c r="Q794" s="137"/>
      <c r="R794" s="126"/>
    </row>
    <row r="795" spans="2:18" x14ac:dyDescent="0.3">
      <c r="B795" s="126"/>
      <c r="G795" s="137"/>
      <c r="H795" s="138"/>
      <c r="I795" s="138"/>
      <c r="J795" s="139"/>
      <c r="K795" s="137"/>
      <c r="L795" s="137"/>
      <c r="P795" s="137"/>
      <c r="Q795" s="137"/>
      <c r="R795" s="126"/>
    </row>
    <row r="796" spans="2:18" x14ac:dyDescent="0.3">
      <c r="B796" s="126"/>
      <c r="G796" s="137"/>
      <c r="H796" s="138"/>
      <c r="I796" s="138"/>
      <c r="J796" s="139"/>
      <c r="K796" s="137"/>
      <c r="L796" s="137"/>
      <c r="P796" s="137"/>
      <c r="Q796" s="137"/>
      <c r="R796" s="126"/>
    </row>
    <row r="797" spans="2:18" x14ac:dyDescent="0.3">
      <c r="B797" s="126"/>
      <c r="G797" s="137"/>
      <c r="H797" s="138"/>
      <c r="I797" s="138"/>
      <c r="J797" s="139"/>
      <c r="K797" s="137"/>
      <c r="L797" s="137"/>
      <c r="P797" s="137"/>
      <c r="Q797" s="137"/>
      <c r="R797" s="126"/>
    </row>
    <row r="798" spans="2:18" x14ac:dyDescent="0.3">
      <c r="B798" s="126"/>
      <c r="G798" s="137"/>
      <c r="H798" s="138"/>
      <c r="I798" s="138"/>
      <c r="J798" s="139"/>
      <c r="K798" s="137"/>
      <c r="L798" s="137"/>
      <c r="P798" s="137"/>
      <c r="Q798" s="137"/>
      <c r="R798" s="126"/>
    </row>
    <row r="799" spans="2:18" x14ac:dyDescent="0.3">
      <c r="B799" s="126"/>
      <c r="G799" s="137"/>
      <c r="H799" s="138"/>
      <c r="I799" s="138"/>
      <c r="J799" s="139"/>
      <c r="K799" s="137"/>
      <c r="L799" s="137"/>
      <c r="P799" s="137"/>
      <c r="Q799" s="137"/>
      <c r="R799" s="126"/>
    </row>
    <row r="800" spans="2:18" x14ac:dyDescent="0.3">
      <c r="B800" s="126"/>
      <c r="G800" s="137"/>
      <c r="H800" s="138"/>
      <c r="I800" s="138"/>
      <c r="J800" s="139"/>
      <c r="K800" s="137"/>
      <c r="L800" s="137"/>
      <c r="P800" s="137"/>
      <c r="Q800" s="137"/>
      <c r="R800" s="126"/>
    </row>
    <row r="801" spans="2:18" x14ac:dyDescent="0.3">
      <c r="B801" s="126"/>
      <c r="G801" s="137"/>
      <c r="H801" s="138"/>
      <c r="I801" s="138"/>
      <c r="J801" s="139"/>
      <c r="K801" s="137"/>
      <c r="L801" s="137"/>
      <c r="P801" s="137"/>
      <c r="Q801" s="137"/>
      <c r="R801" s="126"/>
    </row>
    <row r="802" spans="2:18" x14ac:dyDescent="0.3">
      <c r="B802" s="126"/>
      <c r="G802" s="137"/>
      <c r="H802" s="138"/>
      <c r="I802" s="138"/>
      <c r="J802" s="139"/>
      <c r="K802" s="137"/>
      <c r="L802" s="137"/>
      <c r="P802" s="137"/>
      <c r="Q802" s="137"/>
      <c r="R802" s="126"/>
    </row>
    <row r="803" spans="2:18" x14ac:dyDescent="0.3">
      <c r="B803" s="126"/>
      <c r="G803" s="137"/>
      <c r="H803" s="138"/>
      <c r="I803" s="138"/>
      <c r="J803" s="139"/>
      <c r="K803" s="137"/>
      <c r="L803" s="137"/>
      <c r="P803" s="137"/>
      <c r="Q803" s="137"/>
      <c r="R803" s="126"/>
    </row>
    <row r="804" spans="2:18" x14ac:dyDescent="0.3">
      <c r="B804" s="126"/>
      <c r="G804" s="137"/>
      <c r="H804" s="138"/>
      <c r="I804" s="138"/>
      <c r="J804" s="139"/>
      <c r="K804" s="137"/>
      <c r="L804" s="137"/>
      <c r="P804" s="137"/>
      <c r="Q804" s="137"/>
      <c r="R804" s="126"/>
    </row>
    <row r="805" spans="2:18" x14ac:dyDescent="0.3">
      <c r="B805" s="126"/>
      <c r="G805" s="137"/>
      <c r="H805" s="138"/>
      <c r="I805" s="138"/>
      <c r="J805" s="139"/>
      <c r="K805" s="137"/>
      <c r="L805" s="137"/>
      <c r="P805" s="137"/>
      <c r="Q805" s="137"/>
      <c r="R805" s="126"/>
    </row>
    <row r="806" spans="2:18" x14ac:dyDescent="0.3">
      <c r="B806" s="126"/>
      <c r="G806" s="137"/>
      <c r="H806" s="138"/>
      <c r="I806" s="138"/>
      <c r="J806" s="139"/>
      <c r="K806" s="137"/>
      <c r="L806" s="137"/>
      <c r="P806" s="137"/>
      <c r="Q806" s="137"/>
      <c r="R806" s="126"/>
    </row>
    <row r="807" spans="2:18" x14ac:dyDescent="0.3">
      <c r="B807" s="126"/>
      <c r="G807" s="137"/>
      <c r="H807" s="138"/>
      <c r="I807" s="138"/>
      <c r="J807" s="139"/>
      <c r="K807" s="137"/>
      <c r="L807" s="137"/>
      <c r="P807" s="137"/>
      <c r="Q807" s="137"/>
      <c r="R807" s="126"/>
    </row>
    <row r="808" spans="2:18" x14ac:dyDescent="0.3">
      <c r="B808" s="126"/>
      <c r="G808" s="137"/>
      <c r="H808" s="138"/>
      <c r="I808" s="138"/>
      <c r="J808" s="139"/>
      <c r="K808" s="137"/>
      <c r="L808" s="137"/>
      <c r="P808" s="137"/>
      <c r="Q808" s="137"/>
      <c r="R808" s="126"/>
    </row>
    <row r="809" spans="2:18" x14ac:dyDescent="0.3">
      <c r="B809" s="126"/>
      <c r="G809" s="137"/>
      <c r="H809" s="138"/>
      <c r="I809" s="138"/>
      <c r="J809" s="139"/>
      <c r="K809" s="137"/>
      <c r="L809" s="137"/>
      <c r="P809" s="137"/>
      <c r="Q809" s="137"/>
      <c r="R809" s="126"/>
    </row>
    <row r="810" spans="2:18" x14ac:dyDescent="0.3">
      <c r="B810" s="126"/>
      <c r="G810" s="137"/>
      <c r="H810" s="138"/>
      <c r="I810" s="138"/>
      <c r="J810" s="139"/>
      <c r="K810" s="137"/>
      <c r="L810" s="137"/>
      <c r="P810" s="137"/>
      <c r="Q810" s="137"/>
      <c r="R810" s="126"/>
    </row>
    <row r="811" spans="2:18" x14ac:dyDescent="0.3">
      <c r="B811" s="126"/>
      <c r="G811" s="137"/>
      <c r="H811" s="138"/>
      <c r="I811" s="138"/>
      <c r="J811" s="139"/>
      <c r="K811" s="137"/>
      <c r="L811" s="137"/>
      <c r="P811" s="137"/>
      <c r="Q811" s="137"/>
      <c r="R811" s="126"/>
    </row>
    <row r="812" spans="2:18" x14ac:dyDescent="0.3">
      <c r="B812" s="126"/>
      <c r="G812" s="137"/>
      <c r="H812" s="138"/>
      <c r="I812" s="138"/>
      <c r="J812" s="139"/>
      <c r="K812" s="137"/>
      <c r="L812" s="137"/>
      <c r="P812" s="137"/>
      <c r="Q812" s="137"/>
      <c r="R812" s="126"/>
    </row>
    <row r="813" spans="2:18" x14ac:dyDescent="0.3">
      <c r="B813" s="126"/>
      <c r="G813" s="137"/>
      <c r="H813" s="138"/>
      <c r="I813" s="138"/>
      <c r="J813" s="139"/>
      <c r="K813" s="137"/>
      <c r="L813" s="137"/>
      <c r="P813" s="137"/>
      <c r="Q813" s="137"/>
      <c r="R813" s="126"/>
    </row>
    <row r="814" spans="2:18" x14ac:dyDescent="0.3">
      <c r="B814" s="126"/>
      <c r="G814" s="137"/>
      <c r="H814" s="138"/>
      <c r="I814" s="138"/>
      <c r="J814" s="139"/>
      <c r="K814" s="137"/>
      <c r="L814" s="137"/>
      <c r="P814" s="137"/>
      <c r="Q814" s="137"/>
      <c r="R814" s="126"/>
    </row>
    <row r="815" spans="2:18" x14ac:dyDescent="0.3">
      <c r="B815" s="126"/>
      <c r="G815" s="137"/>
      <c r="H815" s="138"/>
      <c r="I815" s="138"/>
      <c r="J815" s="139"/>
      <c r="K815" s="137"/>
      <c r="L815" s="137"/>
      <c r="P815" s="137"/>
      <c r="Q815" s="137"/>
      <c r="R815" s="126"/>
    </row>
    <row r="816" spans="2:18" x14ac:dyDescent="0.3">
      <c r="B816" s="126"/>
      <c r="G816" s="137"/>
      <c r="H816" s="138"/>
      <c r="I816" s="138"/>
      <c r="J816" s="139"/>
      <c r="K816" s="137"/>
      <c r="L816" s="137"/>
      <c r="P816" s="137"/>
      <c r="Q816" s="137"/>
      <c r="R816" s="126"/>
    </row>
    <row r="817" spans="2:18" x14ac:dyDescent="0.3">
      <c r="B817" s="126"/>
      <c r="G817" s="137"/>
      <c r="H817" s="138"/>
      <c r="I817" s="138"/>
      <c r="J817" s="139"/>
      <c r="K817" s="137"/>
      <c r="L817" s="137"/>
      <c r="P817" s="137"/>
      <c r="Q817" s="137"/>
      <c r="R817" s="126"/>
    </row>
    <row r="818" spans="2:18" x14ac:dyDescent="0.3">
      <c r="B818" s="126"/>
      <c r="G818" s="137"/>
      <c r="H818" s="138"/>
      <c r="I818" s="138"/>
      <c r="J818" s="139"/>
      <c r="K818" s="137"/>
      <c r="L818" s="137"/>
      <c r="P818" s="137"/>
      <c r="Q818" s="137"/>
      <c r="R818" s="126"/>
    </row>
    <row r="819" spans="2:18" x14ac:dyDescent="0.3">
      <c r="B819" s="126"/>
      <c r="G819" s="137"/>
      <c r="H819" s="138"/>
      <c r="I819" s="138"/>
      <c r="J819" s="139"/>
      <c r="K819" s="137"/>
      <c r="L819" s="137"/>
      <c r="P819" s="137"/>
      <c r="Q819" s="137"/>
      <c r="R819" s="126"/>
    </row>
    <row r="820" spans="2:18" x14ac:dyDescent="0.3">
      <c r="B820" s="126"/>
      <c r="G820" s="137"/>
      <c r="H820" s="138"/>
      <c r="I820" s="138"/>
      <c r="J820" s="139"/>
      <c r="K820" s="137"/>
      <c r="L820" s="137"/>
      <c r="P820" s="137"/>
      <c r="Q820" s="137"/>
      <c r="R820" s="126"/>
    </row>
    <row r="821" spans="2:18" x14ac:dyDescent="0.3">
      <c r="B821" s="126"/>
      <c r="G821" s="137"/>
      <c r="H821" s="138"/>
      <c r="I821" s="138"/>
      <c r="J821" s="139"/>
      <c r="K821" s="137"/>
      <c r="L821" s="137"/>
      <c r="P821" s="137"/>
      <c r="Q821" s="137"/>
      <c r="R821" s="126"/>
    </row>
    <row r="822" spans="2:18" x14ac:dyDescent="0.3">
      <c r="B822" s="126"/>
      <c r="G822" s="137"/>
      <c r="H822" s="138"/>
      <c r="I822" s="138"/>
      <c r="J822" s="139"/>
      <c r="K822" s="137"/>
      <c r="L822" s="137"/>
      <c r="P822" s="137"/>
      <c r="Q822" s="137"/>
      <c r="R822" s="126"/>
    </row>
    <row r="823" spans="2:18" x14ac:dyDescent="0.3">
      <c r="B823" s="126"/>
      <c r="G823" s="137"/>
      <c r="H823" s="138"/>
      <c r="I823" s="138"/>
      <c r="J823" s="139"/>
      <c r="K823" s="137"/>
      <c r="L823" s="137"/>
      <c r="P823" s="137"/>
      <c r="Q823" s="137"/>
      <c r="R823" s="126"/>
    </row>
    <row r="824" spans="2:18" x14ac:dyDescent="0.3">
      <c r="B824" s="126"/>
      <c r="G824" s="137"/>
      <c r="H824" s="138"/>
      <c r="I824" s="138"/>
      <c r="J824" s="139"/>
      <c r="K824" s="137"/>
      <c r="L824" s="137"/>
      <c r="P824" s="137"/>
      <c r="Q824" s="137"/>
      <c r="R824" s="126"/>
    </row>
    <row r="825" spans="2:18" x14ac:dyDescent="0.3">
      <c r="B825" s="126"/>
      <c r="G825" s="137"/>
      <c r="H825" s="138"/>
      <c r="I825" s="138"/>
      <c r="J825" s="139"/>
      <c r="K825" s="137"/>
      <c r="L825" s="137"/>
      <c r="P825" s="137"/>
      <c r="Q825" s="137"/>
      <c r="R825" s="126"/>
    </row>
    <row r="826" spans="2:18" x14ac:dyDescent="0.3">
      <c r="B826" s="126"/>
      <c r="G826" s="137"/>
      <c r="H826" s="138"/>
      <c r="I826" s="138"/>
      <c r="J826" s="139"/>
      <c r="K826" s="137"/>
      <c r="L826" s="137"/>
      <c r="P826" s="137"/>
      <c r="Q826" s="137"/>
      <c r="R826" s="126"/>
    </row>
    <row r="827" spans="2:18" x14ac:dyDescent="0.3">
      <c r="B827" s="126"/>
      <c r="G827" s="137"/>
      <c r="H827" s="138"/>
      <c r="I827" s="138"/>
      <c r="J827" s="139"/>
      <c r="K827" s="137"/>
      <c r="L827" s="137"/>
      <c r="P827" s="137"/>
      <c r="Q827" s="137"/>
      <c r="R827" s="126"/>
    </row>
    <row r="828" spans="2:18" x14ac:dyDescent="0.3">
      <c r="B828" s="126"/>
      <c r="G828" s="137"/>
      <c r="H828" s="138"/>
      <c r="I828" s="138"/>
      <c r="J828" s="139"/>
      <c r="K828" s="137"/>
      <c r="L828" s="137"/>
      <c r="P828" s="137"/>
      <c r="Q828" s="137"/>
      <c r="R828" s="126"/>
    </row>
    <row r="829" spans="2:18" x14ac:dyDescent="0.3">
      <c r="B829" s="126"/>
      <c r="G829" s="137"/>
      <c r="H829" s="138"/>
      <c r="I829" s="138"/>
      <c r="J829" s="139"/>
      <c r="K829" s="137"/>
      <c r="L829" s="137"/>
      <c r="P829" s="137"/>
      <c r="Q829" s="137"/>
      <c r="R829" s="126"/>
    </row>
    <row r="830" spans="2:18" x14ac:dyDescent="0.3">
      <c r="B830" s="126"/>
      <c r="G830" s="137"/>
      <c r="H830" s="138"/>
      <c r="I830" s="138"/>
      <c r="J830" s="139"/>
      <c r="K830" s="137"/>
      <c r="L830" s="137"/>
      <c r="P830" s="137"/>
      <c r="Q830" s="137"/>
      <c r="R830" s="126"/>
    </row>
    <row r="831" spans="2:18" x14ac:dyDescent="0.3">
      <c r="B831" s="126"/>
      <c r="G831" s="137"/>
      <c r="H831" s="138"/>
      <c r="I831" s="138"/>
      <c r="J831" s="139"/>
      <c r="K831" s="137"/>
      <c r="L831" s="137"/>
      <c r="P831" s="137"/>
      <c r="Q831" s="137"/>
      <c r="R831" s="126"/>
    </row>
    <row r="832" spans="2:18" x14ac:dyDescent="0.3">
      <c r="B832" s="126"/>
      <c r="G832" s="137"/>
      <c r="H832" s="138"/>
      <c r="I832" s="138"/>
      <c r="J832" s="139"/>
      <c r="K832" s="137"/>
      <c r="L832" s="137"/>
      <c r="P832" s="137"/>
      <c r="Q832" s="137"/>
      <c r="R832" s="126"/>
    </row>
    <row r="833" spans="2:18" x14ac:dyDescent="0.3">
      <c r="B833" s="126"/>
      <c r="G833" s="137"/>
      <c r="H833" s="138"/>
      <c r="I833" s="138"/>
      <c r="J833" s="139"/>
      <c r="K833" s="137"/>
      <c r="L833" s="137"/>
      <c r="P833" s="137"/>
      <c r="Q833" s="137"/>
      <c r="R833" s="126"/>
    </row>
    <row r="834" spans="2:18" x14ac:dyDescent="0.3">
      <c r="B834" s="126"/>
      <c r="G834" s="137"/>
      <c r="H834" s="138"/>
      <c r="I834" s="138"/>
      <c r="J834" s="139"/>
      <c r="K834" s="137"/>
      <c r="L834" s="137"/>
      <c r="P834" s="137"/>
      <c r="Q834" s="137"/>
      <c r="R834" s="126"/>
    </row>
    <row r="835" spans="2:18" x14ac:dyDescent="0.3">
      <c r="B835" s="126"/>
      <c r="G835" s="137"/>
      <c r="H835" s="138"/>
      <c r="I835" s="138"/>
      <c r="J835" s="139"/>
      <c r="K835" s="137"/>
      <c r="L835" s="137"/>
      <c r="P835" s="137"/>
      <c r="Q835" s="137"/>
      <c r="R835" s="126"/>
    </row>
    <row r="836" spans="2:18" x14ac:dyDescent="0.3">
      <c r="B836" s="126"/>
      <c r="G836" s="137"/>
      <c r="H836" s="138"/>
      <c r="I836" s="138"/>
      <c r="J836" s="139"/>
      <c r="K836" s="137"/>
      <c r="L836" s="137"/>
      <c r="P836" s="137"/>
      <c r="Q836" s="137"/>
      <c r="R836" s="126"/>
    </row>
    <row r="837" spans="2:18" x14ac:dyDescent="0.3">
      <c r="B837" s="126"/>
      <c r="G837" s="137"/>
      <c r="H837" s="138"/>
      <c r="I837" s="138"/>
      <c r="J837" s="139"/>
      <c r="K837" s="137"/>
      <c r="L837" s="137"/>
      <c r="P837" s="137"/>
      <c r="Q837" s="137"/>
      <c r="R837" s="126"/>
    </row>
    <row r="838" spans="2:18" x14ac:dyDescent="0.3">
      <c r="B838" s="126"/>
      <c r="G838" s="137"/>
      <c r="H838" s="138"/>
      <c r="I838" s="138"/>
      <c r="J838" s="139"/>
      <c r="K838" s="137"/>
      <c r="L838" s="137"/>
      <c r="P838" s="137"/>
      <c r="Q838" s="137"/>
      <c r="R838" s="126"/>
    </row>
    <row r="839" spans="2:18" x14ac:dyDescent="0.3">
      <c r="B839" s="126"/>
      <c r="G839" s="137"/>
      <c r="H839" s="138"/>
      <c r="I839" s="138"/>
      <c r="J839" s="139"/>
      <c r="K839" s="137"/>
      <c r="L839" s="137"/>
      <c r="P839" s="137"/>
      <c r="Q839" s="137"/>
      <c r="R839" s="126"/>
    </row>
    <row r="840" spans="2:18" x14ac:dyDescent="0.3">
      <c r="B840" s="126"/>
      <c r="G840" s="137"/>
      <c r="H840" s="138"/>
      <c r="I840" s="138"/>
      <c r="J840" s="139"/>
      <c r="K840" s="137"/>
      <c r="L840" s="137"/>
      <c r="P840" s="137"/>
      <c r="Q840" s="137"/>
      <c r="R840" s="126"/>
    </row>
    <row r="841" spans="2:18" x14ac:dyDescent="0.3">
      <c r="B841" s="126"/>
      <c r="G841" s="137"/>
      <c r="H841" s="138"/>
      <c r="I841" s="138"/>
      <c r="J841" s="139"/>
      <c r="K841" s="137"/>
      <c r="L841" s="137"/>
      <c r="P841" s="137"/>
      <c r="Q841" s="137"/>
      <c r="R841" s="126"/>
    </row>
    <row r="842" spans="2:18" x14ac:dyDescent="0.3">
      <c r="B842" s="126"/>
      <c r="G842" s="137"/>
      <c r="H842" s="138"/>
      <c r="I842" s="138"/>
      <c r="J842" s="139"/>
      <c r="K842" s="137"/>
      <c r="L842" s="137"/>
      <c r="P842" s="137"/>
      <c r="Q842" s="137"/>
      <c r="R842" s="126"/>
    </row>
    <row r="843" spans="2:18" x14ac:dyDescent="0.3">
      <c r="B843" s="126"/>
      <c r="G843" s="137"/>
      <c r="H843" s="138"/>
      <c r="I843" s="138"/>
      <c r="J843" s="139"/>
      <c r="K843" s="137"/>
      <c r="L843" s="137"/>
      <c r="P843" s="137"/>
      <c r="Q843" s="137"/>
      <c r="R843" s="126"/>
    </row>
    <row r="844" spans="2:18" x14ac:dyDescent="0.3">
      <c r="B844" s="126"/>
      <c r="G844" s="137"/>
      <c r="H844" s="138"/>
      <c r="I844" s="138"/>
      <c r="J844" s="139"/>
      <c r="K844" s="137"/>
      <c r="L844" s="137"/>
      <c r="P844" s="137"/>
      <c r="Q844" s="137"/>
      <c r="R844" s="126"/>
    </row>
    <row r="845" spans="2:18" x14ac:dyDescent="0.3">
      <c r="B845" s="126"/>
      <c r="G845" s="137"/>
      <c r="H845" s="138"/>
      <c r="I845" s="138"/>
      <c r="J845" s="139"/>
      <c r="K845" s="137"/>
      <c r="L845" s="137"/>
      <c r="P845" s="137"/>
      <c r="Q845" s="137"/>
      <c r="R845" s="126"/>
    </row>
    <row r="846" spans="2:18" x14ac:dyDescent="0.3">
      <c r="B846" s="126"/>
      <c r="G846" s="137"/>
      <c r="H846" s="138"/>
      <c r="I846" s="138"/>
      <c r="J846" s="139"/>
      <c r="K846" s="137"/>
      <c r="L846" s="137"/>
      <c r="P846" s="137"/>
      <c r="Q846" s="137"/>
      <c r="R846" s="126"/>
    </row>
    <row r="847" spans="2:18" x14ac:dyDescent="0.3">
      <c r="B847" s="126"/>
      <c r="G847" s="137"/>
      <c r="H847" s="138"/>
      <c r="I847" s="138"/>
      <c r="J847" s="139"/>
      <c r="K847" s="137"/>
      <c r="L847" s="137"/>
      <c r="P847" s="137"/>
      <c r="Q847" s="137"/>
      <c r="R847" s="126"/>
    </row>
    <row r="848" spans="2:18" x14ac:dyDescent="0.3">
      <c r="B848" s="126"/>
      <c r="G848" s="137"/>
      <c r="H848" s="138"/>
      <c r="I848" s="138"/>
      <c r="J848" s="139"/>
      <c r="K848" s="137"/>
      <c r="L848" s="137"/>
      <c r="P848" s="137"/>
      <c r="Q848" s="137"/>
      <c r="R848" s="126"/>
    </row>
    <row r="849" spans="2:18" x14ac:dyDescent="0.3">
      <c r="B849" s="126"/>
      <c r="G849" s="137"/>
      <c r="H849" s="138"/>
      <c r="I849" s="138"/>
      <c r="J849" s="139"/>
      <c r="K849" s="137"/>
      <c r="L849" s="137"/>
      <c r="P849" s="137"/>
      <c r="Q849" s="137"/>
      <c r="R849" s="126"/>
    </row>
    <row r="850" spans="2:18" x14ac:dyDescent="0.3">
      <c r="B850" s="126"/>
      <c r="G850" s="137"/>
      <c r="H850" s="138"/>
      <c r="I850" s="138"/>
      <c r="J850" s="139"/>
      <c r="K850" s="137"/>
      <c r="L850" s="137"/>
      <c r="P850" s="137"/>
      <c r="Q850" s="137"/>
      <c r="R850" s="126"/>
    </row>
    <row r="851" spans="2:18" x14ac:dyDescent="0.3">
      <c r="B851" s="126"/>
      <c r="G851" s="137"/>
      <c r="H851" s="138"/>
      <c r="I851" s="138"/>
      <c r="J851" s="139"/>
      <c r="K851" s="137"/>
      <c r="L851" s="137"/>
      <c r="P851" s="137"/>
      <c r="Q851" s="137"/>
      <c r="R851" s="126"/>
    </row>
    <row r="852" spans="2:18" x14ac:dyDescent="0.3">
      <c r="B852" s="126"/>
      <c r="G852" s="137"/>
      <c r="H852" s="138"/>
      <c r="I852" s="138"/>
      <c r="J852" s="139"/>
      <c r="K852" s="137"/>
      <c r="L852" s="137"/>
      <c r="P852" s="137"/>
      <c r="Q852" s="137"/>
      <c r="R852" s="126"/>
    </row>
    <row r="853" spans="2:18" x14ac:dyDescent="0.3">
      <c r="B853" s="126"/>
      <c r="G853" s="137"/>
      <c r="H853" s="138"/>
      <c r="I853" s="138"/>
      <c r="J853" s="139"/>
      <c r="K853" s="137"/>
      <c r="L853" s="137"/>
      <c r="P853" s="137"/>
      <c r="Q853" s="137"/>
      <c r="R853" s="126"/>
    </row>
    <row r="854" spans="2:18" x14ac:dyDescent="0.3">
      <c r="B854" s="126"/>
      <c r="G854" s="137"/>
      <c r="H854" s="138"/>
      <c r="I854" s="138"/>
      <c r="J854" s="139"/>
      <c r="K854" s="137"/>
      <c r="L854" s="137"/>
      <c r="P854" s="137"/>
      <c r="Q854" s="137"/>
      <c r="R854" s="126"/>
    </row>
    <row r="855" spans="2:18" x14ac:dyDescent="0.3">
      <c r="B855" s="126"/>
      <c r="G855" s="137"/>
      <c r="H855" s="138"/>
      <c r="I855" s="138"/>
      <c r="J855" s="139"/>
      <c r="K855" s="137"/>
      <c r="L855" s="137"/>
      <c r="P855" s="137"/>
      <c r="Q855" s="137"/>
      <c r="R855" s="126"/>
    </row>
    <row r="856" spans="2:18" x14ac:dyDescent="0.3">
      <c r="B856" s="126"/>
      <c r="G856" s="137"/>
      <c r="H856" s="138"/>
      <c r="I856" s="138"/>
      <c r="J856" s="139"/>
      <c r="K856" s="137"/>
      <c r="L856" s="137"/>
      <c r="P856" s="137"/>
      <c r="Q856" s="137"/>
      <c r="R856" s="126"/>
    </row>
    <row r="857" spans="2:18" x14ac:dyDescent="0.3">
      <c r="B857" s="126"/>
      <c r="G857" s="137"/>
      <c r="H857" s="138"/>
      <c r="I857" s="138"/>
      <c r="J857" s="139"/>
      <c r="K857" s="137"/>
      <c r="L857" s="137"/>
      <c r="P857" s="137"/>
      <c r="Q857" s="137"/>
      <c r="R857" s="126"/>
    </row>
    <row r="858" spans="2:18" x14ac:dyDescent="0.3">
      <c r="B858" s="126"/>
      <c r="G858" s="137"/>
      <c r="H858" s="138"/>
      <c r="I858" s="138"/>
      <c r="J858" s="139"/>
      <c r="K858" s="137"/>
      <c r="L858" s="137"/>
      <c r="P858" s="137"/>
      <c r="Q858" s="137"/>
      <c r="R858" s="126"/>
    </row>
    <row r="859" spans="2:18" x14ac:dyDescent="0.3">
      <c r="B859" s="126"/>
      <c r="G859" s="137"/>
      <c r="H859" s="138"/>
      <c r="I859" s="138"/>
      <c r="J859" s="139"/>
      <c r="K859" s="137"/>
      <c r="L859" s="137"/>
      <c r="P859" s="137"/>
      <c r="Q859" s="137"/>
      <c r="R859" s="126"/>
    </row>
    <row r="860" spans="2:18" x14ac:dyDescent="0.3">
      <c r="B860" s="126"/>
      <c r="G860" s="137"/>
      <c r="H860" s="138"/>
      <c r="I860" s="138"/>
      <c r="J860" s="139"/>
      <c r="K860" s="137"/>
      <c r="L860" s="137"/>
      <c r="P860" s="137"/>
      <c r="Q860" s="137"/>
      <c r="R860" s="126"/>
    </row>
    <row r="861" spans="2:18" x14ac:dyDescent="0.3">
      <c r="B861" s="126"/>
      <c r="G861" s="137"/>
      <c r="H861" s="138"/>
      <c r="I861" s="138"/>
      <c r="J861" s="139"/>
      <c r="K861" s="137"/>
      <c r="L861" s="137"/>
      <c r="P861" s="137"/>
      <c r="Q861" s="137"/>
      <c r="R861" s="126"/>
    </row>
    <row r="862" spans="2:18" x14ac:dyDescent="0.3">
      <c r="B862" s="126"/>
      <c r="G862" s="137"/>
      <c r="H862" s="138"/>
      <c r="I862" s="138"/>
      <c r="J862" s="139"/>
      <c r="K862" s="137"/>
      <c r="L862" s="137"/>
      <c r="P862" s="137"/>
      <c r="Q862" s="137"/>
      <c r="R862" s="126"/>
    </row>
    <row r="863" spans="2:18" x14ac:dyDescent="0.3">
      <c r="B863" s="126"/>
      <c r="G863" s="137"/>
      <c r="H863" s="138"/>
      <c r="I863" s="138"/>
      <c r="J863" s="139"/>
      <c r="K863" s="137"/>
      <c r="L863" s="137"/>
      <c r="P863" s="137"/>
      <c r="Q863" s="137"/>
      <c r="R863" s="126"/>
    </row>
    <row r="864" spans="2:18" x14ac:dyDescent="0.3">
      <c r="B864" s="126"/>
      <c r="G864" s="137"/>
      <c r="H864" s="138"/>
      <c r="I864" s="138"/>
      <c r="J864" s="139"/>
      <c r="K864" s="137"/>
      <c r="L864" s="137"/>
      <c r="P864" s="137"/>
      <c r="Q864" s="137"/>
      <c r="R864" s="126"/>
    </row>
    <row r="865" spans="2:18" x14ac:dyDescent="0.3">
      <c r="B865" s="126"/>
      <c r="G865" s="137"/>
      <c r="H865" s="138"/>
      <c r="I865" s="138"/>
      <c r="J865" s="139"/>
      <c r="K865" s="137"/>
      <c r="L865" s="137"/>
      <c r="P865" s="137"/>
      <c r="Q865" s="137"/>
      <c r="R865" s="126"/>
    </row>
    <row r="866" spans="2:18" x14ac:dyDescent="0.3">
      <c r="B866" s="126"/>
      <c r="G866" s="137"/>
      <c r="H866" s="138"/>
      <c r="I866" s="138"/>
      <c r="J866" s="139"/>
      <c r="K866" s="137"/>
      <c r="L866" s="137"/>
      <c r="P866" s="137"/>
      <c r="Q866" s="137"/>
      <c r="R866" s="126"/>
    </row>
    <row r="867" spans="2:18" x14ac:dyDescent="0.3">
      <c r="B867" s="126"/>
      <c r="G867" s="137"/>
      <c r="H867" s="138"/>
      <c r="I867" s="138"/>
      <c r="J867" s="139"/>
      <c r="K867" s="137"/>
      <c r="L867" s="137"/>
      <c r="P867" s="137"/>
      <c r="Q867" s="137"/>
      <c r="R867" s="126"/>
    </row>
    <row r="868" spans="2:18" x14ac:dyDescent="0.3">
      <c r="B868" s="126"/>
      <c r="G868" s="137"/>
      <c r="H868" s="138"/>
      <c r="I868" s="138"/>
      <c r="J868" s="139"/>
      <c r="K868" s="137"/>
      <c r="L868" s="137"/>
      <c r="P868" s="137"/>
      <c r="Q868" s="137"/>
      <c r="R868" s="126"/>
    </row>
    <row r="869" spans="2:18" x14ac:dyDescent="0.3">
      <c r="B869" s="126"/>
      <c r="G869" s="137"/>
      <c r="H869" s="138"/>
      <c r="I869" s="138"/>
      <c r="J869" s="139"/>
      <c r="K869" s="137"/>
      <c r="L869" s="137"/>
      <c r="P869" s="137"/>
      <c r="Q869" s="137"/>
      <c r="R869" s="126"/>
    </row>
    <row r="870" spans="2:18" x14ac:dyDescent="0.3">
      <c r="B870" s="126"/>
      <c r="G870" s="137"/>
      <c r="H870" s="138"/>
      <c r="I870" s="138"/>
      <c r="J870" s="139"/>
      <c r="K870" s="137"/>
      <c r="L870" s="137"/>
      <c r="P870" s="137"/>
      <c r="Q870" s="137"/>
      <c r="R870" s="126"/>
    </row>
    <row r="871" spans="2:18" x14ac:dyDescent="0.3">
      <c r="B871" s="126"/>
      <c r="G871" s="137"/>
      <c r="H871" s="138"/>
      <c r="I871" s="138"/>
      <c r="J871" s="139"/>
      <c r="K871" s="137"/>
      <c r="L871" s="137"/>
      <c r="P871" s="137"/>
      <c r="Q871" s="137"/>
      <c r="R871" s="126"/>
    </row>
    <row r="872" spans="2:18" x14ac:dyDescent="0.3">
      <c r="B872" s="126"/>
      <c r="G872" s="137"/>
      <c r="H872" s="138"/>
      <c r="I872" s="138"/>
      <c r="J872" s="139"/>
      <c r="K872" s="137"/>
      <c r="L872" s="137"/>
      <c r="P872" s="137"/>
      <c r="Q872" s="137"/>
      <c r="R872" s="126"/>
    </row>
    <row r="873" spans="2:18" x14ac:dyDescent="0.3">
      <c r="B873" s="126"/>
      <c r="G873" s="137"/>
      <c r="H873" s="138"/>
      <c r="I873" s="138"/>
      <c r="J873" s="139"/>
      <c r="K873" s="137"/>
      <c r="L873" s="137"/>
      <c r="P873" s="137"/>
      <c r="Q873" s="137"/>
      <c r="R873" s="126"/>
    </row>
    <row r="874" spans="2:18" x14ac:dyDescent="0.3">
      <c r="B874" s="126"/>
      <c r="G874" s="137"/>
      <c r="H874" s="138"/>
      <c r="I874" s="138"/>
      <c r="J874" s="139"/>
      <c r="K874" s="137"/>
      <c r="L874" s="137"/>
      <c r="P874" s="137"/>
      <c r="Q874" s="137"/>
      <c r="R874" s="126"/>
    </row>
    <row r="875" spans="2:18" x14ac:dyDescent="0.3">
      <c r="B875" s="126"/>
      <c r="G875" s="137"/>
      <c r="H875" s="138"/>
      <c r="I875" s="138"/>
      <c r="J875" s="139"/>
      <c r="K875" s="137"/>
      <c r="L875" s="137"/>
      <c r="P875" s="137"/>
      <c r="Q875" s="137"/>
      <c r="R875" s="126"/>
    </row>
    <row r="876" spans="2:18" x14ac:dyDescent="0.3">
      <c r="B876" s="126"/>
      <c r="G876" s="137"/>
      <c r="H876" s="138"/>
      <c r="I876" s="138"/>
      <c r="J876" s="139"/>
      <c r="K876" s="137"/>
      <c r="L876" s="137"/>
      <c r="P876" s="137"/>
      <c r="Q876" s="137"/>
      <c r="R876" s="126"/>
    </row>
    <row r="877" spans="2:18" x14ac:dyDescent="0.3">
      <c r="B877" s="126"/>
      <c r="G877" s="137"/>
      <c r="H877" s="138"/>
      <c r="I877" s="138"/>
      <c r="J877" s="139"/>
      <c r="K877" s="137"/>
      <c r="L877" s="137"/>
      <c r="P877" s="137"/>
      <c r="Q877" s="137"/>
      <c r="R877" s="126"/>
    </row>
    <row r="878" spans="2:18" x14ac:dyDescent="0.3">
      <c r="B878" s="126"/>
      <c r="G878" s="137"/>
      <c r="H878" s="138"/>
      <c r="I878" s="138"/>
      <c r="J878" s="139"/>
      <c r="K878" s="137"/>
      <c r="L878" s="137"/>
      <c r="P878" s="137"/>
      <c r="Q878" s="137"/>
      <c r="R878" s="126"/>
    </row>
    <row r="879" spans="2:18" x14ac:dyDescent="0.3">
      <c r="B879" s="126"/>
      <c r="G879" s="137"/>
      <c r="H879" s="138"/>
      <c r="I879" s="138"/>
      <c r="J879" s="139"/>
      <c r="K879" s="137"/>
      <c r="L879" s="137"/>
      <c r="P879" s="137"/>
      <c r="Q879" s="137"/>
      <c r="R879" s="126"/>
    </row>
    <row r="880" spans="2:18" x14ac:dyDescent="0.3">
      <c r="B880" s="126"/>
      <c r="G880" s="137"/>
      <c r="H880" s="138"/>
      <c r="I880" s="138"/>
      <c r="J880" s="139"/>
      <c r="K880" s="137"/>
      <c r="L880" s="137"/>
      <c r="P880" s="137"/>
      <c r="Q880" s="137"/>
      <c r="R880" s="126"/>
    </row>
    <row r="881" spans="2:18" x14ac:dyDescent="0.3">
      <c r="B881" s="126"/>
      <c r="G881" s="137"/>
      <c r="H881" s="138"/>
      <c r="I881" s="138"/>
      <c r="J881" s="139"/>
      <c r="K881" s="137"/>
      <c r="L881" s="137"/>
      <c r="P881" s="137"/>
      <c r="Q881" s="137"/>
      <c r="R881" s="126"/>
    </row>
    <row r="882" spans="2:18" x14ac:dyDescent="0.3">
      <c r="B882" s="126"/>
      <c r="G882" s="137"/>
      <c r="H882" s="138"/>
      <c r="I882" s="138"/>
      <c r="J882" s="139"/>
      <c r="K882" s="137"/>
      <c r="L882" s="137"/>
      <c r="P882" s="137"/>
      <c r="Q882" s="137"/>
      <c r="R882" s="126"/>
    </row>
    <row r="883" spans="2:18" x14ac:dyDescent="0.3">
      <c r="B883" s="126"/>
      <c r="G883" s="137"/>
      <c r="H883" s="138"/>
      <c r="I883" s="138"/>
      <c r="J883" s="139"/>
      <c r="K883" s="137"/>
      <c r="L883" s="137"/>
      <c r="P883" s="137"/>
      <c r="Q883" s="137"/>
      <c r="R883" s="126"/>
    </row>
    <row r="884" spans="2:18" x14ac:dyDescent="0.3">
      <c r="B884" s="126"/>
      <c r="G884" s="137"/>
      <c r="H884" s="138"/>
      <c r="I884" s="138"/>
      <c r="J884" s="139"/>
      <c r="K884" s="137"/>
      <c r="L884" s="137"/>
      <c r="P884" s="137"/>
      <c r="Q884" s="137"/>
      <c r="R884" s="126"/>
    </row>
    <row r="885" spans="2:18" x14ac:dyDescent="0.3">
      <c r="B885" s="126"/>
      <c r="G885" s="137"/>
      <c r="H885" s="138"/>
      <c r="I885" s="138"/>
      <c r="J885" s="139"/>
      <c r="K885" s="137"/>
      <c r="L885" s="137"/>
      <c r="P885" s="137"/>
      <c r="Q885" s="137"/>
      <c r="R885" s="126"/>
    </row>
    <row r="886" spans="2:18" x14ac:dyDescent="0.3">
      <c r="B886" s="126"/>
      <c r="G886" s="137"/>
      <c r="H886" s="138"/>
      <c r="I886" s="138"/>
      <c r="J886" s="139"/>
      <c r="K886" s="137"/>
      <c r="L886" s="137"/>
      <c r="P886" s="137"/>
      <c r="Q886" s="137"/>
      <c r="R886" s="126"/>
    </row>
    <row r="887" spans="2:18" x14ac:dyDescent="0.3">
      <c r="B887" s="126"/>
      <c r="G887" s="137"/>
      <c r="H887" s="138"/>
      <c r="I887" s="138"/>
      <c r="J887" s="139"/>
      <c r="K887" s="137"/>
      <c r="L887" s="137"/>
      <c r="P887" s="137"/>
      <c r="Q887" s="137"/>
      <c r="R887" s="126"/>
    </row>
    <row r="888" spans="2:18" x14ac:dyDescent="0.3">
      <c r="B888" s="126"/>
      <c r="G888" s="137"/>
      <c r="H888" s="138"/>
      <c r="I888" s="138"/>
      <c r="J888" s="139"/>
      <c r="K888" s="137"/>
      <c r="L888" s="137"/>
      <c r="P888" s="137"/>
      <c r="Q888" s="137"/>
      <c r="R888" s="126"/>
    </row>
    <row r="889" spans="2:18" x14ac:dyDescent="0.3">
      <c r="B889" s="126"/>
      <c r="G889" s="137"/>
      <c r="H889" s="138"/>
      <c r="I889" s="138"/>
      <c r="J889" s="139"/>
      <c r="K889" s="137"/>
      <c r="L889" s="137"/>
      <c r="P889" s="137"/>
      <c r="Q889" s="137"/>
      <c r="R889" s="126"/>
    </row>
    <row r="890" spans="2:18" x14ac:dyDescent="0.3">
      <c r="B890" s="126"/>
      <c r="G890" s="137"/>
      <c r="H890" s="138"/>
      <c r="I890" s="138"/>
      <c r="J890" s="139"/>
      <c r="K890" s="137"/>
      <c r="L890" s="137"/>
      <c r="P890" s="137"/>
      <c r="Q890" s="137"/>
      <c r="R890" s="126"/>
    </row>
    <row r="891" spans="2:18" x14ac:dyDescent="0.3">
      <c r="B891" s="126"/>
      <c r="G891" s="137"/>
      <c r="H891" s="138"/>
      <c r="I891" s="138"/>
      <c r="J891" s="139"/>
      <c r="K891" s="137"/>
      <c r="L891" s="137"/>
      <c r="P891" s="137"/>
      <c r="Q891" s="137"/>
      <c r="R891" s="126"/>
    </row>
    <row r="892" spans="2:18" x14ac:dyDescent="0.3">
      <c r="B892" s="126"/>
      <c r="G892" s="137"/>
      <c r="H892" s="138"/>
      <c r="I892" s="138"/>
      <c r="J892" s="139"/>
      <c r="K892" s="137"/>
      <c r="L892" s="137"/>
      <c r="P892" s="137"/>
      <c r="Q892" s="137"/>
      <c r="R892" s="126"/>
    </row>
    <row r="893" spans="2:18" x14ac:dyDescent="0.3">
      <c r="B893" s="126"/>
      <c r="G893" s="137"/>
      <c r="H893" s="138"/>
      <c r="I893" s="138"/>
      <c r="J893" s="139"/>
      <c r="K893" s="137"/>
      <c r="L893" s="137"/>
      <c r="P893" s="137"/>
      <c r="Q893" s="137"/>
      <c r="R893" s="126"/>
    </row>
    <row r="894" spans="2:18" x14ac:dyDescent="0.3">
      <c r="B894" s="126"/>
      <c r="G894" s="137"/>
      <c r="H894" s="138"/>
      <c r="I894" s="138"/>
      <c r="J894" s="139"/>
      <c r="K894" s="137"/>
      <c r="L894" s="137"/>
      <c r="P894" s="137"/>
      <c r="Q894" s="137"/>
      <c r="R894" s="126"/>
    </row>
    <row r="895" spans="2:18" x14ac:dyDescent="0.3">
      <c r="B895" s="126"/>
      <c r="G895" s="137"/>
      <c r="H895" s="138"/>
      <c r="I895" s="138"/>
      <c r="J895" s="139"/>
      <c r="K895" s="137"/>
      <c r="L895" s="137"/>
      <c r="P895" s="137"/>
      <c r="Q895" s="137"/>
      <c r="R895" s="126"/>
    </row>
    <row r="896" spans="2:18" x14ac:dyDescent="0.3">
      <c r="B896" s="126"/>
      <c r="G896" s="137"/>
      <c r="H896" s="138"/>
      <c r="I896" s="138"/>
      <c r="J896" s="139"/>
      <c r="K896" s="137"/>
      <c r="L896" s="137"/>
      <c r="P896" s="137"/>
      <c r="Q896" s="137"/>
      <c r="R896" s="126"/>
    </row>
    <row r="897" spans="2:18" x14ac:dyDescent="0.3">
      <c r="B897" s="126"/>
      <c r="G897" s="137"/>
      <c r="H897" s="138"/>
      <c r="I897" s="138"/>
      <c r="J897" s="139"/>
      <c r="K897" s="137"/>
      <c r="L897" s="137"/>
      <c r="P897" s="137"/>
      <c r="Q897" s="137"/>
      <c r="R897" s="126"/>
    </row>
    <row r="898" spans="2:18" x14ac:dyDescent="0.3">
      <c r="B898" s="126"/>
      <c r="G898" s="137"/>
      <c r="H898" s="138"/>
      <c r="I898" s="138"/>
      <c r="J898" s="139"/>
      <c r="K898" s="137"/>
      <c r="L898" s="137"/>
      <c r="P898" s="137"/>
      <c r="Q898" s="137"/>
      <c r="R898" s="126"/>
    </row>
    <row r="899" spans="2:18" x14ac:dyDescent="0.3">
      <c r="B899" s="126"/>
      <c r="G899" s="137"/>
      <c r="H899" s="138"/>
      <c r="I899" s="138"/>
      <c r="J899" s="139"/>
      <c r="K899" s="137"/>
      <c r="L899" s="137"/>
      <c r="P899" s="137"/>
      <c r="Q899" s="137"/>
      <c r="R899" s="126"/>
    </row>
    <row r="900" spans="2:18" x14ac:dyDescent="0.3">
      <c r="B900" s="126"/>
      <c r="G900" s="137"/>
      <c r="H900" s="138"/>
      <c r="I900" s="138"/>
      <c r="J900" s="139"/>
      <c r="K900" s="137"/>
      <c r="L900" s="137"/>
      <c r="P900" s="137"/>
      <c r="Q900" s="137"/>
      <c r="R900" s="126"/>
    </row>
    <row r="901" spans="2:18" x14ac:dyDescent="0.3">
      <c r="B901" s="126"/>
      <c r="G901" s="137"/>
      <c r="H901" s="138"/>
      <c r="I901" s="138"/>
      <c r="J901" s="139"/>
      <c r="K901" s="137"/>
      <c r="L901" s="137"/>
      <c r="P901" s="137"/>
      <c r="Q901" s="137"/>
      <c r="R901" s="126"/>
    </row>
    <row r="902" spans="2:18" x14ac:dyDescent="0.3">
      <c r="B902" s="126"/>
      <c r="G902" s="137"/>
      <c r="H902" s="138"/>
      <c r="I902" s="138"/>
      <c r="J902" s="139"/>
      <c r="K902" s="137"/>
      <c r="L902" s="137"/>
      <c r="P902" s="137"/>
      <c r="Q902" s="137"/>
      <c r="R902" s="126"/>
    </row>
    <row r="903" spans="2:18" x14ac:dyDescent="0.3">
      <c r="B903" s="126"/>
      <c r="G903" s="137"/>
      <c r="H903" s="138"/>
      <c r="I903" s="138"/>
      <c r="J903" s="139"/>
      <c r="K903" s="137"/>
      <c r="L903" s="137"/>
      <c r="P903" s="137"/>
      <c r="Q903" s="137"/>
      <c r="R903" s="126"/>
    </row>
    <row r="904" spans="2:18" x14ac:dyDescent="0.3">
      <c r="B904" s="126"/>
      <c r="G904" s="137"/>
      <c r="H904" s="138"/>
      <c r="I904" s="138"/>
      <c r="J904" s="139"/>
      <c r="K904" s="137"/>
      <c r="L904" s="137"/>
      <c r="P904" s="137"/>
      <c r="Q904" s="137"/>
      <c r="R904" s="126"/>
    </row>
    <row r="905" spans="2:18" x14ac:dyDescent="0.3">
      <c r="B905" s="126"/>
      <c r="G905" s="137"/>
      <c r="H905" s="138"/>
      <c r="I905" s="138"/>
      <c r="J905" s="139"/>
      <c r="K905" s="137"/>
      <c r="L905" s="137"/>
      <c r="P905" s="137"/>
      <c r="Q905" s="137"/>
      <c r="R905" s="126"/>
    </row>
    <row r="906" spans="2:18" x14ac:dyDescent="0.3">
      <c r="B906" s="126"/>
      <c r="G906" s="137"/>
      <c r="H906" s="138"/>
      <c r="I906" s="138"/>
      <c r="J906" s="139"/>
      <c r="K906" s="137"/>
      <c r="L906" s="137"/>
      <c r="P906" s="137"/>
      <c r="Q906" s="137"/>
      <c r="R906" s="126"/>
    </row>
    <row r="907" spans="2:18" x14ac:dyDescent="0.3">
      <c r="B907" s="126"/>
      <c r="G907" s="137"/>
      <c r="H907" s="138"/>
      <c r="I907" s="138"/>
      <c r="J907" s="139"/>
      <c r="K907" s="137"/>
      <c r="L907" s="137"/>
      <c r="P907" s="137"/>
      <c r="Q907" s="137"/>
      <c r="R907" s="126"/>
    </row>
    <row r="908" spans="2:18" x14ac:dyDescent="0.3">
      <c r="B908" s="126"/>
      <c r="G908" s="137"/>
      <c r="H908" s="138"/>
      <c r="I908" s="138"/>
      <c r="J908" s="139"/>
      <c r="K908" s="137"/>
      <c r="L908" s="137"/>
      <c r="P908" s="137"/>
      <c r="Q908" s="137"/>
      <c r="R908" s="126"/>
    </row>
    <row r="909" spans="2:18" x14ac:dyDescent="0.3">
      <c r="B909" s="126"/>
      <c r="G909" s="137"/>
      <c r="H909" s="138"/>
      <c r="I909" s="138"/>
      <c r="J909" s="139"/>
      <c r="K909" s="137"/>
      <c r="L909" s="137"/>
      <c r="P909" s="137"/>
      <c r="Q909" s="137"/>
      <c r="R909" s="126"/>
    </row>
    <row r="910" spans="2:18" x14ac:dyDescent="0.3">
      <c r="B910" s="126"/>
      <c r="G910" s="137"/>
      <c r="H910" s="138"/>
      <c r="I910" s="138"/>
      <c r="J910" s="139"/>
      <c r="K910" s="137"/>
      <c r="L910" s="137"/>
      <c r="P910" s="137"/>
      <c r="Q910" s="137"/>
      <c r="R910" s="126"/>
    </row>
    <row r="911" spans="2:18" x14ac:dyDescent="0.3">
      <c r="B911" s="126"/>
      <c r="G911" s="137"/>
      <c r="H911" s="138"/>
      <c r="I911" s="138"/>
      <c r="J911" s="139"/>
      <c r="K911" s="137"/>
      <c r="L911" s="137"/>
      <c r="P911" s="137"/>
      <c r="Q911" s="137"/>
      <c r="R911" s="126"/>
    </row>
    <row r="912" spans="2:18" x14ac:dyDescent="0.3">
      <c r="B912" s="126"/>
      <c r="G912" s="137"/>
      <c r="H912" s="138"/>
      <c r="I912" s="138"/>
      <c r="J912" s="139"/>
      <c r="K912" s="137"/>
      <c r="L912" s="137"/>
      <c r="P912" s="137"/>
      <c r="Q912" s="137"/>
      <c r="R912" s="126"/>
    </row>
    <row r="913" spans="2:18" x14ac:dyDescent="0.3">
      <c r="B913" s="126"/>
      <c r="G913" s="137"/>
      <c r="H913" s="138"/>
      <c r="I913" s="138"/>
      <c r="J913" s="139"/>
      <c r="K913" s="137"/>
      <c r="L913" s="137"/>
      <c r="P913" s="137"/>
      <c r="Q913" s="137"/>
      <c r="R913" s="126"/>
    </row>
    <row r="914" spans="2:18" x14ac:dyDescent="0.3">
      <c r="B914" s="126"/>
      <c r="G914" s="137"/>
      <c r="H914" s="138"/>
      <c r="I914" s="138"/>
      <c r="J914" s="139"/>
      <c r="K914" s="137"/>
      <c r="L914" s="137"/>
      <c r="P914" s="137"/>
      <c r="Q914" s="137"/>
      <c r="R914" s="126"/>
    </row>
    <row r="915" spans="2:18" x14ac:dyDescent="0.3">
      <c r="B915" s="126"/>
      <c r="G915" s="137"/>
      <c r="H915" s="138"/>
      <c r="I915" s="138"/>
      <c r="J915" s="139"/>
      <c r="K915" s="137"/>
      <c r="L915" s="137"/>
      <c r="P915" s="137"/>
      <c r="Q915" s="137"/>
      <c r="R915" s="126"/>
    </row>
    <row r="916" spans="2:18" x14ac:dyDescent="0.3">
      <c r="B916" s="126"/>
      <c r="G916" s="137"/>
      <c r="H916" s="138"/>
      <c r="I916" s="138"/>
      <c r="J916" s="139"/>
      <c r="K916" s="137"/>
      <c r="L916" s="137"/>
      <c r="P916" s="137"/>
      <c r="Q916" s="137"/>
      <c r="R916" s="126"/>
    </row>
    <row r="917" spans="2:18" x14ac:dyDescent="0.3">
      <c r="B917" s="126"/>
      <c r="G917" s="137"/>
      <c r="H917" s="138"/>
      <c r="I917" s="138"/>
      <c r="J917" s="139"/>
      <c r="K917" s="137"/>
      <c r="L917" s="137"/>
      <c r="P917" s="137"/>
      <c r="Q917" s="137"/>
      <c r="R917" s="126"/>
    </row>
    <row r="918" spans="2:18" x14ac:dyDescent="0.3">
      <c r="B918" s="126"/>
      <c r="G918" s="137"/>
      <c r="H918" s="138"/>
      <c r="I918" s="138"/>
      <c r="J918" s="139"/>
      <c r="K918" s="137"/>
      <c r="L918" s="137"/>
      <c r="P918" s="137"/>
      <c r="Q918" s="137"/>
      <c r="R918" s="126"/>
    </row>
    <row r="919" spans="2:18" x14ac:dyDescent="0.3">
      <c r="B919" s="126"/>
      <c r="G919" s="137"/>
      <c r="H919" s="138"/>
      <c r="I919" s="138"/>
      <c r="J919" s="139"/>
      <c r="K919" s="137"/>
      <c r="L919" s="137"/>
      <c r="P919" s="137"/>
      <c r="Q919" s="137"/>
      <c r="R919" s="126"/>
    </row>
    <row r="920" spans="2:18" x14ac:dyDescent="0.3">
      <c r="B920" s="126"/>
      <c r="G920" s="137"/>
      <c r="H920" s="138"/>
      <c r="I920" s="138"/>
      <c r="J920" s="139"/>
      <c r="K920" s="137"/>
      <c r="L920" s="137"/>
      <c r="P920" s="137"/>
      <c r="Q920" s="137"/>
      <c r="R920" s="126"/>
    </row>
    <row r="921" spans="2:18" x14ac:dyDescent="0.3">
      <c r="B921" s="126"/>
      <c r="G921" s="137"/>
      <c r="H921" s="138"/>
      <c r="I921" s="138"/>
      <c r="J921" s="139"/>
      <c r="K921" s="137"/>
      <c r="L921" s="137"/>
      <c r="P921" s="137"/>
      <c r="Q921" s="137"/>
      <c r="R921" s="126"/>
    </row>
    <row r="922" spans="2:18" x14ac:dyDescent="0.3">
      <c r="B922" s="126"/>
      <c r="G922" s="137"/>
      <c r="H922" s="138"/>
      <c r="I922" s="138"/>
      <c r="J922" s="139"/>
      <c r="K922" s="137"/>
      <c r="L922" s="137"/>
      <c r="P922" s="137"/>
      <c r="Q922" s="137"/>
      <c r="R922" s="126"/>
    </row>
    <row r="923" spans="2:18" x14ac:dyDescent="0.3">
      <c r="B923" s="126"/>
      <c r="G923" s="137"/>
      <c r="H923" s="138"/>
      <c r="I923" s="138"/>
      <c r="J923" s="139"/>
      <c r="K923" s="137"/>
      <c r="L923" s="137"/>
      <c r="P923" s="137"/>
      <c r="Q923" s="137"/>
      <c r="R923" s="126"/>
    </row>
    <row r="924" spans="2:18" x14ac:dyDescent="0.3">
      <c r="B924" s="126"/>
      <c r="G924" s="137"/>
      <c r="H924" s="138"/>
      <c r="I924" s="138"/>
      <c r="J924" s="139"/>
      <c r="K924" s="137"/>
      <c r="L924" s="137"/>
      <c r="P924" s="137"/>
      <c r="Q924" s="137"/>
      <c r="R924" s="126"/>
    </row>
    <row r="925" spans="2:18" x14ac:dyDescent="0.3">
      <c r="B925" s="126"/>
      <c r="G925" s="137"/>
      <c r="H925" s="138"/>
      <c r="I925" s="138"/>
      <c r="J925" s="139"/>
      <c r="K925" s="137"/>
      <c r="L925" s="137"/>
      <c r="P925" s="137"/>
      <c r="Q925" s="137"/>
      <c r="R925" s="126"/>
    </row>
    <row r="926" spans="2:18" x14ac:dyDescent="0.3">
      <c r="B926" s="126"/>
      <c r="G926" s="137"/>
      <c r="H926" s="138"/>
      <c r="I926" s="138"/>
      <c r="J926" s="139"/>
      <c r="K926" s="137"/>
      <c r="L926" s="137"/>
      <c r="P926" s="137"/>
      <c r="Q926" s="137"/>
      <c r="R926" s="126"/>
    </row>
    <row r="927" spans="2:18" x14ac:dyDescent="0.3">
      <c r="B927" s="126"/>
      <c r="G927" s="137"/>
      <c r="H927" s="138"/>
      <c r="I927" s="138"/>
      <c r="J927" s="139"/>
      <c r="K927" s="137"/>
      <c r="L927" s="137"/>
      <c r="P927" s="137"/>
      <c r="Q927" s="137"/>
      <c r="R927" s="126"/>
    </row>
    <row r="928" spans="2:18" x14ac:dyDescent="0.3">
      <c r="B928" s="126"/>
      <c r="G928" s="137"/>
      <c r="H928" s="138"/>
      <c r="I928" s="138"/>
      <c r="J928" s="139"/>
      <c r="K928" s="137"/>
      <c r="L928" s="137"/>
      <c r="P928" s="137"/>
      <c r="Q928" s="137"/>
      <c r="R928" s="126"/>
    </row>
    <row r="929" spans="2:18" x14ac:dyDescent="0.3">
      <c r="B929" s="126"/>
      <c r="G929" s="137"/>
      <c r="H929" s="138"/>
      <c r="I929" s="138"/>
      <c r="J929" s="139"/>
      <c r="K929" s="137"/>
      <c r="L929" s="137"/>
      <c r="P929" s="137"/>
      <c r="Q929" s="137"/>
      <c r="R929" s="126"/>
    </row>
    <row r="930" spans="2:18" x14ac:dyDescent="0.3">
      <c r="B930" s="126"/>
      <c r="G930" s="137"/>
      <c r="H930" s="138"/>
      <c r="I930" s="138"/>
      <c r="J930" s="139"/>
      <c r="K930" s="137"/>
      <c r="L930" s="137"/>
      <c r="P930" s="137"/>
      <c r="Q930" s="137"/>
      <c r="R930" s="126"/>
    </row>
    <row r="931" spans="2:18" x14ac:dyDescent="0.3">
      <c r="B931" s="126"/>
      <c r="G931" s="137"/>
      <c r="H931" s="138"/>
      <c r="I931" s="138"/>
      <c r="J931" s="139"/>
      <c r="K931" s="137"/>
      <c r="L931" s="137"/>
      <c r="P931" s="137"/>
      <c r="Q931" s="137"/>
      <c r="R931" s="126"/>
    </row>
    <row r="932" spans="2:18" x14ac:dyDescent="0.3">
      <c r="B932" s="126"/>
      <c r="G932" s="137"/>
      <c r="H932" s="138"/>
      <c r="I932" s="138"/>
      <c r="J932" s="139"/>
      <c r="K932" s="137"/>
      <c r="L932" s="137"/>
      <c r="P932" s="137"/>
      <c r="Q932" s="137"/>
      <c r="R932" s="126"/>
    </row>
    <row r="933" spans="2:18" x14ac:dyDescent="0.3">
      <c r="B933" s="126"/>
      <c r="G933" s="137"/>
      <c r="H933" s="138"/>
      <c r="I933" s="138"/>
      <c r="J933" s="139"/>
      <c r="K933" s="137"/>
      <c r="L933" s="137"/>
      <c r="P933" s="137"/>
      <c r="Q933" s="137"/>
      <c r="R933" s="126"/>
    </row>
    <row r="934" spans="2:18" x14ac:dyDescent="0.3">
      <c r="B934" s="126"/>
      <c r="G934" s="137"/>
      <c r="H934" s="138"/>
      <c r="I934" s="138"/>
      <c r="J934" s="139"/>
      <c r="K934" s="137"/>
      <c r="L934" s="137"/>
      <c r="P934" s="137"/>
      <c r="Q934" s="137"/>
      <c r="R934" s="126"/>
    </row>
    <row r="935" spans="2:18" x14ac:dyDescent="0.3">
      <c r="B935" s="126"/>
      <c r="G935" s="137"/>
      <c r="H935" s="138"/>
      <c r="I935" s="138"/>
      <c r="J935" s="139"/>
      <c r="K935" s="137"/>
      <c r="L935" s="137"/>
      <c r="P935" s="137"/>
      <c r="Q935" s="137"/>
      <c r="R935" s="126"/>
    </row>
    <row r="936" spans="2:18" x14ac:dyDescent="0.3">
      <c r="B936" s="126"/>
      <c r="G936" s="137"/>
      <c r="H936" s="138"/>
      <c r="I936" s="138"/>
      <c r="J936" s="139"/>
      <c r="K936" s="137"/>
      <c r="L936" s="137"/>
      <c r="P936" s="137"/>
      <c r="Q936" s="137"/>
      <c r="R936" s="126"/>
    </row>
    <row r="937" spans="2:18" x14ac:dyDescent="0.3">
      <c r="B937" s="126"/>
      <c r="G937" s="137"/>
      <c r="H937" s="138"/>
      <c r="I937" s="138"/>
      <c r="J937" s="139"/>
      <c r="K937" s="137"/>
      <c r="L937" s="137"/>
      <c r="P937" s="137"/>
      <c r="Q937" s="137"/>
      <c r="R937" s="126"/>
    </row>
    <row r="938" spans="2:18" x14ac:dyDescent="0.3">
      <c r="B938" s="126"/>
      <c r="G938" s="137"/>
      <c r="H938" s="138"/>
      <c r="I938" s="138"/>
      <c r="J938" s="139"/>
      <c r="K938" s="137"/>
      <c r="L938" s="137"/>
      <c r="P938" s="137"/>
      <c r="Q938" s="137"/>
      <c r="R938" s="126"/>
    </row>
    <row r="939" spans="2:18" x14ac:dyDescent="0.3">
      <c r="B939" s="126"/>
      <c r="G939" s="137"/>
      <c r="H939" s="138"/>
      <c r="I939" s="138"/>
      <c r="J939" s="139"/>
      <c r="K939" s="137"/>
      <c r="L939" s="137"/>
      <c r="P939" s="137"/>
      <c r="Q939" s="137"/>
      <c r="R939" s="126"/>
    </row>
    <row r="940" spans="2:18" x14ac:dyDescent="0.3">
      <c r="B940" s="126"/>
      <c r="G940" s="137"/>
      <c r="H940" s="138"/>
      <c r="I940" s="138"/>
      <c r="J940" s="139"/>
      <c r="K940" s="137"/>
      <c r="L940" s="137"/>
      <c r="P940" s="137"/>
      <c r="Q940" s="137"/>
      <c r="R940" s="126"/>
    </row>
    <row r="941" spans="2:18" x14ac:dyDescent="0.3">
      <c r="B941" s="126"/>
      <c r="G941" s="137"/>
      <c r="H941" s="138"/>
      <c r="I941" s="138"/>
      <c r="J941" s="139"/>
      <c r="K941" s="137"/>
      <c r="L941" s="137"/>
      <c r="P941" s="137"/>
      <c r="Q941" s="137"/>
      <c r="R941" s="126"/>
    </row>
    <row r="942" spans="2:18" x14ac:dyDescent="0.3">
      <c r="B942" s="126"/>
      <c r="G942" s="137"/>
      <c r="H942" s="138"/>
      <c r="I942" s="138"/>
      <c r="J942" s="139"/>
      <c r="K942" s="137"/>
      <c r="L942" s="137"/>
      <c r="P942" s="137"/>
      <c r="Q942" s="137"/>
      <c r="R942" s="126"/>
    </row>
    <row r="943" spans="2:18" x14ac:dyDescent="0.3">
      <c r="B943" s="126"/>
      <c r="G943" s="137"/>
      <c r="H943" s="138"/>
      <c r="I943" s="138"/>
      <c r="J943" s="139"/>
      <c r="K943" s="137"/>
      <c r="L943" s="137"/>
      <c r="P943" s="137"/>
      <c r="Q943" s="137"/>
      <c r="R943" s="126"/>
    </row>
    <row r="944" spans="2:18" x14ac:dyDescent="0.3">
      <c r="B944" s="126"/>
      <c r="G944" s="137"/>
      <c r="H944" s="138"/>
      <c r="I944" s="138"/>
      <c r="J944" s="139"/>
      <c r="K944" s="137"/>
      <c r="L944" s="137"/>
      <c r="P944" s="137"/>
      <c r="Q944" s="137"/>
      <c r="R944" s="126"/>
    </row>
    <row r="945" spans="2:18" x14ac:dyDescent="0.3">
      <c r="B945" s="126"/>
      <c r="G945" s="137"/>
      <c r="H945" s="138"/>
      <c r="I945" s="138"/>
      <c r="J945" s="139"/>
      <c r="K945" s="137"/>
      <c r="L945" s="137"/>
      <c r="P945" s="137"/>
      <c r="Q945" s="137"/>
      <c r="R945" s="126"/>
    </row>
    <row r="946" spans="2:18" x14ac:dyDescent="0.3">
      <c r="B946" s="126"/>
      <c r="G946" s="137"/>
      <c r="H946" s="138"/>
      <c r="I946" s="138"/>
      <c r="J946" s="139"/>
      <c r="K946" s="137"/>
      <c r="L946" s="137"/>
      <c r="P946" s="137"/>
      <c r="Q946" s="137"/>
      <c r="R946" s="126"/>
    </row>
    <row r="947" spans="2:18" x14ac:dyDescent="0.3">
      <c r="B947" s="126"/>
      <c r="G947" s="137"/>
      <c r="H947" s="138"/>
      <c r="I947" s="138"/>
      <c r="J947" s="139"/>
      <c r="K947" s="137"/>
      <c r="L947" s="137"/>
      <c r="P947" s="137"/>
      <c r="Q947" s="137"/>
      <c r="R947" s="126"/>
    </row>
    <row r="948" spans="2:18" x14ac:dyDescent="0.3">
      <c r="B948" s="126"/>
      <c r="G948" s="137"/>
      <c r="H948" s="138"/>
      <c r="I948" s="138"/>
      <c r="J948" s="139"/>
      <c r="K948" s="137"/>
      <c r="L948" s="137"/>
      <c r="P948" s="137"/>
      <c r="Q948" s="137"/>
      <c r="R948" s="126"/>
    </row>
    <row r="949" spans="2:18" x14ac:dyDescent="0.3">
      <c r="B949" s="126"/>
      <c r="G949" s="137"/>
      <c r="H949" s="138"/>
      <c r="I949" s="138"/>
      <c r="J949" s="139"/>
      <c r="K949" s="137"/>
      <c r="L949" s="137"/>
      <c r="P949" s="137"/>
      <c r="Q949" s="137"/>
      <c r="R949" s="126"/>
    </row>
    <row r="950" spans="2:18" x14ac:dyDescent="0.3">
      <c r="B950" s="126"/>
      <c r="G950" s="137"/>
      <c r="H950" s="138"/>
      <c r="I950" s="138"/>
      <c r="J950" s="139"/>
      <c r="K950" s="137"/>
      <c r="L950" s="137"/>
      <c r="P950" s="137"/>
      <c r="Q950" s="137"/>
      <c r="R950" s="126"/>
    </row>
    <row r="951" spans="2:18" x14ac:dyDescent="0.3">
      <c r="B951" s="126"/>
      <c r="G951" s="137"/>
      <c r="H951" s="138"/>
      <c r="I951" s="138"/>
      <c r="J951" s="139"/>
      <c r="K951" s="137"/>
      <c r="L951" s="137"/>
      <c r="P951" s="137"/>
      <c r="Q951" s="137"/>
      <c r="R951" s="126"/>
    </row>
    <row r="952" spans="2:18" x14ac:dyDescent="0.3">
      <c r="B952" s="126"/>
      <c r="G952" s="137"/>
      <c r="H952" s="138"/>
      <c r="I952" s="138"/>
      <c r="J952" s="139"/>
      <c r="K952" s="137"/>
      <c r="L952" s="137"/>
      <c r="P952" s="137"/>
      <c r="Q952" s="137"/>
      <c r="R952" s="126"/>
    </row>
    <row r="953" spans="2:18" x14ac:dyDescent="0.3">
      <c r="B953" s="126"/>
      <c r="G953" s="137"/>
      <c r="H953" s="138"/>
      <c r="I953" s="138"/>
      <c r="J953" s="139"/>
      <c r="K953" s="137"/>
      <c r="L953" s="137"/>
      <c r="P953" s="137"/>
      <c r="Q953" s="137"/>
      <c r="R953" s="126"/>
    </row>
    <row r="954" spans="2:18" x14ac:dyDescent="0.3">
      <c r="B954" s="126"/>
      <c r="G954" s="137"/>
      <c r="H954" s="138"/>
      <c r="I954" s="138"/>
      <c r="J954" s="139"/>
      <c r="K954" s="137"/>
      <c r="L954" s="137"/>
      <c r="P954" s="137"/>
      <c r="Q954" s="137"/>
      <c r="R954" s="126"/>
    </row>
    <row r="955" spans="2:18" x14ac:dyDescent="0.3">
      <c r="B955" s="126"/>
      <c r="G955" s="137"/>
      <c r="H955" s="138"/>
      <c r="I955" s="138"/>
      <c r="J955" s="139"/>
      <c r="K955" s="137"/>
      <c r="L955" s="137"/>
      <c r="P955" s="137"/>
      <c r="Q955" s="137"/>
      <c r="R955" s="126"/>
    </row>
    <row r="956" spans="2:18" x14ac:dyDescent="0.3">
      <c r="B956" s="126"/>
      <c r="G956" s="137"/>
      <c r="H956" s="138"/>
      <c r="I956" s="138"/>
      <c r="J956" s="139"/>
      <c r="K956" s="137"/>
      <c r="L956" s="137"/>
      <c r="P956" s="137"/>
      <c r="Q956" s="137"/>
      <c r="R956" s="126"/>
    </row>
    <row r="957" spans="2:18" x14ac:dyDescent="0.3">
      <c r="B957" s="126"/>
      <c r="G957" s="137"/>
      <c r="H957" s="138"/>
      <c r="I957" s="138"/>
      <c r="J957" s="139"/>
      <c r="K957" s="137"/>
      <c r="L957" s="137"/>
      <c r="P957" s="137"/>
      <c r="Q957" s="137"/>
      <c r="R957" s="126"/>
    </row>
    <row r="958" spans="2:18" x14ac:dyDescent="0.3">
      <c r="B958" s="126"/>
      <c r="G958" s="137"/>
      <c r="H958" s="138"/>
      <c r="I958" s="138"/>
      <c r="J958" s="139"/>
      <c r="K958" s="137"/>
      <c r="L958" s="137"/>
      <c r="P958" s="137"/>
      <c r="Q958" s="137"/>
      <c r="R958" s="126"/>
    </row>
    <row r="959" spans="2:18" x14ac:dyDescent="0.3">
      <c r="B959" s="126"/>
      <c r="G959" s="137"/>
      <c r="H959" s="138"/>
      <c r="I959" s="138"/>
      <c r="J959" s="139"/>
      <c r="K959" s="137"/>
      <c r="L959" s="137"/>
      <c r="P959" s="137"/>
      <c r="Q959" s="137"/>
      <c r="R959" s="126"/>
    </row>
    <row r="960" spans="2:18" x14ac:dyDescent="0.3">
      <c r="B960" s="126"/>
      <c r="G960" s="137"/>
      <c r="H960" s="138"/>
      <c r="I960" s="138"/>
      <c r="J960" s="139"/>
      <c r="K960" s="137"/>
      <c r="L960" s="137"/>
      <c r="P960" s="137"/>
      <c r="Q960" s="137"/>
      <c r="R960" s="126"/>
    </row>
    <row r="961" spans="2:18" x14ac:dyDescent="0.3">
      <c r="B961" s="126"/>
      <c r="G961" s="137"/>
      <c r="H961" s="138"/>
      <c r="I961" s="138"/>
      <c r="J961" s="139"/>
      <c r="K961" s="137"/>
      <c r="L961" s="137"/>
      <c r="P961" s="137"/>
      <c r="Q961" s="137"/>
      <c r="R961" s="126"/>
    </row>
    <row r="962" spans="2:18" x14ac:dyDescent="0.3">
      <c r="B962" s="126"/>
      <c r="G962" s="137"/>
      <c r="H962" s="138"/>
      <c r="I962" s="138"/>
      <c r="J962" s="139"/>
      <c r="K962" s="137"/>
      <c r="L962" s="137"/>
      <c r="P962" s="137"/>
      <c r="Q962" s="137"/>
      <c r="R962" s="126"/>
    </row>
    <row r="963" spans="2:18" x14ac:dyDescent="0.3">
      <c r="B963" s="126"/>
      <c r="G963" s="137"/>
      <c r="H963" s="138"/>
      <c r="I963" s="138"/>
      <c r="J963" s="139"/>
      <c r="K963" s="137"/>
      <c r="L963" s="137"/>
      <c r="P963" s="137"/>
      <c r="Q963" s="137"/>
      <c r="R963" s="126"/>
    </row>
    <row r="964" spans="2:18" x14ac:dyDescent="0.3">
      <c r="B964" s="126"/>
      <c r="G964" s="137"/>
      <c r="H964" s="138"/>
      <c r="I964" s="138"/>
      <c r="J964" s="139"/>
      <c r="K964" s="137"/>
      <c r="L964" s="137"/>
      <c r="P964" s="137"/>
      <c r="Q964" s="137"/>
      <c r="R964" s="126"/>
    </row>
    <row r="965" spans="2:18" x14ac:dyDescent="0.3">
      <c r="B965" s="126"/>
      <c r="G965" s="137"/>
      <c r="H965" s="138"/>
      <c r="I965" s="138"/>
      <c r="J965" s="139"/>
      <c r="K965" s="137"/>
      <c r="L965" s="137"/>
      <c r="P965" s="137"/>
      <c r="Q965" s="137"/>
      <c r="R965" s="126"/>
    </row>
    <row r="966" spans="2:18" x14ac:dyDescent="0.3">
      <c r="B966" s="126"/>
      <c r="G966" s="137"/>
      <c r="H966" s="138"/>
      <c r="I966" s="138"/>
      <c r="J966" s="139"/>
      <c r="K966" s="137"/>
      <c r="L966" s="137"/>
      <c r="P966" s="137"/>
      <c r="Q966" s="137"/>
      <c r="R966" s="126"/>
    </row>
    <row r="967" spans="2:18" x14ac:dyDescent="0.3">
      <c r="B967" s="126"/>
      <c r="G967" s="137"/>
      <c r="H967" s="138"/>
      <c r="I967" s="138"/>
      <c r="J967" s="139"/>
      <c r="K967" s="137"/>
      <c r="L967" s="137"/>
      <c r="P967" s="137"/>
      <c r="Q967" s="137"/>
      <c r="R967" s="126"/>
    </row>
    <row r="968" spans="2:18" x14ac:dyDescent="0.3">
      <c r="B968" s="126"/>
      <c r="G968" s="137"/>
      <c r="H968" s="138"/>
      <c r="I968" s="138"/>
      <c r="J968" s="139"/>
      <c r="K968" s="137"/>
      <c r="L968" s="137"/>
      <c r="P968" s="137"/>
      <c r="Q968" s="137"/>
      <c r="R968" s="126"/>
    </row>
    <row r="969" spans="2:18" x14ac:dyDescent="0.3">
      <c r="B969" s="126"/>
      <c r="G969" s="137"/>
      <c r="H969" s="138"/>
      <c r="I969" s="138"/>
      <c r="J969" s="139"/>
      <c r="K969" s="137"/>
      <c r="L969" s="137"/>
      <c r="P969" s="137"/>
      <c r="Q969" s="137"/>
      <c r="R969" s="126"/>
    </row>
    <row r="970" spans="2:18" x14ac:dyDescent="0.3">
      <c r="B970" s="126"/>
      <c r="G970" s="137"/>
      <c r="H970" s="138"/>
      <c r="I970" s="138"/>
      <c r="J970" s="139"/>
      <c r="K970" s="137"/>
      <c r="L970" s="137"/>
      <c r="P970" s="137"/>
      <c r="Q970" s="137"/>
      <c r="R970" s="126"/>
    </row>
    <row r="971" spans="2:18" x14ac:dyDescent="0.3">
      <c r="B971" s="126"/>
      <c r="G971" s="137"/>
      <c r="H971" s="138"/>
      <c r="I971" s="138"/>
      <c r="J971" s="139"/>
      <c r="K971" s="137"/>
      <c r="L971" s="137"/>
      <c r="P971" s="137"/>
      <c r="Q971" s="137"/>
      <c r="R971" s="126"/>
    </row>
    <row r="972" spans="2:18" x14ac:dyDescent="0.3">
      <c r="B972" s="126"/>
      <c r="G972" s="137"/>
      <c r="H972" s="138"/>
      <c r="I972" s="138"/>
      <c r="J972" s="139"/>
      <c r="K972" s="137"/>
      <c r="L972" s="137"/>
      <c r="P972" s="137"/>
      <c r="Q972" s="137"/>
      <c r="R972" s="126"/>
    </row>
    <row r="973" spans="2:18" x14ac:dyDescent="0.3">
      <c r="B973" s="126"/>
      <c r="G973" s="137"/>
      <c r="H973" s="138"/>
      <c r="I973" s="138"/>
      <c r="J973" s="139"/>
      <c r="K973" s="137"/>
      <c r="L973" s="137"/>
      <c r="P973" s="137"/>
      <c r="Q973" s="137"/>
      <c r="R973" s="126"/>
    </row>
    <row r="974" spans="2:18" x14ac:dyDescent="0.3">
      <c r="B974" s="126"/>
      <c r="G974" s="137"/>
      <c r="H974" s="138"/>
      <c r="I974" s="138"/>
      <c r="J974" s="139"/>
      <c r="K974" s="137"/>
      <c r="L974" s="137"/>
      <c r="P974" s="137"/>
      <c r="Q974" s="137"/>
      <c r="R974" s="126"/>
    </row>
    <row r="975" spans="2:18" x14ac:dyDescent="0.3">
      <c r="B975" s="126"/>
      <c r="G975" s="137"/>
      <c r="H975" s="138"/>
      <c r="I975" s="138"/>
      <c r="J975" s="139"/>
      <c r="K975" s="137"/>
      <c r="L975" s="137"/>
      <c r="P975" s="137"/>
      <c r="Q975" s="137"/>
      <c r="R975" s="126"/>
    </row>
    <row r="976" spans="2:18" x14ac:dyDescent="0.3">
      <c r="B976" s="126"/>
      <c r="G976" s="137"/>
      <c r="H976" s="138"/>
      <c r="I976" s="138"/>
      <c r="J976" s="139"/>
      <c r="K976" s="137"/>
      <c r="L976" s="137"/>
      <c r="P976" s="137"/>
      <c r="Q976" s="137"/>
      <c r="R976" s="126"/>
    </row>
    <row r="977" spans="2:18" x14ac:dyDescent="0.3">
      <c r="B977" s="126"/>
      <c r="G977" s="137"/>
      <c r="H977" s="138"/>
      <c r="I977" s="138"/>
      <c r="J977" s="139"/>
      <c r="K977" s="137"/>
      <c r="L977" s="137"/>
      <c r="P977" s="137"/>
      <c r="Q977" s="137"/>
      <c r="R977" s="126"/>
    </row>
    <row r="978" spans="2:18" x14ac:dyDescent="0.3">
      <c r="B978" s="126"/>
      <c r="G978" s="137"/>
      <c r="H978" s="138"/>
      <c r="I978" s="138"/>
      <c r="J978" s="139"/>
      <c r="K978" s="137"/>
      <c r="L978" s="137"/>
      <c r="P978" s="137"/>
      <c r="Q978" s="137"/>
      <c r="R978" s="126"/>
    </row>
    <row r="979" spans="2:18" x14ac:dyDescent="0.3">
      <c r="B979" s="126"/>
      <c r="G979" s="137"/>
      <c r="H979" s="138"/>
      <c r="I979" s="138"/>
      <c r="J979" s="139"/>
      <c r="K979" s="137"/>
      <c r="L979" s="137"/>
      <c r="P979" s="137"/>
      <c r="Q979" s="137"/>
      <c r="R979" s="126"/>
    </row>
    <row r="980" spans="2:18" x14ac:dyDescent="0.3">
      <c r="B980" s="126"/>
      <c r="G980" s="137"/>
      <c r="H980" s="138"/>
      <c r="I980" s="138"/>
      <c r="J980" s="139"/>
      <c r="K980" s="137"/>
      <c r="L980" s="137"/>
      <c r="P980" s="137"/>
      <c r="Q980" s="137"/>
      <c r="R980" s="126"/>
    </row>
    <row r="981" spans="2:18" x14ac:dyDescent="0.3">
      <c r="B981" s="126"/>
      <c r="G981" s="137"/>
      <c r="H981" s="138"/>
      <c r="I981" s="138"/>
      <c r="J981" s="139"/>
      <c r="K981" s="137"/>
      <c r="L981" s="137"/>
      <c r="P981" s="137"/>
      <c r="Q981" s="137"/>
      <c r="R981" s="126"/>
    </row>
    <row r="982" spans="2:18" x14ac:dyDescent="0.3">
      <c r="B982" s="126"/>
      <c r="G982" s="137"/>
      <c r="H982" s="138"/>
      <c r="I982" s="138"/>
      <c r="J982" s="139"/>
      <c r="K982" s="137"/>
      <c r="L982" s="137"/>
      <c r="P982" s="137"/>
      <c r="Q982" s="137"/>
      <c r="R982" s="126"/>
    </row>
    <row r="983" spans="2:18" x14ac:dyDescent="0.3">
      <c r="B983" s="126"/>
      <c r="G983" s="137"/>
      <c r="H983" s="138"/>
      <c r="I983" s="138"/>
      <c r="J983" s="139"/>
      <c r="K983" s="137"/>
      <c r="L983" s="137"/>
      <c r="P983" s="137"/>
      <c r="Q983" s="137"/>
      <c r="R983" s="126"/>
    </row>
    <row r="984" spans="2:18" x14ac:dyDescent="0.3">
      <c r="B984" s="126"/>
      <c r="G984" s="137"/>
      <c r="H984" s="138"/>
      <c r="I984" s="138"/>
      <c r="J984" s="139"/>
      <c r="K984" s="137"/>
      <c r="L984" s="137"/>
      <c r="P984" s="137"/>
      <c r="Q984" s="137"/>
      <c r="R984" s="126"/>
    </row>
    <row r="985" spans="2:18" x14ac:dyDescent="0.3">
      <c r="B985" s="126"/>
      <c r="G985" s="137"/>
      <c r="H985" s="138"/>
      <c r="I985" s="138"/>
      <c r="J985" s="139"/>
      <c r="K985" s="137"/>
      <c r="L985" s="137"/>
      <c r="P985" s="137"/>
      <c r="Q985" s="137"/>
      <c r="R985" s="126"/>
    </row>
    <row r="986" spans="2:18" x14ac:dyDescent="0.3">
      <c r="B986" s="126"/>
      <c r="G986" s="137"/>
      <c r="H986" s="138"/>
      <c r="I986" s="138"/>
      <c r="J986" s="139"/>
      <c r="K986" s="137"/>
      <c r="L986" s="137"/>
      <c r="P986" s="137"/>
      <c r="Q986" s="137"/>
      <c r="R986" s="126"/>
    </row>
    <row r="987" spans="2:18" x14ac:dyDescent="0.3">
      <c r="B987" s="126"/>
      <c r="G987" s="137"/>
      <c r="H987" s="138"/>
      <c r="I987" s="138"/>
      <c r="J987" s="139"/>
      <c r="K987" s="137"/>
      <c r="L987" s="137"/>
      <c r="P987" s="137"/>
      <c r="Q987" s="137"/>
      <c r="R987" s="126"/>
    </row>
    <row r="988" spans="2:18" x14ac:dyDescent="0.3">
      <c r="B988" s="126"/>
      <c r="G988" s="137"/>
      <c r="H988" s="138"/>
      <c r="I988" s="138"/>
      <c r="J988" s="139"/>
      <c r="K988" s="137"/>
      <c r="L988" s="137"/>
      <c r="P988" s="137"/>
      <c r="Q988" s="137"/>
      <c r="R988" s="126"/>
    </row>
    <row r="989" spans="2:18" x14ac:dyDescent="0.3">
      <c r="B989" s="126"/>
      <c r="G989" s="137"/>
      <c r="H989" s="138"/>
      <c r="I989" s="138"/>
      <c r="J989" s="139"/>
      <c r="K989" s="137"/>
      <c r="L989" s="137"/>
      <c r="P989" s="137"/>
      <c r="Q989" s="137"/>
      <c r="R989" s="126"/>
    </row>
    <row r="990" spans="2:18" x14ac:dyDescent="0.3">
      <c r="B990" s="126"/>
      <c r="G990" s="137"/>
      <c r="H990" s="138"/>
      <c r="I990" s="138"/>
      <c r="J990" s="139"/>
      <c r="K990" s="137"/>
      <c r="L990" s="137"/>
      <c r="P990" s="137"/>
      <c r="Q990" s="137"/>
      <c r="R990" s="126"/>
    </row>
    <row r="991" spans="2:18" x14ac:dyDescent="0.3">
      <c r="B991" s="126"/>
      <c r="G991" s="137"/>
      <c r="H991" s="138"/>
      <c r="I991" s="138"/>
      <c r="J991" s="139"/>
      <c r="K991" s="137"/>
      <c r="L991" s="137"/>
      <c r="P991" s="137"/>
      <c r="Q991" s="137"/>
      <c r="R991" s="126"/>
    </row>
    <row r="992" spans="2:18" x14ac:dyDescent="0.3">
      <c r="B992" s="126"/>
      <c r="G992" s="137"/>
      <c r="H992" s="138"/>
      <c r="I992" s="138"/>
      <c r="J992" s="139"/>
      <c r="K992" s="137"/>
      <c r="L992" s="137"/>
      <c r="P992" s="137"/>
      <c r="Q992" s="137"/>
      <c r="R992" s="126"/>
    </row>
    <row r="993" spans="2:18" x14ac:dyDescent="0.3">
      <c r="B993" s="126"/>
      <c r="G993" s="137"/>
      <c r="H993" s="138"/>
      <c r="I993" s="138"/>
      <c r="J993" s="139"/>
      <c r="K993" s="137"/>
      <c r="L993" s="137"/>
      <c r="P993" s="137"/>
      <c r="Q993" s="137"/>
      <c r="R993" s="126"/>
    </row>
    <row r="994" spans="2:18" x14ac:dyDescent="0.3">
      <c r="B994" s="126"/>
      <c r="G994" s="137"/>
      <c r="H994" s="138"/>
      <c r="I994" s="138"/>
      <c r="J994" s="139"/>
      <c r="K994" s="137"/>
      <c r="L994" s="137"/>
      <c r="P994" s="137"/>
      <c r="Q994" s="137"/>
      <c r="R994" s="126"/>
    </row>
    <row r="995" spans="2:18" x14ac:dyDescent="0.3">
      <c r="B995" s="126"/>
      <c r="G995" s="137"/>
      <c r="H995" s="138"/>
      <c r="I995" s="138"/>
      <c r="J995" s="139"/>
      <c r="K995" s="137"/>
      <c r="L995" s="137"/>
      <c r="P995" s="137"/>
      <c r="Q995" s="137"/>
      <c r="R995" s="126"/>
    </row>
    <row r="996" spans="2:18" x14ac:dyDescent="0.3">
      <c r="B996" s="126"/>
      <c r="G996" s="137"/>
      <c r="H996" s="138"/>
      <c r="I996" s="138"/>
      <c r="J996" s="139"/>
      <c r="K996" s="137"/>
      <c r="L996" s="137"/>
      <c r="P996" s="137"/>
      <c r="Q996" s="137"/>
      <c r="R996" s="126"/>
    </row>
    <row r="997" spans="2:18" x14ac:dyDescent="0.3">
      <c r="B997" s="126"/>
      <c r="G997" s="137"/>
      <c r="H997" s="138"/>
      <c r="I997" s="138"/>
      <c r="J997" s="139"/>
      <c r="K997" s="137"/>
      <c r="L997" s="137"/>
      <c r="P997" s="137"/>
      <c r="Q997" s="137"/>
      <c r="R997" s="126"/>
    </row>
    <row r="998" spans="2:18" x14ac:dyDescent="0.3">
      <c r="B998" s="126"/>
      <c r="G998" s="137"/>
      <c r="H998" s="138"/>
      <c r="I998" s="138"/>
      <c r="J998" s="139"/>
      <c r="K998" s="137"/>
      <c r="L998" s="137"/>
      <c r="P998" s="137"/>
      <c r="Q998" s="137"/>
      <c r="R998" s="126"/>
    </row>
    <row r="999" spans="2:18" x14ac:dyDescent="0.3">
      <c r="B999" s="126"/>
      <c r="G999" s="137"/>
      <c r="H999" s="138"/>
      <c r="I999" s="138"/>
      <c r="J999" s="139"/>
      <c r="K999" s="137"/>
      <c r="L999" s="137"/>
      <c r="P999" s="137"/>
      <c r="Q999" s="137"/>
      <c r="R999" s="126"/>
    </row>
    <row r="1000" spans="2:18" x14ac:dyDescent="0.3">
      <c r="B1000" s="126"/>
      <c r="G1000" s="137"/>
      <c r="H1000" s="138"/>
      <c r="I1000" s="138"/>
      <c r="J1000" s="139"/>
      <c r="K1000" s="137"/>
      <c r="L1000" s="137"/>
      <c r="P1000" s="137"/>
      <c r="Q1000" s="137"/>
      <c r="R1000" s="126"/>
    </row>
    <row r="1001" spans="2:18" x14ac:dyDescent="0.3">
      <c r="B1001" s="126"/>
      <c r="G1001" s="137"/>
      <c r="H1001" s="138"/>
      <c r="I1001" s="138"/>
      <c r="J1001" s="139"/>
      <c r="K1001" s="137"/>
      <c r="L1001" s="137"/>
      <c r="P1001" s="137"/>
      <c r="Q1001" s="137"/>
      <c r="R1001" s="126"/>
    </row>
    <row r="1002" spans="2:18" x14ac:dyDescent="0.3">
      <c r="B1002" s="126"/>
      <c r="G1002" s="137"/>
      <c r="H1002" s="138"/>
      <c r="I1002" s="138"/>
      <c r="J1002" s="139"/>
      <c r="K1002" s="137"/>
      <c r="L1002" s="137"/>
      <c r="P1002" s="137"/>
      <c r="Q1002" s="137"/>
      <c r="R1002" s="126"/>
    </row>
    <row r="1003" spans="2:18" x14ac:dyDescent="0.3">
      <c r="B1003" s="126"/>
      <c r="G1003" s="137"/>
      <c r="H1003" s="138"/>
      <c r="I1003" s="138"/>
      <c r="J1003" s="139"/>
      <c r="K1003" s="137"/>
      <c r="L1003" s="137"/>
      <c r="P1003" s="137"/>
      <c r="Q1003" s="137"/>
      <c r="R1003" s="126"/>
    </row>
    <row r="1004" spans="2:18" x14ac:dyDescent="0.3">
      <c r="B1004" s="126"/>
      <c r="G1004" s="137"/>
      <c r="H1004" s="138"/>
      <c r="I1004" s="138"/>
      <c r="J1004" s="139"/>
      <c r="K1004" s="137"/>
      <c r="L1004" s="137"/>
      <c r="P1004" s="137"/>
      <c r="Q1004" s="137"/>
      <c r="R1004" s="126"/>
    </row>
    <row r="1005" spans="2:18" x14ac:dyDescent="0.3">
      <c r="B1005" s="126"/>
      <c r="G1005" s="137"/>
      <c r="H1005" s="138"/>
      <c r="I1005" s="138"/>
      <c r="J1005" s="139"/>
      <c r="K1005" s="137"/>
      <c r="L1005" s="137"/>
      <c r="P1005" s="137"/>
      <c r="Q1005" s="137"/>
      <c r="R1005" s="126"/>
    </row>
    <row r="1006" spans="2:18" x14ac:dyDescent="0.3">
      <c r="B1006" s="126"/>
      <c r="G1006" s="137"/>
      <c r="H1006" s="138"/>
      <c r="I1006" s="138"/>
      <c r="J1006" s="139"/>
      <c r="K1006" s="137"/>
      <c r="L1006" s="137"/>
      <c r="P1006" s="137"/>
      <c r="Q1006" s="137"/>
      <c r="R1006" s="126"/>
    </row>
    <row r="1007" spans="2:18" x14ac:dyDescent="0.3">
      <c r="B1007" s="126"/>
      <c r="G1007" s="137"/>
      <c r="H1007" s="138"/>
      <c r="I1007" s="138"/>
      <c r="J1007" s="139"/>
      <c r="K1007" s="137"/>
      <c r="L1007" s="137"/>
      <c r="P1007" s="137"/>
      <c r="Q1007" s="137"/>
      <c r="R1007" s="126"/>
    </row>
    <row r="1008" spans="2:18" x14ac:dyDescent="0.3">
      <c r="B1008" s="126"/>
      <c r="G1008" s="137"/>
      <c r="H1008" s="138"/>
      <c r="I1008" s="138"/>
      <c r="J1008" s="139"/>
      <c r="K1008" s="137"/>
      <c r="L1008" s="137"/>
      <c r="P1008" s="137"/>
      <c r="Q1008" s="137"/>
      <c r="R1008" s="126"/>
    </row>
    <row r="1009" spans="2:18" x14ac:dyDescent="0.3">
      <c r="B1009" s="126"/>
      <c r="G1009" s="137"/>
      <c r="H1009" s="138"/>
      <c r="I1009" s="138"/>
      <c r="J1009" s="139"/>
      <c r="K1009" s="137"/>
      <c r="L1009" s="137"/>
      <c r="P1009" s="137"/>
      <c r="Q1009" s="137"/>
      <c r="R1009" s="126"/>
    </row>
    <row r="1010" spans="2:18" x14ac:dyDescent="0.3">
      <c r="B1010" s="126"/>
      <c r="G1010" s="137"/>
      <c r="H1010" s="138"/>
      <c r="I1010" s="138"/>
      <c r="J1010" s="139"/>
      <c r="K1010" s="137"/>
      <c r="L1010" s="137"/>
      <c r="P1010" s="137"/>
      <c r="Q1010" s="137"/>
      <c r="R1010" s="126"/>
    </row>
    <row r="1011" spans="2:18" x14ac:dyDescent="0.3">
      <c r="B1011" s="126"/>
      <c r="G1011" s="137"/>
      <c r="H1011" s="138"/>
      <c r="I1011" s="138"/>
      <c r="J1011" s="139"/>
      <c r="K1011" s="137"/>
      <c r="L1011" s="137"/>
      <c r="P1011" s="137"/>
      <c r="Q1011" s="137"/>
      <c r="R1011" s="126"/>
    </row>
    <row r="1012" spans="2:18" x14ac:dyDescent="0.3">
      <c r="B1012" s="126"/>
      <c r="G1012" s="137"/>
      <c r="H1012" s="138"/>
      <c r="I1012" s="138"/>
      <c r="J1012" s="139"/>
      <c r="K1012" s="137"/>
      <c r="L1012" s="137"/>
      <c r="P1012" s="137"/>
      <c r="Q1012" s="137"/>
      <c r="R1012" s="126"/>
    </row>
    <row r="1013" spans="2:18" x14ac:dyDescent="0.3">
      <c r="B1013" s="126"/>
      <c r="G1013" s="137"/>
      <c r="H1013" s="138"/>
      <c r="I1013" s="138"/>
      <c r="J1013" s="139"/>
      <c r="K1013" s="137"/>
      <c r="L1013" s="137"/>
      <c r="P1013" s="137"/>
      <c r="Q1013" s="137"/>
      <c r="R1013" s="126"/>
    </row>
    <row r="1014" spans="2:18" x14ac:dyDescent="0.3">
      <c r="B1014" s="126"/>
      <c r="G1014" s="137"/>
      <c r="H1014" s="138"/>
      <c r="I1014" s="138"/>
      <c r="J1014" s="139"/>
      <c r="K1014" s="137"/>
      <c r="L1014" s="137"/>
      <c r="P1014" s="137"/>
      <c r="Q1014" s="137"/>
      <c r="R1014" s="126"/>
    </row>
    <row r="1015" spans="2:18" x14ac:dyDescent="0.3">
      <c r="B1015" s="126"/>
      <c r="G1015" s="137"/>
      <c r="H1015" s="138"/>
      <c r="I1015" s="138"/>
      <c r="J1015" s="139"/>
      <c r="K1015" s="137"/>
      <c r="L1015" s="137"/>
      <c r="P1015" s="137"/>
      <c r="Q1015" s="137"/>
      <c r="R1015" s="126"/>
    </row>
    <row r="1016" spans="2:18" x14ac:dyDescent="0.3">
      <c r="B1016" s="126"/>
      <c r="G1016" s="137"/>
      <c r="H1016" s="138"/>
      <c r="I1016" s="138"/>
      <c r="J1016" s="139"/>
      <c r="K1016" s="137"/>
      <c r="L1016" s="137"/>
      <c r="P1016" s="137"/>
      <c r="Q1016" s="137"/>
      <c r="R1016" s="126"/>
    </row>
    <row r="1017" spans="2:18" x14ac:dyDescent="0.3">
      <c r="B1017" s="126"/>
      <c r="G1017" s="137"/>
      <c r="H1017" s="138"/>
      <c r="I1017" s="138"/>
      <c r="J1017" s="139"/>
      <c r="K1017" s="137"/>
      <c r="L1017" s="137"/>
      <c r="P1017" s="137"/>
      <c r="Q1017" s="137"/>
      <c r="R1017" s="126"/>
    </row>
    <row r="1018" spans="2:18" x14ac:dyDescent="0.3">
      <c r="B1018" s="126"/>
      <c r="G1018" s="137"/>
      <c r="H1018" s="138"/>
      <c r="I1018" s="138"/>
      <c r="J1018" s="139"/>
      <c r="K1018" s="137"/>
      <c r="L1018" s="137"/>
      <c r="P1018" s="137"/>
      <c r="Q1018" s="137"/>
      <c r="R1018" s="126"/>
    </row>
    <row r="1019" spans="2:18" x14ac:dyDescent="0.3">
      <c r="B1019" s="126"/>
      <c r="G1019" s="137"/>
      <c r="H1019" s="138"/>
      <c r="I1019" s="138"/>
      <c r="J1019" s="139"/>
      <c r="K1019" s="137"/>
      <c r="L1019" s="137"/>
      <c r="P1019" s="137"/>
      <c r="Q1019" s="137"/>
      <c r="R1019" s="126"/>
    </row>
    <row r="1020" spans="2:18" x14ac:dyDescent="0.3">
      <c r="B1020" s="126"/>
      <c r="G1020" s="137"/>
      <c r="H1020" s="138"/>
      <c r="I1020" s="138"/>
      <c r="J1020" s="139"/>
      <c r="K1020" s="137"/>
      <c r="L1020" s="137"/>
      <c r="P1020" s="137"/>
      <c r="Q1020" s="137"/>
      <c r="R1020" s="126"/>
    </row>
    <row r="1021" spans="2:18" x14ac:dyDescent="0.3">
      <c r="B1021" s="126"/>
      <c r="G1021" s="137"/>
      <c r="H1021" s="138"/>
      <c r="I1021" s="138"/>
      <c r="J1021" s="139"/>
      <c r="K1021" s="137"/>
      <c r="L1021" s="137"/>
      <c r="P1021" s="137"/>
      <c r="Q1021" s="137"/>
      <c r="R1021" s="126"/>
    </row>
    <row r="1022" spans="2:18" x14ac:dyDescent="0.3">
      <c r="B1022" s="126"/>
      <c r="G1022" s="137"/>
      <c r="H1022" s="138"/>
      <c r="I1022" s="138"/>
      <c r="J1022" s="139"/>
      <c r="K1022" s="137"/>
      <c r="L1022" s="137"/>
      <c r="P1022" s="137"/>
      <c r="Q1022" s="137"/>
      <c r="R1022" s="126"/>
    </row>
    <row r="1023" spans="2:18" x14ac:dyDescent="0.3">
      <c r="B1023" s="126"/>
      <c r="G1023" s="137"/>
      <c r="H1023" s="138"/>
      <c r="I1023" s="138"/>
      <c r="J1023" s="139"/>
      <c r="K1023" s="137"/>
      <c r="L1023" s="137"/>
      <c r="P1023" s="137"/>
      <c r="Q1023" s="137"/>
      <c r="R1023" s="126"/>
    </row>
    <row r="1024" spans="2:18" x14ac:dyDescent="0.3">
      <c r="B1024" s="126"/>
      <c r="G1024" s="137"/>
      <c r="H1024" s="138"/>
      <c r="I1024" s="138"/>
      <c r="J1024" s="139"/>
      <c r="K1024" s="137"/>
      <c r="L1024" s="137"/>
      <c r="P1024" s="137"/>
      <c r="Q1024" s="137"/>
      <c r="R1024" s="126"/>
    </row>
    <row r="1025" spans="2:18" x14ac:dyDescent="0.3">
      <c r="B1025" s="126"/>
      <c r="G1025" s="137"/>
      <c r="H1025" s="138"/>
      <c r="I1025" s="138"/>
      <c r="J1025" s="139"/>
      <c r="K1025" s="137"/>
      <c r="L1025" s="137"/>
      <c r="P1025" s="137"/>
      <c r="Q1025" s="137"/>
      <c r="R1025" s="126"/>
    </row>
    <row r="1026" spans="2:18" x14ac:dyDescent="0.3">
      <c r="B1026" s="126"/>
      <c r="G1026" s="137"/>
      <c r="H1026" s="138"/>
      <c r="I1026" s="138"/>
      <c r="J1026" s="139"/>
      <c r="K1026" s="137"/>
      <c r="L1026" s="137"/>
      <c r="P1026" s="137"/>
      <c r="Q1026" s="137"/>
      <c r="R1026" s="126"/>
    </row>
    <row r="1027" spans="2:18" x14ac:dyDescent="0.3">
      <c r="B1027" s="126"/>
      <c r="G1027" s="137"/>
      <c r="H1027" s="138"/>
      <c r="I1027" s="138"/>
      <c r="J1027" s="139"/>
      <c r="K1027" s="137"/>
      <c r="L1027" s="137"/>
      <c r="P1027" s="137"/>
      <c r="Q1027" s="137"/>
      <c r="R1027" s="126"/>
    </row>
    <row r="1028" spans="2:18" x14ac:dyDescent="0.3">
      <c r="B1028" s="126"/>
      <c r="G1028" s="137"/>
      <c r="H1028" s="138"/>
      <c r="I1028" s="138"/>
      <c r="J1028" s="139"/>
      <c r="K1028" s="137"/>
      <c r="L1028" s="137"/>
      <c r="P1028" s="137"/>
      <c r="Q1028" s="137"/>
      <c r="R1028" s="126"/>
    </row>
    <row r="1029" spans="2:18" x14ac:dyDescent="0.3">
      <c r="B1029" s="126"/>
      <c r="G1029" s="137"/>
      <c r="H1029" s="138"/>
      <c r="I1029" s="138"/>
      <c r="J1029" s="139"/>
      <c r="K1029" s="137"/>
      <c r="L1029" s="137"/>
      <c r="P1029" s="137"/>
      <c r="Q1029" s="137"/>
      <c r="R1029" s="126"/>
    </row>
    <row r="1030" spans="2:18" x14ac:dyDescent="0.3">
      <c r="B1030" s="126"/>
      <c r="G1030" s="137"/>
      <c r="H1030" s="138"/>
      <c r="I1030" s="138"/>
      <c r="J1030" s="139"/>
      <c r="K1030" s="137"/>
      <c r="L1030" s="137"/>
      <c r="P1030" s="137"/>
      <c r="Q1030" s="137"/>
      <c r="R1030" s="126"/>
    </row>
    <row r="1031" spans="2:18" x14ac:dyDescent="0.3">
      <c r="B1031" s="126"/>
      <c r="G1031" s="137"/>
      <c r="H1031" s="138"/>
      <c r="I1031" s="138"/>
      <c r="J1031" s="139"/>
      <c r="K1031" s="137"/>
      <c r="L1031" s="137"/>
      <c r="P1031" s="137"/>
      <c r="Q1031" s="137"/>
      <c r="R1031" s="126"/>
    </row>
    <row r="1032" spans="2:18" x14ac:dyDescent="0.3">
      <c r="B1032" s="126"/>
      <c r="G1032" s="137"/>
      <c r="H1032" s="138"/>
      <c r="I1032" s="138"/>
      <c r="J1032" s="139"/>
      <c r="K1032" s="137"/>
      <c r="L1032" s="137"/>
      <c r="P1032" s="137"/>
      <c r="Q1032" s="137"/>
      <c r="R1032" s="126"/>
    </row>
    <row r="1033" spans="2:18" x14ac:dyDescent="0.3">
      <c r="B1033" s="126"/>
      <c r="G1033" s="137"/>
      <c r="H1033" s="138"/>
      <c r="I1033" s="138"/>
      <c r="J1033" s="139"/>
      <c r="K1033" s="137"/>
      <c r="L1033" s="137"/>
      <c r="P1033" s="137"/>
      <c r="Q1033" s="137"/>
      <c r="R1033" s="126"/>
    </row>
    <row r="1034" spans="2:18" x14ac:dyDescent="0.3">
      <c r="B1034" s="126"/>
      <c r="G1034" s="137"/>
      <c r="H1034" s="138"/>
      <c r="I1034" s="138"/>
      <c r="J1034" s="139"/>
      <c r="K1034" s="137"/>
      <c r="L1034" s="137"/>
      <c r="P1034" s="137"/>
      <c r="Q1034" s="137"/>
      <c r="R1034" s="126"/>
    </row>
    <row r="1035" spans="2:18" x14ac:dyDescent="0.3">
      <c r="B1035" s="126"/>
      <c r="G1035" s="137"/>
      <c r="H1035" s="138"/>
      <c r="I1035" s="138"/>
      <c r="J1035" s="139"/>
      <c r="K1035" s="137"/>
      <c r="L1035" s="137"/>
      <c r="P1035" s="137"/>
      <c r="Q1035" s="137"/>
      <c r="R1035" s="126"/>
    </row>
    <row r="1036" spans="2:18" x14ac:dyDescent="0.3">
      <c r="B1036" s="126"/>
      <c r="G1036" s="137"/>
      <c r="H1036" s="138"/>
      <c r="I1036" s="138"/>
      <c r="J1036" s="139"/>
      <c r="K1036" s="137"/>
      <c r="L1036" s="137"/>
      <c r="P1036" s="137"/>
      <c r="Q1036" s="137"/>
      <c r="R1036" s="126"/>
    </row>
    <row r="1037" spans="2:18" x14ac:dyDescent="0.3">
      <c r="B1037" s="126"/>
      <c r="G1037" s="137"/>
      <c r="H1037" s="138"/>
      <c r="I1037" s="138"/>
      <c r="J1037" s="139"/>
      <c r="K1037" s="137"/>
      <c r="L1037" s="137"/>
      <c r="P1037" s="137"/>
      <c r="Q1037" s="137"/>
      <c r="R1037" s="126"/>
    </row>
    <row r="1038" spans="2:18" x14ac:dyDescent="0.3">
      <c r="B1038" s="126"/>
      <c r="G1038" s="137"/>
      <c r="H1038" s="138"/>
      <c r="I1038" s="138"/>
      <c r="J1038" s="139"/>
      <c r="K1038" s="137"/>
      <c r="L1038" s="137"/>
      <c r="P1038" s="137"/>
      <c r="Q1038" s="137"/>
      <c r="R1038" s="126"/>
    </row>
    <row r="1039" spans="2:18" x14ac:dyDescent="0.3">
      <c r="B1039" s="126"/>
      <c r="G1039" s="137"/>
      <c r="H1039" s="138"/>
      <c r="I1039" s="138"/>
      <c r="J1039" s="139"/>
      <c r="K1039" s="137"/>
      <c r="L1039" s="137"/>
      <c r="P1039" s="137"/>
      <c r="Q1039" s="137"/>
      <c r="R1039" s="126"/>
    </row>
    <row r="1040" spans="2:18" x14ac:dyDescent="0.3">
      <c r="B1040" s="126"/>
      <c r="G1040" s="137"/>
      <c r="H1040" s="138"/>
      <c r="I1040" s="138"/>
      <c r="J1040" s="139"/>
      <c r="K1040" s="137"/>
      <c r="L1040" s="137"/>
      <c r="P1040" s="137"/>
      <c r="Q1040" s="137"/>
      <c r="R1040" s="126"/>
    </row>
    <row r="1041" spans="2:18" x14ac:dyDescent="0.3">
      <c r="B1041" s="126"/>
      <c r="G1041" s="137"/>
      <c r="H1041" s="138"/>
      <c r="I1041" s="138"/>
      <c r="J1041" s="139"/>
      <c r="K1041" s="137"/>
      <c r="L1041" s="137"/>
      <c r="P1041" s="137"/>
      <c r="Q1041" s="137"/>
      <c r="R1041" s="126"/>
    </row>
    <row r="1042" spans="2:18" x14ac:dyDescent="0.3">
      <c r="B1042" s="126"/>
      <c r="G1042" s="137"/>
      <c r="H1042" s="138"/>
      <c r="I1042" s="138"/>
      <c r="J1042" s="139"/>
      <c r="K1042" s="137"/>
      <c r="L1042" s="137"/>
      <c r="P1042" s="137"/>
      <c r="Q1042" s="137"/>
      <c r="R1042" s="126"/>
    </row>
    <row r="1043" spans="2:18" x14ac:dyDescent="0.3">
      <c r="B1043" s="126"/>
      <c r="G1043" s="137"/>
      <c r="H1043" s="138"/>
      <c r="I1043" s="138"/>
      <c r="J1043" s="139"/>
      <c r="K1043" s="137"/>
      <c r="L1043" s="137"/>
      <c r="P1043" s="137"/>
      <c r="Q1043" s="137"/>
      <c r="R1043" s="126"/>
    </row>
    <row r="1044" spans="2:18" x14ac:dyDescent="0.3">
      <c r="B1044" s="126"/>
      <c r="G1044" s="137"/>
      <c r="H1044" s="138"/>
      <c r="I1044" s="138"/>
      <c r="J1044" s="139"/>
      <c r="K1044" s="137"/>
      <c r="L1044" s="137"/>
      <c r="P1044" s="137"/>
      <c r="Q1044" s="137"/>
      <c r="R1044" s="126"/>
    </row>
    <row r="1045" spans="2:18" x14ac:dyDescent="0.3">
      <c r="B1045" s="126"/>
      <c r="G1045" s="137"/>
      <c r="H1045" s="138"/>
      <c r="I1045" s="138"/>
      <c r="J1045" s="139"/>
      <c r="K1045" s="137"/>
      <c r="L1045" s="137"/>
      <c r="P1045" s="137"/>
      <c r="Q1045" s="137"/>
      <c r="R1045" s="126"/>
    </row>
    <row r="1046" spans="2:18" x14ac:dyDescent="0.3">
      <c r="B1046" s="126"/>
      <c r="G1046" s="137"/>
      <c r="H1046" s="138"/>
      <c r="I1046" s="138"/>
      <c r="J1046" s="139"/>
      <c r="K1046" s="137"/>
      <c r="L1046" s="137"/>
      <c r="P1046" s="137"/>
      <c r="Q1046" s="137"/>
      <c r="R1046" s="126"/>
    </row>
    <row r="1047" spans="2:18" x14ac:dyDescent="0.3">
      <c r="B1047" s="126"/>
      <c r="G1047" s="137"/>
      <c r="H1047" s="138"/>
      <c r="I1047" s="138"/>
      <c r="J1047" s="139"/>
      <c r="K1047" s="137"/>
      <c r="L1047" s="137"/>
      <c r="P1047" s="137"/>
      <c r="Q1047" s="137"/>
      <c r="R1047" s="126"/>
    </row>
    <row r="1048" spans="2:18" x14ac:dyDescent="0.3">
      <c r="B1048" s="126"/>
      <c r="G1048" s="137"/>
      <c r="H1048" s="138"/>
      <c r="I1048" s="138"/>
      <c r="J1048" s="139"/>
      <c r="K1048" s="137"/>
      <c r="L1048" s="137"/>
      <c r="P1048" s="137"/>
      <c r="Q1048" s="137"/>
      <c r="R1048" s="126"/>
    </row>
    <row r="1049" spans="2:18" x14ac:dyDescent="0.3">
      <c r="B1049" s="126"/>
      <c r="G1049" s="137"/>
      <c r="H1049" s="138"/>
      <c r="I1049" s="138"/>
      <c r="J1049" s="139"/>
      <c r="K1049" s="137"/>
      <c r="L1049" s="137"/>
      <c r="P1049" s="137"/>
      <c r="Q1049" s="137"/>
      <c r="R1049" s="126"/>
    </row>
    <row r="1050" spans="2:18" x14ac:dyDescent="0.3">
      <c r="B1050" s="126"/>
      <c r="G1050" s="137"/>
      <c r="H1050" s="138"/>
      <c r="I1050" s="138"/>
      <c r="J1050" s="139"/>
      <c r="K1050" s="137"/>
      <c r="L1050" s="137"/>
      <c r="P1050" s="137"/>
      <c r="Q1050" s="137"/>
      <c r="R1050" s="126"/>
    </row>
    <row r="1051" spans="2:18" x14ac:dyDescent="0.3">
      <c r="B1051" s="126"/>
      <c r="G1051" s="137"/>
      <c r="H1051" s="138"/>
      <c r="I1051" s="138"/>
      <c r="J1051" s="139"/>
      <c r="K1051" s="137"/>
      <c r="L1051" s="137"/>
      <c r="P1051" s="137"/>
      <c r="Q1051" s="137"/>
      <c r="R1051" s="126"/>
    </row>
    <row r="1052" spans="2:18" x14ac:dyDescent="0.3">
      <c r="B1052" s="126"/>
      <c r="G1052" s="137"/>
      <c r="H1052" s="138"/>
      <c r="I1052" s="138"/>
      <c r="J1052" s="139"/>
      <c r="K1052" s="137"/>
      <c r="L1052" s="137"/>
      <c r="P1052" s="137"/>
      <c r="Q1052" s="137"/>
      <c r="R1052" s="126"/>
    </row>
    <row r="1053" spans="2:18" x14ac:dyDescent="0.3">
      <c r="B1053" s="126"/>
      <c r="G1053" s="137"/>
      <c r="H1053" s="138"/>
      <c r="I1053" s="138"/>
      <c r="J1053" s="139"/>
      <c r="K1053" s="137"/>
      <c r="L1053" s="137"/>
      <c r="P1053" s="137"/>
      <c r="Q1053" s="137"/>
      <c r="R1053" s="126"/>
    </row>
    <row r="1054" spans="2:18" x14ac:dyDescent="0.3">
      <c r="B1054" s="126"/>
      <c r="G1054" s="137"/>
      <c r="H1054" s="138"/>
      <c r="I1054" s="138"/>
      <c r="J1054" s="139"/>
      <c r="K1054" s="137"/>
      <c r="L1054" s="137"/>
      <c r="P1054" s="137"/>
      <c r="Q1054" s="137"/>
      <c r="R1054" s="126"/>
    </row>
    <row r="1055" spans="2:18" x14ac:dyDescent="0.3">
      <c r="B1055" s="126"/>
      <c r="G1055" s="137"/>
      <c r="H1055" s="138"/>
      <c r="I1055" s="138"/>
      <c r="J1055" s="139"/>
      <c r="K1055" s="137"/>
      <c r="L1055" s="137"/>
      <c r="P1055" s="137"/>
      <c r="Q1055" s="137"/>
      <c r="R1055" s="126"/>
    </row>
    <row r="1056" spans="2:18" x14ac:dyDescent="0.3">
      <c r="B1056" s="126"/>
      <c r="G1056" s="137"/>
      <c r="H1056" s="138"/>
      <c r="I1056" s="138"/>
      <c r="J1056" s="139"/>
      <c r="K1056" s="137"/>
      <c r="L1056" s="137"/>
      <c r="P1056" s="137"/>
      <c r="Q1056" s="137"/>
      <c r="R1056" s="126"/>
    </row>
    <row r="1057" spans="2:18" x14ac:dyDescent="0.3">
      <c r="B1057" s="126"/>
      <c r="G1057" s="137"/>
      <c r="H1057" s="138"/>
      <c r="I1057" s="138"/>
      <c r="J1057" s="139"/>
      <c r="K1057" s="137"/>
      <c r="L1057" s="137"/>
      <c r="P1057" s="137"/>
      <c r="Q1057" s="137"/>
      <c r="R1057" s="126"/>
    </row>
    <row r="1058" spans="2:18" x14ac:dyDescent="0.3">
      <c r="B1058" s="126"/>
      <c r="G1058" s="137"/>
      <c r="H1058" s="138"/>
      <c r="I1058" s="138"/>
      <c r="J1058" s="139"/>
      <c r="K1058" s="137"/>
      <c r="L1058" s="137"/>
      <c r="P1058" s="137"/>
      <c r="Q1058" s="137"/>
      <c r="R1058" s="126"/>
    </row>
    <row r="1059" spans="2:18" x14ac:dyDescent="0.3">
      <c r="B1059" s="126"/>
      <c r="G1059" s="137"/>
      <c r="H1059" s="138"/>
      <c r="I1059" s="138"/>
      <c r="J1059" s="139"/>
      <c r="K1059" s="137"/>
      <c r="L1059" s="137"/>
      <c r="P1059" s="137"/>
      <c r="Q1059" s="137"/>
      <c r="R1059" s="126"/>
    </row>
    <row r="1060" spans="2:18" x14ac:dyDescent="0.3">
      <c r="B1060" s="126"/>
      <c r="G1060" s="137"/>
      <c r="H1060" s="138"/>
      <c r="I1060" s="138"/>
      <c r="J1060" s="139"/>
      <c r="K1060" s="137"/>
      <c r="L1060" s="137"/>
      <c r="P1060" s="137"/>
      <c r="Q1060" s="137"/>
      <c r="R1060" s="126"/>
    </row>
    <row r="1061" spans="2:18" x14ac:dyDescent="0.3">
      <c r="B1061" s="126"/>
      <c r="G1061" s="137"/>
      <c r="H1061" s="138"/>
      <c r="I1061" s="138"/>
      <c r="J1061" s="139"/>
      <c r="K1061" s="137"/>
      <c r="L1061" s="137"/>
      <c r="P1061" s="137"/>
      <c r="Q1061" s="137"/>
      <c r="R1061" s="126"/>
    </row>
    <row r="1062" spans="2:18" x14ac:dyDescent="0.3">
      <c r="B1062" s="126"/>
      <c r="G1062" s="137"/>
      <c r="H1062" s="138"/>
      <c r="I1062" s="138"/>
      <c r="J1062" s="139"/>
      <c r="K1062" s="137"/>
      <c r="L1062" s="137"/>
      <c r="P1062" s="137"/>
      <c r="Q1062" s="137"/>
      <c r="R1062" s="126"/>
    </row>
    <row r="1063" spans="2:18" x14ac:dyDescent="0.3">
      <c r="B1063" s="126"/>
      <c r="G1063" s="137"/>
      <c r="H1063" s="138"/>
      <c r="I1063" s="138"/>
      <c r="J1063" s="139"/>
      <c r="K1063" s="137"/>
      <c r="L1063" s="137"/>
      <c r="P1063" s="137"/>
      <c r="Q1063" s="137"/>
      <c r="R1063" s="126"/>
    </row>
    <row r="1064" spans="2:18" x14ac:dyDescent="0.3">
      <c r="B1064" s="126"/>
      <c r="G1064" s="137"/>
      <c r="H1064" s="138"/>
      <c r="I1064" s="138"/>
      <c r="J1064" s="139"/>
      <c r="K1064" s="137"/>
      <c r="L1064" s="137"/>
      <c r="P1064" s="137"/>
      <c r="Q1064" s="137"/>
      <c r="R1064" s="126"/>
    </row>
    <row r="1065" spans="2:18" x14ac:dyDescent="0.3">
      <c r="B1065" s="126"/>
      <c r="G1065" s="137"/>
      <c r="H1065" s="138"/>
      <c r="I1065" s="138"/>
      <c r="J1065" s="139"/>
      <c r="K1065" s="137"/>
      <c r="L1065" s="137"/>
      <c r="P1065" s="137"/>
      <c r="Q1065" s="137"/>
      <c r="R1065" s="126"/>
    </row>
    <row r="1066" spans="2:18" x14ac:dyDescent="0.3">
      <c r="B1066" s="126"/>
      <c r="G1066" s="137"/>
      <c r="H1066" s="138"/>
      <c r="I1066" s="138"/>
      <c r="J1066" s="139"/>
      <c r="K1066" s="137"/>
      <c r="L1066" s="137"/>
      <c r="P1066" s="137"/>
      <c r="Q1066" s="137"/>
      <c r="R1066" s="126"/>
    </row>
    <row r="1067" spans="2:18" x14ac:dyDescent="0.3">
      <c r="B1067" s="126"/>
      <c r="G1067" s="137"/>
      <c r="H1067" s="138"/>
      <c r="I1067" s="138"/>
      <c r="J1067" s="139"/>
      <c r="K1067" s="137"/>
      <c r="L1067" s="137"/>
      <c r="P1067" s="137"/>
      <c r="Q1067" s="137"/>
      <c r="R1067" s="126"/>
    </row>
    <row r="1068" spans="2:18" x14ac:dyDescent="0.3">
      <c r="B1068" s="126"/>
      <c r="G1068" s="137"/>
      <c r="H1068" s="138"/>
      <c r="I1068" s="138"/>
      <c r="J1068" s="139"/>
      <c r="K1068" s="137"/>
      <c r="L1068" s="137"/>
      <c r="P1068" s="137"/>
      <c r="Q1068" s="137"/>
      <c r="R1068" s="126"/>
    </row>
    <row r="1069" spans="2:18" x14ac:dyDescent="0.3">
      <c r="B1069" s="126"/>
      <c r="G1069" s="137"/>
      <c r="H1069" s="138"/>
      <c r="I1069" s="138"/>
      <c r="J1069" s="139"/>
      <c r="K1069" s="137"/>
      <c r="L1069" s="137"/>
      <c r="P1069" s="137"/>
      <c r="Q1069" s="137"/>
      <c r="R1069" s="126"/>
    </row>
    <row r="1070" spans="2:18" x14ac:dyDescent="0.3">
      <c r="B1070" s="126"/>
      <c r="G1070" s="137"/>
      <c r="H1070" s="138"/>
      <c r="I1070" s="138"/>
      <c r="J1070" s="139"/>
      <c r="K1070" s="137"/>
      <c r="L1070" s="137"/>
      <c r="P1070" s="137"/>
      <c r="Q1070" s="137"/>
      <c r="R1070" s="126"/>
    </row>
    <row r="1071" spans="2:18" x14ac:dyDescent="0.3">
      <c r="B1071" s="126"/>
      <c r="G1071" s="137"/>
      <c r="H1071" s="138"/>
      <c r="I1071" s="138"/>
      <c r="J1071" s="139"/>
      <c r="K1071" s="137"/>
      <c r="L1071" s="137"/>
      <c r="P1071" s="137"/>
      <c r="Q1071" s="137"/>
      <c r="R1071" s="126"/>
    </row>
    <row r="1072" spans="2:18" x14ac:dyDescent="0.3">
      <c r="B1072" s="126"/>
      <c r="G1072" s="137"/>
      <c r="H1072" s="138"/>
      <c r="I1072" s="138"/>
      <c r="J1072" s="139"/>
      <c r="K1072" s="137"/>
      <c r="L1072" s="137"/>
      <c r="P1072" s="137"/>
      <c r="Q1072" s="137"/>
      <c r="R1072" s="126"/>
    </row>
    <row r="1073" spans="2:18" x14ac:dyDescent="0.3">
      <c r="B1073" s="126"/>
      <c r="G1073" s="137"/>
      <c r="H1073" s="138"/>
      <c r="I1073" s="138"/>
      <c r="J1073" s="139"/>
      <c r="K1073" s="137"/>
      <c r="L1073" s="137"/>
      <c r="P1073" s="137"/>
      <c r="Q1073" s="137"/>
      <c r="R1073" s="126"/>
    </row>
    <row r="1074" spans="2:18" x14ac:dyDescent="0.3">
      <c r="B1074" s="126"/>
      <c r="G1074" s="137"/>
      <c r="H1074" s="138"/>
      <c r="I1074" s="138"/>
      <c r="J1074" s="139"/>
      <c r="K1074" s="137"/>
      <c r="L1074" s="137"/>
      <c r="P1074" s="137"/>
      <c r="Q1074" s="137"/>
      <c r="R1074" s="126"/>
    </row>
    <row r="1075" spans="2:18" x14ac:dyDescent="0.3">
      <c r="B1075" s="126"/>
      <c r="G1075" s="137"/>
      <c r="H1075" s="138"/>
      <c r="I1075" s="138"/>
      <c r="J1075" s="139"/>
      <c r="K1075" s="137"/>
      <c r="L1075" s="137"/>
      <c r="P1075" s="137"/>
      <c r="Q1075" s="137"/>
      <c r="R1075" s="126"/>
    </row>
    <row r="1076" spans="2:18" x14ac:dyDescent="0.3">
      <c r="B1076" s="126"/>
      <c r="G1076" s="137"/>
      <c r="H1076" s="138"/>
      <c r="I1076" s="138"/>
      <c r="J1076" s="139"/>
      <c r="K1076" s="137"/>
      <c r="L1076" s="137"/>
      <c r="P1076" s="137"/>
      <c r="Q1076" s="137"/>
      <c r="R1076" s="126"/>
    </row>
    <row r="1077" spans="2:18" x14ac:dyDescent="0.3">
      <c r="B1077" s="126"/>
      <c r="G1077" s="137"/>
      <c r="H1077" s="138"/>
      <c r="I1077" s="138"/>
      <c r="J1077" s="139"/>
      <c r="K1077" s="137"/>
      <c r="L1077" s="137"/>
      <c r="P1077" s="137"/>
      <c r="Q1077" s="137"/>
      <c r="R1077" s="126"/>
    </row>
    <row r="1078" spans="2:18" x14ac:dyDescent="0.3">
      <c r="B1078" s="126"/>
      <c r="G1078" s="137"/>
      <c r="H1078" s="138"/>
      <c r="I1078" s="138"/>
      <c r="J1078" s="139"/>
      <c r="K1078" s="137"/>
      <c r="L1078" s="137"/>
      <c r="P1078" s="137"/>
      <c r="Q1078" s="137"/>
      <c r="R1078" s="126"/>
    </row>
    <row r="1079" spans="2:18" x14ac:dyDescent="0.3">
      <c r="B1079" s="126"/>
      <c r="G1079" s="137"/>
      <c r="H1079" s="138"/>
      <c r="I1079" s="138"/>
      <c r="J1079" s="139"/>
      <c r="K1079" s="137"/>
      <c r="L1079" s="137"/>
      <c r="P1079" s="137"/>
      <c r="Q1079" s="137"/>
      <c r="R1079" s="126"/>
    </row>
    <row r="1080" spans="2:18" x14ac:dyDescent="0.3">
      <c r="B1080" s="126"/>
      <c r="G1080" s="137"/>
      <c r="H1080" s="138"/>
      <c r="I1080" s="138"/>
      <c r="J1080" s="139"/>
      <c r="K1080" s="137"/>
      <c r="L1080" s="137"/>
      <c r="P1080" s="137"/>
      <c r="Q1080" s="137"/>
      <c r="R1080" s="126"/>
    </row>
    <row r="1081" spans="2:18" x14ac:dyDescent="0.3">
      <c r="B1081" s="126"/>
      <c r="G1081" s="137"/>
      <c r="H1081" s="138"/>
      <c r="I1081" s="138"/>
      <c r="J1081" s="139"/>
      <c r="K1081" s="137"/>
      <c r="L1081" s="137"/>
      <c r="P1081" s="137"/>
      <c r="Q1081" s="137"/>
      <c r="R1081" s="126"/>
    </row>
    <row r="1082" spans="2:18" x14ac:dyDescent="0.3">
      <c r="B1082" s="126"/>
      <c r="G1082" s="137"/>
      <c r="H1082" s="138"/>
      <c r="I1082" s="138"/>
      <c r="J1082" s="139"/>
      <c r="K1082" s="137"/>
      <c r="L1082" s="137"/>
      <c r="P1082" s="137"/>
      <c r="Q1082" s="137"/>
      <c r="R1082" s="126"/>
    </row>
    <row r="1083" spans="2:18" x14ac:dyDescent="0.3">
      <c r="B1083" s="126"/>
      <c r="G1083" s="137"/>
      <c r="H1083" s="138"/>
      <c r="I1083" s="138"/>
      <c r="J1083" s="139"/>
      <c r="K1083" s="137"/>
      <c r="L1083" s="137"/>
      <c r="P1083" s="137"/>
      <c r="Q1083" s="137"/>
      <c r="R1083" s="126"/>
    </row>
    <row r="1084" spans="2:18" x14ac:dyDescent="0.3">
      <c r="B1084" s="126"/>
      <c r="G1084" s="137"/>
      <c r="H1084" s="138"/>
      <c r="I1084" s="138"/>
      <c r="J1084" s="139"/>
      <c r="K1084" s="137"/>
      <c r="L1084" s="137"/>
      <c r="P1084" s="137"/>
      <c r="Q1084" s="137"/>
      <c r="R1084" s="126"/>
    </row>
    <row r="1085" spans="2:18" x14ac:dyDescent="0.3">
      <c r="B1085" s="126"/>
      <c r="G1085" s="137"/>
      <c r="H1085" s="138"/>
      <c r="I1085" s="138"/>
      <c r="J1085" s="139"/>
      <c r="K1085" s="137"/>
      <c r="L1085" s="137"/>
      <c r="P1085" s="137"/>
      <c r="Q1085" s="137"/>
      <c r="R1085" s="126"/>
    </row>
    <row r="1086" spans="2:18" x14ac:dyDescent="0.3">
      <c r="B1086" s="126"/>
      <c r="G1086" s="137"/>
      <c r="H1086" s="138"/>
      <c r="I1086" s="138"/>
      <c r="J1086" s="139"/>
      <c r="K1086" s="137"/>
      <c r="L1086" s="137"/>
      <c r="P1086" s="137"/>
      <c r="Q1086" s="137"/>
      <c r="R1086" s="126"/>
    </row>
    <row r="1087" spans="2:18" x14ac:dyDescent="0.3">
      <c r="B1087" s="126"/>
      <c r="G1087" s="137"/>
      <c r="H1087" s="138"/>
      <c r="I1087" s="138"/>
      <c r="J1087" s="139"/>
      <c r="K1087" s="137"/>
      <c r="L1087" s="137"/>
      <c r="P1087" s="137"/>
      <c r="Q1087" s="137"/>
      <c r="R1087" s="126"/>
    </row>
    <row r="1088" spans="2:18" x14ac:dyDescent="0.3">
      <c r="B1088" s="126"/>
      <c r="G1088" s="137"/>
      <c r="H1088" s="138"/>
      <c r="I1088" s="138"/>
      <c r="J1088" s="139"/>
      <c r="K1088" s="137"/>
      <c r="L1088" s="137"/>
      <c r="P1088" s="137"/>
      <c r="Q1088" s="137"/>
      <c r="R1088" s="126"/>
    </row>
    <row r="1089" spans="2:18" x14ac:dyDescent="0.3">
      <c r="B1089" s="126"/>
      <c r="G1089" s="137"/>
      <c r="H1089" s="138"/>
      <c r="I1089" s="138"/>
      <c r="J1089" s="139"/>
      <c r="K1089" s="137"/>
      <c r="L1089" s="137"/>
      <c r="P1089" s="137"/>
      <c r="Q1089" s="137"/>
      <c r="R1089" s="126"/>
    </row>
    <row r="1090" spans="2:18" x14ac:dyDescent="0.3">
      <c r="B1090" s="126"/>
      <c r="G1090" s="137"/>
      <c r="H1090" s="138"/>
      <c r="I1090" s="138"/>
      <c r="J1090" s="139"/>
      <c r="K1090" s="137"/>
      <c r="L1090" s="137"/>
      <c r="P1090" s="137"/>
      <c r="Q1090" s="137"/>
      <c r="R1090" s="126"/>
    </row>
    <row r="1091" spans="2:18" x14ac:dyDescent="0.3">
      <c r="B1091" s="126"/>
      <c r="G1091" s="137"/>
      <c r="H1091" s="138"/>
      <c r="I1091" s="138"/>
      <c r="J1091" s="139"/>
      <c r="K1091" s="137"/>
      <c r="L1091" s="137"/>
      <c r="P1091" s="137"/>
      <c r="Q1091" s="137"/>
      <c r="R1091" s="126"/>
    </row>
    <row r="1092" spans="2:18" x14ac:dyDescent="0.3">
      <c r="B1092" s="126"/>
      <c r="G1092" s="137"/>
      <c r="H1092" s="138"/>
      <c r="I1092" s="138"/>
      <c r="J1092" s="139"/>
      <c r="K1092" s="137"/>
      <c r="L1092" s="137"/>
      <c r="P1092" s="137"/>
      <c r="Q1092" s="137"/>
      <c r="R1092" s="126"/>
    </row>
    <row r="1093" spans="2:18" x14ac:dyDescent="0.3">
      <c r="B1093" s="126"/>
      <c r="G1093" s="137"/>
      <c r="H1093" s="138"/>
      <c r="I1093" s="138"/>
      <c r="J1093" s="139"/>
      <c r="K1093" s="137"/>
      <c r="L1093" s="137"/>
      <c r="P1093" s="137"/>
      <c r="Q1093" s="137"/>
      <c r="R1093" s="126"/>
    </row>
    <row r="1094" spans="2:18" x14ac:dyDescent="0.3">
      <c r="B1094" s="126"/>
      <c r="G1094" s="137"/>
      <c r="H1094" s="138"/>
      <c r="I1094" s="138"/>
      <c r="J1094" s="139"/>
      <c r="K1094" s="137"/>
      <c r="L1094" s="137"/>
      <c r="P1094" s="137"/>
      <c r="Q1094" s="137"/>
      <c r="R1094" s="126"/>
    </row>
    <row r="1095" spans="2:18" x14ac:dyDescent="0.3">
      <c r="B1095" s="126"/>
      <c r="G1095" s="137"/>
      <c r="H1095" s="138"/>
      <c r="I1095" s="138"/>
      <c r="J1095" s="139"/>
      <c r="K1095" s="137"/>
      <c r="L1095" s="137"/>
      <c r="P1095" s="137"/>
      <c r="Q1095" s="137"/>
      <c r="R1095" s="126"/>
    </row>
    <row r="1096" spans="2:18" x14ac:dyDescent="0.3">
      <c r="B1096" s="126"/>
      <c r="G1096" s="137"/>
      <c r="H1096" s="138"/>
      <c r="I1096" s="138"/>
      <c r="J1096" s="139"/>
      <c r="K1096" s="137"/>
      <c r="L1096" s="137"/>
      <c r="P1096" s="137"/>
      <c r="Q1096" s="137"/>
      <c r="R1096" s="126"/>
    </row>
    <row r="1097" spans="2:18" x14ac:dyDescent="0.3">
      <c r="B1097" s="126"/>
      <c r="G1097" s="137"/>
      <c r="H1097" s="138"/>
      <c r="I1097" s="138"/>
      <c r="J1097" s="139"/>
      <c r="K1097" s="137"/>
      <c r="L1097" s="137"/>
      <c r="P1097" s="137"/>
      <c r="Q1097" s="137"/>
      <c r="R1097" s="126"/>
    </row>
    <row r="1098" spans="2:18" x14ac:dyDescent="0.3">
      <c r="B1098" s="126"/>
      <c r="G1098" s="137"/>
      <c r="H1098" s="138"/>
      <c r="I1098" s="138"/>
      <c r="J1098" s="139"/>
      <c r="K1098" s="137"/>
      <c r="L1098" s="137"/>
      <c r="P1098" s="137"/>
      <c r="Q1098" s="137"/>
      <c r="R1098" s="126"/>
    </row>
    <row r="1099" spans="2:18" x14ac:dyDescent="0.3">
      <c r="B1099" s="126"/>
      <c r="G1099" s="137"/>
      <c r="H1099" s="138"/>
      <c r="I1099" s="138"/>
      <c r="J1099" s="139"/>
      <c r="K1099" s="137"/>
      <c r="L1099" s="137"/>
      <c r="P1099" s="137"/>
      <c r="Q1099" s="137"/>
      <c r="R1099" s="126"/>
    </row>
    <row r="1100" spans="2:18" x14ac:dyDescent="0.3">
      <c r="B1100" s="126"/>
      <c r="G1100" s="137"/>
      <c r="H1100" s="138"/>
      <c r="I1100" s="138"/>
      <c r="J1100" s="139"/>
      <c r="K1100" s="137"/>
      <c r="L1100" s="137"/>
      <c r="P1100" s="137"/>
      <c r="Q1100" s="137"/>
      <c r="R1100" s="126"/>
    </row>
    <row r="1101" spans="2:18" x14ac:dyDescent="0.3">
      <c r="B1101" s="126"/>
      <c r="G1101" s="137"/>
      <c r="H1101" s="138"/>
      <c r="I1101" s="138"/>
      <c r="J1101" s="139"/>
      <c r="K1101" s="137"/>
      <c r="L1101" s="137"/>
      <c r="P1101" s="137"/>
      <c r="Q1101" s="137"/>
      <c r="R1101" s="126"/>
    </row>
    <row r="1102" spans="2:18" x14ac:dyDescent="0.3">
      <c r="B1102" s="126"/>
      <c r="G1102" s="137"/>
      <c r="H1102" s="138"/>
      <c r="I1102" s="138"/>
      <c r="J1102" s="139"/>
      <c r="K1102" s="137"/>
      <c r="L1102" s="137"/>
      <c r="P1102" s="137"/>
      <c r="Q1102" s="137"/>
      <c r="R1102" s="126"/>
    </row>
    <row r="1103" spans="2:18" x14ac:dyDescent="0.3">
      <c r="B1103" s="126"/>
      <c r="G1103" s="137"/>
      <c r="H1103" s="138"/>
      <c r="I1103" s="138"/>
      <c r="J1103" s="139"/>
      <c r="K1103" s="137"/>
      <c r="L1103" s="137"/>
      <c r="P1103" s="137"/>
      <c r="Q1103" s="137"/>
      <c r="R1103" s="126"/>
    </row>
    <row r="1104" spans="2:18" x14ac:dyDescent="0.3">
      <c r="B1104" s="126"/>
      <c r="G1104" s="137"/>
      <c r="H1104" s="138"/>
      <c r="I1104" s="138"/>
      <c r="J1104" s="139"/>
      <c r="K1104" s="137"/>
      <c r="L1104" s="137"/>
      <c r="P1104" s="137"/>
      <c r="Q1104" s="137"/>
      <c r="R1104" s="126"/>
    </row>
    <row r="1105" spans="2:18" x14ac:dyDescent="0.3">
      <c r="B1105" s="126"/>
      <c r="G1105" s="137"/>
      <c r="H1105" s="138"/>
      <c r="I1105" s="138"/>
      <c r="J1105" s="139"/>
      <c r="K1105" s="137"/>
      <c r="L1105" s="137"/>
      <c r="P1105" s="137"/>
      <c r="Q1105" s="137"/>
      <c r="R1105" s="126"/>
    </row>
    <row r="1106" spans="2:18" x14ac:dyDescent="0.3">
      <c r="B1106" s="126"/>
      <c r="G1106" s="137"/>
      <c r="H1106" s="138"/>
      <c r="I1106" s="138"/>
      <c r="J1106" s="139"/>
      <c r="K1106" s="137"/>
      <c r="L1106" s="137"/>
      <c r="P1106" s="137"/>
      <c r="Q1106" s="137"/>
      <c r="R1106" s="126"/>
    </row>
    <row r="1107" spans="2:18" x14ac:dyDescent="0.3">
      <c r="B1107" s="126"/>
      <c r="G1107" s="137"/>
      <c r="H1107" s="138"/>
      <c r="I1107" s="138"/>
      <c r="J1107" s="139"/>
      <c r="K1107" s="137"/>
      <c r="L1107" s="137"/>
      <c r="P1107" s="137"/>
      <c r="Q1107" s="137"/>
      <c r="R1107" s="126"/>
    </row>
    <row r="1108" spans="2:18" x14ac:dyDescent="0.3">
      <c r="B1108" s="126"/>
      <c r="G1108" s="137"/>
      <c r="H1108" s="138"/>
      <c r="I1108" s="138"/>
      <c r="J1108" s="139"/>
      <c r="K1108" s="137"/>
      <c r="L1108" s="137"/>
      <c r="P1108" s="137"/>
      <c r="Q1108" s="137"/>
      <c r="R1108" s="126"/>
    </row>
    <row r="1109" spans="2:18" x14ac:dyDescent="0.3">
      <c r="B1109" s="126"/>
      <c r="G1109" s="137"/>
      <c r="H1109" s="138"/>
      <c r="I1109" s="138"/>
      <c r="J1109" s="139"/>
      <c r="K1109" s="137"/>
      <c r="L1109" s="137"/>
      <c r="P1109" s="137"/>
      <c r="Q1109" s="137"/>
      <c r="R1109" s="126"/>
    </row>
    <row r="1110" spans="2:18" x14ac:dyDescent="0.3">
      <c r="B1110" s="126"/>
      <c r="G1110" s="137"/>
      <c r="H1110" s="138"/>
      <c r="I1110" s="138"/>
      <c r="J1110" s="139"/>
      <c r="K1110" s="137"/>
      <c r="L1110" s="137"/>
      <c r="P1110" s="137"/>
      <c r="Q1110" s="137"/>
      <c r="R1110" s="126"/>
    </row>
    <row r="1111" spans="2:18" x14ac:dyDescent="0.3">
      <c r="B1111" s="126"/>
      <c r="G1111" s="137"/>
      <c r="H1111" s="138"/>
      <c r="I1111" s="138"/>
      <c r="J1111" s="139"/>
      <c r="K1111" s="137"/>
      <c r="L1111" s="137"/>
      <c r="P1111" s="137"/>
      <c r="Q1111" s="137"/>
      <c r="R1111" s="126"/>
    </row>
    <row r="1112" spans="2:18" x14ac:dyDescent="0.3">
      <c r="B1112" s="126"/>
      <c r="G1112" s="137"/>
      <c r="H1112" s="138"/>
      <c r="I1112" s="138"/>
      <c r="J1112" s="139"/>
      <c r="K1112" s="137"/>
      <c r="L1112" s="137"/>
      <c r="P1112" s="137"/>
      <c r="Q1112" s="137"/>
      <c r="R1112" s="126"/>
    </row>
    <row r="1113" spans="2:18" x14ac:dyDescent="0.3">
      <c r="B1113" s="126"/>
      <c r="G1113" s="137"/>
      <c r="H1113" s="138"/>
      <c r="I1113" s="138"/>
      <c r="J1113" s="139"/>
      <c r="K1113" s="137"/>
      <c r="L1113" s="137"/>
      <c r="P1113" s="137"/>
      <c r="Q1113" s="137"/>
      <c r="R1113" s="126"/>
    </row>
    <row r="1114" spans="2:18" x14ac:dyDescent="0.3">
      <c r="B1114" s="126"/>
      <c r="G1114" s="137"/>
      <c r="H1114" s="138"/>
      <c r="I1114" s="138"/>
      <c r="J1114" s="139"/>
      <c r="K1114" s="137"/>
      <c r="L1114" s="137"/>
      <c r="P1114" s="137"/>
      <c r="Q1114" s="137"/>
      <c r="R1114" s="126"/>
    </row>
    <row r="1115" spans="2:18" x14ac:dyDescent="0.3">
      <c r="B1115" s="126"/>
      <c r="G1115" s="137"/>
      <c r="H1115" s="138"/>
      <c r="I1115" s="138"/>
      <c r="J1115" s="139"/>
      <c r="K1115" s="137"/>
      <c r="L1115" s="137"/>
      <c r="P1115" s="137"/>
      <c r="Q1115" s="137"/>
      <c r="R1115" s="126"/>
    </row>
    <row r="1116" spans="2:18" x14ac:dyDescent="0.3">
      <c r="B1116" s="126"/>
      <c r="G1116" s="137"/>
      <c r="H1116" s="138"/>
      <c r="I1116" s="138"/>
      <c r="J1116" s="139"/>
      <c r="K1116" s="137"/>
      <c r="L1116" s="137"/>
      <c r="P1116" s="137"/>
      <c r="Q1116" s="137"/>
      <c r="R1116" s="126"/>
    </row>
    <row r="1117" spans="2:18" x14ac:dyDescent="0.3">
      <c r="B1117" s="126"/>
      <c r="G1117" s="137"/>
      <c r="H1117" s="138"/>
      <c r="I1117" s="138"/>
      <c r="J1117" s="139"/>
      <c r="K1117" s="137"/>
      <c r="L1117" s="137"/>
      <c r="P1117" s="137"/>
      <c r="Q1117" s="137"/>
      <c r="R1117" s="126"/>
    </row>
    <row r="1118" spans="2:18" x14ac:dyDescent="0.3">
      <c r="B1118" s="126"/>
      <c r="G1118" s="137"/>
      <c r="H1118" s="138"/>
      <c r="I1118" s="138"/>
      <c r="J1118" s="139"/>
      <c r="K1118" s="137"/>
      <c r="L1118" s="137"/>
      <c r="P1118" s="137"/>
      <c r="Q1118" s="137"/>
      <c r="R1118" s="126"/>
    </row>
    <row r="1119" spans="2:18" x14ac:dyDescent="0.3">
      <c r="B1119" s="126"/>
      <c r="G1119" s="137"/>
      <c r="H1119" s="138"/>
      <c r="I1119" s="138"/>
      <c r="J1119" s="139"/>
      <c r="K1119" s="137"/>
      <c r="L1119" s="137"/>
      <c r="P1119" s="137"/>
      <c r="Q1119" s="137"/>
      <c r="R1119" s="126"/>
    </row>
    <row r="1120" spans="2:18" x14ac:dyDescent="0.3">
      <c r="B1120" s="126"/>
      <c r="G1120" s="137"/>
      <c r="H1120" s="138"/>
      <c r="I1120" s="138"/>
      <c r="J1120" s="139"/>
      <c r="K1120" s="137"/>
      <c r="L1120" s="137"/>
      <c r="P1120" s="137"/>
      <c r="Q1120" s="137"/>
      <c r="R1120" s="126"/>
    </row>
    <row r="1121" spans="2:18" x14ac:dyDescent="0.3">
      <c r="B1121" s="126"/>
      <c r="G1121" s="137"/>
      <c r="H1121" s="138"/>
      <c r="I1121" s="138"/>
      <c r="J1121" s="139"/>
      <c r="K1121" s="137"/>
      <c r="L1121" s="137"/>
      <c r="P1121" s="137"/>
      <c r="Q1121" s="137"/>
      <c r="R1121" s="126"/>
    </row>
    <row r="1122" spans="2:18" x14ac:dyDescent="0.3">
      <c r="B1122" s="126"/>
      <c r="G1122" s="137"/>
      <c r="H1122" s="138"/>
      <c r="I1122" s="138"/>
      <c r="J1122" s="139"/>
      <c r="K1122" s="137"/>
      <c r="L1122" s="137"/>
      <c r="P1122" s="137"/>
      <c r="Q1122" s="137"/>
      <c r="R1122" s="126"/>
    </row>
    <row r="1123" spans="2:18" x14ac:dyDescent="0.3">
      <c r="B1123" s="126"/>
      <c r="G1123" s="137"/>
      <c r="H1123" s="138"/>
      <c r="I1123" s="138"/>
      <c r="J1123" s="139"/>
      <c r="K1123" s="137"/>
      <c r="L1123" s="137"/>
      <c r="P1123" s="137"/>
      <c r="Q1123" s="137"/>
      <c r="R1123" s="126"/>
    </row>
    <row r="1124" spans="2:18" x14ac:dyDescent="0.3">
      <c r="B1124" s="126"/>
      <c r="G1124" s="137"/>
      <c r="H1124" s="138"/>
      <c r="I1124" s="138"/>
      <c r="J1124" s="139"/>
      <c r="K1124" s="137"/>
      <c r="L1124" s="137"/>
      <c r="P1124" s="137"/>
      <c r="Q1124" s="137"/>
      <c r="R1124" s="126"/>
    </row>
    <row r="1125" spans="2:18" x14ac:dyDescent="0.3">
      <c r="B1125" s="126"/>
      <c r="G1125" s="137"/>
      <c r="H1125" s="138"/>
      <c r="I1125" s="138"/>
      <c r="J1125" s="139"/>
      <c r="K1125" s="137"/>
      <c r="L1125" s="137"/>
      <c r="P1125" s="137"/>
      <c r="Q1125" s="137"/>
      <c r="R1125" s="126"/>
    </row>
    <row r="1126" spans="2:18" x14ac:dyDescent="0.3">
      <c r="B1126" s="126"/>
      <c r="G1126" s="137"/>
      <c r="H1126" s="138"/>
      <c r="I1126" s="138"/>
      <c r="J1126" s="139"/>
      <c r="K1126" s="137"/>
      <c r="L1126" s="137"/>
      <c r="P1126" s="137"/>
      <c r="Q1126" s="137"/>
      <c r="R1126" s="126"/>
    </row>
    <row r="1127" spans="2:18" x14ac:dyDescent="0.3">
      <c r="B1127" s="126"/>
      <c r="G1127" s="137"/>
      <c r="H1127" s="138"/>
      <c r="I1127" s="138"/>
      <c r="J1127" s="139"/>
      <c r="K1127" s="137"/>
      <c r="L1127" s="137"/>
      <c r="P1127" s="137"/>
      <c r="Q1127" s="137"/>
      <c r="R1127" s="126"/>
    </row>
    <row r="1128" spans="2:18" x14ac:dyDescent="0.3">
      <c r="B1128" s="126"/>
      <c r="G1128" s="137"/>
      <c r="H1128" s="138"/>
      <c r="I1128" s="138"/>
      <c r="J1128" s="139"/>
      <c r="K1128" s="137"/>
      <c r="L1128" s="137"/>
      <c r="P1128" s="137"/>
      <c r="Q1128" s="137"/>
      <c r="R1128" s="126"/>
    </row>
    <row r="1129" spans="2:18" x14ac:dyDescent="0.3">
      <c r="B1129" s="126"/>
      <c r="G1129" s="137"/>
      <c r="H1129" s="138"/>
      <c r="I1129" s="138"/>
      <c r="J1129" s="139"/>
      <c r="K1129" s="137"/>
      <c r="L1129" s="137"/>
      <c r="P1129" s="137"/>
      <c r="Q1129" s="137"/>
      <c r="R1129" s="126"/>
    </row>
    <row r="1130" spans="2:18" x14ac:dyDescent="0.3">
      <c r="B1130" s="126"/>
      <c r="G1130" s="137"/>
      <c r="H1130" s="138"/>
      <c r="I1130" s="138"/>
      <c r="J1130" s="139"/>
      <c r="K1130" s="137"/>
      <c r="L1130" s="137"/>
      <c r="P1130" s="137"/>
      <c r="Q1130" s="137"/>
      <c r="R1130" s="126"/>
    </row>
    <row r="1131" spans="2:18" x14ac:dyDescent="0.3">
      <c r="B1131" s="126"/>
      <c r="G1131" s="137"/>
      <c r="H1131" s="138"/>
      <c r="I1131" s="138"/>
      <c r="J1131" s="139"/>
      <c r="K1131" s="137"/>
      <c r="L1131" s="137"/>
      <c r="P1131" s="137"/>
      <c r="Q1131" s="137"/>
      <c r="R1131" s="126"/>
    </row>
    <row r="1132" spans="2:18" x14ac:dyDescent="0.3">
      <c r="B1132" s="126"/>
      <c r="G1132" s="137"/>
      <c r="H1132" s="138"/>
      <c r="I1132" s="138"/>
      <c r="J1132" s="139"/>
      <c r="K1132" s="137"/>
      <c r="L1132" s="137"/>
      <c r="P1132" s="137"/>
      <c r="Q1132" s="137"/>
      <c r="R1132" s="126"/>
    </row>
    <row r="1133" spans="2:18" x14ac:dyDescent="0.3">
      <c r="B1133" s="126"/>
      <c r="G1133" s="137"/>
      <c r="H1133" s="138"/>
      <c r="I1133" s="138"/>
      <c r="J1133" s="139"/>
      <c r="K1133" s="137"/>
      <c r="L1133" s="137"/>
      <c r="P1133" s="137"/>
      <c r="Q1133" s="137"/>
      <c r="R1133" s="126"/>
    </row>
    <row r="1134" spans="2:18" x14ac:dyDescent="0.3">
      <c r="B1134" s="126"/>
      <c r="G1134" s="137"/>
      <c r="H1134" s="138"/>
      <c r="I1134" s="138"/>
      <c r="J1134" s="139"/>
      <c r="K1134" s="137"/>
      <c r="L1134" s="137"/>
      <c r="P1134" s="137"/>
      <c r="Q1134" s="137"/>
      <c r="R1134" s="126"/>
    </row>
    <row r="1135" spans="2:18" x14ac:dyDescent="0.3">
      <c r="B1135" s="126"/>
      <c r="G1135" s="137"/>
      <c r="H1135" s="138"/>
      <c r="I1135" s="138"/>
      <c r="J1135" s="139"/>
      <c r="K1135" s="137"/>
      <c r="L1135" s="137"/>
      <c r="P1135" s="137"/>
      <c r="Q1135" s="137"/>
      <c r="R1135" s="126"/>
    </row>
    <row r="1136" spans="2:18" x14ac:dyDescent="0.3">
      <c r="B1136" s="126"/>
      <c r="G1136" s="137"/>
      <c r="H1136" s="138"/>
      <c r="I1136" s="138"/>
      <c r="J1136" s="139"/>
      <c r="K1136" s="137"/>
      <c r="L1136" s="137"/>
      <c r="P1136" s="137"/>
      <c r="Q1136" s="137"/>
      <c r="R1136" s="126"/>
    </row>
    <row r="1137" spans="2:18" x14ac:dyDescent="0.3">
      <c r="B1137" s="126"/>
      <c r="G1137" s="137"/>
      <c r="H1137" s="138"/>
      <c r="I1137" s="138"/>
      <c r="J1137" s="139"/>
      <c r="K1137" s="137"/>
      <c r="L1137" s="137"/>
      <c r="P1137" s="137"/>
      <c r="Q1137" s="137"/>
      <c r="R1137" s="126"/>
    </row>
    <row r="1138" spans="2:18" x14ac:dyDescent="0.3">
      <c r="B1138" s="126"/>
      <c r="G1138" s="137"/>
      <c r="H1138" s="138"/>
      <c r="I1138" s="138"/>
      <c r="J1138" s="139"/>
      <c r="K1138" s="137"/>
      <c r="L1138" s="137"/>
      <c r="P1138" s="137"/>
      <c r="Q1138" s="137"/>
      <c r="R1138" s="126"/>
    </row>
    <row r="1139" spans="2:18" x14ac:dyDescent="0.3">
      <c r="B1139" s="126"/>
      <c r="G1139" s="137"/>
      <c r="H1139" s="138"/>
      <c r="I1139" s="138"/>
      <c r="J1139" s="139"/>
      <c r="K1139" s="137"/>
      <c r="L1139" s="137"/>
      <c r="P1139" s="137"/>
      <c r="Q1139" s="137"/>
      <c r="R1139" s="126"/>
    </row>
    <row r="1140" spans="2:18" x14ac:dyDescent="0.3">
      <c r="B1140" s="126"/>
      <c r="G1140" s="137"/>
      <c r="H1140" s="138"/>
      <c r="I1140" s="138"/>
      <c r="J1140" s="139"/>
      <c r="K1140" s="137"/>
      <c r="L1140" s="137"/>
      <c r="P1140" s="137"/>
      <c r="Q1140" s="137"/>
      <c r="R1140" s="126"/>
    </row>
    <row r="1141" spans="2:18" x14ac:dyDescent="0.3">
      <c r="B1141" s="126"/>
      <c r="G1141" s="137"/>
      <c r="H1141" s="138"/>
      <c r="I1141" s="138"/>
      <c r="J1141" s="139"/>
      <c r="K1141" s="137"/>
      <c r="L1141" s="137"/>
      <c r="P1141" s="137"/>
      <c r="Q1141" s="137"/>
      <c r="R1141" s="126"/>
    </row>
    <row r="1142" spans="2:18" x14ac:dyDescent="0.3">
      <c r="B1142" s="126"/>
      <c r="G1142" s="137"/>
      <c r="H1142" s="138"/>
      <c r="I1142" s="138"/>
      <c r="J1142" s="139"/>
      <c r="K1142" s="137"/>
      <c r="L1142" s="137"/>
      <c r="P1142" s="137"/>
      <c r="Q1142" s="137"/>
      <c r="R1142" s="126"/>
    </row>
    <row r="1143" spans="2:18" x14ac:dyDescent="0.3">
      <c r="B1143" s="126"/>
      <c r="G1143" s="137"/>
      <c r="H1143" s="138"/>
      <c r="I1143" s="138"/>
      <c r="J1143" s="139"/>
      <c r="K1143" s="137"/>
      <c r="L1143" s="137"/>
      <c r="P1143" s="137"/>
      <c r="Q1143" s="137"/>
      <c r="R1143" s="126"/>
    </row>
    <row r="1144" spans="2:18" x14ac:dyDescent="0.3">
      <c r="B1144" s="126"/>
      <c r="G1144" s="137"/>
      <c r="H1144" s="138"/>
      <c r="I1144" s="138"/>
      <c r="J1144" s="139"/>
      <c r="K1144" s="137"/>
      <c r="L1144" s="137"/>
      <c r="P1144" s="137"/>
      <c r="Q1144" s="137"/>
      <c r="R1144" s="126"/>
    </row>
    <row r="1145" spans="2:18" x14ac:dyDescent="0.3">
      <c r="B1145" s="126"/>
      <c r="G1145" s="137"/>
      <c r="H1145" s="138"/>
      <c r="I1145" s="138"/>
      <c r="J1145" s="139"/>
      <c r="K1145" s="137"/>
      <c r="L1145" s="137"/>
      <c r="P1145" s="137"/>
      <c r="Q1145" s="137"/>
      <c r="R1145" s="126"/>
    </row>
    <row r="1146" spans="2:18" x14ac:dyDescent="0.3">
      <c r="B1146" s="126"/>
      <c r="G1146" s="137"/>
      <c r="H1146" s="138"/>
      <c r="I1146" s="138"/>
      <c r="J1146" s="139"/>
      <c r="K1146" s="137"/>
      <c r="L1146" s="137"/>
      <c r="P1146" s="137"/>
      <c r="Q1146" s="137"/>
      <c r="R1146" s="126"/>
    </row>
    <row r="1147" spans="2:18" x14ac:dyDescent="0.3">
      <c r="B1147" s="126"/>
      <c r="G1147" s="137"/>
      <c r="H1147" s="138"/>
      <c r="I1147" s="138"/>
      <c r="J1147" s="139"/>
      <c r="K1147" s="137"/>
      <c r="L1147" s="137"/>
      <c r="P1147" s="137"/>
      <c r="Q1147" s="137"/>
      <c r="R1147" s="126"/>
    </row>
    <row r="1148" spans="2:18" x14ac:dyDescent="0.3">
      <c r="B1148" s="126"/>
      <c r="G1148" s="137"/>
      <c r="H1148" s="138"/>
      <c r="I1148" s="138"/>
      <c r="J1148" s="139"/>
      <c r="K1148" s="137"/>
      <c r="L1148" s="137"/>
      <c r="P1148" s="137"/>
      <c r="Q1148" s="137"/>
      <c r="R1148" s="126"/>
    </row>
    <row r="1149" spans="2:18" x14ac:dyDescent="0.3">
      <c r="B1149" s="126"/>
      <c r="G1149" s="137"/>
      <c r="H1149" s="138"/>
      <c r="I1149" s="138"/>
      <c r="J1149" s="139"/>
      <c r="K1149" s="137"/>
      <c r="L1149" s="137"/>
      <c r="P1149" s="137"/>
      <c r="Q1149" s="137"/>
      <c r="R1149" s="126"/>
    </row>
    <row r="1150" spans="2:18" x14ac:dyDescent="0.3">
      <c r="B1150" s="126"/>
      <c r="G1150" s="137"/>
      <c r="H1150" s="138"/>
      <c r="I1150" s="138"/>
      <c r="J1150" s="139"/>
      <c r="K1150" s="137"/>
      <c r="L1150" s="137"/>
      <c r="P1150" s="137"/>
      <c r="Q1150" s="137"/>
      <c r="R1150" s="126"/>
    </row>
    <row r="1151" spans="2:18" x14ac:dyDescent="0.3">
      <c r="B1151" s="126"/>
      <c r="G1151" s="137"/>
      <c r="H1151" s="138"/>
      <c r="I1151" s="138"/>
      <c r="J1151" s="139"/>
      <c r="K1151" s="137"/>
      <c r="L1151" s="137"/>
      <c r="P1151" s="137"/>
      <c r="Q1151" s="137"/>
      <c r="R1151" s="126"/>
    </row>
    <row r="1152" spans="2:18" x14ac:dyDescent="0.3">
      <c r="B1152" s="126"/>
      <c r="G1152" s="137"/>
      <c r="H1152" s="138"/>
      <c r="I1152" s="138"/>
      <c r="J1152" s="139"/>
      <c r="K1152" s="137"/>
      <c r="L1152" s="137"/>
      <c r="P1152" s="137"/>
      <c r="Q1152" s="137"/>
      <c r="R1152" s="126"/>
    </row>
    <row r="1153" spans="2:18" x14ac:dyDescent="0.3">
      <c r="B1153" s="126"/>
      <c r="G1153" s="137"/>
      <c r="H1153" s="138"/>
      <c r="I1153" s="138"/>
      <c r="J1153" s="139"/>
      <c r="K1153" s="137"/>
      <c r="L1153" s="137"/>
      <c r="P1153" s="137"/>
      <c r="Q1153" s="137"/>
      <c r="R1153" s="126"/>
    </row>
    <row r="1154" spans="2:18" x14ac:dyDescent="0.3">
      <c r="B1154" s="126"/>
      <c r="G1154" s="137"/>
      <c r="H1154" s="138"/>
      <c r="I1154" s="138"/>
      <c r="J1154" s="139"/>
      <c r="K1154" s="137"/>
      <c r="L1154" s="137"/>
      <c r="P1154" s="137"/>
      <c r="Q1154" s="137"/>
      <c r="R1154" s="126"/>
    </row>
    <row r="1155" spans="2:18" x14ac:dyDescent="0.3">
      <c r="B1155" s="126"/>
      <c r="G1155" s="137"/>
      <c r="H1155" s="138"/>
      <c r="I1155" s="138"/>
      <c r="J1155" s="139"/>
      <c r="K1155" s="137"/>
      <c r="L1155" s="137"/>
      <c r="P1155" s="137"/>
      <c r="Q1155" s="137"/>
      <c r="R1155" s="126"/>
    </row>
    <row r="1156" spans="2:18" x14ac:dyDescent="0.3">
      <c r="B1156" s="126"/>
      <c r="G1156" s="137"/>
      <c r="H1156" s="138"/>
      <c r="I1156" s="138"/>
      <c r="J1156" s="139"/>
      <c r="K1156" s="137"/>
      <c r="L1156" s="137"/>
      <c r="P1156" s="137"/>
      <c r="Q1156" s="137"/>
      <c r="R1156" s="126"/>
    </row>
    <row r="1157" spans="2:18" x14ac:dyDescent="0.3">
      <c r="B1157" s="126"/>
      <c r="G1157" s="137"/>
      <c r="H1157" s="138"/>
      <c r="I1157" s="138"/>
      <c r="J1157" s="139"/>
      <c r="K1157" s="137"/>
      <c r="L1157" s="137"/>
      <c r="P1157" s="137"/>
      <c r="Q1157" s="137"/>
      <c r="R1157" s="126"/>
    </row>
    <row r="1158" spans="2:18" x14ac:dyDescent="0.3">
      <c r="B1158" s="126"/>
      <c r="G1158" s="137"/>
      <c r="H1158" s="138"/>
      <c r="I1158" s="138"/>
      <c r="J1158" s="139"/>
      <c r="K1158" s="137"/>
      <c r="L1158" s="137"/>
      <c r="P1158" s="137"/>
      <c r="Q1158" s="137"/>
      <c r="R1158" s="126"/>
    </row>
    <row r="1159" spans="2:18" x14ac:dyDescent="0.3">
      <c r="B1159" s="126"/>
      <c r="G1159" s="137"/>
      <c r="H1159" s="138"/>
      <c r="I1159" s="138"/>
      <c r="J1159" s="139"/>
      <c r="K1159" s="137"/>
      <c r="L1159" s="137"/>
      <c r="P1159" s="137"/>
      <c r="Q1159" s="137"/>
      <c r="R1159" s="126"/>
    </row>
    <row r="1160" spans="2:18" x14ac:dyDescent="0.3">
      <c r="B1160" s="126"/>
      <c r="G1160" s="137"/>
      <c r="H1160" s="138"/>
      <c r="I1160" s="138"/>
      <c r="J1160" s="139"/>
      <c r="K1160" s="137"/>
      <c r="L1160" s="137"/>
      <c r="P1160" s="137"/>
      <c r="Q1160" s="137"/>
      <c r="R1160" s="126"/>
    </row>
    <row r="1161" spans="2:18" x14ac:dyDescent="0.3">
      <c r="B1161" s="126"/>
      <c r="G1161" s="137"/>
      <c r="H1161" s="138"/>
      <c r="I1161" s="138"/>
      <c r="J1161" s="139"/>
      <c r="K1161" s="137"/>
      <c r="L1161" s="137"/>
      <c r="P1161" s="137"/>
      <c r="Q1161" s="137"/>
      <c r="R1161" s="126"/>
    </row>
    <row r="1162" spans="2:18" x14ac:dyDescent="0.3">
      <c r="B1162" s="126"/>
      <c r="G1162" s="137"/>
      <c r="H1162" s="138"/>
      <c r="I1162" s="138"/>
      <c r="J1162" s="139"/>
      <c r="K1162" s="137"/>
      <c r="L1162" s="137"/>
      <c r="P1162" s="137"/>
      <c r="Q1162" s="137"/>
      <c r="R1162" s="126"/>
    </row>
    <row r="1163" spans="2:18" x14ac:dyDescent="0.3">
      <c r="B1163" s="126"/>
      <c r="G1163" s="137"/>
      <c r="H1163" s="138"/>
      <c r="I1163" s="138"/>
      <c r="J1163" s="139"/>
      <c r="K1163" s="137"/>
      <c r="L1163" s="137"/>
      <c r="P1163" s="137"/>
      <c r="Q1163" s="137"/>
      <c r="R1163" s="126"/>
    </row>
    <row r="1164" spans="2:18" x14ac:dyDescent="0.3">
      <c r="B1164" s="126"/>
      <c r="G1164" s="137"/>
      <c r="H1164" s="138"/>
      <c r="I1164" s="138"/>
      <c r="J1164" s="139"/>
      <c r="K1164" s="137"/>
      <c r="L1164" s="137"/>
      <c r="P1164" s="137"/>
      <c r="Q1164" s="137"/>
      <c r="R1164" s="126"/>
    </row>
    <row r="1165" spans="2:18" x14ac:dyDescent="0.3">
      <c r="B1165" s="126"/>
      <c r="G1165" s="137"/>
      <c r="H1165" s="138"/>
      <c r="I1165" s="138"/>
      <c r="J1165" s="139"/>
      <c r="K1165" s="137"/>
      <c r="L1165" s="137"/>
      <c r="P1165" s="137"/>
      <c r="Q1165" s="137"/>
      <c r="R1165" s="126"/>
    </row>
    <row r="1166" spans="2:18" x14ac:dyDescent="0.3">
      <c r="B1166" s="126"/>
      <c r="G1166" s="137"/>
      <c r="H1166" s="138"/>
      <c r="I1166" s="138"/>
      <c r="J1166" s="139"/>
      <c r="K1166" s="137"/>
      <c r="L1166" s="137"/>
      <c r="P1166" s="137"/>
      <c r="Q1166" s="137"/>
      <c r="R1166" s="126"/>
    </row>
    <row r="1167" spans="2:18" x14ac:dyDescent="0.3">
      <c r="B1167" s="126"/>
      <c r="G1167" s="137"/>
      <c r="H1167" s="138"/>
      <c r="I1167" s="138"/>
      <c r="J1167" s="139"/>
      <c r="K1167" s="137"/>
      <c r="L1167" s="137"/>
      <c r="P1167" s="137"/>
      <c r="Q1167" s="137"/>
      <c r="R1167" s="126"/>
    </row>
    <row r="1168" spans="2:18" x14ac:dyDescent="0.3">
      <c r="B1168" s="126"/>
      <c r="G1168" s="137"/>
      <c r="H1168" s="138"/>
      <c r="I1168" s="138"/>
      <c r="J1168" s="139"/>
      <c r="K1168" s="137"/>
      <c r="L1168" s="137"/>
      <c r="P1168" s="137"/>
      <c r="Q1168" s="137"/>
      <c r="R1168" s="126"/>
    </row>
    <row r="1169" spans="2:18" x14ac:dyDescent="0.3">
      <c r="B1169" s="126"/>
      <c r="G1169" s="137"/>
      <c r="H1169" s="138"/>
      <c r="I1169" s="138"/>
      <c r="J1169" s="139"/>
      <c r="K1169" s="137"/>
      <c r="L1169" s="137"/>
      <c r="P1169" s="137"/>
      <c r="Q1169" s="137"/>
      <c r="R1169" s="126"/>
    </row>
    <row r="1170" spans="2:18" x14ac:dyDescent="0.3">
      <c r="B1170" s="126"/>
      <c r="G1170" s="137"/>
      <c r="H1170" s="138"/>
      <c r="I1170" s="138"/>
      <c r="J1170" s="139"/>
      <c r="K1170" s="137"/>
      <c r="L1170" s="137"/>
      <c r="P1170" s="137"/>
      <c r="Q1170" s="137"/>
      <c r="R1170" s="126"/>
    </row>
    <row r="1171" spans="2:18" x14ac:dyDescent="0.3">
      <c r="B1171" s="126"/>
      <c r="G1171" s="137"/>
      <c r="H1171" s="138"/>
      <c r="I1171" s="138"/>
      <c r="J1171" s="139"/>
      <c r="K1171" s="137"/>
      <c r="L1171" s="137"/>
      <c r="P1171" s="137"/>
      <c r="Q1171" s="137"/>
      <c r="R1171" s="126"/>
    </row>
    <row r="1172" spans="2:18" x14ac:dyDescent="0.3">
      <c r="B1172" s="126"/>
      <c r="G1172" s="137"/>
      <c r="H1172" s="138"/>
      <c r="I1172" s="138"/>
      <c r="J1172" s="139"/>
      <c r="K1172" s="137"/>
      <c r="L1172" s="137"/>
      <c r="P1172" s="137"/>
      <c r="Q1172" s="137"/>
      <c r="R1172" s="126"/>
    </row>
    <row r="1173" spans="2:18" x14ac:dyDescent="0.3">
      <c r="B1173" s="126"/>
      <c r="G1173" s="137"/>
      <c r="H1173" s="138"/>
      <c r="I1173" s="138"/>
      <c r="J1173" s="139"/>
      <c r="K1173" s="137"/>
      <c r="L1173" s="137"/>
      <c r="P1173" s="137"/>
      <c r="Q1173" s="137"/>
      <c r="R1173" s="126"/>
    </row>
    <row r="1174" spans="2:18" x14ac:dyDescent="0.3">
      <c r="B1174" s="126"/>
      <c r="G1174" s="137"/>
      <c r="H1174" s="138"/>
      <c r="I1174" s="138"/>
      <c r="J1174" s="139"/>
      <c r="K1174" s="137"/>
      <c r="L1174" s="137"/>
      <c r="P1174" s="137"/>
      <c r="Q1174" s="137"/>
      <c r="R1174" s="126"/>
    </row>
    <row r="1175" spans="2:18" x14ac:dyDescent="0.3">
      <c r="B1175" s="126"/>
      <c r="G1175" s="137"/>
      <c r="H1175" s="138"/>
      <c r="I1175" s="138"/>
      <c r="J1175" s="139"/>
      <c r="K1175" s="137"/>
      <c r="L1175" s="137"/>
      <c r="P1175" s="137"/>
      <c r="Q1175" s="137"/>
      <c r="R1175" s="126"/>
    </row>
    <row r="1176" spans="2:18" x14ac:dyDescent="0.3">
      <c r="B1176" s="126"/>
      <c r="G1176" s="137"/>
      <c r="H1176" s="138"/>
      <c r="I1176" s="138"/>
      <c r="J1176" s="139"/>
      <c r="K1176" s="137"/>
      <c r="L1176" s="137"/>
      <c r="P1176" s="137"/>
      <c r="Q1176" s="137"/>
      <c r="R1176" s="126"/>
    </row>
    <row r="1177" spans="2:18" x14ac:dyDescent="0.3">
      <c r="B1177" s="126"/>
      <c r="G1177" s="137"/>
      <c r="H1177" s="138"/>
      <c r="I1177" s="138"/>
      <c r="J1177" s="139"/>
      <c r="K1177" s="137"/>
      <c r="L1177" s="137"/>
      <c r="P1177" s="137"/>
      <c r="Q1177" s="137"/>
      <c r="R1177" s="126"/>
    </row>
    <row r="1178" spans="2:18" x14ac:dyDescent="0.3">
      <c r="B1178" s="126"/>
      <c r="G1178" s="137"/>
      <c r="H1178" s="138"/>
      <c r="I1178" s="138"/>
      <c r="J1178" s="139"/>
      <c r="K1178" s="137"/>
      <c r="L1178" s="137"/>
      <c r="P1178" s="137"/>
      <c r="Q1178" s="137"/>
      <c r="R1178" s="126"/>
    </row>
    <row r="1179" spans="2:18" x14ac:dyDescent="0.3">
      <c r="B1179" s="126"/>
      <c r="G1179" s="137"/>
      <c r="H1179" s="138"/>
      <c r="I1179" s="138"/>
      <c r="J1179" s="139"/>
      <c r="K1179" s="137"/>
      <c r="L1179" s="137"/>
      <c r="P1179" s="137"/>
      <c r="Q1179" s="137"/>
      <c r="R1179" s="126"/>
    </row>
    <row r="1180" spans="2:18" x14ac:dyDescent="0.3">
      <c r="B1180" s="126"/>
      <c r="G1180" s="137"/>
      <c r="H1180" s="138"/>
      <c r="I1180" s="138"/>
      <c r="J1180" s="139"/>
      <c r="K1180" s="137"/>
      <c r="L1180" s="137"/>
      <c r="P1180" s="137"/>
      <c r="Q1180" s="137"/>
      <c r="R1180" s="126"/>
    </row>
    <row r="1181" spans="2:18" x14ac:dyDescent="0.3">
      <c r="B1181" s="126"/>
      <c r="G1181" s="137"/>
      <c r="H1181" s="138"/>
      <c r="I1181" s="138"/>
      <c r="J1181" s="139"/>
      <c r="K1181" s="137"/>
      <c r="L1181" s="137"/>
      <c r="P1181" s="137"/>
      <c r="Q1181" s="137"/>
      <c r="R1181" s="126"/>
    </row>
    <row r="1182" spans="2:18" x14ac:dyDescent="0.3">
      <c r="B1182" s="126"/>
      <c r="G1182" s="137"/>
      <c r="H1182" s="138"/>
      <c r="I1182" s="138"/>
      <c r="J1182" s="139"/>
      <c r="K1182" s="137"/>
      <c r="L1182" s="137"/>
      <c r="P1182" s="137"/>
      <c r="Q1182" s="137"/>
      <c r="R1182" s="126"/>
    </row>
    <row r="1183" spans="2:18" x14ac:dyDescent="0.3">
      <c r="B1183" s="126"/>
      <c r="G1183" s="137"/>
      <c r="H1183" s="138"/>
      <c r="I1183" s="138"/>
      <c r="J1183" s="139"/>
      <c r="K1183" s="137"/>
      <c r="L1183" s="137"/>
      <c r="P1183" s="137"/>
      <c r="Q1183" s="137"/>
      <c r="R1183" s="126"/>
    </row>
    <row r="1184" spans="2:18" x14ac:dyDescent="0.3">
      <c r="B1184" s="126"/>
      <c r="G1184" s="137"/>
      <c r="H1184" s="138"/>
      <c r="I1184" s="138"/>
      <c r="J1184" s="139"/>
      <c r="K1184" s="137"/>
      <c r="L1184" s="137"/>
      <c r="P1184" s="137"/>
      <c r="Q1184" s="137"/>
      <c r="R1184" s="126"/>
    </row>
    <row r="1185" spans="2:18" x14ac:dyDescent="0.3">
      <c r="B1185" s="126"/>
      <c r="G1185" s="137"/>
      <c r="H1185" s="138"/>
      <c r="I1185" s="138"/>
      <c r="J1185" s="139"/>
      <c r="K1185" s="137"/>
      <c r="L1185" s="137"/>
      <c r="P1185" s="137"/>
      <c r="Q1185" s="137"/>
      <c r="R1185" s="126"/>
    </row>
    <row r="1186" spans="2:18" x14ac:dyDescent="0.3">
      <c r="B1186" s="126"/>
      <c r="G1186" s="137"/>
      <c r="H1186" s="138"/>
      <c r="I1186" s="138"/>
      <c r="J1186" s="139"/>
      <c r="K1186" s="137"/>
      <c r="L1186" s="137"/>
      <c r="P1186" s="137"/>
      <c r="Q1186" s="137"/>
      <c r="R1186" s="126"/>
    </row>
    <row r="1187" spans="2:18" x14ac:dyDescent="0.3">
      <c r="B1187" s="126"/>
      <c r="G1187" s="137"/>
      <c r="H1187" s="138"/>
      <c r="I1187" s="138"/>
      <c r="J1187" s="139"/>
      <c r="K1187" s="137"/>
      <c r="L1187" s="137"/>
      <c r="P1187" s="137"/>
      <c r="Q1187" s="137"/>
      <c r="R1187" s="126"/>
    </row>
    <row r="1188" spans="2:18" x14ac:dyDescent="0.3">
      <c r="B1188" s="126"/>
      <c r="G1188" s="137"/>
      <c r="H1188" s="138"/>
      <c r="I1188" s="138"/>
      <c r="J1188" s="139"/>
      <c r="K1188" s="137"/>
      <c r="L1188" s="137"/>
      <c r="P1188" s="137"/>
      <c r="Q1188" s="137"/>
      <c r="R1188" s="126"/>
    </row>
    <row r="1189" spans="2:18" x14ac:dyDescent="0.3">
      <c r="B1189" s="126"/>
      <c r="G1189" s="137"/>
      <c r="H1189" s="138"/>
      <c r="I1189" s="138"/>
      <c r="J1189" s="139"/>
      <c r="K1189" s="137"/>
      <c r="L1189" s="137"/>
      <c r="P1189" s="137"/>
      <c r="Q1189" s="137"/>
      <c r="R1189" s="126"/>
    </row>
    <row r="1190" spans="2:18" x14ac:dyDescent="0.3">
      <c r="B1190" s="126"/>
      <c r="G1190" s="137"/>
      <c r="H1190" s="138"/>
      <c r="I1190" s="138"/>
      <c r="J1190" s="139"/>
      <c r="K1190" s="137"/>
      <c r="L1190" s="137"/>
      <c r="P1190" s="137"/>
      <c r="Q1190" s="137"/>
      <c r="R1190" s="126"/>
    </row>
    <row r="1191" spans="2:18" x14ac:dyDescent="0.3">
      <c r="B1191" s="126"/>
      <c r="G1191" s="137"/>
      <c r="H1191" s="138"/>
      <c r="I1191" s="138"/>
      <c r="J1191" s="139"/>
      <c r="K1191" s="137"/>
      <c r="L1191" s="137"/>
      <c r="P1191" s="137"/>
      <c r="Q1191" s="137"/>
      <c r="R1191" s="126"/>
    </row>
    <row r="1192" spans="2:18" x14ac:dyDescent="0.3">
      <c r="B1192" s="126"/>
      <c r="G1192" s="137"/>
      <c r="H1192" s="138"/>
      <c r="I1192" s="138"/>
      <c r="J1192" s="139"/>
      <c r="K1192" s="137"/>
      <c r="L1192" s="137"/>
      <c r="P1192" s="137"/>
      <c r="Q1192" s="137"/>
      <c r="R1192" s="126"/>
    </row>
    <row r="1193" spans="2:18" x14ac:dyDescent="0.3">
      <c r="B1193" s="126"/>
      <c r="G1193" s="137"/>
      <c r="H1193" s="138"/>
      <c r="I1193" s="138"/>
      <c r="J1193" s="139"/>
      <c r="K1193" s="137"/>
      <c r="L1193" s="137"/>
      <c r="P1193" s="137"/>
      <c r="Q1193" s="137"/>
      <c r="R1193" s="126"/>
    </row>
    <row r="1194" spans="2:18" x14ac:dyDescent="0.3">
      <c r="B1194" s="126"/>
      <c r="G1194" s="137"/>
      <c r="H1194" s="138"/>
      <c r="I1194" s="138"/>
      <c r="J1194" s="139"/>
      <c r="K1194" s="137"/>
      <c r="L1194" s="137"/>
      <c r="P1194" s="137"/>
      <c r="Q1194" s="137"/>
      <c r="R1194" s="126"/>
    </row>
    <row r="1195" spans="2:18" x14ac:dyDescent="0.3">
      <c r="B1195" s="126"/>
      <c r="G1195" s="137"/>
      <c r="H1195" s="138"/>
      <c r="I1195" s="138"/>
      <c r="J1195" s="139"/>
      <c r="K1195" s="137"/>
      <c r="L1195" s="137"/>
      <c r="P1195" s="137"/>
      <c r="Q1195" s="137"/>
      <c r="R1195" s="126"/>
    </row>
    <row r="1196" spans="2:18" x14ac:dyDescent="0.3">
      <c r="B1196" s="126"/>
      <c r="G1196" s="137"/>
      <c r="H1196" s="138"/>
      <c r="I1196" s="138"/>
      <c r="J1196" s="139"/>
      <c r="K1196" s="137"/>
      <c r="L1196" s="137"/>
      <c r="P1196" s="137"/>
      <c r="Q1196" s="137"/>
      <c r="R1196" s="126"/>
    </row>
    <row r="1197" spans="2:18" x14ac:dyDescent="0.3">
      <c r="B1197" s="126"/>
      <c r="G1197" s="137"/>
      <c r="H1197" s="138"/>
      <c r="I1197" s="138"/>
      <c r="J1197" s="139"/>
      <c r="K1197" s="137"/>
      <c r="L1197" s="137"/>
      <c r="P1197" s="137"/>
      <c r="Q1197" s="137"/>
      <c r="R1197" s="126"/>
    </row>
    <row r="1198" spans="2:18" x14ac:dyDescent="0.3">
      <c r="B1198" s="126"/>
      <c r="G1198" s="137"/>
      <c r="H1198" s="138"/>
      <c r="I1198" s="138"/>
      <c r="J1198" s="139"/>
      <c r="K1198" s="137"/>
      <c r="L1198" s="137"/>
      <c r="P1198" s="137"/>
      <c r="Q1198" s="137"/>
      <c r="R1198" s="126"/>
    </row>
    <row r="1199" spans="2:18" x14ac:dyDescent="0.3">
      <c r="B1199" s="126"/>
      <c r="G1199" s="137"/>
      <c r="H1199" s="138"/>
      <c r="I1199" s="138"/>
      <c r="J1199" s="139"/>
      <c r="K1199" s="137"/>
      <c r="L1199" s="137"/>
      <c r="P1199" s="137"/>
      <c r="Q1199" s="137"/>
      <c r="R1199" s="126"/>
    </row>
    <row r="1200" spans="2:18" x14ac:dyDescent="0.3">
      <c r="B1200" s="126"/>
      <c r="G1200" s="137"/>
      <c r="H1200" s="138"/>
      <c r="I1200" s="138"/>
      <c r="J1200" s="139"/>
      <c r="K1200" s="137"/>
      <c r="L1200" s="137"/>
      <c r="P1200" s="137"/>
      <c r="Q1200" s="137"/>
      <c r="R1200" s="126"/>
    </row>
    <row r="1201" spans="2:18" x14ac:dyDescent="0.3">
      <c r="B1201" s="126"/>
      <c r="G1201" s="137"/>
      <c r="H1201" s="138"/>
      <c r="I1201" s="138"/>
      <c r="J1201" s="139"/>
      <c r="K1201" s="137"/>
      <c r="L1201" s="137"/>
      <c r="P1201" s="137"/>
      <c r="Q1201" s="137"/>
      <c r="R1201" s="126"/>
    </row>
    <row r="1202" spans="2:18" x14ac:dyDescent="0.3">
      <c r="B1202" s="126"/>
      <c r="G1202" s="137"/>
      <c r="H1202" s="138"/>
      <c r="I1202" s="138"/>
      <c r="J1202" s="139"/>
      <c r="K1202" s="137"/>
      <c r="L1202" s="137"/>
      <c r="P1202" s="137"/>
      <c r="Q1202" s="137"/>
      <c r="R1202" s="126"/>
    </row>
    <row r="1203" spans="2:18" x14ac:dyDescent="0.3">
      <c r="B1203" s="126"/>
      <c r="G1203" s="137"/>
      <c r="H1203" s="138"/>
      <c r="I1203" s="138"/>
      <c r="J1203" s="139"/>
      <c r="K1203" s="137"/>
      <c r="L1203" s="137"/>
      <c r="P1203" s="137"/>
      <c r="Q1203" s="137"/>
      <c r="R1203" s="126"/>
    </row>
    <row r="1204" spans="2:18" x14ac:dyDescent="0.3">
      <c r="B1204" s="126"/>
      <c r="G1204" s="137"/>
      <c r="H1204" s="138"/>
      <c r="I1204" s="138"/>
      <c r="J1204" s="139"/>
      <c r="K1204" s="137"/>
      <c r="L1204" s="137"/>
      <c r="P1204" s="137"/>
      <c r="Q1204" s="137"/>
      <c r="R1204" s="126"/>
    </row>
    <row r="1205" spans="2:18" x14ac:dyDescent="0.3">
      <c r="B1205" s="126"/>
      <c r="G1205" s="137"/>
      <c r="H1205" s="138"/>
      <c r="I1205" s="138"/>
      <c r="J1205" s="139"/>
      <c r="K1205" s="137"/>
      <c r="L1205" s="137"/>
      <c r="P1205" s="137"/>
      <c r="Q1205" s="137"/>
      <c r="R1205" s="126"/>
    </row>
    <row r="1206" spans="2:18" x14ac:dyDescent="0.3">
      <c r="B1206" s="126"/>
      <c r="G1206" s="137"/>
      <c r="H1206" s="138"/>
      <c r="I1206" s="138"/>
      <c r="J1206" s="139"/>
      <c r="K1206" s="137"/>
      <c r="L1206" s="137"/>
      <c r="P1206" s="137"/>
      <c r="Q1206" s="137"/>
      <c r="R1206" s="126"/>
    </row>
    <row r="1207" spans="2:18" x14ac:dyDescent="0.3">
      <c r="B1207" s="126"/>
      <c r="G1207" s="137"/>
      <c r="H1207" s="138"/>
      <c r="I1207" s="138"/>
      <c r="J1207" s="139"/>
      <c r="K1207" s="137"/>
      <c r="L1207" s="137"/>
      <c r="P1207" s="137"/>
      <c r="Q1207" s="137"/>
      <c r="R1207" s="126"/>
    </row>
    <row r="1208" spans="2:18" x14ac:dyDescent="0.3">
      <c r="B1208" s="126"/>
      <c r="G1208" s="137"/>
      <c r="H1208" s="138"/>
      <c r="I1208" s="138"/>
      <c r="J1208" s="139"/>
      <c r="K1208" s="137"/>
      <c r="L1208" s="137"/>
      <c r="P1208" s="137"/>
      <c r="Q1208" s="137"/>
      <c r="R1208" s="126"/>
    </row>
    <row r="1209" spans="2:18" x14ac:dyDescent="0.3">
      <c r="B1209" s="126"/>
      <c r="G1209" s="137"/>
      <c r="H1209" s="138"/>
      <c r="I1209" s="138"/>
      <c r="J1209" s="139"/>
      <c r="K1209" s="137"/>
      <c r="L1209" s="137"/>
      <c r="P1209" s="137"/>
      <c r="Q1209" s="137"/>
      <c r="R1209" s="126"/>
    </row>
    <row r="1210" spans="2:18" x14ac:dyDescent="0.3">
      <c r="B1210" s="126"/>
      <c r="G1210" s="137"/>
      <c r="H1210" s="138"/>
      <c r="I1210" s="138"/>
      <c r="J1210" s="139"/>
      <c r="K1210" s="137"/>
      <c r="L1210" s="137"/>
      <c r="P1210" s="137"/>
      <c r="Q1210" s="137"/>
      <c r="R1210" s="126"/>
    </row>
    <row r="1211" spans="2:18" x14ac:dyDescent="0.3">
      <c r="B1211" s="126"/>
      <c r="G1211" s="137"/>
      <c r="H1211" s="138"/>
      <c r="I1211" s="138"/>
      <c r="J1211" s="139"/>
      <c r="K1211" s="137"/>
      <c r="L1211" s="137"/>
      <c r="P1211" s="137"/>
      <c r="Q1211" s="137"/>
      <c r="R1211" s="126"/>
    </row>
    <row r="1212" spans="2:18" x14ac:dyDescent="0.3">
      <c r="B1212" s="126"/>
      <c r="G1212" s="137"/>
      <c r="H1212" s="138"/>
      <c r="I1212" s="138"/>
      <c r="J1212" s="139"/>
      <c r="K1212" s="137"/>
      <c r="L1212" s="137"/>
      <c r="P1212" s="137"/>
      <c r="Q1212" s="137"/>
      <c r="R1212" s="126"/>
    </row>
    <row r="1213" spans="2:18" x14ac:dyDescent="0.3">
      <c r="B1213" s="126"/>
      <c r="G1213" s="137"/>
      <c r="H1213" s="138"/>
      <c r="I1213" s="138"/>
      <c r="J1213" s="139"/>
      <c r="K1213" s="137"/>
      <c r="L1213" s="137"/>
      <c r="P1213" s="137"/>
      <c r="Q1213" s="137"/>
      <c r="R1213" s="126"/>
    </row>
    <row r="1214" spans="2:18" x14ac:dyDescent="0.3">
      <c r="B1214" s="126"/>
      <c r="G1214" s="137"/>
      <c r="H1214" s="138"/>
      <c r="I1214" s="138"/>
      <c r="J1214" s="139"/>
      <c r="K1214" s="137"/>
      <c r="L1214" s="137"/>
      <c r="P1214" s="137"/>
      <c r="Q1214" s="137"/>
      <c r="R1214" s="126"/>
    </row>
    <row r="1215" spans="2:18" x14ac:dyDescent="0.3">
      <c r="B1215" s="126"/>
      <c r="G1215" s="137"/>
      <c r="H1215" s="138"/>
      <c r="I1215" s="138"/>
      <c r="J1215" s="139"/>
      <c r="K1215" s="137"/>
      <c r="L1215" s="137"/>
      <c r="P1215" s="137"/>
      <c r="Q1215" s="137"/>
      <c r="R1215" s="126"/>
    </row>
    <row r="1216" spans="2:18" x14ac:dyDescent="0.3">
      <c r="B1216" s="126"/>
      <c r="G1216" s="137"/>
      <c r="H1216" s="138"/>
      <c r="I1216" s="138"/>
      <c r="J1216" s="139"/>
      <c r="K1216" s="137"/>
      <c r="L1216" s="137"/>
      <c r="P1216" s="137"/>
      <c r="Q1216" s="137"/>
      <c r="R1216" s="126"/>
    </row>
    <row r="1217" spans="2:18" x14ac:dyDescent="0.3">
      <c r="B1217" s="126"/>
      <c r="G1217" s="137"/>
      <c r="H1217" s="138"/>
      <c r="I1217" s="138"/>
      <c r="J1217" s="139"/>
      <c r="K1217" s="137"/>
      <c r="L1217" s="137"/>
      <c r="P1217" s="137"/>
      <c r="Q1217" s="137"/>
      <c r="R1217" s="126"/>
    </row>
    <row r="1218" spans="2:18" x14ac:dyDescent="0.3">
      <c r="B1218" s="126"/>
      <c r="G1218" s="137"/>
      <c r="H1218" s="138"/>
      <c r="I1218" s="138"/>
      <c r="J1218" s="139"/>
      <c r="K1218" s="137"/>
      <c r="L1218" s="137"/>
      <c r="P1218" s="137"/>
      <c r="Q1218" s="137"/>
      <c r="R1218" s="126"/>
    </row>
    <row r="1219" spans="2:18" x14ac:dyDescent="0.3">
      <c r="B1219" s="126"/>
      <c r="G1219" s="137"/>
      <c r="H1219" s="138"/>
      <c r="I1219" s="138"/>
      <c r="J1219" s="139"/>
      <c r="K1219" s="137"/>
      <c r="L1219" s="137"/>
      <c r="P1219" s="137"/>
      <c r="Q1219" s="137"/>
      <c r="R1219" s="126"/>
    </row>
    <row r="1220" spans="2:18" x14ac:dyDescent="0.3">
      <c r="B1220" s="126"/>
      <c r="G1220" s="137"/>
      <c r="H1220" s="138"/>
      <c r="I1220" s="138"/>
      <c r="J1220" s="139"/>
      <c r="K1220" s="137"/>
      <c r="L1220" s="137"/>
      <c r="P1220" s="137"/>
      <c r="Q1220" s="137"/>
      <c r="R1220" s="126"/>
    </row>
    <row r="1221" spans="2:18" x14ac:dyDescent="0.3">
      <c r="B1221" s="126"/>
      <c r="G1221" s="137"/>
      <c r="H1221" s="138"/>
      <c r="I1221" s="138"/>
      <c r="J1221" s="139"/>
      <c r="K1221" s="137"/>
      <c r="L1221" s="137"/>
      <c r="P1221" s="137"/>
      <c r="Q1221" s="137"/>
      <c r="R1221" s="126"/>
    </row>
    <row r="1222" spans="2:18" x14ac:dyDescent="0.3">
      <c r="B1222" s="126"/>
      <c r="G1222" s="137"/>
      <c r="H1222" s="138"/>
      <c r="I1222" s="138"/>
      <c r="J1222" s="139"/>
      <c r="K1222" s="137"/>
      <c r="L1222" s="137"/>
      <c r="P1222" s="137"/>
      <c r="Q1222" s="137"/>
      <c r="R1222" s="126"/>
    </row>
    <row r="1223" spans="2:18" x14ac:dyDescent="0.3">
      <c r="B1223" s="126"/>
      <c r="G1223" s="137"/>
      <c r="H1223" s="138"/>
      <c r="I1223" s="138"/>
      <c r="J1223" s="139"/>
      <c r="K1223" s="137"/>
      <c r="L1223" s="137"/>
      <c r="P1223" s="137"/>
      <c r="Q1223" s="137"/>
      <c r="R1223" s="126"/>
    </row>
    <row r="1224" spans="2:18" x14ac:dyDescent="0.3">
      <c r="B1224" s="126"/>
      <c r="G1224" s="137"/>
      <c r="H1224" s="138"/>
      <c r="I1224" s="138"/>
      <c r="J1224" s="139"/>
      <c r="K1224" s="137"/>
      <c r="L1224" s="137"/>
      <c r="P1224" s="137"/>
      <c r="Q1224" s="137"/>
      <c r="R1224" s="126"/>
    </row>
    <row r="1225" spans="2:18" x14ac:dyDescent="0.3">
      <c r="B1225" s="126"/>
      <c r="G1225" s="137"/>
      <c r="H1225" s="138"/>
      <c r="I1225" s="138"/>
      <c r="J1225" s="139"/>
      <c r="K1225" s="137"/>
      <c r="L1225" s="137"/>
      <c r="P1225" s="137"/>
      <c r="Q1225" s="137"/>
      <c r="R1225" s="126"/>
    </row>
    <row r="1226" spans="2:18" x14ac:dyDescent="0.3">
      <c r="B1226" s="126"/>
      <c r="G1226" s="137"/>
      <c r="H1226" s="138"/>
      <c r="I1226" s="138"/>
      <c r="J1226" s="139"/>
      <c r="K1226" s="137"/>
      <c r="L1226" s="137"/>
      <c r="P1226" s="137"/>
      <c r="Q1226" s="137"/>
      <c r="R1226" s="126"/>
    </row>
    <row r="1227" spans="2:18" x14ac:dyDescent="0.3">
      <c r="B1227" s="126"/>
      <c r="G1227" s="137"/>
      <c r="H1227" s="138"/>
      <c r="I1227" s="138"/>
      <c r="J1227" s="139"/>
      <c r="K1227" s="137"/>
      <c r="L1227" s="137"/>
      <c r="P1227" s="137"/>
      <c r="Q1227" s="137"/>
      <c r="R1227" s="126"/>
    </row>
    <row r="1228" spans="2:18" x14ac:dyDescent="0.3">
      <c r="B1228" s="126"/>
      <c r="G1228" s="137"/>
      <c r="H1228" s="138"/>
      <c r="I1228" s="138"/>
      <c r="J1228" s="139"/>
      <c r="K1228" s="137"/>
      <c r="L1228" s="137"/>
      <c r="P1228" s="137"/>
      <c r="Q1228" s="137"/>
      <c r="R1228" s="126"/>
    </row>
    <row r="1229" spans="2:18" x14ac:dyDescent="0.3">
      <c r="B1229" s="126"/>
      <c r="G1229" s="137"/>
      <c r="H1229" s="138"/>
      <c r="I1229" s="138"/>
      <c r="J1229" s="139"/>
      <c r="K1229" s="137"/>
      <c r="L1229" s="137"/>
      <c r="P1229" s="137"/>
      <c r="Q1229" s="137"/>
      <c r="R1229" s="126"/>
    </row>
    <row r="1230" spans="2:18" x14ac:dyDescent="0.3">
      <c r="B1230" s="126"/>
      <c r="G1230" s="137"/>
      <c r="H1230" s="138"/>
      <c r="I1230" s="138"/>
      <c r="J1230" s="139"/>
      <c r="K1230" s="137"/>
      <c r="L1230" s="137"/>
      <c r="P1230" s="137"/>
      <c r="Q1230" s="137"/>
      <c r="R1230" s="126"/>
    </row>
    <row r="1231" spans="2:18" x14ac:dyDescent="0.3">
      <c r="B1231" s="126"/>
      <c r="G1231" s="137"/>
      <c r="H1231" s="138"/>
      <c r="I1231" s="138"/>
      <c r="J1231" s="139"/>
      <c r="K1231" s="137"/>
      <c r="L1231" s="137"/>
      <c r="P1231" s="137"/>
      <c r="Q1231" s="137"/>
      <c r="R1231" s="126"/>
    </row>
    <row r="1232" spans="2:18" x14ac:dyDescent="0.3">
      <c r="B1232" s="126"/>
      <c r="G1232" s="137"/>
      <c r="H1232" s="138"/>
      <c r="I1232" s="138"/>
      <c r="J1232" s="139"/>
      <c r="K1232" s="137"/>
      <c r="L1232" s="137"/>
      <c r="P1232" s="137"/>
      <c r="Q1232" s="137"/>
      <c r="R1232" s="126"/>
    </row>
    <row r="1233" spans="2:18" x14ac:dyDescent="0.3">
      <c r="B1233" s="126"/>
      <c r="G1233" s="137"/>
      <c r="H1233" s="138"/>
      <c r="I1233" s="138"/>
      <c r="J1233" s="139"/>
      <c r="K1233" s="137"/>
      <c r="L1233" s="137"/>
      <c r="P1233" s="137"/>
      <c r="Q1233" s="137"/>
      <c r="R1233" s="126"/>
    </row>
    <row r="1234" spans="2:18" x14ac:dyDescent="0.3">
      <c r="B1234" s="126"/>
      <c r="G1234" s="137"/>
      <c r="H1234" s="138"/>
      <c r="I1234" s="138"/>
      <c r="J1234" s="139"/>
      <c r="K1234" s="137"/>
      <c r="L1234" s="137"/>
      <c r="P1234" s="137"/>
      <c r="Q1234" s="137"/>
      <c r="R1234" s="126"/>
    </row>
    <row r="1235" spans="2:18" x14ac:dyDescent="0.3">
      <c r="B1235" s="126"/>
      <c r="G1235" s="137"/>
      <c r="H1235" s="138"/>
      <c r="I1235" s="138"/>
      <c r="J1235" s="139"/>
      <c r="K1235" s="137"/>
      <c r="L1235" s="137"/>
      <c r="P1235" s="137"/>
      <c r="Q1235" s="137"/>
      <c r="R1235" s="126"/>
    </row>
    <row r="1236" spans="2:18" x14ac:dyDescent="0.3">
      <c r="B1236" s="126"/>
      <c r="G1236" s="137"/>
      <c r="H1236" s="138"/>
      <c r="I1236" s="138"/>
      <c r="J1236" s="139"/>
      <c r="K1236" s="137"/>
      <c r="L1236" s="137"/>
      <c r="P1236" s="137"/>
      <c r="Q1236" s="137"/>
      <c r="R1236" s="126"/>
    </row>
    <row r="1237" spans="2:18" x14ac:dyDescent="0.3">
      <c r="B1237" s="126"/>
      <c r="G1237" s="137"/>
      <c r="H1237" s="138"/>
      <c r="I1237" s="138"/>
      <c r="J1237" s="139"/>
      <c r="K1237" s="137"/>
      <c r="L1237" s="137"/>
      <c r="P1237" s="137"/>
      <c r="Q1237" s="137"/>
      <c r="R1237" s="126"/>
    </row>
    <row r="1238" spans="2:18" x14ac:dyDescent="0.3">
      <c r="B1238" s="126"/>
      <c r="G1238" s="137"/>
      <c r="H1238" s="138"/>
      <c r="I1238" s="138"/>
      <c r="J1238" s="139"/>
      <c r="K1238" s="137"/>
      <c r="L1238" s="137"/>
      <c r="P1238" s="137"/>
      <c r="Q1238" s="137"/>
      <c r="R1238" s="126"/>
    </row>
    <row r="1239" spans="2:18" x14ac:dyDescent="0.3">
      <c r="B1239" s="126"/>
      <c r="G1239" s="137"/>
      <c r="H1239" s="138"/>
      <c r="I1239" s="138"/>
      <c r="J1239" s="139"/>
      <c r="K1239" s="137"/>
      <c r="L1239" s="137"/>
      <c r="P1239" s="137"/>
      <c r="Q1239" s="137"/>
      <c r="R1239" s="126"/>
    </row>
    <row r="1240" spans="2:18" x14ac:dyDescent="0.3">
      <c r="B1240" s="126"/>
      <c r="G1240" s="137"/>
      <c r="H1240" s="138"/>
      <c r="I1240" s="138"/>
      <c r="J1240" s="139"/>
      <c r="K1240" s="137"/>
      <c r="L1240" s="137"/>
      <c r="P1240" s="137"/>
      <c r="Q1240" s="137"/>
      <c r="R1240" s="126"/>
    </row>
    <row r="1241" spans="2:18" x14ac:dyDescent="0.3">
      <c r="B1241" s="126"/>
      <c r="G1241" s="137"/>
      <c r="H1241" s="138"/>
      <c r="I1241" s="138"/>
      <c r="J1241" s="139"/>
      <c r="K1241" s="137"/>
      <c r="L1241" s="137"/>
      <c r="P1241" s="137"/>
      <c r="Q1241" s="137"/>
      <c r="R1241" s="126"/>
    </row>
    <row r="1242" spans="2:18" x14ac:dyDescent="0.3">
      <c r="B1242" s="126"/>
      <c r="G1242" s="137"/>
      <c r="H1242" s="138"/>
      <c r="I1242" s="138"/>
      <c r="J1242" s="139"/>
      <c r="K1242" s="137"/>
      <c r="L1242" s="137"/>
      <c r="P1242" s="137"/>
      <c r="Q1242" s="137"/>
      <c r="R1242" s="126"/>
    </row>
    <row r="1243" spans="2:18" x14ac:dyDescent="0.3">
      <c r="B1243" s="126"/>
      <c r="G1243" s="137"/>
      <c r="H1243" s="138"/>
      <c r="I1243" s="138"/>
      <c r="J1243" s="139"/>
      <c r="K1243" s="137"/>
      <c r="L1243" s="137"/>
      <c r="P1243" s="137"/>
      <c r="Q1243" s="137"/>
      <c r="R1243" s="126"/>
    </row>
    <row r="1244" spans="2:18" x14ac:dyDescent="0.3">
      <c r="B1244" s="126"/>
      <c r="G1244" s="137"/>
      <c r="H1244" s="138"/>
      <c r="I1244" s="138"/>
      <c r="J1244" s="139"/>
      <c r="K1244" s="137"/>
      <c r="L1244" s="137"/>
      <c r="P1244" s="137"/>
      <c r="Q1244" s="137"/>
      <c r="R1244" s="126"/>
    </row>
    <row r="1245" spans="2:18" x14ac:dyDescent="0.3">
      <c r="B1245" s="126"/>
      <c r="G1245" s="137"/>
      <c r="H1245" s="138"/>
      <c r="I1245" s="138"/>
      <c r="J1245" s="139"/>
      <c r="K1245" s="137"/>
      <c r="L1245" s="137"/>
      <c r="P1245" s="137"/>
      <c r="Q1245" s="137"/>
      <c r="R1245" s="126"/>
    </row>
    <row r="1246" spans="2:18" x14ac:dyDescent="0.3">
      <c r="B1246" s="126"/>
      <c r="G1246" s="137"/>
      <c r="H1246" s="138"/>
      <c r="I1246" s="138"/>
      <c r="J1246" s="139"/>
      <c r="K1246" s="137"/>
      <c r="L1246" s="137"/>
      <c r="P1246" s="137"/>
      <c r="Q1246" s="137"/>
      <c r="R1246" s="126"/>
    </row>
    <row r="1247" spans="2:18" x14ac:dyDescent="0.3">
      <c r="B1247" s="126"/>
      <c r="G1247" s="137"/>
      <c r="H1247" s="138"/>
      <c r="I1247" s="138"/>
      <c r="J1247" s="139"/>
      <c r="K1247" s="137"/>
      <c r="L1247" s="137"/>
      <c r="P1247" s="137"/>
      <c r="Q1247" s="137"/>
      <c r="R1247" s="126"/>
    </row>
    <row r="1248" spans="2:18" x14ac:dyDescent="0.3">
      <c r="B1248" s="126"/>
      <c r="G1248" s="137"/>
      <c r="H1248" s="138"/>
      <c r="I1248" s="138"/>
      <c r="J1248" s="139"/>
      <c r="K1248" s="137"/>
      <c r="L1248" s="137"/>
      <c r="P1248" s="137"/>
      <c r="Q1248" s="137"/>
      <c r="R1248" s="126"/>
    </row>
    <row r="1249" spans="2:18" x14ac:dyDescent="0.3">
      <c r="B1249" s="126"/>
      <c r="G1249" s="137"/>
      <c r="H1249" s="138"/>
      <c r="I1249" s="138"/>
      <c r="J1249" s="139"/>
      <c r="K1249" s="137"/>
      <c r="L1249" s="137"/>
      <c r="P1249" s="137"/>
      <c r="Q1249" s="137"/>
      <c r="R1249" s="126"/>
    </row>
    <row r="1250" spans="2:18" x14ac:dyDescent="0.3">
      <c r="B1250" s="126"/>
      <c r="G1250" s="137"/>
      <c r="H1250" s="138"/>
      <c r="I1250" s="138"/>
      <c r="J1250" s="139"/>
      <c r="K1250" s="137"/>
      <c r="L1250" s="137"/>
      <c r="P1250" s="137"/>
      <c r="Q1250" s="137"/>
      <c r="R1250" s="126"/>
    </row>
    <row r="1251" spans="2:18" x14ac:dyDescent="0.3">
      <c r="B1251" s="126"/>
      <c r="G1251" s="137"/>
      <c r="H1251" s="138"/>
      <c r="I1251" s="138"/>
      <c r="J1251" s="139"/>
      <c r="K1251" s="137"/>
      <c r="L1251" s="137"/>
      <c r="P1251" s="137"/>
      <c r="Q1251" s="137"/>
      <c r="R1251" s="126"/>
    </row>
    <row r="1252" spans="2:18" x14ac:dyDescent="0.3">
      <c r="B1252" s="126"/>
      <c r="G1252" s="137"/>
      <c r="H1252" s="138"/>
      <c r="I1252" s="138"/>
      <c r="J1252" s="139"/>
      <c r="K1252" s="137"/>
      <c r="L1252" s="137"/>
      <c r="P1252" s="137"/>
      <c r="Q1252" s="137"/>
      <c r="R1252" s="126"/>
    </row>
    <row r="1253" spans="2:18" x14ac:dyDescent="0.3">
      <c r="B1253" s="126"/>
      <c r="G1253" s="137"/>
      <c r="H1253" s="138"/>
      <c r="I1253" s="138"/>
      <c r="J1253" s="139"/>
      <c r="K1253" s="137"/>
      <c r="L1253" s="137"/>
      <c r="P1253" s="137"/>
      <c r="Q1253" s="137"/>
      <c r="R1253" s="126"/>
    </row>
    <row r="1254" spans="2:18" x14ac:dyDescent="0.3">
      <c r="B1254" s="126"/>
      <c r="G1254" s="137"/>
      <c r="H1254" s="138"/>
      <c r="I1254" s="138"/>
      <c r="J1254" s="139"/>
      <c r="K1254" s="137"/>
      <c r="L1254" s="137"/>
      <c r="P1254" s="137"/>
      <c r="Q1254" s="137"/>
      <c r="R1254" s="126"/>
    </row>
    <row r="1255" spans="2:18" x14ac:dyDescent="0.3">
      <c r="B1255" s="126"/>
      <c r="G1255" s="137"/>
      <c r="H1255" s="138"/>
      <c r="I1255" s="138"/>
      <c r="J1255" s="139"/>
      <c r="K1255" s="137"/>
      <c r="L1255" s="137"/>
      <c r="P1255" s="137"/>
      <c r="Q1255" s="137"/>
      <c r="R1255" s="126"/>
    </row>
    <row r="1256" spans="2:18" x14ac:dyDescent="0.3">
      <c r="B1256" s="126"/>
      <c r="G1256" s="137"/>
      <c r="H1256" s="138"/>
      <c r="I1256" s="138"/>
      <c r="J1256" s="139"/>
      <c r="K1256" s="137"/>
      <c r="L1256" s="137"/>
      <c r="P1256" s="137"/>
      <c r="Q1256" s="137"/>
      <c r="R1256" s="126"/>
    </row>
    <row r="1257" spans="2:18" x14ac:dyDescent="0.3">
      <c r="B1257" s="126"/>
      <c r="G1257" s="137"/>
      <c r="H1257" s="138"/>
      <c r="I1257" s="138"/>
      <c r="J1257" s="139"/>
      <c r="K1257" s="137"/>
      <c r="L1257" s="137"/>
      <c r="P1257" s="137"/>
      <c r="Q1257" s="137"/>
      <c r="R1257" s="126"/>
    </row>
    <row r="1258" spans="2:18" x14ac:dyDescent="0.3">
      <c r="B1258" s="126"/>
      <c r="G1258" s="137"/>
      <c r="H1258" s="138"/>
      <c r="I1258" s="138"/>
      <c r="J1258" s="139"/>
      <c r="K1258" s="137"/>
      <c r="L1258" s="137"/>
      <c r="P1258" s="137"/>
      <c r="Q1258" s="137"/>
      <c r="R1258" s="126"/>
    </row>
    <row r="1259" spans="2:18" x14ac:dyDescent="0.3">
      <c r="B1259" s="126"/>
      <c r="G1259" s="137"/>
      <c r="H1259" s="138"/>
      <c r="I1259" s="138"/>
      <c r="J1259" s="139"/>
      <c r="K1259" s="137"/>
      <c r="L1259" s="137"/>
      <c r="P1259" s="137"/>
      <c r="Q1259" s="137"/>
      <c r="R1259" s="126"/>
    </row>
    <row r="1260" spans="2:18" x14ac:dyDescent="0.3">
      <c r="B1260" s="126"/>
      <c r="G1260" s="137"/>
      <c r="H1260" s="138"/>
      <c r="I1260" s="138"/>
      <c r="J1260" s="139"/>
      <c r="K1260" s="137"/>
      <c r="L1260" s="137"/>
      <c r="P1260" s="137"/>
      <c r="Q1260" s="137"/>
      <c r="R1260" s="126"/>
    </row>
    <row r="1261" spans="2:18" x14ac:dyDescent="0.3">
      <c r="B1261" s="126"/>
      <c r="G1261" s="137"/>
      <c r="H1261" s="138"/>
      <c r="I1261" s="138"/>
      <c r="J1261" s="139"/>
      <c r="K1261" s="137"/>
      <c r="L1261" s="137"/>
      <c r="P1261" s="137"/>
      <c r="Q1261" s="137"/>
      <c r="R1261" s="126"/>
    </row>
    <row r="1262" spans="2:18" x14ac:dyDescent="0.3">
      <c r="B1262" s="126"/>
      <c r="G1262" s="137"/>
      <c r="H1262" s="138"/>
      <c r="I1262" s="138"/>
      <c r="J1262" s="139"/>
      <c r="K1262" s="137"/>
      <c r="L1262" s="137"/>
      <c r="P1262" s="137"/>
      <c r="Q1262" s="137"/>
      <c r="R1262" s="126"/>
    </row>
    <row r="1263" spans="2:18" x14ac:dyDescent="0.3">
      <c r="B1263" s="126"/>
      <c r="G1263" s="137"/>
      <c r="H1263" s="138"/>
      <c r="I1263" s="138"/>
      <c r="J1263" s="139"/>
      <c r="K1263" s="137"/>
      <c r="L1263" s="137"/>
      <c r="P1263" s="137"/>
      <c r="Q1263" s="137"/>
      <c r="R1263" s="126"/>
    </row>
    <row r="1264" spans="2:18" x14ac:dyDescent="0.3">
      <c r="B1264" s="126"/>
      <c r="G1264" s="137"/>
      <c r="H1264" s="138"/>
      <c r="I1264" s="138"/>
      <c r="J1264" s="139"/>
      <c r="K1264" s="137"/>
      <c r="L1264" s="137"/>
      <c r="P1264" s="137"/>
      <c r="Q1264" s="137"/>
      <c r="R1264" s="126"/>
    </row>
    <row r="1265" spans="2:18" x14ac:dyDescent="0.3">
      <c r="B1265" s="126"/>
      <c r="G1265" s="137"/>
      <c r="H1265" s="138"/>
      <c r="I1265" s="138"/>
      <c r="J1265" s="139"/>
      <c r="K1265" s="137"/>
      <c r="L1265" s="137"/>
      <c r="P1265" s="137"/>
      <c r="Q1265" s="137"/>
      <c r="R1265" s="126"/>
    </row>
    <row r="1266" spans="2:18" x14ac:dyDescent="0.3">
      <c r="B1266" s="126"/>
      <c r="G1266" s="137"/>
      <c r="H1266" s="138"/>
      <c r="I1266" s="138"/>
      <c r="J1266" s="139"/>
      <c r="K1266" s="137"/>
      <c r="L1266" s="137"/>
      <c r="P1266" s="137"/>
      <c r="Q1266" s="137"/>
      <c r="R1266" s="126"/>
    </row>
    <row r="1267" spans="2:18" x14ac:dyDescent="0.3">
      <c r="B1267" s="126"/>
      <c r="G1267" s="137"/>
      <c r="H1267" s="138"/>
      <c r="I1267" s="138"/>
      <c r="J1267" s="139"/>
      <c r="K1267" s="137"/>
      <c r="L1267" s="137"/>
      <c r="P1267" s="137"/>
      <c r="Q1267" s="137"/>
      <c r="R1267" s="126"/>
    </row>
    <row r="1268" spans="2:18" x14ac:dyDescent="0.3">
      <c r="B1268" s="126"/>
      <c r="G1268" s="137"/>
      <c r="H1268" s="138"/>
      <c r="I1268" s="138"/>
      <c r="J1268" s="139"/>
      <c r="K1268" s="137"/>
      <c r="L1268" s="137"/>
      <c r="P1268" s="137"/>
      <c r="Q1268" s="137"/>
      <c r="R1268" s="126"/>
    </row>
    <row r="1269" spans="2:18" x14ac:dyDescent="0.3">
      <c r="B1269" s="126"/>
      <c r="G1269" s="137"/>
      <c r="H1269" s="138"/>
      <c r="I1269" s="138"/>
      <c r="J1269" s="139"/>
      <c r="K1269" s="137"/>
      <c r="L1269" s="137"/>
      <c r="P1269" s="137"/>
      <c r="Q1269" s="137"/>
      <c r="R1269" s="126"/>
    </row>
    <row r="1270" spans="2:18" x14ac:dyDescent="0.3">
      <c r="B1270" s="126"/>
      <c r="G1270" s="137"/>
      <c r="H1270" s="138"/>
      <c r="I1270" s="138"/>
      <c r="J1270" s="139"/>
      <c r="K1270" s="137"/>
      <c r="L1270" s="137"/>
      <c r="P1270" s="137"/>
      <c r="Q1270" s="137"/>
      <c r="R1270" s="126"/>
    </row>
    <row r="1271" spans="2:18" x14ac:dyDescent="0.3">
      <c r="B1271" s="126"/>
      <c r="G1271" s="137"/>
      <c r="H1271" s="138"/>
      <c r="I1271" s="138"/>
      <c r="J1271" s="139"/>
      <c r="K1271" s="137"/>
      <c r="L1271" s="137"/>
      <c r="P1271" s="137"/>
      <c r="Q1271" s="137"/>
      <c r="R1271" s="126"/>
    </row>
    <row r="1272" spans="2:18" x14ac:dyDescent="0.3">
      <c r="B1272" s="126"/>
      <c r="G1272" s="137"/>
      <c r="H1272" s="138"/>
      <c r="I1272" s="138"/>
      <c r="J1272" s="139"/>
      <c r="K1272" s="137"/>
      <c r="L1272" s="137"/>
      <c r="P1272" s="137"/>
      <c r="Q1272" s="137"/>
      <c r="R1272" s="126"/>
    </row>
    <row r="1273" spans="2:18" x14ac:dyDescent="0.3">
      <c r="B1273" s="126"/>
      <c r="G1273" s="137"/>
      <c r="H1273" s="138"/>
      <c r="I1273" s="138"/>
      <c r="J1273" s="139"/>
      <c r="K1273" s="137"/>
      <c r="L1273" s="137"/>
      <c r="P1273" s="137"/>
      <c r="Q1273" s="137"/>
      <c r="R1273" s="126"/>
    </row>
    <row r="1274" spans="2:18" x14ac:dyDescent="0.3">
      <c r="B1274" s="126"/>
      <c r="G1274" s="137"/>
      <c r="H1274" s="138"/>
      <c r="I1274" s="138"/>
      <c r="J1274" s="139"/>
      <c r="K1274" s="137"/>
      <c r="L1274" s="137"/>
      <c r="P1274" s="137"/>
      <c r="Q1274" s="137"/>
      <c r="R1274" s="126"/>
    </row>
    <row r="1275" spans="2:18" x14ac:dyDescent="0.3">
      <c r="B1275" s="126"/>
      <c r="G1275" s="137"/>
      <c r="H1275" s="138"/>
      <c r="I1275" s="138"/>
      <c r="J1275" s="139"/>
      <c r="K1275" s="137"/>
      <c r="L1275" s="137"/>
      <c r="P1275" s="137"/>
      <c r="Q1275" s="137"/>
      <c r="R1275" s="126"/>
    </row>
    <row r="1276" spans="2:18" x14ac:dyDescent="0.3">
      <c r="B1276" s="126"/>
      <c r="G1276" s="137"/>
      <c r="H1276" s="138"/>
      <c r="I1276" s="138"/>
      <c r="J1276" s="139"/>
      <c r="K1276" s="137"/>
      <c r="L1276" s="137"/>
      <c r="P1276" s="137"/>
      <c r="Q1276" s="137"/>
      <c r="R1276" s="126"/>
    </row>
    <row r="1277" spans="2:18" x14ac:dyDescent="0.3">
      <c r="B1277" s="126"/>
      <c r="G1277" s="137"/>
      <c r="H1277" s="138"/>
      <c r="I1277" s="138"/>
      <c r="J1277" s="139"/>
      <c r="K1277" s="137"/>
      <c r="L1277" s="137"/>
      <c r="P1277" s="137"/>
      <c r="Q1277" s="137"/>
      <c r="R1277" s="126"/>
    </row>
    <row r="1278" spans="2:18" x14ac:dyDescent="0.3">
      <c r="B1278" s="126"/>
      <c r="G1278" s="137"/>
      <c r="H1278" s="138"/>
      <c r="I1278" s="138"/>
      <c r="J1278" s="139"/>
      <c r="K1278" s="137"/>
      <c r="L1278" s="137"/>
      <c r="P1278" s="137"/>
      <c r="Q1278" s="137"/>
      <c r="R1278" s="126"/>
    </row>
    <row r="1279" spans="2:18" x14ac:dyDescent="0.3">
      <c r="B1279" s="126"/>
      <c r="G1279" s="137"/>
      <c r="H1279" s="138"/>
      <c r="I1279" s="138"/>
      <c r="J1279" s="139"/>
      <c r="K1279" s="137"/>
      <c r="L1279" s="137"/>
      <c r="P1279" s="137"/>
      <c r="Q1279" s="137"/>
      <c r="R1279" s="126"/>
    </row>
    <row r="1280" spans="2:18" x14ac:dyDescent="0.3">
      <c r="B1280" s="126"/>
      <c r="G1280" s="137"/>
      <c r="H1280" s="138"/>
      <c r="I1280" s="138"/>
      <c r="J1280" s="139"/>
      <c r="K1280" s="137"/>
      <c r="L1280" s="137"/>
      <c r="P1280" s="137"/>
      <c r="Q1280" s="137"/>
      <c r="R1280" s="126"/>
    </row>
    <row r="1281" spans="2:18" x14ac:dyDescent="0.3">
      <c r="B1281" s="126"/>
      <c r="G1281" s="137"/>
      <c r="H1281" s="138"/>
      <c r="I1281" s="138"/>
      <c r="J1281" s="139"/>
      <c r="K1281" s="137"/>
      <c r="L1281" s="137"/>
      <c r="P1281" s="137"/>
      <c r="Q1281" s="137"/>
      <c r="R1281" s="126"/>
    </row>
    <row r="1282" spans="2:18" x14ac:dyDescent="0.3">
      <c r="B1282" s="126"/>
      <c r="G1282" s="137"/>
      <c r="H1282" s="138"/>
      <c r="I1282" s="138"/>
      <c r="J1282" s="139"/>
      <c r="K1282" s="137"/>
      <c r="L1282" s="137"/>
      <c r="P1282" s="137"/>
      <c r="Q1282" s="137"/>
      <c r="R1282" s="126"/>
    </row>
    <row r="1283" spans="2:18" x14ac:dyDescent="0.3">
      <c r="B1283" s="126"/>
      <c r="G1283" s="137"/>
      <c r="H1283" s="138"/>
      <c r="I1283" s="138"/>
      <c r="J1283" s="139"/>
      <c r="K1283" s="137"/>
      <c r="L1283" s="137"/>
      <c r="P1283" s="137"/>
      <c r="Q1283" s="137"/>
      <c r="R1283" s="126"/>
    </row>
    <row r="1284" spans="2:18" x14ac:dyDescent="0.3">
      <c r="B1284" s="126"/>
      <c r="G1284" s="137"/>
      <c r="H1284" s="138"/>
      <c r="I1284" s="138"/>
      <c r="J1284" s="139"/>
      <c r="K1284" s="137"/>
      <c r="L1284" s="137"/>
      <c r="P1284" s="137"/>
      <c r="Q1284" s="137"/>
      <c r="R1284" s="126"/>
    </row>
    <row r="1285" spans="2:18" x14ac:dyDescent="0.3">
      <c r="B1285" s="126"/>
      <c r="G1285" s="137"/>
      <c r="H1285" s="138"/>
      <c r="I1285" s="138"/>
      <c r="J1285" s="139"/>
      <c r="K1285" s="137"/>
      <c r="L1285" s="137"/>
      <c r="P1285" s="137"/>
      <c r="Q1285" s="137"/>
      <c r="R1285" s="126"/>
    </row>
    <row r="1286" spans="2:18" x14ac:dyDescent="0.3">
      <c r="B1286" s="126"/>
      <c r="G1286" s="137"/>
      <c r="H1286" s="138"/>
      <c r="I1286" s="138"/>
      <c r="J1286" s="139"/>
      <c r="K1286" s="137"/>
      <c r="L1286" s="137"/>
      <c r="P1286" s="137"/>
      <c r="Q1286" s="137"/>
      <c r="R1286" s="126"/>
    </row>
    <row r="1287" spans="2:18" x14ac:dyDescent="0.3">
      <c r="B1287" s="126"/>
      <c r="G1287" s="137"/>
      <c r="H1287" s="138"/>
      <c r="I1287" s="138"/>
      <c r="J1287" s="139"/>
      <c r="K1287" s="137"/>
      <c r="L1287" s="137"/>
      <c r="P1287" s="137"/>
      <c r="Q1287" s="137"/>
      <c r="R1287" s="126"/>
    </row>
    <row r="1288" spans="2:18" x14ac:dyDescent="0.3">
      <c r="B1288" s="126"/>
      <c r="G1288" s="137"/>
      <c r="H1288" s="138"/>
      <c r="I1288" s="138"/>
      <c r="J1288" s="139"/>
      <c r="K1288" s="137"/>
      <c r="L1288" s="137"/>
      <c r="P1288" s="137"/>
      <c r="Q1288" s="137"/>
      <c r="R1288" s="126"/>
    </row>
    <row r="1289" spans="2:18" x14ac:dyDescent="0.3">
      <c r="B1289" s="126"/>
      <c r="G1289" s="137"/>
      <c r="H1289" s="138"/>
      <c r="I1289" s="138"/>
      <c r="J1289" s="139"/>
      <c r="K1289" s="137"/>
      <c r="L1289" s="137"/>
      <c r="P1289" s="137"/>
      <c r="Q1289" s="137"/>
      <c r="R1289" s="126"/>
    </row>
    <row r="1290" spans="2:18" x14ac:dyDescent="0.3">
      <c r="B1290" s="126"/>
      <c r="G1290" s="137"/>
      <c r="H1290" s="138"/>
      <c r="I1290" s="138"/>
      <c r="J1290" s="139"/>
      <c r="K1290" s="137"/>
      <c r="L1290" s="137"/>
      <c r="P1290" s="137"/>
      <c r="Q1290" s="137"/>
      <c r="R1290" s="126"/>
    </row>
    <row r="1291" spans="2:18" x14ac:dyDescent="0.3">
      <c r="B1291" s="126"/>
      <c r="G1291" s="137"/>
      <c r="H1291" s="138"/>
      <c r="I1291" s="138"/>
      <c r="J1291" s="139"/>
      <c r="K1291" s="137"/>
      <c r="L1291" s="137"/>
      <c r="P1291" s="137"/>
      <c r="Q1291" s="137"/>
      <c r="R1291" s="126"/>
    </row>
    <row r="1292" spans="2:18" x14ac:dyDescent="0.3">
      <c r="B1292" s="126"/>
      <c r="G1292" s="137"/>
      <c r="H1292" s="138"/>
      <c r="I1292" s="138"/>
      <c r="J1292" s="139"/>
      <c r="K1292" s="137"/>
      <c r="L1292" s="137"/>
      <c r="P1292" s="137"/>
      <c r="Q1292" s="137"/>
      <c r="R1292" s="126"/>
    </row>
    <row r="1293" spans="2:18" x14ac:dyDescent="0.3">
      <c r="B1293" s="126"/>
      <c r="G1293" s="137"/>
      <c r="H1293" s="138"/>
      <c r="I1293" s="138"/>
      <c r="J1293" s="139"/>
      <c r="K1293" s="137"/>
      <c r="L1293" s="137"/>
      <c r="P1293" s="137"/>
      <c r="Q1293" s="137"/>
      <c r="R1293" s="126"/>
    </row>
    <row r="1294" spans="2:18" x14ac:dyDescent="0.3">
      <c r="B1294" s="126"/>
      <c r="G1294" s="137"/>
      <c r="H1294" s="138"/>
      <c r="I1294" s="138"/>
      <c r="J1294" s="139"/>
      <c r="K1294" s="137"/>
      <c r="L1294" s="137"/>
      <c r="P1294" s="137"/>
      <c r="Q1294" s="137"/>
      <c r="R1294" s="126"/>
    </row>
    <row r="1295" spans="2:18" x14ac:dyDescent="0.3">
      <c r="B1295" s="126"/>
      <c r="G1295" s="137"/>
      <c r="H1295" s="138"/>
      <c r="I1295" s="138"/>
      <c r="J1295" s="139"/>
      <c r="K1295" s="137"/>
      <c r="L1295" s="137"/>
      <c r="P1295" s="137"/>
      <c r="Q1295" s="137"/>
      <c r="R1295" s="126"/>
    </row>
    <row r="1296" spans="2:18" x14ac:dyDescent="0.3">
      <c r="B1296" s="126"/>
      <c r="G1296" s="137"/>
      <c r="H1296" s="138"/>
      <c r="I1296" s="138"/>
      <c r="J1296" s="139"/>
      <c r="K1296" s="137"/>
      <c r="L1296" s="137"/>
      <c r="P1296" s="137"/>
      <c r="Q1296" s="137"/>
      <c r="R1296" s="126"/>
    </row>
    <row r="1297" spans="2:18" x14ac:dyDescent="0.3">
      <c r="B1297" s="126"/>
      <c r="G1297" s="137"/>
      <c r="H1297" s="138"/>
      <c r="I1297" s="138"/>
      <c r="J1297" s="139"/>
      <c r="K1297" s="137"/>
      <c r="L1297" s="137"/>
      <c r="P1297" s="137"/>
      <c r="Q1297" s="137"/>
      <c r="R1297" s="126"/>
    </row>
    <row r="1298" spans="2:18" x14ac:dyDescent="0.3">
      <c r="B1298" s="126"/>
      <c r="G1298" s="137"/>
      <c r="H1298" s="138"/>
      <c r="I1298" s="138"/>
      <c r="J1298" s="139"/>
      <c r="K1298" s="137"/>
      <c r="L1298" s="137"/>
      <c r="P1298" s="137"/>
      <c r="Q1298" s="137"/>
      <c r="R1298" s="126"/>
    </row>
    <row r="1299" spans="2:18" x14ac:dyDescent="0.3">
      <c r="B1299" s="126"/>
      <c r="G1299" s="137"/>
      <c r="H1299" s="138"/>
      <c r="I1299" s="138"/>
      <c r="J1299" s="139"/>
      <c r="K1299" s="137"/>
      <c r="L1299" s="137"/>
      <c r="P1299" s="137"/>
      <c r="Q1299" s="137"/>
      <c r="R1299" s="126"/>
    </row>
    <row r="1300" spans="2:18" x14ac:dyDescent="0.3">
      <c r="B1300" s="126"/>
      <c r="G1300" s="137"/>
      <c r="H1300" s="138"/>
      <c r="I1300" s="138"/>
      <c r="J1300" s="139"/>
      <c r="K1300" s="137"/>
      <c r="L1300" s="137"/>
      <c r="P1300" s="137"/>
      <c r="Q1300" s="137"/>
      <c r="R1300" s="126"/>
    </row>
    <row r="1301" spans="2:18" x14ac:dyDescent="0.3">
      <c r="B1301" s="126"/>
      <c r="G1301" s="137"/>
      <c r="H1301" s="138"/>
      <c r="I1301" s="138"/>
      <c r="J1301" s="139"/>
      <c r="K1301" s="137"/>
      <c r="L1301" s="137"/>
      <c r="P1301" s="137"/>
      <c r="Q1301" s="137"/>
      <c r="R1301" s="126"/>
    </row>
    <row r="1302" spans="2:18" x14ac:dyDescent="0.3">
      <c r="B1302" s="126"/>
      <c r="G1302" s="137"/>
      <c r="H1302" s="138"/>
      <c r="I1302" s="138"/>
      <c r="J1302" s="139"/>
      <c r="K1302" s="137"/>
      <c r="L1302" s="137"/>
      <c r="P1302" s="137"/>
      <c r="Q1302" s="137"/>
      <c r="R1302" s="126"/>
    </row>
    <row r="1303" spans="2:18" x14ac:dyDescent="0.3">
      <c r="B1303" s="126"/>
      <c r="G1303" s="137"/>
      <c r="H1303" s="138"/>
      <c r="I1303" s="138"/>
      <c r="J1303" s="139"/>
      <c r="K1303" s="137"/>
      <c r="L1303" s="137"/>
      <c r="P1303" s="137"/>
      <c r="Q1303" s="137"/>
      <c r="R1303" s="126"/>
    </row>
    <row r="1304" spans="2:18" x14ac:dyDescent="0.3">
      <c r="B1304" s="126"/>
      <c r="G1304" s="137"/>
      <c r="H1304" s="138"/>
      <c r="I1304" s="138"/>
      <c r="J1304" s="139"/>
      <c r="K1304" s="137"/>
      <c r="L1304" s="137"/>
      <c r="P1304" s="137"/>
      <c r="Q1304" s="137"/>
      <c r="R1304" s="126"/>
    </row>
    <row r="1305" spans="2:18" x14ac:dyDescent="0.3">
      <c r="B1305" s="126"/>
      <c r="G1305" s="137"/>
      <c r="H1305" s="138"/>
      <c r="I1305" s="138"/>
      <c r="J1305" s="139"/>
      <c r="K1305" s="137"/>
      <c r="L1305" s="137"/>
      <c r="P1305" s="137"/>
      <c r="Q1305" s="137"/>
      <c r="R1305" s="126"/>
    </row>
    <row r="1306" spans="2:18" x14ac:dyDescent="0.3">
      <c r="B1306" s="126"/>
      <c r="G1306" s="137"/>
      <c r="H1306" s="138"/>
      <c r="I1306" s="138"/>
      <c r="J1306" s="139"/>
      <c r="K1306" s="137"/>
      <c r="L1306" s="137"/>
      <c r="P1306" s="137"/>
      <c r="Q1306" s="137"/>
      <c r="R1306" s="126"/>
    </row>
    <row r="1307" spans="2:18" x14ac:dyDescent="0.3">
      <c r="B1307" s="126"/>
      <c r="G1307" s="137"/>
      <c r="H1307" s="138"/>
      <c r="I1307" s="138"/>
      <c r="J1307" s="139"/>
      <c r="K1307" s="137"/>
      <c r="L1307" s="137"/>
      <c r="P1307" s="137"/>
      <c r="Q1307" s="137"/>
      <c r="R1307" s="126"/>
    </row>
    <row r="1308" spans="2:18" x14ac:dyDescent="0.3">
      <c r="B1308" s="126"/>
      <c r="G1308" s="137"/>
      <c r="H1308" s="138"/>
      <c r="I1308" s="138"/>
      <c r="J1308" s="139"/>
      <c r="K1308" s="137"/>
      <c r="L1308" s="137"/>
      <c r="P1308" s="137"/>
      <c r="Q1308" s="137"/>
      <c r="R1308" s="126"/>
    </row>
    <row r="1309" spans="2:18" x14ac:dyDescent="0.3">
      <c r="B1309" s="126"/>
      <c r="G1309" s="137"/>
      <c r="H1309" s="138"/>
      <c r="I1309" s="138"/>
      <c r="J1309" s="139"/>
      <c r="K1309" s="137"/>
      <c r="L1309" s="137"/>
      <c r="P1309" s="137"/>
      <c r="Q1309" s="137"/>
      <c r="R1309" s="126"/>
    </row>
    <row r="1310" spans="2:18" x14ac:dyDescent="0.3">
      <c r="B1310" s="126"/>
      <c r="G1310" s="137"/>
      <c r="H1310" s="138"/>
      <c r="I1310" s="138"/>
      <c r="J1310" s="139"/>
      <c r="K1310" s="137"/>
      <c r="L1310" s="137"/>
      <c r="P1310" s="137"/>
      <c r="Q1310" s="137"/>
      <c r="R1310" s="126"/>
    </row>
    <row r="1311" spans="2:18" x14ac:dyDescent="0.3">
      <c r="B1311" s="126"/>
      <c r="G1311" s="137"/>
      <c r="H1311" s="138"/>
      <c r="I1311" s="138"/>
      <c r="J1311" s="139"/>
      <c r="K1311" s="137"/>
      <c r="L1311" s="137"/>
      <c r="P1311" s="137"/>
      <c r="Q1311" s="137"/>
      <c r="R1311" s="126"/>
    </row>
    <row r="1312" spans="2:18" x14ac:dyDescent="0.3">
      <c r="B1312" s="126"/>
      <c r="G1312" s="137"/>
      <c r="H1312" s="138"/>
      <c r="I1312" s="138"/>
      <c r="J1312" s="139"/>
      <c r="K1312" s="137"/>
      <c r="L1312" s="137"/>
      <c r="P1312" s="137"/>
      <c r="Q1312" s="137"/>
      <c r="R1312" s="126"/>
    </row>
    <row r="1313" spans="2:18" x14ac:dyDescent="0.3">
      <c r="B1313" s="126"/>
      <c r="G1313" s="137"/>
      <c r="H1313" s="138"/>
      <c r="I1313" s="138"/>
      <c r="J1313" s="139"/>
      <c r="K1313" s="137"/>
      <c r="L1313" s="137"/>
      <c r="P1313" s="137"/>
      <c r="Q1313" s="137"/>
      <c r="R1313" s="126"/>
    </row>
    <row r="1314" spans="2:18" x14ac:dyDescent="0.3">
      <c r="B1314" s="126"/>
      <c r="G1314" s="137"/>
      <c r="H1314" s="138"/>
      <c r="I1314" s="138"/>
      <c r="J1314" s="139"/>
      <c r="K1314" s="137"/>
      <c r="L1314" s="137"/>
      <c r="P1314" s="137"/>
      <c r="Q1314" s="137"/>
      <c r="R1314" s="126"/>
    </row>
    <row r="1315" spans="2:18" x14ac:dyDescent="0.3">
      <c r="B1315" s="126"/>
      <c r="G1315" s="137"/>
      <c r="H1315" s="138"/>
      <c r="I1315" s="138"/>
      <c r="J1315" s="139"/>
      <c r="K1315" s="137"/>
      <c r="L1315" s="137"/>
      <c r="P1315" s="137"/>
      <c r="Q1315" s="137"/>
      <c r="R1315" s="126"/>
    </row>
    <row r="1316" spans="2:18" x14ac:dyDescent="0.3">
      <c r="B1316" s="126"/>
      <c r="G1316" s="137"/>
      <c r="H1316" s="138"/>
      <c r="I1316" s="138"/>
      <c r="J1316" s="139"/>
      <c r="K1316" s="137"/>
      <c r="L1316" s="137"/>
      <c r="P1316" s="137"/>
      <c r="Q1316" s="137"/>
      <c r="R1316" s="126"/>
    </row>
    <row r="1317" spans="2:18" x14ac:dyDescent="0.3">
      <c r="B1317" s="126"/>
      <c r="G1317" s="137"/>
      <c r="H1317" s="138"/>
      <c r="I1317" s="138"/>
      <c r="J1317" s="139"/>
      <c r="K1317" s="137"/>
      <c r="L1317" s="137"/>
      <c r="P1317" s="137"/>
      <c r="Q1317" s="137"/>
      <c r="R1317" s="126"/>
    </row>
    <row r="1318" spans="2:18" x14ac:dyDescent="0.3">
      <c r="B1318" s="126"/>
      <c r="G1318" s="137"/>
      <c r="H1318" s="138"/>
      <c r="I1318" s="138"/>
      <c r="J1318" s="139"/>
      <c r="K1318" s="137"/>
      <c r="L1318" s="137"/>
      <c r="P1318" s="137"/>
      <c r="Q1318" s="137"/>
      <c r="R1318" s="126"/>
    </row>
    <row r="1319" spans="2:18" x14ac:dyDescent="0.3">
      <c r="B1319" s="126"/>
      <c r="G1319" s="137"/>
      <c r="H1319" s="138"/>
      <c r="I1319" s="138"/>
      <c r="J1319" s="139"/>
      <c r="K1319" s="137"/>
      <c r="L1319" s="137"/>
      <c r="P1319" s="137"/>
      <c r="Q1319" s="137"/>
      <c r="R1319" s="126"/>
    </row>
    <row r="1320" spans="2:18" x14ac:dyDescent="0.3">
      <c r="B1320" s="126"/>
      <c r="G1320" s="137"/>
      <c r="H1320" s="138"/>
      <c r="I1320" s="138"/>
      <c r="J1320" s="139"/>
      <c r="K1320" s="137"/>
      <c r="L1320" s="137"/>
      <c r="P1320" s="137"/>
      <c r="Q1320" s="137"/>
      <c r="R1320" s="126"/>
    </row>
    <row r="1321" spans="2:18" x14ac:dyDescent="0.3">
      <c r="B1321" s="126"/>
      <c r="G1321" s="137"/>
      <c r="H1321" s="138"/>
      <c r="I1321" s="138"/>
      <c r="J1321" s="139"/>
      <c r="K1321" s="137"/>
      <c r="L1321" s="137"/>
      <c r="P1321" s="137"/>
      <c r="Q1321" s="137"/>
      <c r="R1321" s="126"/>
    </row>
    <row r="1322" spans="2:18" x14ac:dyDescent="0.3">
      <c r="B1322" s="126"/>
      <c r="G1322" s="137"/>
      <c r="H1322" s="138"/>
      <c r="I1322" s="138"/>
      <c r="J1322" s="139"/>
      <c r="K1322" s="137"/>
      <c r="L1322" s="137"/>
      <c r="P1322" s="137"/>
      <c r="Q1322" s="137"/>
      <c r="R1322" s="126"/>
    </row>
    <row r="1323" spans="2:18" x14ac:dyDescent="0.3">
      <c r="B1323" s="126"/>
      <c r="G1323" s="137"/>
      <c r="H1323" s="138"/>
      <c r="I1323" s="138"/>
      <c r="J1323" s="139"/>
      <c r="K1323" s="137"/>
      <c r="L1323" s="137"/>
      <c r="P1323" s="137"/>
      <c r="Q1323" s="137"/>
      <c r="R1323" s="126"/>
    </row>
    <row r="1324" spans="2:18" x14ac:dyDescent="0.3">
      <c r="B1324" s="126"/>
      <c r="G1324" s="137"/>
      <c r="H1324" s="138"/>
      <c r="I1324" s="138"/>
      <c r="J1324" s="139"/>
      <c r="K1324" s="137"/>
      <c r="L1324" s="137"/>
      <c r="P1324" s="137"/>
      <c r="Q1324" s="137"/>
      <c r="R1324" s="126"/>
    </row>
    <row r="1325" spans="2:18" x14ac:dyDescent="0.3">
      <c r="B1325" s="126"/>
      <c r="G1325" s="137"/>
      <c r="H1325" s="138"/>
      <c r="I1325" s="138"/>
      <c r="J1325" s="139"/>
      <c r="K1325" s="137"/>
      <c r="L1325" s="137"/>
      <c r="P1325" s="137"/>
      <c r="Q1325" s="137"/>
      <c r="R1325" s="126"/>
    </row>
    <row r="1326" spans="2:18" x14ac:dyDescent="0.3">
      <c r="B1326" s="126"/>
      <c r="G1326" s="137"/>
      <c r="H1326" s="138"/>
      <c r="I1326" s="138"/>
      <c r="J1326" s="139"/>
      <c r="K1326" s="137"/>
      <c r="L1326" s="137"/>
      <c r="P1326" s="137"/>
      <c r="Q1326" s="137"/>
      <c r="R1326" s="126"/>
    </row>
    <row r="1327" spans="2:18" x14ac:dyDescent="0.3">
      <c r="B1327" s="126"/>
      <c r="G1327" s="137"/>
      <c r="H1327" s="138"/>
      <c r="I1327" s="138"/>
      <c r="J1327" s="139"/>
      <c r="K1327" s="137"/>
      <c r="L1327" s="137"/>
      <c r="P1327" s="137"/>
      <c r="Q1327" s="137"/>
      <c r="R1327" s="126"/>
    </row>
    <row r="1328" spans="2:18" x14ac:dyDescent="0.3">
      <c r="B1328" s="126"/>
      <c r="G1328" s="137"/>
      <c r="H1328" s="138"/>
      <c r="I1328" s="138"/>
      <c r="J1328" s="139"/>
      <c r="K1328" s="137"/>
      <c r="L1328" s="137"/>
      <c r="P1328" s="137"/>
      <c r="Q1328" s="137"/>
      <c r="R1328" s="126"/>
    </row>
    <row r="1329" spans="2:18" x14ac:dyDescent="0.3">
      <c r="B1329" s="126"/>
      <c r="G1329" s="137"/>
      <c r="H1329" s="138"/>
      <c r="I1329" s="138"/>
      <c r="J1329" s="139"/>
      <c r="K1329" s="137"/>
      <c r="L1329" s="137"/>
      <c r="P1329" s="137"/>
      <c r="Q1329" s="137"/>
      <c r="R1329" s="126"/>
    </row>
    <row r="1330" spans="2:18" x14ac:dyDescent="0.3">
      <c r="B1330" s="126"/>
      <c r="G1330" s="137"/>
      <c r="H1330" s="138"/>
      <c r="I1330" s="138"/>
      <c r="J1330" s="139"/>
      <c r="K1330" s="137"/>
      <c r="L1330" s="137"/>
      <c r="P1330" s="137"/>
      <c r="Q1330" s="137"/>
      <c r="R1330" s="126"/>
    </row>
    <row r="1331" spans="2:18" x14ac:dyDescent="0.3">
      <c r="B1331" s="126"/>
      <c r="G1331" s="137"/>
      <c r="H1331" s="138"/>
      <c r="I1331" s="138"/>
      <c r="J1331" s="139"/>
      <c r="K1331" s="137"/>
      <c r="L1331" s="137"/>
      <c r="P1331" s="137"/>
      <c r="Q1331" s="137"/>
      <c r="R1331" s="126"/>
    </row>
    <row r="1332" spans="2:18" x14ac:dyDescent="0.3">
      <c r="B1332" s="126"/>
      <c r="G1332" s="137"/>
      <c r="H1332" s="138"/>
      <c r="I1332" s="138"/>
      <c r="J1332" s="139"/>
      <c r="K1332" s="137"/>
      <c r="L1332" s="137"/>
      <c r="P1332" s="137"/>
      <c r="Q1332" s="137"/>
      <c r="R1332" s="126"/>
    </row>
    <row r="1333" spans="2:18" x14ac:dyDescent="0.3">
      <c r="B1333" s="126"/>
      <c r="G1333" s="137"/>
      <c r="H1333" s="138"/>
      <c r="I1333" s="138"/>
      <c r="J1333" s="139"/>
      <c r="K1333" s="137"/>
      <c r="L1333" s="137"/>
      <c r="P1333" s="137"/>
      <c r="Q1333" s="137"/>
      <c r="R1333" s="126"/>
    </row>
    <row r="1334" spans="2:18" x14ac:dyDescent="0.3">
      <c r="B1334" s="126"/>
      <c r="G1334" s="137"/>
      <c r="H1334" s="138"/>
      <c r="I1334" s="138"/>
      <c r="J1334" s="139"/>
      <c r="K1334" s="137"/>
      <c r="L1334" s="137"/>
      <c r="P1334" s="137"/>
      <c r="Q1334" s="137"/>
      <c r="R1334" s="126"/>
    </row>
    <row r="1335" spans="2:18" x14ac:dyDescent="0.3">
      <c r="B1335" s="126"/>
      <c r="G1335" s="137"/>
      <c r="H1335" s="138"/>
      <c r="I1335" s="138"/>
      <c r="J1335" s="139"/>
      <c r="K1335" s="137"/>
      <c r="L1335" s="137"/>
      <c r="P1335" s="137"/>
      <c r="Q1335" s="137"/>
      <c r="R1335" s="126"/>
    </row>
    <row r="1336" spans="2:18" x14ac:dyDescent="0.3">
      <c r="B1336" s="126"/>
      <c r="G1336" s="137"/>
      <c r="H1336" s="138"/>
      <c r="I1336" s="138"/>
      <c r="J1336" s="139"/>
      <c r="K1336" s="137"/>
      <c r="L1336" s="137"/>
      <c r="P1336" s="137"/>
      <c r="Q1336" s="137"/>
      <c r="R1336" s="126"/>
    </row>
    <row r="1337" spans="2:18" x14ac:dyDescent="0.3">
      <c r="B1337" s="126"/>
      <c r="G1337" s="137"/>
      <c r="H1337" s="138"/>
      <c r="I1337" s="138"/>
      <c r="J1337" s="139"/>
      <c r="K1337" s="137"/>
      <c r="L1337" s="137"/>
      <c r="P1337" s="137"/>
      <c r="Q1337" s="137"/>
      <c r="R1337" s="126"/>
    </row>
    <row r="1338" spans="2:18" x14ac:dyDescent="0.3">
      <c r="B1338" s="126"/>
      <c r="G1338" s="137"/>
      <c r="H1338" s="138"/>
      <c r="I1338" s="138"/>
      <c r="J1338" s="139"/>
      <c r="K1338" s="137"/>
      <c r="L1338" s="137"/>
      <c r="P1338" s="137"/>
      <c r="Q1338" s="137"/>
      <c r="R1338" s="126"/>
    </row>
    <row r="1339" spans="2:18" x14ac:dyDescent="0.3">
      <c r="B1339" s="126"/>
      <c r="G1339" s="137"/>
      <c r="H1339" s="138"/>
      <c r="I1339" s="138"/>
      <c r="J1339" s="139"/>
      <c r="K1339" s="137"/>
      <c r="L1339" s="137"/>
      <c r="P1339" s="137"/>
      <c r="Q1339" s="137"/>
      <c r="R1339" s="126"/>
    </row>
    <row r="1340" spans="2:18" x14ac:dyDescent="0.3">
      <c r="B1340" s="126"/>
      <c r="G1340" s="137"/>
      <c r="H1340" s="138"/>
      <c r="I1340" s="138"/>
      <c r="J1340" s="139"/>
      <c r="K1340" s="137"/>
      <c r="L1340" s="137"/>
      <c r="P1340" s="137"/>
      <c r="Q1340" s="137"/>
      <c r="R1340" s="126"/>
    </row>
    <row r="1341" spans="2:18" x14ac:dyDescent="0.3">
      <c r="B1341" s="126"/>
      <c r="G1341" s="137"/>
      <c r="H1341" s="138"/>
      <c r="I1341" s="138"/>
      <c r="J1341" s="139"/>
      <c r="K1341" s="137"/>
      <c r="L1341" s="137"/>
      <c r="P1341" s="137"/>
      <c r="Q1341" s="137"/>
      <c r="R1341" s="126"/>
    </row>
    <row r="1342" spans="2:18" x14ac:dyDescent="0.3">
      <c r="B1342" s="126"/>
      <c r="G1342" s="137"/>
      <c r="H1342" s="138"/>
      <c r="I1342" s="138"/>
      <c r="J1342" s="139"/>
      <c r="K1342" s="137"/>
      <c r="L1342" s="137"/>
      <c r="P1342" s="137"/>
      <c r="Q1342" s="137"/>
      <c r="R1342" s="126"/>
    </row>
    <row r="1343" spans="2:18" x14ac:dyDescent="0.3">
      <c r="B1343" s="126"/>
      <c r="G1343" s="137"/>
      <c r="H1343" s="138"/>
      <c r="I1343" s="138"/>
      <c r="J1343" s="139"/>
      <c r="K1343" s="137"/>
      <c r="L1343" s="137"/>
      <c r="P1343" s="137"/>
      <c r="Q1343" s="137"/>
      <c r="R1343" s="126"/>
    </row>
    <row r="1344" spans="2:18" x14ac:dyDescent="0.3">
      <c r="B1344" s="126"/>
      <c r="G1344" s="137"/>
      <c r="H1344" s="138"/>
      <c r="I1344" s="138"/>
      <c r="J1344" s="139"/>
      <c r="K1344" s="137"/>
      <c r="L1344" s="137"/>
      <c r="P1344" s="137"/>
      <c r="Q1344" s="137"/>
      <c r="R1344" s="126"/>
    </row>
    <row r="1345" spans="2:18" x14ac:dyDescent="0.3">
      <c r="B1345" s="126"/>
      <c r="G1345" s="137"/>
      <c r="H1345" s="138"/>
      <c r="I1345" s="138"/>
      <c r="J1345" s="139"/>
      <c r="K1345" s="137"/>
      <c r="L1345" s="137"/>
      <c r="P1345" s="137"/>
      <c r="Q1345" s="137"/>
      <c r="R1345" s="126"/>
    </row>
    <row r="1346" spans="2:18" x14ac:dyDescent="0.3">
      <c r="B1346" s="126"/>
      <c r="G1346" s="137"/>
      <c r="H1346" s="138"/>
      <c r="I1346" s="138"/>
      <c r="J1346" s="139"/>
      <c r="K1346" s="137"/>
      <c r="L1346" s="137"/>
      <c r="P1346" s="137"/>
      <c r="Q1346" s="137"/>
      <c r="R1346" s="126"/>
    </row>
    <row r="1347" spans="2:18" x14ac:dyDescent="0.3">
      <c r="B1347" s="126"/>
      <c r="G1347" s="137"/>
      <c r="H1347" s="138"/>
      <c r="I1347" s="138"/>
      <c r="J1347" s="139"/>
      <c r="K1347" s="137"/>
      <c r="L1347" s="137"/>
      <c r="P1347" s="137"/>
      <c r="Q1347" s="137"/>
      <c r="R1347" s="126"/>
    </row>
    <row r="1348" spans="2:18" x14ac:dyDescent="0.3">
      <c r="B1348" s="126"/>
      <c r="G1348" s="137"/>
      <c r="H1348" s="138"/>
      <c r="I1348" s="138"/>
      <c r="J1348" s="139"/>
      <c r="K1348" s="137"/>
      <c r="L1348" s="137"/>
      <c r="P1348" s="137"/>
      <c r="Q1348" s="137"/>
      <c r="R1348" s="126"/>
    </row>
    <row r="1349" spans="2:18" x14ac:dyDescent="0.3">
      <c r="B1349" s="126"/>
      <c r="G1349" s="137"/>
      <c r="H1349" s="138"/>
      <c r="I1349" s="138"/>
      <c r="J1349" s="139"/>
      <c r="K1349" s="137"/>
      <c r="L1349" s="137"/>
      <c r="P1349" s="137"/>
      <c r="Q1349" s="137"/>
      <c r="R1349" s="126"/>
    </row>
    <row r="1350" spans="2:18" x14ac:dyDescent="0.3">
      <c r="B1350" s="126"/>
      <c r="G1350" s="137"/>
      <c r="H1350" s="138"/>
      <c r="I1350" s="138"/>
      <c r="J1350" s="139"/>
      <c r="K1350" s="137"/>
      <c r="L1350" s="137"/>
      <c r="P1350" s="137"/>
      <c r="Q1350" s="137"/>
      <c r="R1350" s="126"/>
    </row>
    <row r="1351" spans="2:18" x14ac:dyDescent="0.3">
      <c r="B1351" s="126"/>
      <c r="G1351" s="137"/>
      <c r="H1351" s="138"/>
      <c r="I1351" s="138"/>
      <c r="J1351" s="139"/>
      <c r="K1351" s="137"/>
      <c r="L1351" s="137"/>
      <c r="P1351" s="137"/>
      <c r="Q1351" s="137"/>
      <c r="R1351" s="126"/>
    </row>
    <row r="1352" spans="2:18" x14ac:dyDescent="0.3">
      <c r="B1352" s="126"/>
      <c r="G1352" s="137"/>
      <c r="H1352" s="138"/>
      <c r="I1352" s="138"/>
      <c r="J1352" s="139"/>
      <c r="K1352" s="137"/>
      <c r="L1352" s="137"/>
      <c r="P1352" s="137"/>
      <c r="Q1352" s="137"/>
      <c r="R1352" s="126"/>
    </row>
    <row r="1353" spans="2:18" x14ac:dyDescent="0.3">
      <c r="B1353" s="126"/>
      <c r="G1353" s="137"/>
      <c r="H1353" s="138"/>
      <c r="I1353" s="138"/>
      <c r="J1353" s="139"/>
      <c r="K1353" s="137"/>
      <c r="L1353" s="137"/>
      <c r="P1353" s="137"/>
      <c r="Q1353" s="137"/>
      <c r="R1353" s="126"/>
    </row>
    <row r="1354" spans="2:18" x14ac:dyDescent="0.3">
      <c r="B1354" s="126"/>
      <c r="G1354" s="137"/>
      <c r="H1354" s="138"/>
      <c r="I1354" s="138"/>
      <c r="J1354" s="139"/>
      <c r="K1354" s="137"/>
      <c r="L1354" s="137"/>
      <c r="P1354" s="137"/>
      <c r="Q1354" s="137"/>
      <c r="R1354" s="126"/>
    </row>
    <row r="1355" spans="2:18" x14ac:dyDescent="0.3">
      <c r="B1355" s="126"/>
      <c r="G1355" s="137"/>
      <c r="H1355" s="138"/>
      <c r="I1355" s="138"/>
      <c r="J1355" s="139"/>
      <c r="K1355" s="137"/>
      <c r="L1355" s="137"/>
      <c r="P1355" s="137"/>
      <c r="Q1355" s="137"/>
      <c r="R1355" s="126"/>
    </row>
    <row r="1356" spans="2:18" x14ac:dyDescent="0.3">
      <c r="B1356" s="126"/>
      <c r="G1356" s="137"/>
      <c r="H1356" s="138"/>
      <c r="I1356" s="138"/>
      <c r="J1356" s="139"/>
      <c r="K1356" s="137"/>
      <c r="L1356" s="137"/>
      <c r="P1356" s="137"/>
      <c r="Q1356" s="137"/>
      <c r="R1356" s="126"/>
    </row>
    <row r="1357" spans="2:18" x14ac:dyDescent="0.3">
      <c r="B1357" s="126"/>
      <c r="G1357" s="137"/>
      <c r="H1357" s="138"/>
      <c r="I1357" s="138"/>
      <c r="J1357" s="139"/>
      <c r="K1357" s="137"/>
      <c r="L1357" s="137"/>
      <c r="P1357" s="137"/>
      <c r="Q1357" s="137"/>
      <c r="R1357" s="126"/>
    </row>
    <row r="1358" spans="2:18" x14ac:dyDescent="0.3">
      <c r="B1358" s="126"/>
      <c r="G1358" s="137"/>
      <c r="H1358" s="138"/>
      <c r="I1358" s="138"/>
      <c r="J1358" s="139"/>
      <c r="K1358" s="137"/>
      <c r="L1358" s="137"/>
      <c r="P1358" s="137"/>
      <c r="Q1358" s="137"/>
      <c r="R1358" s="126"/>
    </row>
    <row r="1359" spans="2:18" x14ac:dyDescent="0.3">
      <c r="B1359" s="126"/>
      <c r="G1359" s="137"/>
      <c r="H1359" s="138"/>
      <c r="I1359" s="138"/>
      <c r="J1359" s="139"/>
      <c r="K1359" s="137"/>
      <c r="L1359" s="137"/>
      <c r="P1359" s="137"/>
      <c r="Q1359" s="137"/>
      <c r="R1359" s="126"/>
    </row>
    <row r="1360" spans="2:18" x14ac:dyDescent="0.3">
      <c r="B1360" s="126"/>
      <c r="G1360" s="137"/>
      <c r="H1360" s="138"/>
      <c r="I1360" s="138"/>
      <c r="J1360" s="139"/>
      <c r="K1360" s="137"/>
      <c r="L1360" s="137"/>
      <c r="P1360" s="137"/>
      <c r="Q1360" s="137"/>
      <c r="R1360" s="126"/>
    </row>
    <row r="1361" spans="2:18" x14ac:dyDescent="0.3">
      <c r="B1361" s="126"/>
      <c r="G1361" s="137"/>
      <c r="H1361" s="138"/>
      <c r="I1361" s="138"/>
      <c r="J1361" s="139"/>
      <c r="K1361" s="137"/>
      <c r="L1361" s="137"/>
      <c r="P1361" s="137"/>
      <c r="Q1361" s="137"/>
      <c r="R1361" s="126"/>
    </row>
    <row r="1362" spans="2:18" x14ac:dyDescent="0.3">
      <c r="B1362" s="126"/>
      <c r="G1362" s="137"/>
      <c r="H1362" s="138"/>
      <c r="I1362" s="138"/>
      <c r="J1362" s="139"/>
      <c r="K1362" s="137"/>
      <c r="L1362" s="137"/>
      <c r="P1362" s="137"/>
      <c r="Q1362" s="137"/>
      <c r="R1362" s="126"/>
    </row>
    <row r="1363" spans="2:18" x14ac:dyDescent="0.3">
      <c r="B1363" s="126"/>
      <c r="G1363" s="137"/>
      <c r="H1363" s="138"/>
      <c r="I1363" s="138"/>
      <c r="J1363" s="139"/>
      <c r="K1363" s="137"/>
      <c r="L1363" s="137"/>
      <c r="P1363" s="137"/>
      <c r="Q1363" s="137"/>
      <c r="R1363" s="126"/>
    </row>
    <row r="1364" spans="2:18" x14ac:dyDescent="0.3">
      <c r="B1364" s="126"/>
      <c r="G1364" s="137"/>
      <c r="H1364" s="138"/>
      <c r="I1364" s="138"/>
      <c r="J1364" s="139"/>
      <c r="K1364" s="137"/>
      <c r="L1364" s="137"/>
      <c r="P1364" s="137"/>
      <c r="Q1364" s="137"/>
      <c r="R1364" s="126"/>
    </row>
    <row r="1365" spans="2:18" x14ac:dyDescent="0.3">
      <c r="B1365" s="126"/>
      <c r="G1365" s="137"/>
      <c r="H1365" s="138"/>
      <c r="I1365" s="138"/>
      <c r="J1365" s="139"/>
      <c r="K1365" s="137"/>
      <c r="L1365" s="137"/>
      <c r="P1365" s="137"/>
      <c r="Q1365" s="137"/>
      <c r="R1365" s="126"/>
    </row>
    <row r="1366" spans="2:18" x14ac:dyDescent="0.3">
      <c r="B1366" s="126"/>
      <c r="G1366" s="137"/>
      <c r="H1366" s="138"/>
      <c r="I1366" s="138"/>
      <c r="J1366" s="139"/>
      <c r="K1366" s="137"/>
      <c r="L1366" s="137"/>
      <c r="P1366" s="137"/>
      <c r="Q1366" s="137"/>
      <c r="R1366" s="126"/>
    </row>
    <row r="1367" spans="2:18" x14ac:dyDescent="0.3">
      <c r="B1367" s="126"/>
      <c r="G1367" s="137"/>
      <c r="H1367" s="138"/>
      <c r="I1367" s="138"/>
      <c r="J1367" s="139"/>
      <c r="K1367" s="137"/>
      <c r="L1367" s="137"/>
      <c r="P1367" s="137"/>
      <c r="Q1367" s="137"/>
      <c r="R1367" s="126"/>
    </row>
    <row r="1368" spans="2:18" x14ac:dyDescent="0.3">
      <c r="B1368" s="126"/>
      <c r="G1368" s="137"/>
      <c r="H1368" s="138"/>
      <c r="I1368" s="138"/>
      <c r="J1368" s="139"/>
      <c r="K1368" s="137"/>
      <c r="L1368" s="137"/>
      <c r="P1368" s="137"/>
      <c r="Q1368" s="137"/>
      <c r="R1368" s="126"/>
    </row>
    <row r="1369" spans="2:18" x14ac:dyDescent="0.3">
      <c r="B1369" s="126"/>
      <c r="G1369" s="137"/>
      <c r="H1369" s="138"/>
      <c r="I1369" s="138"/>
      <c r="J1369" s="139"/>
      <c r="K1369" s="137"/>
      <c r="L1369" s="137"/>
      <c r="P1369" s="137"/>
      <c r="Q1369" s="137"/>
      <c r="R1369" s="126"/>
    </row>
    <row r="1370" spans="2:18" x14ac:dyDescent="0.3">
      <c r="B1370" s="126"/>
      <c r="G1370" s="137"/>
      <c r="H1370" s="138"/>
      <c r="I1370" s="138"/>
      <c r="J1370" s="139"/>
      <c r="K1370" s="137"/>
      <c r="L1370" s="137"/>
      <c r="P1370" s="137"/>
      <c r="Q1370" s="137"/>
      <c r="R1370" s="126"/>
    </row>
    <row r="1371" spans="2:18" x14ac:dyDescent="0.3">
      <c r="B1371" s="126"/>
      <c r="G1371" s="137"/>
      <c r="H1371" s="138"/>
      <c r="I1371" s="138"/>
      <c r="J1371" s="139"/>
      <c r="K1371" s="137"/>
      <c r="L1371" s="137"/>
      <c r="P1371" s="137"/>
      <c r="Q1371" s="137"/>
      <c r="R1371" s="126"/>
    </row>
    <row r="1372" spans="2:18" x14ac:dyDescent="0.3">
      <c r="B1372" s="126"/>
      <c r="G1372" s="137"/>
      <c r="H1372" s="138"/>
      <c r="I1372" s="138"/>
      <c r="J1372" s="139"/>
      <c r="K1372" s="137"/>
      <c r="L1372" s="137"/>
      <c r="P1372" s="137"/>
      <c r="Q1372" s="137"/>
      <c r="R1372" s="126"/>
    </row>
    <row r="1373" spans="2:18" x14ac:dyDescent="0.3">
      <c r="B1373" s="126"/>
      <c r="G1373" s="137"/>
      <c r="H1373" s="138"/>
      <c r="I1373" s="138"/>
      <c r="J1373" s="139"/>
      <c r="K1373" s="137"/>
      <c r="L1373" s="137"/>
      <c r="P1373" s="137"/>
      <c r="Q1373" s="137"/>
      <c r="R1373" s="126"/>
    </row>
    <row r="1374" spans="2:18" x14ac:dyDescent="0.3">
      <c r="B1374" s="126"/>
      <c r="G1374" s="137"/>
      <c r="H1374" s="138"/>
      <c r="I1374" s="138"/>
      <c r="J1374" s="139"/>
      <c r="K1374" s="137"/>
      <c r="L1374" s="137"/>
      <c r="P1374" s="137"/>
      <c r="Q1374" s="137"/>
      <c r="R1374" s="126"/>
    </row>
    <row r="1375" spans="2:18" x14ac:dyDescent="0.3">
      <c r="B1375" s="126"/>
      <c r="G1375" s="137"/>
      <c r="H1375" s="138"/>
      <c r="I1375" s="138"/>
      <c r="J1375" s="139"/>
      <c r="K1375" s="137"/>
      <c r="L1375" s="137"/>
      <c r="P1375" s="137"/>
      <c r="Q1375" s="137"/>
      <c r="R1375" s="126"/>
    </row>
    <row r="1376" spans="2:18" x14ac:dyDescent="0.3">
      <c r="B1376" s="126"/>
      <c r="G1376" s="137"/>
      <c r="H1376" s="138"/>
      <c r="I1376" s="138"/>
      <c r="J1376" s="139"/>
      <c r="K1376" s="137"/>
      <c r="L1376" s="137"/>
      <c r="P1376" s="137"/>
      <c r="Q1376" s="137"/>
      <c r="R1376" s="126"/>
    </row>
    <row r="1377" spans="2:18" x14ac:dyDescent="0.3">
      <c r="B1377" s="126"/>
      <c r="G1377" s="137"/>
      <c r="H1377" s="138"/>
      <c r="I1377" s="138"/>
      <c r="J1377" s="139"/>
      <c r="K1377" s="137"/>
      <c r="L1377" s="137"/>
      <c r="P1377" s="137"/>
      <c r="Q1377" s="137"/>
      <c r="R1377" s="126"/>
    </row>
    <row r="1378" spans="2:18" x14ac:dyDescent="0.3">
      <c r="B1378" s="126"/>
      <c r="G1378" s="137"/>
      <c r="H1378" s="138"/>
      <c r="I1378" s="138"/>
      <c r="J1378" s="139"/>
      <c r="K1378" s="137"/>
      <c r="L1378" s="137"/>
      <c r="P1378" s="137"/>
      <c r="Q1378" s="137"/>
      <c r="R1378" s="126"/>
    </row>
    <row r="1379" spans="2:18" x14ac:dyDescent="0.3">
      <c r="B1379" s="126"/>
      <c r="G1379" s="137"/>
      <c r="H1379" s="138"/>
      <c r="I1379" s="138"/>
      <c r="J1379" s="139"/>
      <c r="K1379" s="137"/>
      <c r="L1379" s="137"/>
      <c r="P1379" s="137"/>
      <c r="Q1379" s="137"/>
      <c r="R1379" s="126"/>
    </row>
    <row r="1380" spans="2:18" x14ac:dyDescent="0.3">
      <c r="B1380" s="126"/>
      <c r="G1380" s="137"/>
      <c r="H1380" s="138"/>
      <c r="I1380" s="138"/>
      <c r="J1380" s="139"/>
      <c r="K1380" s="137"/>
      <c r="L1380" s="137"/>
      <c r="P1380" s="137"/>
      <c r="Q1380" s="137"/>
      <c r="R1380" s="126"/>
    </row>
    <row r="1381" spans="2:18" x14ac:dyDescent="0.3">
      <c r="B1381" s="126"/>
      <c r="G1381" s="137"/>
      <c r="H1381" s="138"/>
      <c r="I1381" s="138"/>
      <c r="J1381" s="139"/>
      <c r="K1381" s="137"/>
      <c r="L1381" s="137"/>
      <c r="P1381" s="137"/>
      <c r="Q1381" s="137"/>
      <c r="R1381" s="126"/>
    </row>
    <row r="1382" spans="2:18" x14ac:dyDescent="0.3">
      <c r="B1382" s="126"/>
      <c r="G1382" s="137"/>
      <c r="H1382" s="138"/>
      <c r="I1382" s="138"/>
      <c r="J1382" s="139"/>
      <c r="K1382" s="137"/>
      <c r="L1382" s="137"/>
      <c r="P1382" s="137"/>
      <c r="Q1382" s="137"/>
      <c r="R1382" s="126"/>
    </row>
    <row r="1383" spans="2:18" x14ac:dyDescent="0.3">
      <c r="B1383" s="126"/>
      <c r="G1383" s="137"/>
      <c r="H1383" s="138"/>
      <c r="I1383" s="138"/>
      <c r="J1383" s="139"/>
      <c r="K1383" s="137"/>
      <c r="L1383" s="137"/>
      <c r="P1383" s="137"/>
      <c r="Q1383" s="137"/>
      <c r="R1383" s="126"/>
    </row>
    <row r="1384" spans="2:18" x14ac:dyDescent="0.3">
      <c r="B1384" s="126"/>
      <c r="G1384" s="137"/>
      <c r="H1384" s="138"/>
      <c r="I1384" s="138"/>
      <c r="J1384" s="139"/>
      <c r="K1384" s="137"/>
      <c r="L1384" s="137"/>
      <c r="P1384" s="137"/>
      <c r="Q1384" s="137"/>
      <c r="R1384" s="126"/>
    </row>
    <row r="1385" spans="2:18" x14ac:dyDescent="0.3">
      <c r="B1385" s="126"/>
      <c r="G1385" s="137"/>
      <c r="H1385" s="138"/>
      <c r="I1385" s="138"/>
      <c r="J1385" s="139"/>
      <c r="K1385" s="137"/>
      <c r="L1385" s="137"/>
      <c r="P1385" s="137"/>
      <c r="Q1385" s="137"/>
      <c r="R1385" s="126"/>
    </row>
    <row r="1386" spans="2:18" x14ac:dyDescent="0.3">
      <c r="B1386" s="126"/>
      <c r="G1386" s="137"/>
      <c r="H1386" s="138"/>
      <c r="I1386" s="138"/>
      <c r="J1386" s="139"/>
      <c r="K1386" s="137"/>
      <c r="L1386" s="137"/>
      <c r="P1386" s="137"/>
      <c r="Q1386" s="137"/>
      <c r="R1386" s="126"/>
    </row>
    <row r="1387" spans="2:18" x14ac:dyDescent="0.3">
      <c r="B1387" s="126"/>
      <c r="G1387" s="137"/>
      <c r="H1387" s="138"/>
      <c r="I1387" s="138"/>
      <c r="J1387" s="139"/>
      <c r="K1387" s="137"/>
      <c r="L1387" s="137"/>
      <c r="P1387" s="137"/>
      <c r="Q1387" s="137"/>
      <c r="R1387" s="126"/>
    </row>
    <row r="1388" spans="2:18" x14ac:dyDescent="0.3">
      <c r="B1388" s="126"/>
      <c r="G1388" s="137"/>
      <c r="H1388" s="138"/>
      <c r="I1388" s="138"/>
      <c r="J1388" s="139"/>
      <c r="K1388" s="137"/>
      <c r="L1388" s="137"/>
      <c r="P1388" s="137"/>
      <c r="Q1388" s="137"/>
      <c r="R1388" s="126"/>
    </row>
    <row r="1389" spans="2:18" x14ac:dyDescent="0.3">
      <c r="B1389" s="126"/>
      <c r="G1389" s="137"/>
      <c r="H1389" s="138"/>
      <c r="I1389" s="138"/>
      <c r="J1389" s="139"/>
      <c r="K1389" s="137"/>
      <c r="L1389" s="137"/>
      <c r="P1389" s="137"/>
      <c r="Q1389" s="137"/>
      <c r="R1389" s="126"/>
    </row>
    <row r="1390" spans="2:18" x14ac:dyDescent="0.3">
      <c r="B1390" s="126"/>
      <c r="G1390" s="137"/>
      <c r="H1390" s="138"/>
      <c r="I1390" s="138"/>
      <c r="J1390" s="139"/>
      <c r="K1390" s="137"/>
      <c r="L1390" s="137"/>
      <c r="P1390" s="137"/>
      <c r="Q1390" s="137"/>
      <c r="R1390" s="126"/>
    </row>
    <row r="1391" spans="2:18" x14ac:dyDescent="0.3">
      <c r="B1391" s="126"/>
      <c r="G1391" s="137"/>
      <c r="H1391" s="138"/>
      <c r="I1391" s="138"/>
      <c r="J1391" s="139"/>
      <c r="K1391" s="137"/>
      <c r="L1391" s="137"/>
      <c r="P1391" s="137"/>
      <c r="Q1391" s="137"/>
      <c r="R1391" s="126"/>
    </row>
    <row r="1392" spans="2:18" x14ac:dyDescent="0.3">
      <c r="B1392" s="126"/>
      <c r="G1392" s="137"/>
      <c r="H1392" s="138"/>
      <c r="I1392" s="138"/>
      <c r="J1392" s="139"/>
      <c r="K1392" s="137"/>
      <c r="L1392" s="137"/>
      <c r="P1392" s="137"/>
      <c r="Q1392" s="137"/>
      <c r="R1392" s="126"/>
    </row>
    <row r="1393" spans="2:18" x14ac:dyDescent="0.3">
      <c r="B1393" s="126"/>
      <c r="G1393" s="137"/>
      <c r="H1393" s="138"/>
      <c r="I1393" s="138"/>
      <c r="J1393" s="139"/>
      <c r="K1393" s="137"/>
      <c r="L1393" s="137"/>
      <c r="P1393" s="137"/>
      <c r="Q1393" s="137"/>
      <c r="R1393" s="126"/>
    </row>
    <row r="1394" spans="2:18" x14ac:dyDescent="0.3">
      <c r="B1394" s="126"/>
      <c r="G1394" s="137"/>
      <c r="H1394" s="138"/>
      <c r="I1394" s="138"/>
      <c r="J1394" s="139"/>
      <c r="K1394" s="137"/>
      <c r="L1394" s="137"/>
      <c r="P1394" s="137"/>
      <c r="Q1394" s="137"/>
      <c r="R1394" s="126"/>
    </row>
    <row r="1395" spans="2:18" x14ac:dyDescent="0.3">
      <c r="B1395" s="126"/>
      <c r="G1395" s="137"/>
      <c r="H1395" s="138"/>
      <c r="I1395" s="138"/>
      <c r="J1395" s="139"/>
      <c r="K1395" s="137"/>
      <c r="L1395" s="137"/>
      <c r="P1395" s="137"/>
      <c r="Q1395" s="137"/>
      <c r="R1395" s="126"/>
    </row>
    <row r="1396" spans="2:18" x14ac:dyDescent="0.3">
      <c r="B1396" s="126"/>
      <c r="G1396" s="137"/>
      <c r="H1396" s="138"/>
      <c r="I1396" s="138"/>
      <c r="J1396" s="139"/>
      <c r="K1396" s="137"/>
      <c r="L1396" s="137"/>
      <c r="P1396" s="137"/>
      <c r="Q1396" s="137"/>
      <c r="R1396" s="126"/>
    </row>
    <row r="1397" spans="2:18" x14ac:dyDescent="0.3">
      <c r="B1397" s="126"/>
      <c r="G1397" s="137"/>
      <c r="H1397" s="138"/>
      <c r="I1397" s="138"/>
      <c r="J1397" s="139"/>
      <c r="K1397" s="137"/>
      <c r="L1397" s="137"/>
      <c r="P1397" s="137"/>
      <c r="Q1397" s="137"/>
      <c r="R1397" s="126"/>
    </row>
    <row r="1398" spans="2:18" x14ac:dyDescent="0.3">
      <c r="B1398" s="126"/>
      <c r="G1398" s="137"/>
      <c r="H1398" s="138"/>
      <c r="I1398" s="138"/>
      <c r="J1398" s="139"/>
      <c r="K1398" s="137"/>
      <c r="L1398" s="137"/>
      <c r="P1398" s="137"/>
      <c r="Q1398" s="137"/>
      <c r="R1398" s="126"/>
    </row>
    <row r="1399" spans="2:18" x14ac:dyDescent="0.3">
      <c r="B1399" s="126"/>
      <c r="G1399" s="137"/>
      <c r="H1399" s="138"/>
      <c r="I1399" s="138"/>
      <c r="J1399" s="139"/>
      <c r="K1399" s="137"/>
      <c r="L1399" s="137"/>
      <c r="P1399" s="137"/>
      <c r="Q1399" s="137"/>
      <c r="R1399" s="126"/>
    </row>
    <row r="1400" spans="2:18" x14ac:dyDescent="0.3">
      <c r="B1400" s="126"/>
      <c r="G1400" s="137"/>
      <c r="H1400" s="138"/>
      <c r="I1400" s="138"/>
      <c r="J1400" s="139"/>
      <c r="K1400" s="137"/>
      <c r="L1400" s="137"/>
      <c r="P1400" s="137"/>
      <c r="Q1400" s="137"/>
      <c r="R1400" s="126"/>
    </row>
    <row r="1401" spans="2:18" x14ac:dyDescent="0.3">
      <c r="B1401" s="126"/>
      <c r="G1401" s="137"/>
      <c r="H1401" s="138"/>
      <c r="I1401" s="138"/>
      <c r="J1401" s="139"/>
      <c r="K1401" s="137"/>
      <c r="L1401" s="137"/>
      <c r="P1401" s="137"/>
      <c r="Q1401" s="137"/>
      <c r="R1401" s="126"/>
    </row>
    <row r="1402" spans="2:18" x14ac:dyDescent="0.3">
      <c r="B1402" s="126"/>
      <c r="G1402" s="137"/>
      <c r="H1402" s="138"/>
      <c r="I1402" s="138"/>
      <c r="J1402" s="139"/>
      <c r="K1402" s="137"/>
      <c r="L1402" s="137"/>
      <c r="P1402" s="137"/>
      <c r="Q1402" s="137"/>
      <c r="R1402" s="126"/>
    </row>
    <row r="1403" spans="2:18" x14ac:dyDescent="0.3">
      <c r="B1403" s="126"/>
      <c r="G1403" s="137"/>
      <c r="H1403" s="138"/>
      <c r="I1403" s="138"/>
      <c r="J1403" s="139"/>
      <c r="K1403" s="137"/>
      <c r="L1403" s="137"/>
      <c r="P1403" s="137"/>
      <c r="Q1403" s="137"/>
      <c r="R1403" s="126"/>
    </row>
    <row r="1404" spans="2:18" x14ac:dyDescent="0.3">
      <c r="B1404" s="126"/>
      <c r="G1404" s="137"/>
      <c r="H1404" s="138"/>
      <c r="I1404" s="138"/>
      <c r="J1404" s="139"/>
      <c r="K1404" s="137"/>
      <c r="L1404" s="137"/>
      <c r="P1404" s="137"/>
      <c r="Q1404" s="137"/>
      <c r="R1404" s="126"/>
    </row>
    <row r="1405" spans="2:18" x14ac:dyDescent="0.3">
      <c r="B1405" s="126"/>
      <c r="G1405" s="137"/>
      <c r="H1405" s="138"/>
      <c r="I1405" s="138"/>
      <c r="J1405" s="139"/>
      <c r="K1405" s="137"/>
      <c r="L1405" s="137"/>
      <c r="P1405" s="137"/>
      <c r="Q1405" s="137"/>
      <c r="R1405" s="126"/>
    </row>
    <row r="1406" spans="2:18" x14ac:dyDescent="0.3">
      <c r="B1406" s="126"/>
      <c r="G1406" s="137"/>
      <c r="H1406" s="138"/>
      <c r="I1406" s="138"/>
      <c r="J1406" s="139"/>
      <c r="K1406" s="137"/>
      <c r="L1406" s="137"/>
      <c r="P1406" s="137"/>
      <c r="Q1406" s="137"/>
      <c r="R1406" s="126"/>
    </row>
    <row r="1407" spans="2:18" x14ac:dyDescent="0.3">
      <c r="B1407" s="126"/>
      <c r="G1407" s="137"/>
      <c r="H1407" s="138"/>
      <c r="I1407" s="138"/>
      <c r="J1407" s="139"/>
      <c r="K1407" s="137"/>
      <c r="L1407" s="137"/>
      <c r="P1407" s="137"/>
      <c r="Q1407" s="137"/>
      <c r="R1407" s="126"/>
    </row>
    <row r="1408" spans="2:18" x14ac:dyDescent="0.3">
      <c r="B1408" s="126"/>
      <c r="G1408" s="137"/>
      <c r="H1408" s="138"/>
      <c r="I1408" s="138"/>
      <c r="J1408" s="139"/>
      <c r="K1408" s="137"/>
      <c r="L1408" s="137"/>
      <c r="P1408" s="137"/>
      <c r="Q1408" s="137"/>
      <c r="R1408" s="126"/>
    </row>
    <row r="1409" spans="2:18" x14ac:dyDescent="0.3">
      <c r="B1409" s="126"/>
      <c r="G1409" s="137"/>
      <c r="H1409" s="138"/>
      <c r="I1409" s="138"/>
      <c r="J1409" s="139"/>
      <c r="K1409" s="137"/>
      <c r="L1409" s="137"/>
      <c r="P1409" s="137"/>
      <c r="Q1409" s="137"/>
      <c r="R1409" s="126"/>
    </row>
    <row r="1410" spans="2:18" x14ac:dyDescent="0.3">
      <c r="B1410" s="126"/>
      <c r="G1410" s="137"/>
      <c r="H1410" s="138"/>
      <c r="I1410" s="138"/>
      <c r="J1410" s="139"/>
      <c r="K1410" s="137"/>
      <c r="L1410" s="137"/>
      <c r="P1410" s="137"/>
      <c r="Q1410" s="137"/>
      <c r="R1410" s="126"/>
    </row>
    <row r="1411" spans="2:18" x14ac:dyDescent="0.3">
      <c r="B1411" s="126"/>
      <c r="G1411" s="137"/>
      <c r="H1411" s="138"/>
      <c r="I1411" s="138"/>
      <c r="J1411" s="139"/>
      <c r="K1411" s="137"/>
      <c r="L1411" s="137"/>
      <c r="P1411" s="137"/>
      <c r="Q1411" s="137"/>
      <c r="R1411" s="126"/>
    </row>
    <row r="1412" spans="2:18" x14ac:dyDescent="0.3">
      <c r="B1412" s="126"/>
      <c r="G1412" s="137"/>
      <c r="H1412" s="138"/>
      <c r="I1412" s="138"/>
      <c r="J1412" s="139"/>
      <c r="K1412" s="137"/>
      <c r="L1412" s="137"/>
      <c r="P1412" s="137"/>
      <c r="Q1412" s="137"/>
      <c r="R1412" s="126"/>
    </row>
    <row r="1413" spans="2:18" x14ac:dyDescent="0.3">
      <c r="B1413" s="126"/>
      <c r="G1413" s="137"/>
      <c r="H1413" s="138"/>
      <c r="I1413" s="138"/>
      <c r="J1413" s="139"/>
      <c r="K1413" s="137"/>
      <c r="L1413" s="137"/>
      <c r="P1413" s="137"/>
      <c r="Q1413" s="137"/>
      <c r="R1413" s="126"/>
    </row>
    <row r="1414" spans="2:18" x14ac:dyDescent="0.3">
      <c r="B1414" s="126"/>
      <c r="G1414" s="137"/>
      <c r="H1414" s="138"/>
      <c r="I1414" s="138"/>
      <c r="J1414" s="139"/>
      <c r="K1414" s="137"/>
      <c r="L1414" s="137"/>
      <c r="P1414" s="137"/>
      <c r="Q1414" s="137"/>
      <c r="R1414" s="126"/>
    </row>
    <row r="1415" spans="2:18" x14ac:dyDescent="0.3">
      <c r="B1415" s="126"/>
      <c r="G1415" s="137"/>
      <c r="H1415" s="138"/>
      <c r="I1415" s="138"/>
      <c r="J1415" s="139"/>
      <c r="K1415" s="137"/>
      <c r="L1415" s="137"/>
      <c r="P1415" s="137"/>
      <c r="Q1415" s="137"/>
      <c r="R1415" s="126"/>
    </row>
    <row r="1416" spans="2:18" x14ac:dyDescent="0.3">
      <c r="B1416" s="126"/>
      <c r="G1416" s="137"/>
      <c r="H1416" s="138"/>
      <c r="I1416" s="138"/>
      <c r="J1416" s="139"/>
      <c r="K1416" s="137"/>
      <c r="L1416" s="137"/>
      <c r="P1416" s="137"/>
      <c r="Q1416" s="137"/>
      <c r="R1416" s="126"/>
    </row>
    <row r="1417" spans="2:18" x14ac:dyDescent="0.3">
      <c r="B1417" s="126"/>
      <c r="G1417" s="137"/>
      <c r="H1417" s="138"/>
      <c r="I1417" s="138"/>
      <c r="J1417" s="139"/>
      <c r="K1417" s="137"/>
      <c r="L1417" s="137"/>
      <c r="P1417" s="137"/>
      <c r="Q1417" s="137"/>
      <c r="R1417" s="126"/>
    </row>
    <row r="1418" spans="2:18" x14ac:dyDescent="0.3">
      <c r="B1418" s="126"/>
      <c r="G1418" s="137"/>
      <c r="H1418" s="138"/>
      <c r="I1418" s="138"/>
      <c r="J1418" s="139"/>
      <c r="K1418" s="137"/>
      <c r="L1418" s="137"/>
      <c r="P1418" s="137"/>
      <c r="Q1418" s="137"/>
      <c r="R1418" s="126"/>
    </row>
    <row r="1419" spans="2:18" x14ac:dyDescent="0.3">
      <c r="B1419" s="126"/>
      <c r="G1419" s="137"/>
      <c r="H1419" s="138"/>
      <c r="I1419" s="138"/>
      <c r="J1419" s="139"/>
      <c r="K1419" s="137"/>
      <c r="L1419" s="137"/>
      <c r="P1419" s="137"/>
      <c r="Q1419" s="137"/>
      <c r="R1419" s="126"/>
    </row>
    <row r="1420" spans="2:18" x14ac:dyDescent="0.3">
      <c r="B1420" s="126"/>
      <c r="G1420" s="137"/>
      <c r="H1420" s="138"/>
      <c r="I1420" s="138"/>
      <c r="J1420" s="139"/>
      <c r="K1420" s="137"/>
      <c r="L1420" s="137"/>
      <c r="P1420" s="137"/>
      <c r="Q1420" s="137"/>
      <c r="R1420" s="126"/>
    </row>
    <row r="1421" spans="2:18" x14ac:dyDescent="0.3">
      <c r="B1421" s="126"/>
      <c r="G1421" s="137"/>
      <c r="H1421" s="138"/>
      <c r="I1421" s="138"/>
      <c r="J1421" s="139"/>
      <c r="K1421" s="137"/>
      <c r="L1421" s="137"/>
      <c r="P1421" s="137"/>
      <c r="Q1421" s="137"/>
      <c r="R1421" s="126"/>
    </row>
    <row r="1422" spans="2:18" x14ac:dyDescent="0.3">
      <c r="B1422" s="126"/>
      <c r="G1422" s="137"/>
      <c r="H1422" s="138"/>
      <c r="I1422" s="138"/>
      <c r="J1422" s="139"/>
      <c r="K1422" s="137"/>
      <c r="L1422" s="137"/>
      <c r="P1422" s="137"/>
      <c r="Q1422" s="137"/>
      <c r="R1422" s="126"/>
    </row>
    <row r="1423" spans="2:18" x14ac:dyDescent="0.3">
      <c r="B1423" s="126"/>
      <c r="G1423" s="137"/>
      <c r="H1423" s="138"/>
      <c r="I1423" s="138"/>
      <c r="J1423" s="139"/>
      <c r="K1423" s="137"/>
      <c r="L1423" s="137"/>
      <c r="P1423" s="137"/>
      <c r="Q1423" s="137"/>
      <c r="R1423" s="126"/>
    </row>
    <row r="1424" spans="2:18" x14ac:dyDescent="0.3">
      <c r="B1424" s="126"/>
      <c r="G1424" s="137"/>
      <c r="H1424" s="138"/>
      <c r="I1424" s="138"/>
      <c r="J1424" s="139"/>
      <c r="K1424" s="137"/>
      <c r="L1424" s="137"/>
      <c r="P1424" s="137"/>
      <c r="Q1424" s="137"/>
      <c r="R1424" s="126"/>
    </row>
    <row r="1425" spans="2:18" x14ac:dyDescent="0.3">
      <c r="B1425" s="126"/>
      <c r="G1425" s="137"/>
      <c r="H1425" s="138"/>
      <c r="I1425" s="138"/>
      <c r="J1425" s="139"/>
      <c r="K1425" s="137"/>
      <c r="L1425" s="137"/>
      <c r="P1425" s="137"/>
      <c r="Q1425" s="137"/>
      <c r="R1425" s="126"/>
    </row>
    <row r="1426" spans="2:18" x14ac:dyDescent="0.3">
      <c r="B1426" s="126"/>
      <c r="G1426" s="137"/>
      <c r="H1426" s="138"/>
      <c r="I1426" s="138"/>
      <c r="J1426" s="139"/>
      <c r="K1426" s="137"/>
      <c r="L1426" s="137"/>
      <c r="P1426" s="137"/>
      <c r="Q1426" s="137"/>
      <c r="R1426" s="126"/>
    </row>
    <row r="1427" spans="2:18" x14ac:dyDescent="0.3">
      <c r="B1427" s="126"/>
      <c r="G1427" s="137"/>
      <c r="H1427" s="138"/>
      <c r="I1427" s="138"/>
      <c r="J1427" s="139"/>
      <c r="K1427" s="137"/>
      <c r="L1427" s="137"/>
      <c r="P1427" s="137"/>
      <c r="Q1427" s="137"/>
      <c r="R1427" s="126"/>
    </row>
    <row r="1428" spans="2:18" x14ac:dyDescent="0.3">
      <c r="B1428" s="126"/>
      <c r="G1428" s="137"/>
      <c r="H1428" s="138"/>
      <c r="I1428" s="138"/>
      <c r="J1428" s="139"/>
      <c r="K1428" s="137"/>
      <c r="L1428" s="137"/>
      <c r="P1428" s="137"/>
      <c r="Q1428" s="137"/>
      <c r="R1428" s="126"/>
    </row>
    <row r="1429" spans="2:18" x14ac:dyDescent="0.3">
      <c r="B1429" s="126"/>
      <c r="G1429" s="137"/>
      <c r="H1429" s="138"/>
      <c r="I1429" s="138"/>
      <c r="J1429" s="139"/>
      <c r="K1429" s="137"/>
      <c r="L1429" s="137"/>
      <c r="P1429" s="137"/>
      <c r="Q1429" s="137"/>
      <c r="R1429" s="126"/>
    </row>
    <row r="1430" spans="2:18" x14ac:dyDescent="0.3">
      <c r="B1430" s="126"/>
      <c r="G1430" s="137"/>
      <c r="H1430" s="138"/>
      <c r="I1430" s="138"/>
      <c r="J1430" s="139"/>
      <c r="K1430" s="137"/>
      <c r="L1430" s="137"/>
      <c r="P1430" s="137"/>
      <c r="Q1430" s="137"/>
      <c r="R1430" s="126"/>
    </row>
    <row r="1431" spans="2:18" x14ac:dyDescent="0.3">
      <c r="B1431" s="126"/>
      <c r="G1431" s="137"/>
      <c r="H1431" s="138"/>
      <c r="I1431" s="138"/>
      <c r="J1431" s="139"/>
      <c r="K1431" s="137"/>
      <c r="L1431" s="137"/>
      <c r="P1431" s="137"/>
      <c r="Q1431" s="137"/>
      <c r="R1431" s="126"/>
    </row>
    <row r="1432" spans="2:18" x14ac:dyDescent="0.3">
      <c r="B1432" s="126"/>
      <c r="G1432" s="137"/>
      <c r="H1432" s="138"/>
      <c r="I1432" s="138"/>
      <c r="J1432" s="139"/>
      <c r="K1432" s="137"/>
      <c r="L1432" s="137"/>
      <c r="P1432" s="137"/>
      <c r="Q1432" s="137"/>
      <c r="R1432" s="126"/>
    </row>
    <row r="1433" spans="2:18" x14ac:dyDescent="0.3">
      <c r="B1433" s="126"/>
      <c r="G1433" s="137"/>
      <c r="H1433" s="138"/>
      <c r="I1433" s="138"/>
      <c r="J1433" s="139"/>
      <c r="K1433" s="137"/>
      <c r="L1433" s="137"/>
      <c r="P1433" s="137"/>
      <c r="Q1433" s="137"/>
      <c r="R1433" s="126"/>
    </row>
    <row r="1434" spans="2:18" x14ac:dyDescent="0.3">
      <c r="B1434" s="126"/>
      <c r="G1434" s="137"/>
      <c r="H1434" s="138"/>
      <c r="I1434" s="138"/>
      <c r="J1434" s="139"/>
      <c r="K1434" s="137"/>
      <c r="L1434" s="137"/>
      <c r="P1434" s="137"/>
      <c r="Q1434" s="137"/>
      <c r="R1434" s="126"/>
    </row>
    <row r="1435" spans="2:18" x14ac:dyDescent="0.3">
      <c r="B1435" s="126"/>
      <c r="G1435" s="137"/>
      <c r="H1435" s="138"/>
      <c r="I1435" s="138"/>
      <c r="J1435" s="139"/>
      <c r="K1435" s="137"/>
      <c r="L1435" s="137"/>
      <c r="P1435" s="137"/>
      <c r="Q1435" s="137"/>
      <c r="R1435" s="126"/>
    </row>
    <row r="1436" spans="2:18" x14ac:dyDescent="0.3">
      <c r="B1436" s="126"/>
      <c r="G1436" s="137"/>
      <c r="H1436" s="138"/>
      <c r="I1436" s="138"/>
      <c r="J1436" s="139"/>
      <c r="K1436" s="137"/>
      <c r="L1436" s="137"/>
      <c r="P1436" s="137"/>
      <c r="Q1436" s="137"/>
      <c r="R1436" s="126"/>
    </row>
    <row r="1437" spans="2:18" x14ac:dyDescent="0.3">
      <c r="B1437" s="126"/>
      <c r="G1437" s="137"/>
      <c r="H1437" s="138"/>
      <c r="I1437" s="138"/>
      <c r="J1437" s="139"/>
      <c r="K1437" s="137"/>
      <c r="L1437" s="137"/>
      <c r="P1437" s="137"/>
      <c r="Q1437" s="137"/>
      <c r="R1437" s="126"/>
    </row>
    <row r="1438" spans="2:18" x14ac:dyDescent="0.3">
      <c r="B1438" s="126"/>
      <c r="G1438" s="137"/>
      <c r="H1438" s="138"/>
      <c r="I1438" s="138"/>
      <c r="J1438" s="139"/>
      <c r="K1438" s="137"/>
      <c r="L1438" s="137"/>
      <c r="P1438" s="137"/>
      <c r="Q1438" s="137"/>
      <c r="R1438" s="126"/>
    </row>
    <row r="1439" spans="2:18" x14ac:dyDescent="0.3">
      <c r="B1439" s="126"/>
      <c r="G1439" s="137"/>
      <c r="H1439" s="138"/>
      <c r="I1439" s="138"/>
      <c r="J1439" s="139"/>
      <c r="K1439" s="137"/>
      <c r="L1439" s="137"/>
      <c r="P1439" s="137"/>
      <c r="Q1439" s="137"/>
      <c r="R1439" s="126"/>
    </row>
    <row r="1440" spans="2:18" x14ac:dyDescent="0.3">
      <c r="B1440" s="126"/>
      <c r="G1440" s="137"/>
      <c r="H1440" s="138"/>
      <c r="I1440" s="138"/>
      <c r="J1440" s="139"/>
      <c r="K1440" s="137"/>
      <c r="L1440" s="137"/>
      <c r="P1440" s="137"/>
      <c r="Q1440" s="137"/>
      <c r="R1440" s="126"/>
    </row>
    <row r="1441" spans="2:18" x14ac:dyDescent="0.3">
      <c r="B1441" s="126"/>
      <c r="G1441" s="137"/>
      <c r="H1441" s="138"/>
      <c r="I1441" s="138"/>
      <c r="J1441" s="139"/>
      <c r="K1441" s="137"/>
      <c r="L1441" s="137"/>
      <c r="P1441" s="137"/>
      <c r="Q1441" s="137"/>
      <c r="R1441" s="126"/>
    </row>
    <row r="1442" spans="2:18" x14ac:dyDescent="0.3">
      <c r="B1442" s="126"/>
      <c r="G1442" s="137"/>
      <c r="H1442" s="138"/>
      <c r="I1442" s="138"/>
      <c r="J1442" s="139"/>
      <c r="K1442" s="137"/>
      <c r="L1442" s="137"/>
      <c r="P1442" s="137"/>
      <c r="Q1442" s="137"/>
      <c r="R1442" s="126"/>
    </row>
    <row r="1443" spans="2:18" x14ac:dyDescent="0.3">
      <c r="B1443" s="126"/>
      <c r="G1443" s="137"/>
      <c r="H1443" s="138"/>
      <c r="I1443" s="138"/>
      <c r="J1443" s="139"/>
      <c r="K1443" s="137"/>
      <c r="L1443" s="137"/>
      <c r="P1443" s="137"/>
      <c r="Q1443" s="137"/>
      <c r="R1443" s="126"/>
    </row>
    <row r="1444" spans="2:18" x14ac:dyDescent="0.3">
      <c r="B1444" s="126"/>
      <c r="G1444" s="137"/>
      <c r="H1444" s="138"/>
      <c r="I1444" s="138"/>
      <c r="J1444" s="139"/>
      <c r="K1444" s="137"/>
      <c r="L1444" s="137"/>
      <c r="P1444" s="137"/>
      <c r="Q1444" s="137"/>
      <c r="R1444" s="126"/>
    </row>
    <row r="1445" spans="2:18" x14ac:dyDescent="0.3">
      <c r="B1445" s="126"/>
      <c r="G1445" s="137"/>
      <c r="H1445" s="138"/>
      <c r="I1445" s="138"/>
      <c r="J1445" s="139"/>
      <c r="K1445" s="137"/>
      <c r="L1445" s="137"/>
      <c r="P1445" s="137"/>
      <c r="Q1445" s="137"/>
      <c r="R1445" s="126"/>
    </row>
    <row r="1446" spans="2:18" x14ac:dyDescent="0.3">
      <c r="B1446" s="126"/>
      <c r="G1446" s="137"/>
      <c r="H1446" s="138"/>
      <c r="I1446" s="138"/>
      <c r="J1446" s="139"/>
      <c r="K1446" s="137"/>
      <c r="L1446" s="137"/>
      <c r="P1446" s="137"/>
      <c r="Q1446" s="137"/>
      <c r="R1446" s="126"/>
    </row>
    <row r="1447" spans="2:18" x14ac:dyDescent="0.3">
      <c r="B1447" s="126"/>
      <c r="G1447" s="137"/>
      <c r="H1447" s="138"/>
      <c r="I1447" s="138"/>
      <c r="J1447" s="139"/>
      <c r="K1447" s="137"/>
      <c r="L1447" s="137"/>
      <c r="P1447" s="137"/>
      <c r="Q1447" s="137"/>
      <c r="R1447" s="126"/>
    </row>
    <row r="1448" spans="2:18" x14ac:dyDescent="0.3">
      <c r="B1448" s="126"/>
      <c r="G1448" s="137"/>
      <c r="H1448" s="138"/>
      <c r="I1448" s="138"/>
      <c r="J1448" s="139"/>
      <c r="K1448" s="137"/>
      <c r="L1448" s="137"/>
      <c r="P1448" s="137"/>
      <c r="Q1448" s="137"/>
      <c r="R1448" s="126"/>
    </row>
    <row r="1449" spans="2:18" x14ac:dyDescent="0.3">
      <c r="B1449" s="126"/>
      <c r="G1449" s="137"/>
      <c r="H1449" s="138"/>
      <c r="I1449" s="138"/>
      <c r="J1449" s="139"/>
      <c r="K1449" s="137"/>
      <c r="L1449" s="137"/>
      <c r="P1449" s="137"/>
      <c r="Q1449" s="137"/>
      <c r="R1449" s="126"/>
    </row>
    <row r="1450" spans="2:18" x14ac:dyDescent="0.3">
      <c r="B1450" s="126"/>
      <c r="G1450" s="137"/>
      <c r="H1450" s="138"/>
      <c r="I1450" s="138"/>
      <c r="J1450" s="139"/>
      <c r="K1450" s="137"/>
      <c r="L1450" s="137"/>
      <c r="P1450" s="137"/>
      <c r="Q1450" s="137"/>
      <c r="R1450" s="126"/>
    </row>
    <row r="1451" spans="2:18" x14ac:dyDescent="0.3">
      <c r="B1451" s="126"/>
      <c r="G1451" s="137"/>
      <c r="H1451" s="138"/>
      <c r="I1451" s="138"/>
      <c r="J1451" s="139"/>
      <c r="K1451" s="137"/>
      <c r="L1451" s="137"/>
      <c r="P1451" s="137"/>
      <c r="Q1451" s="137"/>
      <c r="R1451" s="126"/>
    </row>
    <row r="1452" spans="2:18" x14ac:dyDescent="0.3">
      <c r="B1452" s="126"/>
      <c r="G1452" s="137"/>
      <c r="H1452" s="138"/>
      <c r="I1452" s="138"/>
      <c r="J1452" s="139"/>
      <c r="K1452" s="137"/>
      <c r="L1452" s="137"/>
      <c r="P1452" s="137"/>
      <c r="Q1452" s="137"/>
      <c r="R1452" s="126"/>
    </row>
    <row r="1453" spans="2:18" x14ac:dyDescent="0.3">
      <c r="B1453" s="126"/>
      <c r="G1453" s="137"/>
      <c r="H1453" s="138"/>
      <c r="I1453" s="138"/>
      <c r="J1453" s="139"/>
      <c r="K1453" s="137"/>
      <c r="L1453" s="137"/>
      <c r="P1453" s="137"/>
      <c r="Q1453" s="137"/>
      <c r="R1453" s="126"/>
    </row>
    <row r="1454" spans="2:18" x14ac:dyDescent="0.3">
      <c r="B1454" s="126"/>
      <c r="G1454" s="137"/>
      <c r="H1454" s="138"/>
      <c r="I1454" s="138"/>
      <c r="J1454" s="139"/>
      <c r="K1454" s="137"/>
      <c r="L1454" s="137"/>
      <c r="P1454" s="137"/>
      <c r="Q1454" s="137"/>
      <c r="R1454" s="126"/>
    </row>
    <row r="1455" spans="2:18" x14ac:dyDescent="0.3">
      <c r="B1455" s="126"/>
      <c r="G1455" s="137"/>
      <c r="H1455" s="138"/>
      <c r="I1455" s="138"/>
      <c r="J1455" s="139"/>
      <c r="K1455" s="137"/>
      <c r="L1455" s="137"/>
      <c r="P1455" s="137"/>
      <c r="Q1455" s="137"/>
      <c r="R1455" s="126"/>
    </row>
    <row r="1456" spans="2:18" x14ac:dyDescent="0.3">
      <c r="B1456" s="126"/>
      <c r="G1456" s="137"/>
      <c r="H1456" s="138"/>
      <c r="I1456" s="138"/>
      <c r="J1456" s="139"/>
      <c r="K1456" s="137"/>
      <c r="L1456" s="137"/>
      <c r="P1456" s="137"/>
      <c r="Q1456" s="137"/>
      <c r="R1456" s="126"/>
    </row>
    <row r="1457" spans="2:18" x14ac:dyDescent="0.3">
      <c r="B1457" s="126"/>
      <c r="G1457" s="137"/>
      <c r="H1457" s="138"/>
      <c r="I1457" s="138"/>
      <c r="J1457" s="139"/>
      <c r="K1457" s="137"/>
      <c r="L1457" s="137"/>
      <c r="P1457" s="137"/>
      <c r="Q1457" s="137"/>
      <c r="R1457" s="126"/>
    </row>
    <row r="1458" spans="2:18" x14ac:dyDescent="0.3">
      <c r="B1458" s="126"/>
      <c r="G1458" s="137"/>
      <c r="H1458" s="138"/>
      <c r="I1458" s="138"/>
      <c r="J1458" s="139"/>
      <c r="K1458" s="137"/>
      <c r="L1458" s="137"/>
      <c r="P1458" s="137"/>
      <c r="Q1458" s="137"/>
      <c r="R1458" s="126"/>
    </row>
    <row r="1459" spans="2:18" x14ac:dyDescent="0.3">
      <c r="B1459" s="126"/>
      <c r="G1459" s="137"/>
      <c r="H1459" s="138"/>
      <c r="I1459" s="138"/>
      <c r="J1459" s="139"/>
      <c r="K1459" s="137"/>
      <c r="L1459" s="137"/>
      <c r="P1459" s="137"/>
      <c r="Q1459" s="137"/>
      <c r="R1459" s="126"/>
    </row>
    <row r="1460" spans="2:18" x14ac:dyDescent="0.3">
      <c r="B1460" s="126"/>
      <c r="G1460" s="137"/>
      <c r="H1460" s="138"/>
      <c r="I1460" s="138"/>
      <c r="J1460" s="139"/>
      <c r="K1460" s="137"/>
      <c r="L1460" s="137"/>
      <c r="P1460" s="137"/>
      <c r="Q1460" s="137"/>
      <c r="R1460" s="126"/>
    </row>
    <row r="1461" spans="2:18" x14ac:dyDescent="0.3">
      <c r="B1461" s="126"/>
      <c r="G1461" s="137"/>
      <c r="H1461" s="138"/>
      <c r="I1461" s="138"/>
      <c r="J1461" s="139"/>
      <c r="K1461" s="137"/>
      <c r="L1461" s="137"/>
      <c r="P1461" s="137"/>
      <c r="Q1461" s="137"/>
      <c r="R1461" s="126"/>
    </row>
    <row r="1462" spans="2:18" x14ac:dyDescent="0.3">
      <c r="B1462" s="126"/>
      <c r="G1462" s="137"/>
      <c r="H1462" s="138"/>
      <c r="I1462" s="138"/>
      <c r="J1462" s="139"/>
      <c r="K1462" s="137"/>
      <c r="L1462" s="137"/>
      <c r="P1462" s="137"/>
      <c r="Q1462" s="137"/>
      <c r="R1462" s="126"/>
    </row>
    <row r="1463" spans="2:18" x14ac:dyDescent="0.3">
      <c r="B1463" s="126"/>
      <c r="G1463" s="137"/>
      <c r="H1463" s="138"/>
      <c r="I1463" s="138"/>
      <c r="J1463" s="139"/>
      <c r="K1463" s="137"/>
      <c r="L1463" s="137"/>
      <c r="P1463" s="137"/>
      <c r="Q1463" s="137"/>
      <c r="R1463" s="126"/>
    </row>
    <row r="1464" spans="2:18" x14ac:dyDescent="0.3">
      <c r="B1464" s="126"/>
      <c r="G1464" s="137"/>
      <c r="H1464" s="138"/>
      <c r="I1464" s="138"/>
      <c r="J1464" s="139"/>
      <c r="K1464" s="137"/>
      <c r="L1464" s="137"/>
      <c r="P1464" s="137"/>
      <c r="Q1464" s="137"/>
      <c r="R1464" s="126"/>
    </row>
    <row r="1465" spans="2:18" x14ac:dyDescent="0.3">
      <c r="B1465" s="126"/>
      <c r="G1465" s="137"/>
      <c r="H1465" s="138"/>
      <c r="I1465" s="138"/>
      <c r="J1465" s="139"/>
      <c r="K1465" s="137"/>
      <c r="L1465" s="137"/>
      <c r="P1465" s="137"/>
      <c r="Q1465" s="137"/>
      <c r="R1465" s="126"/>
    </row>
    <row r="1466" spans="2:18" x14ac:dyDescent="0.3">
      <c r="B1466" s="126"/>
      <c r="G1466" s="137"/>
      <c r="H1466" s="138"/>
      <c r="I1466" s="138"/>
      <c r="J1466" s="139"/>
      <c r="K1466" s="137"/>
      <c r="L1466" s="137"/>
      <c r="P1466" s="137"/>
      <c r="Q1466" s="137"/>
      <c r="R1466" s="126"/>
    </row>
    <row r="1467" spans="2:18" x14ac:dyDescent="0.3">
      <c r="B1467" s="126"/>
      <c r="G1467" s="137"/>
      <c r="H1467" s="138"/>
      <c r="I1467" s="138"/>
      <c r="J1467" s="139"/>
      <c r="K1467" s="137"/>
      <c r="L1467" s="137"/>
      <c r="P1467" s="137"/>
      <c r="Q1467" s="137"/>
      <c r="R1467" s="126"/>
    </row>
    <row r="1468" spans="2:18" x14ac:dyDescent="0.3">
      <c r="B1468" s="126"/>
      <c r="G1468" s="137"/>
      <c r="H1468" s="138"/>
      <c r="I1468" s="138"/>
      <c r="J1468" s="139"/>
      <c r="K1468" s="137"/>
      <c r="L1468" s="137"/>
      <c r="P1468" s="137"/>
      <c r="Q1468" s="137"/>
      <c r="R1468" s="126"/>
    </row>
    <row r="1469" spans="2:18" x14ac:dyDescent="0.3">
      <c r="B1469" s="126"/>
      <c r="G1469" s="137"/>
      <c r="H1469" s="138"/>
      <c r="I1469" s="138"/>
      <c r="J1469" s="139"/>
      <c r="K1469" s="137"/>
      <c r="L1469" s="137"/>
      <c r="P1469" s="137"/>
      <c r="Q1469" s="137"/>
      <c r="R1469" s="126"/>
    </row>
    <row r="1470" spans="2:18" x14ac:dyDescent="0.3">
      <c r="B1470" s="126"/>
      <c r="G1470" s="137"/>
      <c r="H1470" s="138"/>
      <c r="I1470" s="138"/>
      <c r="J1470" s="139"/>
      <c r="K1470" s="137"/>
      <c r="L1470" s="137"/>
      <c r="P1470" s="137"/>
      <c r="Q1470" s="137"/>
      <c r="R1470" s="126"/>
    </row>
    <row r="1471" spans="2:18" x14ac:dyDescent="0.3">
      <c r="B1471" s="126"/>
      <c r="G1471" s="137"/>
      <c r="H1471" s="138"/>
      <c r="I1471" s="138"/>
      <c r="J1471" s="139"/>
      <c r="K1471" s="137"/>
      <c r="L1471" s="137"/>
      <c r="P1471" s="137"/>
      <c r="Q1471" s="137"/>
      <c r="R1471" s="126"/>
    </row>
    <row r="1472" spans="2:18" x14ac:dyDescent="0.3">
      <c r="B1472" s="126"/>
      <c r="G1472" s="137"/>
      <c r="H1472" s="138"/>
      <c r="I1472" s="138"/>
      <c r="J1472" s="139"/>
      <c r="K1472" s="137"/>
      <c r="L1472" s="137"/>
      <c r="P1472" s="137"/>
      <c r="Q1472" s="137"/>
      <c r="R1472" s="126"/>
    </row>
    <row r="1473" spans="2:18" x14ac:dyDescent="0.3">
      <c r="B1473" s="126"/>
      <c r="G1473" s="137"/>
      <c r="H1473" s="138"/>
      <c r="I1473" s="138"/>
      <c r="J1473" s="139"/>
      <c r="K1473" s="137"/>
      <c r="L1473" s="137"/>
      <c r="P1473" s="137"/>
      <c r="Q1473" s="137"/>
      <c r="R1473" s="126"/>
    </row>
    <row r="1474" spans="2:18" x14ac:dyDescent="0.3">
      <c r="B1474" s="126"/>
      <c r="G1474" s="137"/>
      <c r="H1474" s="138"/>
      <c r="I1474" s="138"/>
      <c r="J1474" s="139"/>
      <c r="K1474" s="137"/>
      <c r="L1474" s="137"/>
      <c r="P1474" s="137"/>
      <c r="Q1474" s="137"/>
      <c r="R1474" s="126"/>
    </row>
    <row r="1475" spans="2:18" x14ac:dyDescent="0.3">
      <c r="B1475" s="126"/>
      <c r="G1475" s="137"/>
      <c r="H1475" s="138"/>
      <c r="I1475" s="138"/>
      <c r="J1475" s="139"/>
      <c r="K1475" s="137"/>
      <c r="L1475" s="137"/>
      <c r="P1475" s="137"/>
      <c r="Q1475" s="137"/>
      <c r="R1475" s="126"/>
    </row>
    <row r="1476" spans="2:18" x14ac:dyDescent="0.3">
      <c r="B1476" s="126"/>
      <c r="G1476" s="137"/>
      <c r="H1476" s="138"/>
      <c r="I1476" s="138"/>
      <c r="J1476" s="139"/>
      <c r="K1476" s="137"/>
      <c r="L1476" s="137"/>
      <c r="P1476" s="137"/>
      <c r="Q1476" s="137"/>
      <c r="R1476" s="126"/>
    </row>
    <row r="1477" spans="2:18" x14ac:dyDescent="0.3">
      <c r="B1477" s="126"/>
      <c r="G1477" s="137"/>
      <c r="H1477" s="138"/>
      <c r="I1477" s="138"/>
      <c r="J1477" s="139"/>
      <c r="K1477" s="137"/>
      <c r="L1477" s="137"/>
      <c r="P1477" s="137"/>
      <c r="Q1477" s="137"/>
      <c r="R1477" s="126"/>
    </row>
    <row r="1478" spans="2:18" x14ac:dyDescent="0.3">
      <c r="B1478" s="126"/>
      <c r="G1478" s="137"/>
      <c r="H1478" s="138"/>
      <c r="I1478" s="138"/>
      <c r="J1478" s="139"/>
      <c r="K1478" s="137"/>
      <c r="L1478" s="137"/>
      <c r="P1478" s="137"/>
      <c r="Q1478" s="137"/>
      <c r="R1478" s="126"/>
    </row>
    <row r="1479" spans="2:18" x14ac:dyDescent="0.3">
      <c r="B1479" s="126"/>
      <c r="G1479" s="137"/>
      <c r="H1479" s="138"/>
      <c r="I1479" s="138"/>
      <c r="J1479" s="139"/>
      <c r="K1479" s="137"/>
      <c r="L1479" s="137"/>
      <c r="P1479" s="137"/>
      <c r="Q1479" s="137"/>
      <c r="R1479" s="126"/>
    </row>
    <row r="1480" spans="2:18" x14ac:dyDescent="0.3">
      <c r="B1480" s="126"/>
      <c r="G1480" s="137"/>
      <c r="H1480" s="138"/>
      <c r="I1480" s="138"/>
      <c r="J1480" s="139"/>
      <c r="K1480" s="137"/>
      <c r="L1480" s="137"/>
      <c r="P1480" s="137"/>
      <c r="Q1480" s="137"/>
      <c r="R1480" s="126"/>
    </row>
    <row r="1481" spans="2:18" x14ac:dyDescent="0.3">
      <c r="B1481" s="126"/>
      <c r="G1481" s="137"/>
      <c r="H1481" s="138"/>
      <c r="I1481" s="138"/>
      <c r="J1481" s="139"/>
      <c r="K1481" s="137"/>
      <c r="L1481" s="137"/>
      <c r="P1481" s="137"/>
      <c r="Q1481" s="137"/>
      <c r="R1481" s="126"/>
    </row>
    <row r="1482" spans="2:18" x14ac:dyDescent="0.3">
      <c r="B1482" s="126"/>
      <c r="G1482" s="137"/>
      <c r="H1482" s="138"/>
      <c r="I1482" s="138"/>
      <c r="J1482" s="139"/>
      <c r="K1482" s="137"/>
      <c r="L1482" s="137"/>
      <c r="P1482" s="137"/>
      <c r="Q1482" s="137"/>
      <c r="R1482" s="126"/>
    </row>
    <row r="1483" spans="2:18" x14ac:dyDescent="0.3">
      <c r="B1483" s="126"/>
      <c r="G1483" s="137"/>
      <c r="H1483" s="138"/>
      <c r="I1483" s="138"/>
      <c r="J1483" s="139"/>
      <c r="K1483" s="137"/>
      <c r="L1483" s="137"/>
      <c r="P1483" s="137"/>
      <c r="Q1483" s="137"/>
      <c r="R1483" s="126"/>
    </row>
    <row r="1484" spans="2:18" x14ac:dyDescent="0.3">
      <c r="B1484" s="126"/>
      <c r="G1484" s="137"/>
      <c r="H1484" s="138"/>
      <c r="I1484" s="138"/>
      <c r="J1484" s="139"/>
      <c r="K1484" s="137"/>
      <c r="L1484" s="137"/>
      <c r="P1484" s="137"/>
      <c r="Q1484" s="137"/>
      <c r="R1484" s="126"/>
    </row>
    <row r="1485" spans="2:18" x14ac:dyDescent="0.3">
      <c r="B1485" s="126"/>
      <c r="G1485" s="137"/>
      <c r="H1485" s="138"/>
      <c r="I1485" s="138"/>
      <c r="J1485" s="139"/>
      <c r="K1485" s="137"/>
      <c r="L1485" s="137"/>
      <c r="P1485" s="137"/>
      <c r="Q1485" s="137"/>
      <c r="R1485" s="126"/>
    </row>
    <row r="1486" spans="2:18" x14ac:dyDescent="0.3">
      <c r="B1486" s="126"/>
      <c r="G1486" s="137"/>
      <c r="H1486" s="138"/>
      <c r="I1486" s="138"/>
      <c r="J1486" s="139"/>
      <c r="K1486" s="137"/>
      <c r="L1486" s="137"/>
      <c r="P1486" s="137"/>
      <c r="Q1486" s="137"/>
      <c r="R1486" s="126"/>
    </row>
    <row r="1487" spans="2:18" x14ac:dyDescent="0.3">
      <c r="B1487" s="126"/>
      <c r="G1487" s="137"/>
      <c r="H1487" s="138"/>
      <c r="I1487" s="138"/>
      <c r="J1487" s="139"/>
      <c r="K1487" s="137"/>
      <c r="L1487" s="137"/>
      <c r="P1487" s="137"/>
      <c r="Q1487" s="137"/>
      <c r="R1487" s="126"/>
    </row>
    <row r="1488" spans="2:18" x14ac:dyDescent="0.3">
      <c r="B1488" s="126"/>
      <c r="G1488" s="137"/>
      <c r="H1488" s="138"/>
      <c r="I1488" s="138"/>
      <c r="J1488" s="139"/>
      <c r="K1488" s="137"/>
      <c r="L1488" s="137"/>
      <c r="P1488" s="137"/>
      <c r="Q1488" s="137"/>
      <c r="R1488" s="126"/>
    </row>
    <row r="1489" spans="2:18" x14ac:dyDescent="0.3">
      <c r="B1489" s="126"/>
      <c r="G1489" s="137"/>
      <c r="H1489" s="138"/>
      <c r="I1489" s="138"/>
      <c r="J1489" s="139"/>
      <c r="K1489" s="137"/>
      <c r="L1489" s="137"/>
      <c r="P1489" s="137"/>
      <c r="Q1489" s="137"/>
      <c r="R1489" s="126"/>
    </row>
    <row r="1490" spans="2:18" x14ac:dyDescent="0.3">
      <c r="B1490" s="126"/>
      <c r="G1490" s="137"/>
      <c r="H1490" s="138"/>
      <c r="I1490" s="138"/>
      <c r="J1490" s="139"/>
      <c r="K1490" s="137"/>
      <c r="L1490" s="137"/>
      <c r="P1490" s="137"/>
      <c r="Q1490" s="137"/>
      <c r="R1490" s="126"/>
    </row>
    <row r="1491" spans="2:18" x14ac:dyDescent="0.3">
      <c r="B1491" s="126"/>
      <c r="G1491" s="137"/>
      <c r="H1491" s="138"/>
      <c r="I1491" s="138"/>
      <c r="J1491" s="139"/>
      <c r="K1491" s="137"/>
      <c r="L1491" s="137"/>
      <c r="P1491" s="137"/>
      <c r="Q1491" s="137"/>
      <c r="R1491" s="126"/>
    </row>
    <row r="1492" spans="2:18" x14ac:dyDescent="0.3">
      <c r="B1492" s="126"/>
      <c r="G1492" s="137"/>
      <c r="H1492" s="138"/>
      <c r="I1492" s="138"/>
      <c r="J1492" s="139"/>
      <c r="K1492" s="137"/>
      <c r="L1492" s="137"/>
      <c r="P1492" s="137"/>
      <c r="Q1492" s="137"/>
      <c r="R1492" s="126"/>
    </row>
    <row r="1493" spans="2:18" x14ac:dyDescent="0.3">
      <c r="B1493" s="126"/>
      <c r="G1493" s="137"/>
      <c r="H1493" s="138"/>
      <c r="I1493" s="138"/>
      <c r="J1493" s="139"/>
      <c r="K1493" s="137"/>
      <c r="L1493" s="137"/>
      <c r="P1493" s="137"/>
      <c r="Q1493" s="137"/>
      <c r="R1493" s="126"/>
    </row>
    <row r="1494" spans="2:18" x14ac:dyDescent="0.3">
      <c r="B1494" s="126"/>
      <c r="G1494" s="137"/>
      <c r="H1494" s="138"/>
      <c r="I1494" s="138"/>
      <c r="J1494" s="139"/>
      <c r="K1494" s="137"/>
      <c r="L1494" s="137"/>
      <c r="P1494" s="137"/>
      <c r="Q1494" s="137"/>
      <c r="R1494" s="126"/>
    </row>
    <row r="1495" spans="2:18" x14ac:dyDescent="0.3">
      <c r="B1495" s="126"/>
      <c r="G1495" s="137"/>
      <c r="H1495" s="138"/>
      <c r="I1495" s="138"/>
      <c r="J1495" s="139"/>
      <c r="K1495" s="137"/>
      <c r="L1495" s="137"/>
      <c r="P1495" s="137"/>
      <c r="Q1495" s="137"/>
      <c r="R1495" s="126"/>
    </row>
    <row r="1496" spans="2:18" x14ac:dyDescent="0.3">
      <c r="B1496" s="126"/>
      <c r="G1496" s="137"/>
      <c r="H1496" s="138"/>
      <c r="I1496" s="138"/>
      <c r="J1496" s="139"/>
      <c r="K1496" s="137"/>
      <c r="L1496" s="137"/>
      <c r="P1496" s="137"/>
      <c r="Q1496" s="137"/>
      <c r="R1496" s="126"/>
    </row>
    <row r="1497" spans="2:18" x14ac:dyDescent="0.3">
      <c r="B1497" s="126"/>
      <c r="G1497" s="137"/>
      <c r="H1497" s="138"/>
      <c r="I1497" s="138"/>
      <c r="J1497" s="139"/>
      <c r="K1497" s="137"/>
      <c r="L1497" s="137"/>
      <c r="P1497" s="137"/>
      <c r="Q1497" s="137"/>
      <c r="R1497" s="126"/>
    </row>
    <row r="1498" spans="2:18" x14ac:dyDescent="0.3">
      <c r="B1498" s="126"/>
      <c r="G1498" s="137"/>
      <c r="H1498" s="138"/>
      <c r="I1498" s="138"/>
      <c r="J1498" s="139"/>
      <c r="K1498" s="137"/>
      <c r="L1498" s="137"/>
      <c r="P1498" s="137"/>
      <c r="Q1498" s="137"/>
      <c r="R1498" s="126"/>
    </row>
    <row r="1499" spans="2:18" x14ac:dyDescent="0.3">
      <c r="B1499" s="126"/>
      <c r="G1499" s="137"/>
      <c r="H1499" s="138"/>
      <c r="I1499" s="138"/>
      <c r="J1499" s="139"/>
      <c r="K1499" s="137"/>
      <c r="L1499" s="137"/>
      <c r="P1499" s="137"/>
      <c r="Q1499" s="137"/>
      <c r="R1499" s="126"/>
    </row>
    <row r="1500" spans="2:18" x14ac:dyDescent="0.3">
      <c r="B1500" s="126"/>
      <c r="G1500" s="137"/>
      <c r="H1500" s="138"/>
      <c r="I1500" s="138"/>
      <c r="J1500" s="139"/>
      <c r="K1500" s="137"/>
      <c r="L1500" s="137"/>
      <c r="P1500" s="137"/>
      <c r="Q1500" s="137"/>
      <c r="R1500" s="126"/>
    </row>
    <row r="1501" spans="2:18" x14ac:dyDescent="0.3">
      <c r="B1501" s="126"/>
      <c r="G1501" s="137"/>
      <c r="H1501" s="138"/>
      <c r="I1501" s="138"/>
      <c r="J1501" s="139"/>
      <c r="K1501" s="137"/>
      <c r="L1501" s="137"/>
      <c r="P1501" s="137"/>
      <c r="Q1501" s="137"/>
      <c r="R1501" s="126"/>
    </row>
    <row r="1502" spans="2:18" x14ac:dyDescent="0.3">
      <c r="B1502" s="126"/>
      <c r="G1502" s="137"/>
      <c r="H1502" s="138"/>
      <c r="I1502" s="138"/>
      <c r="J1502" s="139"/>
      <c r="K1502" s="137"/>
      <c r="L1502" s="137"/>
      <c r="P1502" s="137"/>
      <c r="Q1502" s="137"/>
      <c r="R1502" s="126"/>
    </row>
    <row r="1503" spans="2:18" x14ac:dyDescent="0.3">
      <c r="B1503" s="126"/>
      <c r="G1503" s="137"/>
      <c r="H1503" s="138"/>
      <c r="I1503" s="138"/>
      <c r="J1503" s="139"/>
      <c r="K1503" s="137"/>
      <c r="L1503" s="137"/>
      <c r="P1503" s="137"/>
      <c r="Q1503" s="137"/>
      <c r="R1503" s="126"/>
    </row>
    <row r="1504" spans="2:18" x14ac:dyDescent="0.3">
      <c r="B1504" s="126"/>
      <c r="G1504" s="137"/>
      <c r="H1504" s="138"/>
      <c r="I1504" s="138"/>
      <c r="J1504" s="139"/>
      <c r="K1504" s="137"/>
      <c r="L1504" s="137"/>
      <c r="P1504" s="137"/>
      <c r="Q1504" s="137"/>
      <c r="R1504" s="126"/>
    </row>
    <row r="1505" spans="2:18" x14ac:dyDescent="0.3">
      <c r="B1505" s="126"/>
      <c r="G1505" s="137"/>
      <c r="H1505" s="138"/>
      <c r="I1505" s="138"/>
      <c r="J1505" s="139"/>
      <c r="K1505" s="137"/>
      <c r="L1505" s="137"/>
      <c r="P1505" s="137"/>
      <c r="Q1505" s="137"/>
      <c r="R1505" s="126"/>
    </row>
    <row r="1506" spans="2:18" x14ac:dyDescent="0.3">
      <c r="B1506" s="126"/>
      <c r="G1506" s="137"/>
      <c r="H1506" s="138"/>
      <c r="I1506" s="138"/>
      <c r="J1506" s="139"/>
      <c r="K1506" s="137"/>
      <c r="L1506" s="137"/>
      <c r="P1506" s="137"/>
      <c r="Q1506" s="137"/>
      <c r="R1506" s="126"/>
    </row>
    <row r="1507" spans="2:18" x14ac:dyDescent="0.3">
      <c r="B1507" s="126"/>
      <c r="G1507" s="137"/>
      <c r="H1507" s="138"/>
      <c r="I1507" s="138"/>
      <c r="J1507" s="139"/>
      <c r="K1507" s="137"/>
      <c r="L1507" s="137"/>
      <c r="P1507" s="137"/>
      <c r="Q1507" s="137"/>
      <c r="R1507" s="126"/>
    </row>
    <row r="1508" spans="2:18" x14ac:dyDescent="0.3">
      <c r="B1508" s="126"/>
      <c r="G1508" s="137"/>
      <c r="H1508" s="138"/>
      <c r="I1508" s="138"/>
      <c r="J1508" s="139"/>
      <c r="K1508" s="137"/>
      <c r="L1508" s="137"/>
      <c r="P1508" s="137"/>
      <c r="Q1508" s="137"/>
      <c r="R1508" s="126"/>
    </row>
    <row r="1509" spans="2:18" x14ac:dyDescent="0.3">
      <c r="B1509" s="126"/>
      <c r="G1509" s="137"/>
      <c r="H1509" s="138"/>
      <c r="I1509" s="138"/>
      <c r="J1509" s="139"/>
      <c r="K1509" s="137"/>
      <c r="L1509" s="137"/>
      <c r="P1509" s="137"/>
      <c r="Q1509" s="137"/>
      <c r="R1509" s="126"/>
    </row>
    <row r="1510" spans="2:18" x14ac:dyDescent="0.3">
      <c r="B1510" s="126"/>
      <c r="G1510" s="137"/>
      <c r="H1510" s="138"/>
      <c r="I1510" s="138"/>
      <c r="J1510" s="139"/>
      <c r="K1510" s="137"/>
      <c r="L1510" s="137"/>
      <c r="P1510" s="137"/>
      <c r="Q1510" s="137"/>
      <c r="R1510" s="126"/>
    </row>
    <row r="1511" spans="2:18" x14ac:dyDescent="0.3">
      <c r="B1511" s="126"/>
      <c r="G1511" s="137"/>
      <c r="H1511" s="138"/>
      <c r="I1511" s="138"/>
      <c r="J1511" s="139"/>
      <c r="K1511" s="137"/>
      <c r="L1511" s="137"/>
      <c r="P1511" s="137"/>
      <c r="Q1511" s="137"/>
      <c r="R1511" s="126"/>
    </row>
    <row r="1512" spans="2:18" x14ac:dyDescent="0.3">
      <c r="B1512" s="126"/>
      <c r="G1512" s="137"/>
      <c r="H1512" s="138"/>
      <c r="I1512" s="138"/>
      <c r="J1512" s="139"/>
      <c r="K1512" s="137"/>
      <c r="L1512" s="137"/>
      <c r="P1512" s="137"/>
      <c r="Q1512" s="137"/>
      <c r="R1512" s="126"/>
    </row>
    <row r="1513" spans="2:18" x14ac:dyDescent="0.3">
      <c r="B1513" s="126"/>
      <c r="G1513" s="137"/>
      <c r="H1513" s="138"/>
      <c r="I1513" s="138"/>
      <c r="J1513" s="139"/>
      <c r="K1513" s="137"/>
      <c r="L1513" s="137"/>
      <c r="P1513" s="137"/>
      <c r="Q1513" s="137"/>
      <c r="R1513" s="126"/>
    </row>
    <row r="1514" spans="2:18" x14ac:dyDescent="0.3">
      <c r="B1514" s="126"/>
      <c r="G1514" s="137"/>
      <c r="H1514" s="138"/>
      <c r="I1514" s="138"/>
      <c r="J1514" s="139"/>
      <c r="K1514" s="137"/>
      <c r="L1514" s="137"/>
      <c r="P1514" s="137"/>
      <c r="Q1514" s="137"/>
      <c r="R1514" s="126"/>
    </row>
    <row r="1515" spans="2:18" x14ac:dyDescent="0.3">
      <c r="B1515" s="126"/>
      <c r="G1515" s="137"/>
      <c r="H1515" s="138"/>
      <c r="I1515" s="138"/>
      <c r="J1515" s="139"/>
      <c r="K1515" s="137"/>
      <c r="L1515" s="137"/>
      <c r="P1515" s="137"/>
      <c r="Q1515" s="137"/>
      <c r="R1515" s="126"/>
    </row>
    <row r="1516" spans="2:18" x14ac:dyDescent="0.3">
      <c r="B1516" s="126"/>
      <c r="G1516" s="137"/>
      <c r="H1516" s="138"/>
      <c r="I1516" s="138"/>
      <c r="J1516" s="139"/>
      <c r="K1516" s="137"/>
      <c r="L1516" s="137"/>
      <c r="P1516" s="137"/>
      <c r="Q1516" s="137"/>
      <c r="R1516" s="126"/>
    </row>
    <row r="1517" spans="2:18" x14ac:dyDescent="0.3">
      <c r="B1517" s="126"/>
      <c r="G1517" s="137"/>
      <c r="H1517" s="138"/>
      <c r="I1517" s="138"/>
      <c r="J1517" s="139"/>
      <c r="K1517" s="137"/>
      <c r="L1517" s="137"/>
      <c r="P1517" s="137"/>
      <c r="Q1517" s="137"/>
      <c r="R1517" s="126"/>
    </row>
    <row r="1518" spans="2:18" x14ac:dyDescent="0.3">
      <c r="B1518" s="126"/>
      <c r="G1518" s="137"/>
      <c r="H1518" s="138"/>
      <c r="I1518" s="138"/>
      <c r="J1518" s="139"/>
      <c r="K1518" s="137"/>
      <c r="L1518" s="137"/>
      <c r="P1518" s="137"/>
      <c r="Q1518" s="137"/>
      <c r="R1518" s="126"/>
    </row>
    <row r="1519" spans="2:18" x14ac:dyDescent="0.3">
      <c r="B1519" s="126"/>
      <c r="G1519" s="137"/>
      <c r="H1519" s="138"/>
      <c r="I1519" s="138"/>
      <c r="J1519" s="139"/>
      <c r="K1519" s="137"/>
      <c r="L1519" s="137"/>
      <c r="P1519" s="137"/>
      <c r="Q1519" s="137"/>
      <c r="R1519" s="126"/>
    </row>
    <row r="1520" spans="2:18" x14ac:dyDescent="0.3">
      <c r="B1520" s="126"/>
      <c r="G1520" s="137"/>
      <c r="H1520" s="138"/>
      <c r="I1520" s="138"/>
      <c r="J1520" s="139"/>
      <c r="K1520" s="137"/>
      <c r="L1520" s="137"/>
      <c r="P1520" s="137"/>
      <c r="Q1520" s="137"/>
      <c r="R1520" s="126"/>
    </row>
    <row r="1521" spans="2:18" x14ac:dyDescent="0.3">
      <c r="B1521" s="126"/>
      <c r="G1521" s="137"/>
      <c r="H1521" s="138"/>
      <c r="I1521" s="138"/>
      <c r="J1521" s="139"/>
      <c r="K1521" s="137"/>
      <c r="L1521" s="137"/>
      <c r="P1521" s="137"/>
      <c r="Q1521" s="137"/>
      <c r="R1521" s="126"/>
    </row>
    <row r="1522" spans="2:18" x14ac:dyDescent="0.3">
      <c r="B1522" s="126"/>
      <c r="G1522" s="137"/>
      <c r="H1522" s="138"/>
      <c r="I1522" s="138"/>
      <c r="J1522" s="139"/>
      <c r="K1522" s="137"/>
      <c r="L1522" s="137"/>
      <c r="P1522" s="137"/>
      <c r="Q1522" s="137"/>
      <c r="R1522" s="126"/>
    </row>
    <row r="1523" spans="2:18" x14ac:dyDescent="0.3">
      <c r="B1523" s="126"/>
      <c r="G1523" s="137"/>
      <c r="H1523" s="138"/>
      <c r="I1523" s="138"/>
      <c r="J1523" s="139"/>
      <c r="K1523" s="137"/>
      <c r="L1523" s="137"/>
      <c r="P1523" s="137"/>
      <c r="Q1523" s="137"/>
      <c r="R1523" s="126"/>
    </row>
    <row r="1524" spans="2:18" x14ac:dyDescent="0.3">
      <c r="B1524" s="126"/>
      <c r="G1524" s="137"/>
      <c r="H1524" s="138"/>
      <c r="I1524" s="138"/>
      <c r="J1524" s="139"/>
      <c r="K1524" s="137"/>
      <c r="L1524" s="137"/>
      <c r="P1524" s="137"/>
      <c r="Q1524" s="137"/>
      <c r="R1524" s="126"/>
    </row>
    <row r="1525" spans="2:18" x14ac:dyDescent="0.3">
      <c r="B1525" s="126"/>
      <c r="G1525" s="137"/>
      <c r="H1525" s="138"/>
      <c r="I1525" s="138"/>
      <c r="J1525" s="139"/>
      <c r="K1525" s="137"/>
      <c r="L1525" s="137"/>
      <c r="P1525" s="137"/>
      <c r="Q1525" s="137"/>
      <c r="R1525" s="126"/>
    </row>
    <row r="1526" spans="2:18" x14ac:dyDescent="0.3">
      <c r="B1526" s="126"/>
      <c r="G1526" s="137"/>
      <c r="H1526" s="138"/>
      <c r="I1526" s="138"/>
      <c r="J1526" s="139"/>
      <c r="K1526" s="137"/>
      <c r="L1526" s="137"/>
      <c r="P1526" s="137"/>
      <c r="Q1526" s="137"/>
      <c r="R1526" s="126"/>
    </row>
    <row r="1527" spans="2:18" x14ac:dyDescent="0.3">
      <c r="B1527" s="126"/>
      <c r="G1527" s="137"/>
      <c r="H1527" s="138"/>
      <c r="I1527" s="138"/>
      <c r="J1527" s="139"/>
      <c r="K1527" s="137"/>
      <c r="L1527" s="137"/>
      <c r="P1527" s="137"/>
      <c r="Q1527" s="137"/>
      <c r="R1527" s="126"/>
    </row>
    <row r="1528" spans="2:18" x14ac:dyDescent="0.3">
      <c r="B1528" s="126"/>
      <c r="G1528" s="137"/>
      <c r="H1528" s="138"/>
      <c r="I1528" s="138"/>
      <c r="J1528" s="139"/>
      <c r="K1528" s="137"/>
      <c r="L1528" s="137"/>
      <c r="P1528" s="137"/>
      <c r="Q1528" s="137"/>
      <c r="R1528" s="126"/>
    </row>
    <row r="1529" spans="2:18" x14ac:dyDescent="0.3">
      <c r="B1529" s="126"/>
      <c r="G1529" s="137"/>
      <c r="H1529" s="138"/>
      <c r="I1529" s="138"/>
      <c r="J1529" s="139"/>
      <c r="K1529" s="137"/>
      <c r="L1529" s="137"/>
      <c r="P1529" s="137"/>
      <c r="Q1529" s="137"/>
      <c r="R1529" s="126"/>
    </row>
    <row r="1530" spans="2:18" x14ac:dyDescent="0.3">
      <c r="B1530" s="126"/>
      <c r="G1530" s="137"/>
      <c r="H1530" s="138"/>
      <c r="I1530" s="138"/>
      <c r="J1530" s="139"/>
      <c r="K1530" s="137"/>
      <c r="L1530" s="137"/>
      <c r="P1530" s="137"/>
      <c r="Q1530" s="137"/>
      <c r="R1530" s="126"/>
    </row>
    <row r="1531" spans="2:18" x14ac:dyDescent="0.3">
      <c r="B1531" s="126"/>
      <c r="G1531" s="137"/>
      <c r="H1531" s="138"/>
      <c r="I1531" s="138"/>
      <c r="J1531" s="139"/>
      <c r="K1531" s="137"/>
      <c r="L1531" s="137"/>
      <c r="P1531" s="137"/>
      <c r="Q1531" s="137"/>
      <c r="R1531" s="126"/>
    </row>
    <row r="1532" spans="2:18" x14ac:dyDescent="0.3">
      <c r="B1532" s="126"/>
      <c r="G1532" s="137"/>
      <c r="H1532" s="138"/>
      <c r="I1532" s="138"/>
      <c r="J1532" s="139"/>
      <c r="K1532" s="137"/>
      <c r="L1532" s="137"/>
      <c r="P1532" s="137"/>
      <c r="Q1532" s="137"/>
      <c r="R1532" s="126"/>
    </row>
    <row r="1533" spans="2:18" x14ac:dyDescent="0.3">
      <c r="B1533" s="126"/>
      <c r="G1533" s="137"/>
      <c r="H1533" s="138"/>
      <c r="I1533" s="138"/>
      <c r="J1533" s="139"/>
      <c r="K1533" s="137"/>
      <c r="L1533" s="137"/>
      <c r="P1533" s="137"/>
      <c r="Q1533" s="137"/>
      <c r="R1533" s="126"/>
    </row>
    <row r="1534" spans="2:18" x14ac:dyDescent="0.3">
      <c r="B1534" s="126"/>
      <c r="G1534" s="137"/>
      <c r="H1534" s="138"/>
      <c r="I1534" s="138"/>
      <c r="J1534" s="139"/>
      <c r="K1534" s="137"/>
      <c r="L1534" s="137"/>
      <c r="P1534" s="137"/>
      <c r="Q1534" s="137"/>
      <c r="R1534" s="126"/>
    </row>
    <row r="1535" spans="2:18" x14ac:dyDescent="0.3">
      <c r="B1535" s="126"/>
      <c r="G1535" s="137"/>
      <c r="H1535" s="138"/>
      <c r="I1535" s="138"/>
      <c r="J1535" s="139"/>
      <c r="K1535" s="137"/>
      <c r="L1535" s="137"/>
      <c r="P1535" s="137"/>
      <c r="Q1535" s="137"/>
      <c r="R1535" s="126"/>
    </row>
    <row r="1536" spans="2:18" x14ac:dyDescent="0.3">
      <c r="B1536" s="126"/>
      <c r="G1536" s="137"/>
      <c r="H1536" s="138"/>
      <c r="I1536" s="138"/>
      <c r="J1536" s="139"/>
      <c r="K1536" s="137"/>
      <c r="L1536" s="137"/>
      <c r="P1536" s="137"/>
      <c r="Q1536" s="137"/>
      <c r="R1536" s="126"/>
    </row>
    <row r="1537" spans="2:18" x14ac:dyDescent="0.3">
      <c r="B1537" s="126"/>
      <c r="G1537" s="137"/>
      <c r="H1537" s="138"/>
      <c r="I1537" s="138"/>
      <c r="J1537" s="139"/>
      <c r="K1537" s="137"/>
      <c r="L1537" s="137"/>
      <c r="P1537" s="137"/>
      <c r="Q1537" s="137"/>
      <c r="R1537" s="126"/>
    </row>
    <row r="1538" spans="2:18" x14ac:dyDescent="0.3">
      <c r="B1538" s="126"/>
      <c r="G1538" s="137"/>
      <c r="H1538" s="138"/>
      <c r="I1538" s="138"/>
      <c r="J1538" s="139"/>
      <c r="K1538" s="137"/>
      <c r="L1538" s="137"/>
      <c r="P1538" s="137"/>
      <c r="Q1538" s="137"/>
      <c r="R1538" s="126"/>
    </row>
    <row r="1539" spans="2:18" x14ac:dyDescent="0.3">
      <c r="B1539" s="126"/>
      <c r="G1539" s="137"/>
      <c r="H1539" s="138"/>
      <c r="I1539" s="138"/>
      <c r="J1539" s="139"/>
      <c r="K1539" s="137"/>
      <c r="L1539" s="137"/>
      <c r="P1539" s="137"/>
      <c r="Q1539" s="137"/>
      <c r="R1539" s="126"/>
    </row>
    <row r="1540" spans="2:18" x14ac:dyDescent="0.3">
      <c r="B1540" s="126"/>
      <c r="G1540" s="137"/>
      <c r="H1540" s="138"/>
      <c r="I1540" s="138"/>
      <c r="J1540" s="139"/>
      <c r="K1540" s="137"/>
      <c r="L1540" s="137"/>
      <c r="P1540" s="137"/>
      <c r="Q1540" s="137"/>
      <c r="R1540" s="126"/>
    </row>
    <row r="1541" spans="2:18" x14ac:dyDescent="0.3">
      <c r="B1541" s="126"/>
      <c r="G1541" s="137"/>
      <c r="H1541" s="138"/>
      <c r="I1541" s="138"/>
      <c r="J1541" s="139"/>
      <c r="K1541" s="137"/>
      <c r="L1541" s="137"/>
      <c r="P1541" s="137"/>
      <c r="Q1541" s="137"/>
      <c r="R1541" s="126"/>
    </row>
    <row r="1542" spans="2:18" x14ac:dyDescent="0.3">
      <c r="B1542" s="126"/>
      <c r="G1542" s="137"/>
      <c r="H1542" s="138"/>
      <c r="I1542" s="138"/>
      <c r="J1542" s="139"/>
      <c r="K1542" s="137"/>
      <c r="L1542" s="137"/>
      <c r="P1542" s="137"/>
      <c r="Q1542" s="137"/>
      <c r="R1542" s="126"/>
    </row>
    <row r="1543" spans="2:18" x14ac:dyDescent="0.3">
      <c r="B1543" s="126"/>
      <c r="G1543" s="137"/>
      <c r="H1543" s="138"/>
      <c r="I1543" s="138"/>
      <c r="J1543" s="139"/>
      <c r="K1543" s="137"/>
      <c r="L1543" s="137"/>
      <c r="P1543" s="137"/>
      <c r="Q1543" s="137"/>
      <c r="R1543" s="126"/>
    </row>
    <row r="1544" spans="2:18" x14ac:dyDescent="0.3">
      <c r="B1544" s="126"/>
      <c r="G1544" s="137"/>
      <c r="H1544" s="138"/>
      <c r="I1544" s="138"/>
      <c r="J1544" s="139"/>
      <c r="K1544" s="137"/>
      <c r="L1544" s="137"/>
      <c r="P1544" s="137"/>
      <c r="Q1544" s="137"/>
      <c r="R1544" s="126"/>
    </row>
    <row r="1545" spans="2:18" x14ac:dyDescent="0.3">
      <c r="B1545" s="126"/>
      <c r="G1545" s="137"/>
      <c r="H1545" s="138"/>
      <c r="I1545" s="138"/>
      <c r="J1545" s="139"/>
      <c r="K1545" s="137"/>
      <c r="L1545" s="137"/>
      <c r="P1545" s="137"/>
      <c r="Q1545" s="137"/>
      <c r="R1545" s="126"/>
    </row>
    <row r="1546" spans="2:18" x14ac:dyDescent="0.3">
      <c r="B1546" s="126"/>
      <c r="G1546" s="137"/>
      <c r="H1546" s="138"/>
      <c r="I1546" s="138"/>
      <c r="J1546" s="139"/>
      <c r="K1546" s="137"/>
      <c r="L1546" s="137"/>
      <c r="P1546" s="137"/>
      <c r="Q1546" s="137"/>
      <c r="R1546" s="126"/>
    </row>
    <row r="1547" spans="2:18" x14ac:dyDescent="0.3">
      <c r="B1547" s="126"/>
      <c r="G1547" s="137"/>
      <c r="H1547" s="138"/>
      <c r="I1547" s="138"/>
      <c r="J1547" s="139"/>
      <c r="K1547" s="137"/>
      <c r="L1547" s="137"/>
      <c r="P1547" s="137"/>
      <c r="Q1547" s="137"/>
      <c r="R1547" s="126"/>
    </row>
    <row r="1548" spans="2:18" x14ac:dyDescent="0.3">
      <c r="B1548" s="126"/>
      <c r="G1548" s="137"/>
      <c r="H1548" s="138"/>
      <c r="I1548" s="138"/>
      <c r="J1548" s="139"/>
      <c r="K1548" s="137"/>
      <c r="L1548" s="137"/>
      <c r="P1548" s="137"/>
      <c r="Q1548" s="137"/>
      <c r="R1548" s="126"/>
    </row>
    <row r="1549" spans="2:18" x14ac:dyDescent="0.3">
      <c r="B1549" s="126"/>
      <c r="G1549" s="137"/>
      <c r="H1549" s="138"/>
      <c r="I1549" s="138"/>
      <c r="J1549" s="139"/>
      <c r="K1549" s="137"/>
      <c r="L1549" s="137"/>
      <c r="P1549" s="137"/>
      <c r="Q1549" s="137"/>
      <c r="R1549" s="126"/>
    </row>
    <row r="1550" spans="2:18" x14ac:dyDescent="0.3">
      <c r="B1550" s="126"/>
      <c r="G1550" s="137"/>
      <c r="H1550" s="138"/>
      <c r="I1550" s="138"/>
      <c r="J1550" s="139"/>
      <c r="K1550" s="137"/>
      <c r="L1550" s="137"/>
      <c r="P1550" s="137"/>
      <c r="Q1550" s="137"/>
      <c r="R1550" s="126"/>
    </row>
    <row r="1551" spans="2:18" x14ac:dyDescent="0.3">
      <c r="B1551" s="126"/>
      <c r="G1551" s="137"/>
      <c r="H1551" s="138"/>
      <c r="I1551" s="138"/>
      <c r="J1551" s="139"/>
      <c r="K1551" s="137"/>
      <c r="L1551" s="137"/>
      <c r="P1551" s="137"/>
      <c r="Q1551" s="137"/>
      <c r="R1551" s="126"/>
    </row>
    <row r="1552" spans="2:18" x14ac:dyDescent="0.3">
      <c r="B1552" s="126"/>
      <c r="G1552" s="137"/>
      <c r="H1552" s="138"/>
      <c r="I1552" s="138"/>
      <c r="J1552" s="139"/>
      <c r="K1552" s="137"/>
      <c r="L1552" s="137"/>
      <c r="P1552" s="137"/>
      <c r="Q1552" s="137"/>
      <c r="R1552" s="126"/>
    </row>
    <row r="1553" spans="2:18" x14ac:dyDescent="0.3">
      <c r="B1553" s="126"/>
      <c r="G1553" s="137"/>
      <c r="H1553" s="138"/>
      <c r="I1553" s="138"/>
      <c r="J1553" s="139"/>
      <c r="K1553" s="137"/>
      <c r="L1553" s="137"/>
      <c r="P1553" s="137"/>
      <c r="Q1553" s="137"/>
      <c r="R1553" s="126"/>
    </row>
    <row r="1554" spans="2:18" x14ac:dyDescent="0.3">
      <c r="B1554" s="126"/>
      <c r="G1554" s="137"/>
      <c r="H1554" s="138"/>
      <c r="I1554" s="138"/>
      <c r="J1554" s="139"/>
      <c r="K1554" s="137"/>
      <c r="L1554" s="137"/>
      <c r="P1554" s="137"/>
      <c r="Q1554" s="137"/>
      <c r="R1554" s="126"/>
    </row>
    <row r="1555" spans="2:18" x14ac:dyDescent="0.3">
      <c r="B1555" s="126"/>
      <c r="G1555" s="137"/>
      <c r="H1555" s="138"/>
      <c r="I1555" s="138"/>
      <c r="J1555" s="139"/>
      <c r="K1555" s="137"/>
      <c r="L1555" s="137"/>
      <c r="P1555" s="137"/>
      <c r="Q1555" s="137"/>
      <c r="R1555" s="126"/>
    </row>
    <row r="1556" spans="2:18" x14ac:dyDescent="0.3">
      <c r="B1556" s="126"/>
      <c r="G1556" s="137"/>
      <c r="H1556" s="138"/>
      <c r="I1556" s="138"/>
      <c r="J1556" s="139"/>
      <c r="K1556" s="137"/>
      <c r="L1556" s="137"/>
      <c r="P1556" s="137"/>
      <c r="Q1556" s="137"/>
      <c r="R1556" s="126"/>
    </row>
    <row r="1557" spans="2:18" x14ac:dyDescent="0.3">
      <c r="B1557" s="126"/>
      <c r="G1557" s="137"/>
      <c r="H1557" s="138"/>
      <c r="I1557" s="138"/>
      <c r="J1557" s="139"/>
      <c r="K1557" s="137"/>
      <c r="L1557" s="137"/>
      <c r="P1557" s="137"/>
      <c r="Q1557" s="137"/>
      <c r="R1557" s="126"/>
    </row>
    <row r="1558" spans="2:18" x14ac:dyDescent="0.3">
      <c r="B1558" s="126"/>
      <c r="G1558" s="137"/>
      <c r="H1558" s="138"/>
      <c r="I1558" s="138"/>
      <c r="J1558" s="139"/>
      <c r="K1558" s="137"/>
      <c r="L1558" s="137"/>
      <c r="P1558" s="137"/>
      <c r="Q1558" s="137"/>
      <c r="R1558" s="126"/>
    </row>
    <row r="1559" spans="2:18" x14ac:dyDescent="0.3">
      <c r="B1559" s="126"/>
      <c r="G1559" s="137"/>
      <c r="H1559" s="138"/>
      <c r="I1559" s="138"/>
      <c r="J1559" s="139"/>
      <c r="K1559" s="137"/>
      <c r="L1559" s="137"/>
      <c r="P1559" s="137"/>
      <c r="Q1559" s="137"/>
      <c r="R1559" s="126"/>
    </row>
    <row r="1560" spans="2:18" x14ac:dyDescent="0.3">
      <c r="B1560" s="126"/>
      <c r="G1560" s="137"/>
      <c r="H1560" s="138"/>
      <c r="I1560" s="138"/>
      <c r="J1560" s="139"/>
      <c r="K1560" s="137"/>
      <c r="L1560" s="137"/>
      <c r="P1560" s="137"/>
      <c r="Q1560" s="137"/>
      <c r="R1560" s="126"/>
    </row>
    <row r="1561" spans="2:18" x14ac:dyDescent="0.3">
      <c r="B1561" s="126"/>
      <c r="G1561" s="137"/>
      <c r="H1561" s="138"/>
      <c r="I1561" s="138"/>
      <c r="J1561" s="139"/>
      <c r="K1561" s="137"/>
      <c r="L1561" s="137"/>
      <c r="P1561" s="137"/>
      <c r="Q1561" s="137"/>
      <c r="R1561" s="126"/>
    </row>
    <row r="1562" spans="2:18" x14ac:dyDescent="0.3">
      <c r="B1562" s="126"/>
      <c r="G1562" s="137"/>
      <c r="H1562" s="138"/>
      <c r="I1562" s="138"/>
      <c r="J1562" s="139"/>
      <c r="K1562" s="137"/>
      <c r="L1562" s="137"/>
      <c r="P1562" s="137"/>
      <c r="Q1562" s="137"/>
      <c r="R1562" s="126"/>
    </row>
    <row r="1563" spans="2:18" x14ac:dyDescent="0.3">
      <c r="B1563" s="126"/>
      <c r="G1563" s="137"/>
      <c r="H1563" s="138"/>
      <c r="I1563" s="138"/>
      <c r="J1563" s="139"/>
      <c r="K1563" s="137"/>
      <c r="L1563" s="137"/>
      <c r="P1563" s="137"/>
      <c r="Q1563" s="137"/>
      <c r="R1563" s="126"/>
    </row>
    <row r="1564" spans="2:18" x14ac:dyDescent="0.3">
      <c r="B1564" s="126"/>
      <c r="G1564" s="137"/>
      <c r="H1564" s="138"/>
      <c r="I1564" s="138"/>
      <c r="J1564" s="139"/>
      <c r="K1564" s="137"/>
      <c r="L1564" s="137"/>
      <c r="P1564" s="137"/>
      <c r="Q1564" s="137"/>
      <c r="R1564" s="126"/>
    </row>
    <row r="1565" spans="2:18" x14ac:dyDescent="0.3">
      <c r="B1565" s="126"/>
      <c r="G1565" s="137"/>
      <c r="H1565" s="138"/>
      <c r="I1565" s="138"/>
      <c r="J1565" s="139"/>
      <c r="K1565" s="137"/>
      <c r="L1565" s="137"/>
      <c r="P1565" s="137"/>
      <c r="Q1565" s="137"/>
      <c r="R1565" s="126"/>
    </row>
    <row r="1566" spans="2:18" x14ac:dyDescent="0.3">
      <c r="B1566" s="126"/>
      <c r="G1566" s="137"/>
      <c r="H1566" s="138"/>
      <c r="I1566" s="138"/>
      <c r="J1566" s="139"/>
      <c r="K1566" s="137"/>
      <c r="L1566" s="137"/>
      <c r="P1566" s="137"/>
      <c r="Q1566" s="137"/>
      <c r="R1566" s="126"/>
    </row>
    <row r="1567" spans="2:18" x14ac:dyDescent="0.3">
      <c r="B1567" s="126"/>
      <c r="G1567" s="137"/>
      <c r="H1567" s="138"/>
      <c r="I1567" s="138"/>
      <c r="J1567" s="139"/>
      <c r="K1567" s="137"/>
      <c r="L1567" s="137"/>
      <c r="P1567" s="137"/>
      <c r="Q1567" s="137"/>
      <c r="R1567" s="126"/>
    </row>
    <row r="1568" spans="2:18" x14ac:dyDescent="0.3">
      <c r="B1568" s="126"/>
      <c r="G1568" s="137"/>
      <c r="H1568" s="138"/>
      <c r="I1568" s="138"/>
      <c r="J1568" s="139"/>
      <c r="K1568" s="137"/>
      <c r="L1568" s="137"/>
      <c r="P1568" s="137"/>
      <c r="Q1568" s="137"/>
      <c r="R1568" s="126"/>
    </row>
    <row r="1569" spans="2:18" x14ac:dyDescent="0.3">
      <c r="B1569" s="126"/>
      <c r="G1569" s="137"/>
      <c r="H1569" s="138"/>
      <c r="I1569" s="138"/>
      <c r="J1569" s="139"/>
      <c r="K1569" s="137"/>
      <c r="L1569" s="137"/>
      <c r="P1569" s="137"/>
      <c r="Q1569" s="137"/>
      <c r="R1569" s="126"/>
    </row>
    <row r="1570" spans="2:18" x14ac:dyDescent="0.3">
      <c r="B1570" s="126"/>
      <c r="G1570" s="137"/>
      <c r="H1570" s="138"/>
      <c r="I1570" s="138"/>
      <c r="J1570" s="139"/>
      <c r="K1570" s="137"/>
      <c r="L1570" s="137"/>
      <c r="P1570" s="137"/>
      <c r="Q1570" s="137"/>
      <c r="R1570" s="126"/>
    </row>
    <row r="1571" spans="2:18" x14ac:dyDescent="0.3">
      <c r="B1571" s="126"/>
      <c r="G1571" s="137"/>
      <c r="H1571" s="138"/>
      <c r="I1571" s="138"/>
      <c r="J1571" s="139"/>
      <c r="K1571" s="137"/>
      <c r="L1571" s="137"/>
      <c r="P1571" s="137"/>
      <c r="Q1571" s="137"/>
      <c r="R1571" s="126"/>
    </row>
    <row r="1572" spans="2:18" x14ac:dyDescent="0.3">
      <c r="B1572" s="126"/>
      <c r="G1572" s="137"/>
      <c r="H1572" s="138"/>
      <c r="I1572" s="138"/>
      <c r="J1572" s="139"/>
      <c r="K1572" s="137"/>
      <c r="L1572" s="137"/>
      <c r="P1572" s="137"/>
      <c r="Q1572" s="137"/>
      <c r="R1572" s="126"/>
    </row>
    <row r="1573" spans="2:18" x14ac:dyDescent="0.3">
      <c r="B1573" s="126"/>
      <c r="G1573" s="137"/>
      <c r="H1573" s="138"/>
      <c r="I1573" s="138"/>
      <c r="J1573" s="139"/>
      <c r="K1573" s="137"/>
      <c r="L1573" s="137"/>
      <c r="P1573" s="137"/>
      <c r="Q1573" s="137"/>
      <c r="R1573" s="126"/>
    </row>
    <row r="1574" spans="2:18" x14ac:dyDescent="0.3">
      <c r="B1574" s="126"/>
      <c r="G1574" s="137"/>
      <c r="H1574" s="138"/>
      <c r="I1574" s="138"/>
      <c r="J1574" s="139"/>
      <c r="K1574" s="137"/>
      <c r="L1574" s="137"/>
      <c r="P1574" s="137"/>
      <c r="Q1574" s="137"/>
      <c r="R1574" s="126"/>
    </row>
    <row r="1575" spans="2:18" x14ac:dyDescent="0.3">
      <c r="B1575" s="126"/>
      <c r="G1575" s="137"/>
      <c r="H1575" s="138"/>
      <c r="I1575" s="138"/>
      <c r="J1575" s="139"/>
      <c r="K1575" s="137"/>
      <c r="L1575" s="137"/>
      <c r="P1575" s="137"/>
      <c r="Q1575" s="137"/>
      <c r="R1575" s="126"/>
    </row>
    <row r="1576" spans="2:18" x14ac:dyDescent="0.3">
      <c r="B1576" s="126"/>
      <c r="G1576" s="137"/>
      <c r="H1576" s="138"/>
      <c r="I1576" s="138"/>
      <c r="J1576" s="139"/>
      <c r="K1576" s="137"/>
      <c r="L1576" s="137"/>
      <c r="P1576" s="137"/>
      <c r="Q1576" s="137"/>
      <c r="R1576" s="126"/>
    </row>
    <row r="1577" spans="2:18" x14ac:dyDescent="0.3">
      <c r="B1577" s="126"/>
      <c r="G1577" s="137"/>
      <c r="H1577" s="138"/>
      <c r="I1577" s="138"/>
      <c r="J1577" s="139"/>
      <c r="K1577" s="137"/>
      <c r="L1577" s="137"/>
      <c r="P1577" s="137"/>
      <c r="Q1577" s="137"/>
      <c r="R1577" s="126"/>
    </row>
    <row r="1578" spans="2:18" x14ac:dyDescent="0.3">
      <c r="B1578" s="126"/>
      <c r="G1578" s="137"/>
      <c r="H1578" s="138"/>
      <c r="I1578" s="138"/>
      <c r="J1578" s="139"/>
      <c r="K1578" s="137"/>
      <c r="L1578" s="137"/>
      <c r="P1578" s="137"/>
      <c r="Q1578" s="137"/>
      <c r="R1578" s="126"/>
    </row>
    <row r="1579" spans="2:18" x14ac:dyDescent="0.3">
      <c r="B1579" s="126"/>
      <c r="G1579" s="137"/>
      <c r="H1579" s="138"/>
      <c r="I1579" s="138"/>
      <c r="J1579" s="139"/>
      <c r="K1579" s="137"/>
      <c r="L1579" s="137"/>
      <c r="P1579" s="137"/>
      <c r="Q1579" s="137"/>
      <c r="R1579" s="126"/>
    </row>
    <row r="1580" spans="2:18" x14ac:dyDescent="0.3">
      <c r="B1580" s="126"/>
      <c r="G1580" s="137"/>
      <c r="H1580" s="138"/>
      <c r="I1580" s="138"/>
      <c r="J1580" s="139"/>
      <c r="K1580" s="137"/>
      <c r="L1580" s="137"/>
      <c r="P1580" s="137"/>
      <c r="Q1580" s="137"/>
      <c r="R1580" s="126"/>
    </row>
    <row r="1581" spans="2:18" x14ac:dyDescent="0.3">
      <c r="B1581" s="126"/>
      <c r="G1581" s="137"/>
      <c r="H1581" s="138"/>
      <c r="I1581" s="138"/>
      <c r="J1581" s="139"/>
      <c r="K1581" s="137"/>
      <c r="L1581" s="137"/>
      <c r="P1581" s="137"/>
      <c r="Q1581" s="137"/>
      <c r="R1581" s="126"/>
    </row>
    <row r="1582" spans="2:18" x14ac:dyDescent="0.3">
      <c r="B1582" s="126"/>
      <c r="G1582" s="137"/>
      <c r="H1582" s="138"/>
      <c r="I1582" s="138"/>
      <c r="J1582" s="139"/>
      <c r="K1582" s="137"/>
      <c r="L1582" s="137"/>
      <c r="P1582" s="137"/>
      <c r="Q1582" s="137"/>
      <c r="R1582" s="126"/>
    </row>
    <row r="1583" spans="2:18" x14ac:dyDescent="0.3">
      <c r="B1583" s="126"/>
      <c r="G1583" s="137"/>
      <c r="H1583" s="138"/>
      <c r="I1583" s="138"/>
      <c r="J1583" s="139"/>
      <c r="K1583" s="137"/>
      <c r="L1583" s="137"/>
      <c r="P1583" s="137"/>
      <c r="Q1583" s="137"/>
      <c r="R1583" s="126"/>
    </row>
    <row r="1584" spans="2:18" x14ac:dyDescent="0.3">
      <c r="B1584" s="126"/>
      <c r="G1584" s="137"/>
      <c r="H1584" s="138"/>
      <c r="I1584" s="138"/>
      <c r="J1584" s="139"/>
      <c r="K1584" s="137"/>
      <c r="L1584" s="137"/>
      <c r="P1584" s="137"/>
      <c r="Q1584" s="137"/>
      <c r="R1584" s="126"/>
    </row>
    <row r="1585" spans="2:18" x14ac:dyDescent="0.3">
      <c r="B1585" s="126"/>
      <c r="G1585" s="137"/>
      <c r="H1585" s="138"/>
      <c r="I1585" s="138"/>
      <c r="J1585" s="139"/>
      <c r="K1585" s="137"/>
      <c r="L1585" s="137"/>
      <c r="P1585" s="137"/>
      <c r="Q1585" s="137"/>
      <c r="R1585" s="126"/>
    </row>
    <row r="1586" spans="2:18" x14ac:dyDescent="0.3">
      <c r="B1586" s="126"/>
      <c r="G1586" s="137"/>
      <c r="H1586" s="138"/>
      <c r="I1586" s="138"/>
      <c r="J1586" s="139"/>
      <c r="K1586" s="137"/>
      <c r="L1586" s="137"/>
      <c r="P1586" s="137"/>
      <c r="Q1586" s="137"/>
      <c r="R1586" s="126"/>
    </row>
    <row r="1587" spans="2:18" x14ac:dyDescent="0.3">
      <c r="B1587" s="126"/>
      <c r="G1587" s="137"/>
      <c r="H1587" s="138"/>
      <c r="I1587" s="138"/>
      <c r="J1587" s="139"/>
      <c r="K1587" s="137"/>
      <c r="L1587" s="137"/>
      <c r="P1587" s="137"/>
      <c r="Q1587" s="137"/>
      <c r="R1587" s="126"/>
    </row>
    <row r="1588" spans="2:18" x14ac:dyDescent="0.3">
      <c r="B1588" s="126"/>
      <c r="G1588" s="137"/>
      <c r="H1588" s="138"/>
      <c r="I1588" s="138"/>
      <c r="J1588" s="139"/>
      <c r="K1588" s="137"/>
      <c r="L1588" s="137"/>
      <c r="P1588" s="137"/>
      <c r="Q1588" s="137"/>
      <c r="R1588" s="126"/>
    </row>
    <row r="1589" spans="2:18" x14ac:dyDescent="0.3">
      <c r="B1589" s="126"/>
      <c r="G1589" s="137"/>
      <c r="H1589" s="138"/>
      <c r="I1589" s="138"/>
      <c r="J1589" s="139"/>
      <c r="K1589" s="137"/>
      <c r="L1589" s="137"/>
      <c r="P1589" s="137"/>
      <c r="Q1589" s="137"/>
      <c r="R1589" s="126"/>
    </row>
    <row r="1590" spans="2:18" x14ac:dyDescent="0.3">
      <c r="B1590" s="126"/>
      <c r="G1590" s="137"/>
      <c r="H1590" s="138"/>
      <c r="I1590" s="138"/>
      <c r="J1590" s="139"/>
      <c r="K1590" s="137"/>
      <c r="L1590" s="137"/>
      <c r="P1590" s="137"/>
      <c r="Q1590" s="137"/>
      <c r="R1590" s="126"/>
    </row>
    <row r="1591" spans="2:18" x14ac:dyDescent="0.3">
      <c r="B1591" s="126"/>
      <c r="G1591" s="137"/>
      <c r="H1591" s="138"/>
      <c r="I1591" s="138"/>
      <c r="J1591" s="139"/>
      <c r="K1591" s="137"/>
      <c r="L1591" s="137"/>
      <c r="P1591" s="137"/>
      <c r="Q1591" s="137"/>
      <c r="R1591" s="126"/>
    </row>
    <row r="1592" spans="2:18" x14ac:dyDescent="0.3">
      <c r="B1592" s="126"/>
      <c r="G1592" s="137"/>
      <c r="H1592" s="138"/>
      <c r="I1592" s="138"/>
      <c r="J1592" s="139"/>
      <c r="K1592" s="137"/>
      <c r="L1592" s="137"/>
      <c r="P1592" s="137"/>
      <c r="Q1592" s="137"/>
      <c r="R1592" s="126"/>
    </row>
    <row r="1593" spans="2:18" x14ac:dyDescent="0.3">
      <c r="B1593" s="126"/>
      <c r="G1593" s="137"/>
      <c r="H1593" s="138"/>
      <c r="I1593" s="138"/>
      <c r="J1593" s="139"/>
      <c r="K1593" s="137"/>
      <c r="L1593" s="137"/>
      <c r="P1593" s="137"/>
      <c r="Q1593" s="137"/>
      <c r="R1593" s="126"/>
    </row>
    <row r="1594" spans="2:18" x14ac:dyDescent="0.3">
      <c r="B1594" s="126"/>
      <c r="G1594" s="137"/>
      <c r="H1594" s="138"/>
      <c r="I1594" s="138"/>
      <c r="J1594" s="139"/>
      <c r="K1594" s="137"/>
      <c r="L1594" s="137"/>
      <c r="P1594" s="137"/>
      <c r="Q1594" s="137"/>
      <c r="R1594" s="126"/>
    </row>
    <row r="1595" spans="2:18" x14ac:dyDescent="0.3">
      <c r="B1595" s="126"/>
      <c r="G1595" s="137"/>
      <c r="H1595" s="138"/>
      <c r="I1595" s="138"/>
      <c r="J1595" s="139"/>
      <c r="K1595" s="137"/>
      <c r="L1595" s="137"/>
      <c r="P1595" s="137"/>
      <c r="Q1595" s="137"/>
      <c r="R1595" s="126"/>
    </row>
    <row r="1596" spans="2:18" x14ac:dyDescent="0.3">
      <c r="B1596" s="126"/>
      <c r="G1596" s="137"/>
      <c r="H1596" s="138"/>
      <c r="I1596" s="138"/>
      <c r="J1596" s="139"/>
      <c r="K1596" s="137"/>
      <c r="L1596" s="137"/>
      <c r="P1596" s="137"/>
      <c r="Q1596" s="137"/>
      <c r="R1596" s="126"/>
    </row>
    <row r="1597" spans="2:18" x14ac:dyDescent="0.3">
      <c r="B1597" s="126"/>
      <c r="G1597" s="137"/>
      <c r="H1597" s="138"/>
      <c r="I1597" s="138"/>
      <c r="J1597" s="139"/>
      <c r="K1597" s="137"/>
      <c r="L1597" s="137"/>
      <c r="P1597" s="137"/>
      <c r="Q1597" s="137"/>
      <c r="R1597" s="126"/>
    </row>
    <row r="1598" spans="2:18" x14ac:dyDescent="0.3">
      <c r="B1598" s="126"/>
      <c r="G1598" s="137"/>
      <c r="H1598" s="138"/>
      <c r="I1598" s="138"/>
      <c r="J1598" s="139"/>
      <c r="K1598" s="137"/>
      <c r="L1598" s="137"/>
      <c r="P1598" s="137"/>
      <c r="Q1598" s="137"/>
      <c r="R1598" s="126"/>
    </row>
    <row r="1599" spans="2:18" x14ac:dyDescent="0.3">
      <c r="B1599" s="126"/>
      <c r="G1599" s="137"/>
      <c r="H1599" s="138"/>
      <c r="I1599" s="138"/>
      <c r="J1599" s="139"/>
      <c r="K1599" s="137"/>
      <c r="L1599" s="137"/>
      <c r="P1599" s="137"/>
      <c r="Q1599" s="137"/>
      <c r="R1599" s="126"/>
    </row>
    <row r="1600" spans="2:18" x14ac:dyDescent="0.3">
      <c r="B1600" s="126"/>
      <c r="G1600" s="137"/>
      <c r="H1600" s="138"/>
      <c r="I1600" s="138"/>
      <c r="J1600" s="139"/>
      <c r="K1600" s="137"/>
      <c r="L1600" s="137"/>
      <c r="P1600" s="137"/>
      <c r="Q1600" s="137"/>
      <c r="R1600" s="126"/>
    </row>
    <row r="1601" spans="2:18" x14ac:dyDescent="0.3">
      <c r="B1601" s="126"/>
      <c r="G1601" s="137"/>
      <c r="H1601" s="138"/>
      <c r="I1601" s="138"/>
      <c r="J1601" s="139"/>
      <c r="K1601" s="137"/>
      <c r="L1601" s="137"/>
      <c r="P1601" s="137"/>
      <c r="Q1601" s="137"/>
      <c r="R1601" s="126"/>
    </row>
    <row r="1602" spans="2:18" x14ac:dyDescent="0.3">
      <c r="B1602" s="126"/>
      <c r="G1602" s="137"/>
      <c r="H1602" s="138"/>
      <c r="I1602" s="138"/>
      <c r="J1602" s="139"/>
      <c r="K1602" s="137"/>
      <c r="L1602" s="137"/>
      <c r="P1602" s="137"/>
      <c r="Q1602" s="137"/>
      <c r="R1602" s="126"/>
    </row>
    <row r="1603" spans="2:18" x14ac:dyDescent="0.3">
      <c r="B1603" s="126"/>
      <c r="G1603" s="137"/>
      <c r="H1603" s="138"/>
      <c r="I1603" s="138"/>
      <c r="J1603" s="139"/>
      <c r="K1603" s="137"/>
      <c r="L1603" s="137"/>
      <c r="P1603" s="137"/>
      <c r="Q1603" s="137"/>
      <c r="R1603" s="126"/>
    </row>
    <row r="1604" spans="2:18" x14ac:dyDescent="0.3">
      <c r="B1604" s="126"/>
      <c r="G1604" s="137"/>
      <c r="H1604" s="138"/>
      <c r="I1604" s="138"/>
      <c r="J1604" s="139"/>
      <c r="K1604" s="137"/>
      <c r="L1604" s="137"/>
      <c r="P1604" s="137"/>
      <c r="Q1604" s="137"/>
      <c r="R1604" s="126"/>
    </row>
    <row r="1605" spans="2:18" x14ac:dyDescent="0.3">
      <c r="B1605" s="126"/>
      <c r="G1605" s="137"/>
      <c r="H1605" s="138"/>
      <c r="I1605" s="138"/>
      <c r="J1605" s="139"/>
      <c r="K1605" s="137"/>
      <c r="L1605" s="137"/>
      <c r="P1605" s="137"/>
      <c r="Q1605" s="137"/>
      <c r="R1605" s="126"/>
    </row>
    <row r="1606" spans="2:18" x14ac:dyDescent="0.3">
      <c r="B1606" s="126"/>
      <c r="G1606" s="137"/>
      <c r="H1606" s="138"/>
      <c r="I1606" s="138"/>
      <c r="J1606" s="139"/>
      <c r="K1606" s="137"/>
      <c r="L1606" s="137"/>
      <c r="P1606" s="137"/>
      <c r="Q1606" s="137"/>
      <c r="R1606" s="126"/>
    </row>
    <row r="1607" spans="2:18" x14ac:dyDescent="0.3">
      <c r="B1607" s="126"/>
      <c r="G1607" s="137"/>
      <c r="H1607" s="138"/>
      <c r="I1607" s="138"/>
      <c r="J1607" s="139"/>
      <c r="K1607" s="137"/>
      <c r="L1607" s="137"/>
      <c r="P1607" s="137"/>
      <c r="Q1607" s="137"/>
      <c r="R1607" s="126"/>
    </row>
    <row r="1608" spans="2:18" x14ac:dyDescent="0.3">
      <c r="B1608" s="126"/>
      <c r="G1608" s="137"/>
      <c r="H1608" s="138"/>
      <c r="I1608" s="138"/>
      <c r="J1608" s="139"/>
      <c r="K1608" s="137"/>
      <c r="L1608" s="137"/>
      <c r="P1608" s="137"/>
      <c r="Q1608" s="137"/>
      <c r="R1608" s="126"/>
    </row>
    <row r="1609" spans="2:18" x14ac:dyDescent="0.3">
      <c r="B1609" s="126"/>
      <c r="G1609" s="137"/>
      <c r="H1609" s="138"/>
      <c r="I1609" s="138"/>
      <c r="J1609" s="139"/>
      <c r="K1609" s="137"/>
      <c r="L1609" s="137"/>
      <c r="P1609" s="137"/>
      <c r="Q1609" s="137"/>
      <c r="R1609" s="126"/>
    </row>
    <row r="1610" spans="2:18" x14ac:dyDescent="0.3">
      <c r="B1610" s="126"/>
      <c r="G1610" s="137"/>
      <c r="H1610" s="138"/>
      <c r="I1610" s="138"/>
      <c r="J1610" s="139"/>
      <c r="K1610" s="137"/>
      <c r="L1610" s="137"/>
      <c r="P1610" s="137"/>
      <c r="Q1610" s="137"/>
      <c r="R1610" s="126"/>
    </row>
    <row r="1611" spans="2:18" x14ac:dyDescent="0.3">
      <c r="B1611" s="126"/>
      <c r="G1611" s="137"/>
      <c r="H1611" s="138"/>
      <c r="I1611" s="138"/>
      <c r="J1611" s="139"/>
      <c r="K1611" s="137"/>
      <c r="L1611" s="137"/>
      <c r="P1611" s="137"/>
      <c r="Q1611" s="137"/>
      <c r="R1611" s="126"/>
    </row>
    <row r="1612" spans="2:18" x14ac:dyDescent="0.3">
      <c r="B1612" s="126"/>
      <c r="G1612" s="137"/>
      <c r="H1612" s="138"/>
      <c r="I1612" s="138"/>
      <c r="J1612" s="139"/>
      <c r="K1612" s="137"/>
      <c r="L1612" s="137"/>
      <c r="P1612" s="137"/>
      <c r="Q1612" s="137"/>
      <c r="R1612" s="126"/>
    </row>
    <row r="1613" spans="2:18" x14ac:dyDescent="0.3">
      <c r="B1613" s="126"/>
      <c r="G1613" s="137"/>
      <c r="H1613" s="138"/>
      <c r="I1613" s="138"/>
      <c r="J1613" s="139"/>
      <c r="K1613" s="137"/>
      <c r="L1613" s="137"/>
      <c r="P1613" s="137"/>
      <c r="Q1613" s="137"/>
      <c r="R1613" s="126"/>
    </row>
    <row r="1614" spans="2:18" x14ac:dyDescent="0.3">
      <c r="B1614" s="126"/>
      <c r="G1614" s="137"/>
      <c r="H1614" s="138"/>
      <c r="I1614" s="138"/>
      <c r="J1614" s="139"/>
      <c r="K1614" s="137"/>
      <c r="L1614" s="137"/>
      <c r="P1614" s="137"/>
      <c r="Q1614" s="137"/>
      <c r="R1614" s="126"/>
    </row>
    <row r="1615" spans="2:18" x14ac:dyDescent="0.3">
      <c r="B1615" s="126"/>
      <c r="G1615" s="137"/>
      <c r="H1615" s="138"/>
      <c r="I1615" s="138"/>
      <c r="J1615" s="139"/>
      <c r="K1615" s="137"/>
      <c r="L1615" s="137"/>
      <c r="P1615" s="137"/>
      <c r="Q1615" s="137"/>
      <c r="R1615" s="126"/>
    </row>
    <row r="1616" spans="2:18" x14ac:dyDescent="0.3">
      <c r="B1616" s="126"/>
      <c r="G1616" s="137"/>
      <c r="H1616" s="138"/>
      <c r="I1616" s="138"/>
      <c r="J1616" s="139"/>
      <c r="K1616" s="137"/>
      <c r="L1616" s="137"/>
      <c r="P1616" s="137"/>
      <c r="Q1616" s="137"/>
      <c r="R1616" s="126"/>
    </row>
    <row r="1617" spans="2:18" x14ac:dyDescent="0.3">
      <c r="B1617" s="126"/>
      <c r="G1617" s="137"/>
      <c r="H1617" s="138"/>
      <c r="I1617" s="138"/>
      <c r="J1617" s="139"/>
      <c r="K1617" s="137"/>
      <c r="L1617" s="137"/>
      <c r="P1617" s="137"/>
      <c r="Q1617" s="137"/>
      <c r="R1617" s="126"/>
    </row>
    <row r="1618" spans="2:18" x14ac:dyDescent="0.3">
      <c r="B1618" s="126"/>
      <c r="G1618" s="137"/>
      <c r="H1618" s="138"/>
      <c r="I1618" s="138"/>
      <c r="J1618" s="139"/>
      <c r="K1618" s="137"/>
      <c r="L1618" s="137"/>
      <c r="P1618" s="137"/>
      <c r="Q1618" s="137"/>
      <c r="R1618" s="126"/>
    </row>
    <row r="1619" spans="2:18" x14ac:dyDescent="0.3">
      <c r="B1619" s="126"/>
      <c r="G1619" s="137"/>
      <c r="H1619" s="138"/>
      <c r="I1619" s="138"/>
      <c r="J1619" s="139"/>
      <c r="K1619" s="137"/>
      <c r="L1619" s="137"/>
      <c r="P1619" s="137"/>
      <c r="Q1619" s="137"/>
      <c r="R1619" s="126"/>
    </row>
    <row r="1620" spans="2:18" x14ac:dyDescent="0.3">
      <c r="B1620" s="126"/>
      <c r="G1620" s="137"/>
      <c r="H1620" s="138"/>
      <c r="I1620" s="138"/>
      <c r="J1620" s="139"/>
      <c r="K1620" s="137"/>
      <c r="L1620" s="137"/>
      <c r="P1620" s="137"/>
      <c r="Q1620" s="137"/>
      <c r="R1620" s="126"/>
    </row>
    <row r="1621" spans="2:18" x14ac:dyDescent="0.3">
      <c r="B1621" s="126"/>
      <c r="G1621" s="137"/>
      <c r="H1621" s="138"/>
      <c r="I1621" s="138"/>
      <c r="J1621" s="139"/>
      <c r="K1621" s="137"/>
      <c r="L1621" s="137"/>
      <c r="P1621" s="137"/>
      <c r="Q1621" s="137"/>
      <c r="R1621" s="126"/>
    </row>
    <row r="1622" spans="2:18" x14ac:dyDescent="0.3">
      <c r="B1622" s="126"/>
      <c r="G1622" s="137"/>
      <c r="H1622" s="138"/>
      <c r="I1622" s="138"/>
      <c r="J1622" s="139"/>
      <c r="K1622" s="137"/>
      <c r="L1622" s="137"/>
      <c r="P1622" s="137"/>
      <c r="Q1622" s="137"/>
      <c r="R1622" s="126"/>
    </row>
    <row r="1623" spans="2:18" x14ac:dyDescent="0.3">
      <c r="B1623" s="126"/>
      <c r="G1623" s="137"/>
      <c r="H1623" s="138"/>
      <c r="I1623" s="138"/>
      <c r="J1623" s="139"/>
      <c r="K1623" s="137"/>
      <c r="L1623" s="137"/>
      <c r="P1623" s="137"/>
      <c r="Q1623" s="137"/>
      <c r="R1623" s="126"/>
    </row>
    <row r="1624" spans="2:18" x14ac:dyDescent="0.3">
      <c r="B1624" s="126"/>
      <c r="G1624" s="137"/>
      <c r="H1624" s="138"/>
      <c r="I1624" s="138"/>
      <c r="J1624" s="139"/>
      <c r="K1624" s="137"/>
      <c r="L1624" s="137"/>
      <c r="P1624" s="137"/>
      <c r="Q1624" s="137"/>
      <c r="R1624" s="126"/>
    </row>
    <row r="1625" spans="2:18" x14ac:dyDescent="0.3">
      <c r="B1625" s="126"/>
      <c r="G1625" s="137"/>
      <c r="H1625" s="138"/>
      <c r="I1625" s="138"/>
      <c r="J1625" s="139"/>
      <c r="K1625" s="137"/>
      <c r="L1625" s="137"/>
      <c r="P1625" s="137"/>
      <c r="Q1625" s="137"/>
      <c r="R1625" s="126"/>
    </row>
    <row r="1626" spans="2:18" x14ac:dyDescent="0.3">
      <c r="B1626" s="126"/>
      <c r="G1626" s="137"/>
      <c r="H1626" s="138"/>
      <c r="I1626" s="138"/>
      <c r="J1626" s="139"/>
      <c r="K1626" s="137"/>
      <c r="L1626" s="137"/>
      <c r="P1626" s="137"/>
      <c r="Q1626" s="137"/>
      <c r="R1626" s="126"/>
    </row>
    <row r="1627" spans="2:18" x14ac:dyDescent="0.3">
      <c r="B1627" s="126"/>
      <c r="G1627" s="137"/>
      <c r="H1627" s="138"/>
      <c r="I1627" s="138"/>
      <c r="J1627" s="139"/>
      <c r="K1627" s="137"/>
      <c r="L1627" s="137"/>
      <c r="P1627" s="137"/>
      <c r="Q1627" s="137"/>
      <c r="R1627" s="126"/>
    </row>
    <row r="1628" spans="2:18" x14ac:dyDescent="0.3">
      <c r="B1628" s="126"/>
      <c r="G1628" s="137"/>
      <c r="H1628" s="138"/>
      <c r="I1628" s="138"/>
      <c r="J1628" s="139"/>
      <c r="K1628" s="137"/>
      <c r="L1628" s="137"/>
      <c r="P1628" s="137"/>
      <c r="Q1628" s="137"/>
      <c r="R1628" s="126"/>
    </row>
    <row r="1629" spans="2:18" x14ac:dyDescent="0.3">
      <c r="B1629" s="126"/>
      <c r="G1629" s="137"/>
      <c r="H1629" s="138"/>
      <c r="I1629" s="138"/>
      <c r="J1629" s="139"/>
      <c r="K1629" s="137"/>
      <c r="L1629" s="137"/>
      <c r="P1629" s="137"/>
      <c r="Q1629" s="137"/>
      <c r="R1629" s="126"/>
    </row>
    <row r="1630" spans="2:18" x14ac:dyDescent="0.3">
      <c r="B1630" s="126"/>
      <c r="G1630" s="137"/>
      <c r="H1630" s="138"/>
      <c r="I1630" s="138"/>
      <c r="J1630" s="139"/>
      <c r="K1630" s="137"/>
      <c r="L1630" s="137"/>
      <c r="P1630" s="137"/>
      <c r="Q1630" s="137"/>
      <c r="R1630" s="126"/>
    </row>
    <row r="1631" spans="2:18" x14ac:dyDescent="0.3">
      <c r="B1631" s="126"/>
      <c r="G1631" s="137"/>
      <c r="H1631" s="138"/>
      <c r="I1631" s="138"/>
      <c r="J1631" s="139"/>
      <c r="K1631" s="137"/>
      <c r="L1631" s="137"/>
      <c r="P1631" s="137"/>
      <c r="Q1631" s="137"/>
      <c r="R1631" s="126"/>
    </row>
    <row r="1632" spans="2:18" x14ac:dyDescent="0.3">
      <c r="B1632" s="126"/>
      <c r="G1632" s="137"/>
      <c r="H1632" s="138"/>
      <c r="I1632" s="138"/>
      <c r="J1632" s="139"/>
      <c r="K1632" s="137"/>
      <c r="L1632" s="137"/>
      <c r="P1632" s="137"/>
      <c r="Q1632" s="137"/>
      <c r="R1632" s="126"/>
    </row>
    <row r="1633" spans="2:18" x14ac:dyDescent="0.3">
      <c r="B1633" s="126"/>
      <c r="G1633" s="137"/>
      <c r="H1633" s="138"/>
      <c r="I1633" s="138"/>
      <c r="J1633" s="139"/>
      <c r="K1633" s="137"/>
      <c r="L1633" s="137"/>
      <c r="P1633" s="137"/>
      <c r="Q1633" s="137"/>
      <c r="R1633" s="126"/>
    </row>
    <row r="1634" spans="2:18" x14ac:dyDescent="0.3">
      <c r="B1634" s="126"/>
      <c r="G1634" s="137"/>
      <c r="H1634" s="138"/>
      <c r="I1634" s="138"/>
      <c r="J1634" s="139"/>
      <c r="K1634" s="137"/>
      <c r="L1634" s="137"/>
      <c r="P1634" s="137"/>
      <c r="Q1634" s="137"/>
      <c r="R1634" s="126"/>
    </row>
    <row r="1635" spans="2:18" x14ac:dyDescent="0.3">
      <c r="B1635" s="126"/>
      <c r="G1635" s="137"/>
      <c r="H1635" s="138"/>
      <c r="I1635" s="138"/>
      <c r="J1635" s="139"/>
      <c r="K1635" s="137"/>
      <c r="L1635" s="137"/>
      <c r="P1635" s="137"/>
      <c r="Q1635" s="137"/>
      <c r="R1635" s="126"/>
    </row>
    <row r="1636" spans="2:18" x14ac:dyDescent="0.3">
      <c r="B1636" s="126"/>
      <c r="G1636" s="137"/>
      <c r="H1636" s="138"/>
      <c r="I1636" s="138"/>
      <c r="J1636" s="139"/>
      <c r="K1636" s="137"/>
      <c r="L1636" s="137"/>
      <c r="P1636" s="137"/>
      <c r="Q1636" s="137"/>
      <c r="R1636" s="126"/>
    </row>
    <row r="1637" spans="2:18" x14ac:dyDescent="0.3">
      <c r="B1637" s="126"/>
      <c r="G1637" s="137"/>
      <c r="H1637" s="138"/>
      <c r="I1637" s="138"/>
      <c r="J1637" s="139"/>
      <c r="K1637" s="137"/>
      <c r="L1637" s="137"/>
      <c r="P1637" s="137"/>
      <c r="Q1637" s="137"/>
      <c r="R1637" s="126"/>
    </row>
    <row r="1638" spans="2:18" x14ac:dyDescent="0.3">
      <c r="B1638" s="126"/>
      <c r="G1638" s="137"/>
      <c r="H1638" s="138"/>
      <c r="I1638" s="138"/>
      <c r="J1638" s="139"/>
      <c r="K1638" s="137"/>
      <c r="L1638" s="137"/>
      <c r="P1638" s="137"/>
      <c r="Q1638" s="137"/>
      <c r="R1638" s="126"/>
    </row>
    <row r="1639" spans="2:18" x14ac:dyDescent="0.3">
      <c r="B1639" s="126"/>
      <c r="G1639" s="137"/>
      <c r="H1639" s="138"/>
      <c r="I1639" s="138"/>
      <c r="J1639" s="139"/>
      <c r="K1639" s="137"/>
      <c r="L1639" s="137"/>
      <c r="P1639" s="137"/>
      <c r="Q1639" s="137"/>
      <c r="R1639" s="126"/>
    </row>
    <row r="1640" spans="2:18" x14ac:dyDescent="0.3">
      <c r="B1640" s="126"/>
      <c r="G1640" s="137"/>
      <c r="H1640" s="138"/>
      <c r="I1640" s="138"/>
      <c r="J1640" s="139"/>
      <c r="K1640" s="137"/>
      <c r="L1640" s="137"/>
      <c r="P1640" s="137"/>
      <c r="Q1640" s="137"/>
      <c r="R1640" s="126"/>
    </row>
    <row r="1641" spans="2:18" x14ac:dyDescent="0.3">
      <c r="B1641" s="126"/>
      <c r="G1641" s="137"/>
      <c r="H1641" s="138"/>
      <c r="I1641" s="138"/>
      <c r="J1641" s="139"/>
      <c r="K1641" s="137"/>
      <c r="L1641" s="137"/>
      <c r="P1641" s="137"/>
      <c r="Q1641" s="137"/>
      <c r="R1641" s="126"/>
    </row>
    <row r="1642" spans="2:18" x14ac:dyDescent="0.3">
      <c r="B1642" s="126"/>
      <c r="G1642" s="137"/>
      <c r="H1642" s="138"/>
      <c r="I1642" s="138"/>
      <c r="J1642" s="139"/>
      <c r="K1642" s="137"/>
      <c r="L1642" s="137"/>
      <c r="P1642" s="137"/>
      <c r="Q1642" s="137"/>
      <c r="R1642" s="126"/>
    </row>
    <row r="1643" spans="2:18" x14ac:dyDescent="0.3">
      <c r="B1643" s="126"/>
      <c r="G1643" s="137"/>
      <c r="H1643" s="138"/>
      <c r="I1643" s="138"/>
      <c r="J1643" s="139"/>
      <c r="K1643" s="137"/>
      <c r="L1643" s="137"/>
      <c r="P1643" s="137"/>
      <c r="Q1643" s="137"/>
      <c r="R1643" s="126"/>
    </row>
    <row r="1644" spans="2:18" x14ac:dyDescent="0.3">
      <c r="B1644" s="126"/>
      <c r="G1644" s="137"/>
      <c r="H1644" s="138"/>
      <c r="I1644" s="138"/>
      <c r="J1644" s="139"/>
      <c r="K1644" s="137"/>
      <c r="L1644" s="137"/>
      <c r="P1644" s="137"/>
      <c r="Q1644" s="137"/>
      <c r="R1644" s="126"/>
    </row>
    <row r="1645" spans="2:18" x14ac:dyDescent="0.3">
      <c r="B1645" s="126"/>
      <c r="G1645" s="137"/>
      <c r="H1645" s="138"/>
      <c r="I1645" s="138"/>
      <c r="J1645" s="139"/>
      <c r="K1645" s="137"/>
      <c r="L1645" s="137"/>
      <c r="P1645" s="137"/>
      <c r="Q1645" s="137"/>
      <c r="R1645" s="126"/>
    </row>
    <row r="1646" spans="2:18" x14ac:dyDescent="0.3">
      <c r="B1646" s="126"/>
      <c r="G1646" s="137"/>
      <c r="H1646" s="138"/>
      <c r="I1646" s="138"/>
      <c r="J1646" s="139"/>
      <c r="K1646" s="137"/>
      <c r="L1646" s="137"/>
      <c r="P1646" s="137"/>
      <c r="Q1646" s="137"/>
      <c r="R1646" s="126"/>
    </row>
    <row r="1647" spans="2:18" x14ac:dyDescent="0.3">
      <c r="B1647" s="126"/>
      <c r="G1647" s="137"/>
      <c r="H1647" s="138"/>
      <c r="I1647" s="138"/>
      <c r="J1647" s="139"/>
      <c r="K1647" s="137"/>
      <c r="L1647" s="137"/>
      <c r="P1647" s="137"/>
      <c r="Q1647" s="137"/>
      <c r="R1647" s="126"/>
    </row>
    <row r="1648" spans="2:18" x14ac:dyDescent="0.3">
      <c r="B1648" s="126"/>
      <c r="G1648" s="137"/>
      <c r="H1648" s="138"/>
      <c r="I1648" s="138"/>
      <c r="J1648" s="139"/>
      <c r="K1648" s="137"/>
      <c r="L1648" s="137"/>
      <c r="P1648" s="137"/>
      <c r="Q1648" s="137"/>
      <c r="R1648" s="126"/>
    </row>
    <row r="1649" spans="2:18" x14ac:dyDescent="0.3">
      <c r="B1649" s="126"/>
      <c r="G1649" s="137"/>
      <c r="H1649" s="138"/>
      <c r="I1649" s="138"/>
      <c r="J1649" s="139"/>
      <c r="K1649" s="137"/>
      <c r="L1649" s="137"/>
      <c r="P1649" s="137"/>
      <c r="Q1649" s="137"/>
      <c r="R1649" s="126"/>
    </row>
    <row r="1650" spans="2:18" x14ac:dyDescent="0.3">
      <c r="B1650" s="126"/>
      <c r="G1650" s="137"/>
      <c r="H1650" s="138"/>
      <c r="I1650" s="138"/>
      <c r="J1650" s="139"/>
      <c r="K1650" s="137"/>
      <c r="L1650" s="137"/>
      <c r="P1650" s="137"/>
      <c r="Q1650" s="137"/>
      <c r="R1650" s="126"/>
    </row>
    <row r="1651" spans="2:18" x14ac:dyDescent="0.3">
      <c r="B1651" s="126"/>
      <c r="G1651" s="137"/>
      <c r="H1651" s="138"/>
      <c r="I1651" s="138"/>
      <c r="J1651" s="139"/>
      <c r="K1651" s="137"/>
      <c r="L1651" s="137"/>
      <c r="P1651" s="137"/>
      <c r="Q1651" s="137"/>
      <c r="R1651" s="126"/>
    </row>
    <row r="1652" spans="2:18" x14ac:dyDescent="0.3">
      <c r="B1652" s="126"/>
      <c r="G1652" s="137"/>
      <c r="H1652" s="138"/>
      <c r="I1652" s="138"/>
      <c r="J1652" s="139"/>
      <c r="K1652" s="137"/>
      <c r="L1652" s="137"/>
      <c r="P1652" s="137"/>
      <c r="Q1652" s="137"/>
      <c r="R1652" s="126"/>
    </row>
    <row r="1653" spans="2:18" x14ac:dyDescent="0.3">
      <c r="B1653" s="126"/>
      <c r="G1653" s="137"/>
      <c r="H1653" s="138"/>
      <c r="I1653" s="138"/>
      <c r="J1653" s="139"/>
      <c r="K1653" s="137"/>
      <c r="L1653" s="137"/>
      <c r="P1653" s="137"/>
      <c r="Q1653" s="137"/>
      <c r="R1653" s="126"/>
    </row>
    <row r="1654" spans="2:18" x14ac:dyDescent="0.3">
      <c r="B1654" s="126"/>
      <c r="G1654" s="137"/>
      <c r="H1654" s="138"/>
      <c r="I1654" s="138"/>
      <c r="J1654" s="139"/>
      <c r="K1654" s="137"/>
      <c r="L1654" s="137"/>
      <c r="P1654" s="137"/>
      <c r="Q1654" s="137"/>
      <c r="R1654" s="126"/>
    </row>
    <row r="1655" spans="2:18" x14ac:dyDescent="0.3">
      <c r="B1655" s="126"/>
      <c r="G1655" s="137"/>
      <c r="H1655" s="138"/>
      <c r="I1655" s="138"/>
      <c r="J1655" s="139"/>
      <c r="K1655" s="137"/>
      <c r="L1655" s="137"/>
      <c r="P1655" s="137"/>
      <c r="Q1655" s="137"/>
      <c r="R1655" s="126"/>
    </row>
    <row r="1656" spans="2:18" x14ac:dyDescent="0.3">
      <c r="B1656" s="126"/>
      <c r="G1656" s="137"/>
      <c r="H1656" s="138"/>
      <c r="I1656" s="138"/>
      <c r="J1656" s="139"/>
      <c r="K1656" s="137"/>
      <c r="L1656" s="137"/>
      <c r="P1656" s="137"/>
      <c r="Q1656" s="137"/>
      <c r="R1656" s="126"/>
    </row>
    <row r="1657" spans="2:18" x14ac:dyDescent="0.3">
      <c r="B1657" s="126"/>
      <c r="G1657" s="137"/>
      <c r="H1657" s="138"/>
      <c r="I1657" s="138"/>
      <c r="J1657" s="139"/>
      <c r="K1657" s="137"/>
      <c r="L1657" s="137"/>
      <c r="P1657" s="137"/>
      <c r="Q1657" s="137"/>
      <c r="R1657" s="126"/>
    </row>
    <row r="1658" spans="2:18" x14ac:dyDescent="0.3">
      <c r="B1658" s="126"/>
      <c r="G1658" s="137"/>
      <c r="H1658" s="138"/>
      <c r="I1658" s="138"/>
      <c r="J1658" s="139"/>
      <c r="K1658" s="137"/>
      <c r="L1658" s="137"/>
      <c r="P1658" s="137"/>
      <c r="Q1658" s="137"/>
      <c r="R1658" s="126"/>
    </row>
    <row r="1659" spans="2:18" x14ac:dyDescent="0.3">
      <c r="B1659" s="126"/>
      <c r="G1659" s="137"/>
      <c r="H1659" s="138"/>
      <c r="I1659" s="138"/>
      <c r="J1659" s="139"/>
      <c r="K1659" s="137"/>
      <c r="L1659" s="137"/>
      <c r="P1659" s="137"/>
      <c r="Q1659" s="137"/>
      <c r="R1659" s="126"/>
    </row>
    <row r="1660" spans="2:18" x14ac:dyDescent="0.3">
      <c r="B1660" s="126"/>
      <c r="G1660" s="137"/>
      <c r="H1660" s="138"/>
      <c r="I1660" s="138"/>
      <c r="J1660" s="139"/>
      <c r="K1660" s="137"/>
      <c r="L1660" s="137"/>
      <c r="P1660" s="137"/>
      <c r="Q1660" s="137"/>
      <c r="R1660" s="126"/>
    </row>
    <row r="1661" spans="2:18" x14ac:dyDescent="0.3">
      <c r="B1661" s="126"/>
      <c r="G1661" s="137"/>
      <c r="H1661" s="138"/>
      <c r="I1661" s="138"/>
      <c r="J1661" s="139"/>
      <c r="K1661" s="137"/>
      <c r="L1661" s="137"/>
      <c r="P1661" s="137"/>
      <c r="Q1661" s="137"/>
      <c r="R1661" s="126"/>
    </row>
    <row r="1662" spans="2:18" x14ac:dyDescent="0.3">
      <c r="B1662" s="126"/>
      <c r="G1662" s="137"/>
      <c r="H1662" s="138"/>
      <c r="I1662" s="138"/>
      <c r="J1662" s="139"/>
      <c r="K1662" s="137"/>
      <c r="L1662" s="137"/>
      <c r="P1662" s="137"/>
      <c r="Q1662" s="137"/>
      <c r="R1662" s="126"/>
    </row>
    <row r="1663" spans="2:18" x14ac:dyDescent="0.3">
      <c r="B1663" s="126"/>
      <c r="G1663" s="137"/>
      <c r="H1663" s="138"/>
      <c r="I1663" s="138"/>
      <c r="J1663" s="139"/>
      <c r="K1663" s="137"/>
      <c r="L1663" s="137"/>
      <c r="P1663" s="137"/>
      <c r="Q1663" s="137"/>
      <c r="R1663" s="126"/>
    </row>
    <row r="1664" spans="2:18" x14ac:dyDescent="0.3">
      <c r="B1664" s="126"/>
      <c r="G1664" s="137"/>
      <c r="H1664" s="138"/>
      <c r="I1664" s="138"/>
      <c r="J1664" s="139"/>
      <c r="K1664" s="137"/>
      <c r="L1664" s="137"/>
      <c r="P1664" s="137"/>
      <c r="Q1664" s="137"/>
      <c r="R1664" s="126"/>
    </row>
    <row r="1665" spans="2:18" x14ac:dyDescent="0.3">
      <c r="B1665" s="126"/>
      <c r="G1665" s="137"/>
      <c r="H1665" s="138"/>
      <c r="I1665" s="138"/>
      <c r="J1665" s="139"/>
      <c r="K1665" s="137"/>
      <c r="L1665" s="137"/>
      <c r="P1665" s="137"/>
      <c r="Q1665" s="137"/>
      <c r="R1665" s="126"/>
    </row>
    <row r="1666" spans="2:18" x14ac:dyDescent="0.3">
      <c r="B1666" s="126"/>
      <c r="G1666" s="137"/>
      <c r="H1666" s="138"/>
      <c r="I1666" s="138"/>
      <c r="J1666" s="139"/>
      <c r="K1666" s="137"/>
      <c r="L1666" s="137"/>
      <c r="P1666" s="137"/>
      <c r="Q1666" s="137"/>
      <c r="R1666" s="126"/>
    </row>
    <row r="1667" spans="2:18" x14ac:dyDescent="0.3">
      <c r="B1667" s="126"/>
      <c r="G1667" s="137"/>
      <c r="H1667" s="138"/>
      <c r="I1667" s="138"/>
      <c r="J1667" s="139"/>
      <c r="K1667" s="137"/>
      <c r="L1667" s="137"/>
      <c r="P1667" s="137"/>
      <c r="Q1667" s="137"/>
      <c r="R1667" s="126"/>
    </row>
    <row r="1668" spans="2:18" x14ac:dyDescent="0.3">
      <c r="B1668" s="126"/>
      <c r="G1668" s="137"/>
      <c r="H1668" s="138"/>
      <c r="I1668" s="138"/>
      <c r="J1668" s="139"/>
      <c r="K1668" s="137"/>
      <c r="L1668" s="137"/>
      <c r="P1668" s="137"/>
      <c r="Q1668" s="137"/>
      <c r="R1668" s="126"/>
    </row>
    <row r="1669" spans="2:18" x14ac:dyDescent="0.3">
      <c r="B1669" s="126"/>
      <c r="G1669" s="137"/>
      <c r="H1669" s="138"/>
      <c r="I1669" s="138"/>
      <c r="J1669" s="139"/>
      <c r="K1669" s="137"/>
      <c r="L1669" s="137"/>
      <c r="P1669" s="137"/>
      <c r="Q1669" s="137"/>
      <c r="R1669" s="126"/>
    </row>
    <row r="1670" spans="2:18" x14ac:dyDescent="0.3">
      <c r="B1670" s="126"/>
      <c r="G1670" s="137"/>
      <c r="H1670" s="138"/>
      <c r="I1670" s="138"/>
      <c r="J1670" s="139"/>
      <c r="K1670" s="137"/>
      <c r="L1670" s="137"/>
      <c r="P1670" s="137"/>
      <c r="Q1670" s="137"/>
      <c r="R1670" s="126"/>
    </row>
    <row r="1671" spans="2:18" x14ac:dyDescent="0.3">
      <c r="B1671" s="126"/>
      <c r="G1671" s="137"/>
      <c r="H1671" s="138"/>
      <c r="I1671" s="138"/>
      <c r="J1671" s="139"/>
      <c r="K1671" s="137"/>
      <c r="L1671" s="137"/>
      <c r="P1671" s="137"/>
      <c r="Q1671" s="137"/>
      <c r="R1671" s="126"/>
    </row>
    <row r="1672" spans="2:18" x14ac:dyDescent="0.3">
      <c r="B1672" s="126"/>
      <c r="G1672" s="137"/>
      <c r="H1672" s="138"/>
      <c r="I1672" s="138"/>
      <c r="J1672" s="139"/>
      <c r="K1672" s="137"/>
      <c r="L1672" s="137"/>
      <c r="P1672" s="137"/>
      <c r="Q1672" s="137"/>
      <c r="R1672" s="126"/>
    </row>
    <row r="1673" spans="2:18" x14ac:dyDescent="0.3">
      <c r="B1673" s="126"/>
      <c r="G1673" s="137"/>
      <c r="H1673" s="138"/>
      <c r="I1673" s="138"/>
      <c r="J1673" s="139"/>
      <c r="K1673" s="137"/>
      <c r="L1673" s="137"/>
      <c r="P1673" s="137"/>
      <c r="Q1673" s="137"/>
      <c r="R1673" s="126"/>
    </row>
    <row r="1674" spans="2:18" x14ac:dyDescent="0.3">
      <c r="B1674" s="126"/>
      <c r="G1674" s="137"/>
      <c r="H1674" s="138"/>
      <c r="I1674" s="138"/>
      <c r="J1674" s="139"/>
      <c r="K1674" s="137"/>
      <c r="L1674" s="137"/>
      <c r="P1674" s="137"/>
      <c r="Q1674" s="137"/>
      <c r="R1674" s="126"/>
    </row>
    <row r="1675" spans="2:18" x14ac:dyDescent="0.3">
      <c r="B1675" s="126"/>
      <c r="G1675" s="137"/>
      <c r="H1675" s="138"/>
      <c r="I1675" s="138"/>
      <c r="J1675" s="139"/>
      <c r="K1675" s="137"/>
      <c r="L1675" s="137"/>
      <c r="P1675" s="137"/>
      <c r="Q1675" s="137"/>
      <c r="R1675" s="126"/>
    </row>
    <row r="1676" spans="2:18" x14ac:dyDescent="0.3">
      <c r="B1676" s="126"/>
      <c r="G1676" s="137"/>
      <c r="H1676" s="138"/>
      <c r="I1676" s="138"/>
      <c r="J1676" s="139"/>
      <c r="K1676" s="137"/>
      <c r="L1676" s="137"/>
      <c r="P1676" s="137"/>
      <c r="Q1676" s="137"/>
      <c r="R1676" s="126"/>
    </row>
    <row r="1677" spans="2:18" x14ac:dyDescent="0.3">
      <c r="B1677" s="126"/>
      <c r="G1677" s="137"/>
      <c r="H1677" s="138"/>
      <c r="I1677" s="138"/>
      <c r="J1677" s="139"/>
      <c r="K1677" s="137"/>
      <c r="L1677" s="137"/>
      <c r="P1677" s="137"/>
      <c r="Q1677" s="137"/>
      <c r="R1677" s="126"/>
    </row>
    <row r="1678" spans="2:18" x14ac:dyDescent="0.3">
      <c r="B1678" s="126"/>
      <c r="G1678" s="137"/>
      <c r="H1678" s="138"/>
      <c r="I1678" s="138"/>
      <c r="J1678" s="139"/>
      <c r="K1678" s="137"/>
      <c r="L1678" s="137"/>
      <c r="P1678" s="137"/>
      <c r="Q1678" s="137"/>
      <c r="R1678" s="126"/>
    </row>
    <row r="1679" spans="2:18" x14ac:dyDescent="0.3">
      <c r="B1679" s="126"/>
      <c r="G1679" s="137"/>
      <c r="H1679" s="138"/>
      <c r="I1679" s="138"/>
      <c r="J1679" s="139"/>
      <c r="K1679" s="137"/>
      <c r="L1679" s="137"/>
      <c r="P1679" s="137"/>
      <c r="Q1679" s="137"/>
      <c r="R1679" s="126"/>
    </row>
    <row r="1680" spans="2:18" x14ac:dyDescent="0.3">
      <c r="B1680" s="126"/>
      <c r="G1680" s="137"/>
      <c r="H1680" s="138"/>
      <c r="I1680" s="138"/>
      <c r="J1680" s="139"/>
      <c r="K1680" s="137"/>
      <c r="L1680" s="137"/>
      <c r="P1680" s="137"/>
      <c r="Q1680" s="137"/>
      <c r="R1680" s="126"/>
    </row>
    <row r="1681" spans="2:18" x14ac:dyDescent="0.3">
      <c r="B1681" s="126"/>
      <c r="G1681" s="137"/>
      <c r="H1681" s="138"/>
      <c r="I1681" s="138"/>
      <c r="J1681" s="139"/>
      <c r="K1681" s="137"/>
      <c r="L1681" s="137"/>
      <c r="P1681" s="137"/>
      <c r="Q1681" s="137"/>
      <c r="R1681" s="126"/>
    </row>
    <row r="1682" spans="2:18" x14ac:dyDescent="0.3">
      <c r="B1682" s="126"/>
      <c r="G1682" s="137"/>
      <c r="H1682" s="138"/>
      <c r="I1682" s="138"/>
      <c r="J1682" s="139"/>
      <c r="K1682" s="137"/>
      <c r="L1682" s="137"/>
      <c r="P1682" s="137"/>
      <c r="Q1682" s="137"/>
      <c r="R1682" s="126"/>
    </row>
    <row r="1683" spans="2:18" x14ac:dyDescent="0.3">
      <c r="B1683" s="126"/>
      <c r="G1683" s="137"/>
      <c r="H1683" s="138"/>
      <c r="I1683" s="138"/>
      <c r="J1683" s="139"/>
      <c r="K1683" s="137"/>
      <c r="L1683" s="137"/>
      <c r="P1683" s="137"/>
      <c r="Q1683" s="137"/>
      <c r="R1683" s="126"/>
    </row>
    <row r="1684" spans="2:18" x14ac:dyDescent="0.3">
      <c r="B1684" s="126"/>
      <c r="G1684" s="137"/>
      <c r="H1684" s="138"/>
      <c r="I1684" s="138"/>
      <c r="J1684" s="139"/>
      <c r="K1684" s="137"/>
      <c r="L1684" s="137"/>
      <c r="P1684" s="137"/>
      <c r="Q1684" s="137"/>
      <c r="R1684" s="126"/>
    </row>
    <row r="1685" spans="2:18" x14ac:dyDescent="0.3">
      <c r="B1685" s="126"/>
      <c r="G1685" s="137"/>
      <c r="H1685" s="138"/>
      <c r="I1685" s="138"/>
      <c r="J1685" s="139"/>
      <c r="K1685" s="137"/>
      <c r="L1685" s="137"/>
      <c r="P1685" s="137"/>
      <c r="Q1685" s="137"/>
      <c r="R1685" s="126"/>
    </row>
    <row r="1686" spans="2:18" x14ac:dyDescent="0.3">
      <c r="B1686" s="126"/>
      <c r="G1686" s="137"/>
      <c r="H1686" s="138"/>
      <c r="I1686" s="138"/>
      <c r="J1686" s="139"/>
      <c r="K1686" s="137"/>
      <c r="L1686" s="137"/>
      <c r="P1686" s="137"/>
      <c r="Q1686" s="137"/>
      <c r="R1686" s="126"/>
    </row>
    <row r="1687" spans="2:18" x14ac:dyDescent="0.3">
      <c r="B1687" s="126"/>
      <c r="G1687" s="137"/>
      <c r="H1687" s="138"/>
      <c r="I1687" s="138"/>
      <c r="J1687" s="139"/>
      <c r="K1687" s="137"/>
      <c r="L1687" s="137"/>
      <c r="P1687" s="137"/>
      <c r="Q1687" s="137"/>
      <c r="R1687" s="126"/>
    </row>
    <row r="1688" spans="2:18" x14ac:dyDescent="0.3">
      <c r="B1688" s="126"/>
      <c r="G1688" s="137"/>
      <c r="H1688" s="138"/>
      <c r="I1688" s="138"/>
      <c r="J1688" s="139"/>
      <c r="K1688" s="137"/>
      <c r="L1688" s="137"/>
      <c r="P1688" s="137"/>
      <c r="Q1688" s="137"/>
      <c r="R1688" s="126"/>
    </row>
    <row r="1689" spans="2:18" x14ac:dyDescent="0.3">
      <c r="B1689" s="126"/>
      <c r="G1689" s="137"/>
      <c r="H1689" s="138"/>
      <c r="I1689" s="138"/>
      <c r="J1689" s="139"/>
      <c r="K1689" s="137"/>
      <c r="L1689" s="137"/>
      <c r="P1689" s="137"/>
      <c r="Q1689" s="137"/>
      <c r="R1689" s="126"/>
    </row>
    <row r="1690" spans="2:18" x14ac:dyDescent="0.3">
      <c r="B1690" s="126"/>
      <c r="G1690" s="137"/>
      <c r="H1690" s="138"/>
      <c r="I1690" s="138"/>
      <c r="J1690" s="139"/>
      <c r="K1690" s="137"/>
      <c r="L1690" s="137"/>
      <c r="P1690" s="137"/>
      <c r="Q1690" s="137"/>
      <c r="R1690" s="126"/>
    </row>
    <row r="1691" spans="2:18" x14ac:dyDescent="0.3">
      <c r="B1691" s="126"/>
      <c r="G1691" s="137"/>
      <c r="H1691" s="138"/>
      <c r="I1691" s="138"/>
      <c r="J1691" s="139"/>
      <c r="K1691" s="137"/>
      <c r="L1691" s="137"/>
      <c r="P1691" s="137"/>
      <c r="Q1691" s="137"/>
      <c r="R1691" s="126"/>
    </row>
    <row r="1692" spans="2:18" x14ac:dyDescent="0.3">
      <c r="B1692" s="126"/>
      <c r="G1692" s="137"/>
      <c r="H1692" s="138"/>
      <c r="I1692" s="138"/>
      <c r="J1692" s="139"/>
      <c r="K1692" s="137"/>
      <c r="L1692" s="137"/>
      <c r="P1692" s="137"/>
      <c r="Q1692" s="137"/>
      <c r="R1692" s="126"/>
    </row>
    <row r="1693" spans="2:18" x14ac:dyDescent="0.3">
      <c r="B1693" s="126"/>
      <c r="G1693" s="137"/>
      <c r="H1693" s="138"/>
      <c r="I1693" s="138"/>
      <c r="J1693" s="139"/>
      <c r="K1693" s="137"/>
      <c r="L1693" s="137"/>
      <c r="P1693" s="137"/>
      <c r="Q1693" s="137"/>
      <c r="R1693" s="126"/>
    </row>
    <row r="1694" spans="2:18" x14ac:dyDescent="0.3">
      <c r="B1694" s="126"/>
      <c r="G1694" s="137"/>
      <c r="H1694" s="138"/>
      <c r="I1694" s="138"/>
      <c r="J1694" s="139"/>
      <c r="K1694" s="137"/>
      <c r="L1694" s="137"/>
      <c r="P1694" s="137"/>
      <c r="Q1694" s="137"/>
      <c r="R1694" s="126"/>
    </row>
    <row r="1695" spans="2:18" x14ac:dyDescent="0.3">
      <c r="B1695" s="126"/>
      <c r="G1695" s="137"/>
      <c r="H1695" s="138"/>
      <c r="I1695" s="138"/>
      <c r="J1695" s="139"/>
      <c r="K1695" s="137"/>
      <c r="L1695" s="137"/>
      <c r="P1695" s="137"/>
      <c r="Q1695" s="137"/>
      <c r="R1695" s="126"/>
    </row>
    <row r="1696" spans="2:18" x14ac:dyDescent="0.3">
      <c r="B1696" s="126"/>
      <c r="G1696" s="137"/>
      <c r="H1696" s="138"/>
      <c r="I1696" s="138"/>
      <c r="J1696" s="139"/>
      <c r="K1696" s="137"/>
      <c r="L1696" s="137"/>
      <c r="P1696" s="137"/>
      <c r="Q1696" s="137"/>
      <c r="R1696" s="126"/>
    </row>
    <row r="1697" spans="2:18" x14ac:dyDescent="0.3">
      <c r="B1697" s="126"/>
      <c r="G1697" s="137"/>
      <c r="H1697" s="138"/>
      <c r="I1697" s="138"/>
      <c r="J1697" s="139"/>
      <c r="K1697" s="137"/>
      <c r="L1697" s="137"/>
      <c r="P1697" s="137"/>
      <c r="Q1697" s="137"/>
      <c r="R1697" s="126"/>
    </row>
    <row r="1698" spans="2:18" x14ac:dyDescent="0.3">
      <c r="B1698" s="126"/>
      <c r="G1698" s="137"/>
      <c r="H1698" s="138"/>
      <c r="I1698" s="138"/>
      <c r="J1698" s="139"/>
      <c r="K1698" s="137"/>
      <c r="L1698" s="137"/>
      <c r="P1698" s="137"/>
      <c r="Q1698" s="137"/>
      <c r="R1698" s="126"/>
    </row>
    <row r="1699" spans="2:18" x14ac:dyDescent="0.3">
      <c r="B1699" s="126"/>
      <c r="G1699" s="137"/>
      <c r="H1699" s="138"/>
      <c r="I1699" s="138"/>
      <c r="J1699" s="139"/>
      <c r="K1699" s="137"/>
      <c r="L1699" s="137"/>
      <c r="P1699" s="137"/>
      <c r="Q1699" s="137"/>
      <c r="R1699" s="126"/>
    </row>
    <row r="1700" spans="2:18" x14ac:dyDescent="0.3">
      <c r="B1700" s="126"/>
      <c r="G1700" s="137"/>
      <c r="H1700" s="138"/>
      <c r="I1700" s="138"/>
      <c r="J1700" s="139"/>
      <c r="K1700" s="137"/>
      <c r="L1700" s="137"/>
      <c r="P1700" s="137"/>
      <c r="Q1700" s="137"/>
      <c r="R1700" s="126"/>
    </row>
    <row r="1701" spans="2:18" x14ac:dyDescent="0.3">
      <c r="B1701" s="126"/>
      <c r="G1701" s="137"/>
      <c r="H1701" s="138"/>
      <c r="I1701" s="138"/>
      <c r="J1701" s="139"/>
      <c r="K1701" s="137"/>
      <c r="L1701" s="137"/>
      <c r="P1701" s="137"/>
      <c r="Q1701" s="137"/>
      <c r="R1701" s="126"/>
    </row>
    <row r="1702" spans="2:18" x14ac:dyDescent="0.3">
      <c r="B1702" s="126"/>
      <c r="G1702" s="137"/>
      <c r="H1702" s="138"/>
      <c r="I1702" s="138"/>
      <c r="J1702" s="139"/>
      <c r="K1702" s="137"/>
      <c r="L1702" s="137"/>
      <c r="P1702" s="137"/>
      <c r="Q1702" s="137"/>
      <c r="R1702" s="126"/>
    </row>
    <row r="1703" spans="2:18" x14ac:dyDescent="0.3">
      <c r="B1703" s="126"/>
      <c r="G1703" s="137"/>
      <c r="H1703" s="138"/>
      <c r="I1703" s="138"/>
      <c r="J1703" s="139"/>
      <c r="K1703" s="137"/>
      <c r="L1703" s="137"/>
      <c r="P1703" s="137"/>
      <c r="Q1703" s="137"/>
      <c r="R1703" s="126"/>
    </row>
    <row r="1704" spans="2:18" x14ac:dyDescent="0.3">
      <c r="B1704" s="126"/>
      <c r="G1704" s="137"/>
      <c r="H1704" s="138"/>
      <c r="I1704" s="138"/>
      <c r="J1704" s="139"/>
      <c r="K1704" s="137"/>
      <c r="L1704" s="137"/>
      <c r="P1704" s="137"/>
      <c r="Q1704" s="137"/>
      <c r="R1704" s="126"/>
    </row>
    <row r="1705" spans="2:18" x14ac:dyDescent="0.3">
      <c r="B1705" s="126"/>
      <c r="G1705" s="137"/>
      <c r="H1705" s="138"/>
      <c r="I1705" s="138"/>
      <c r="J1705" s="139"/>
      <c r="K1705" s="137"/>
      <c r="L1705" s="137"/>
      <c r="P1705" s="137"/>
      <c r="Q1705" s="137"/>
      <c r="R1705" s="126"/>
    </row>
    <row r="1706" spans="2:18" x14ac:dyDescent="0.3">
      <c r="B1706" s="126"/>
      <c r="G1706" s="137"/>
      <c r="H1706" s="138"/>
      <c r="I1706" s="138"/>
      <c r="J1706" s="139"/>
      <c r="K1706" s="137"/>
      <c r="L1706" s="137"/>
      <c r="P1706" s="137"/>
      <c r="Q1706" s="137"/>
      <c r="R1706" s="126"/>
    </row>
    <row r="1707" spans="2:18" x14ac:dyDescent="0.3">
      <c r="B1707" s="126"/>
      <c r="G1707" s="137"/>
      <c r="H1707" s="138"/>
      <c r="I1707" s="138"/>
      <c r="J1707" s="139"/>
      <c r="K1707" s="137"/>
      <c r="L1707" s="137"/>
      <c r="P1707" s="137"/>
      <c r="Q1707" s="137"/>
      <c r="R1707" s="126"/>
    </row>
    <row r="1708" spans="2:18" x14ac:dyDescent="0.3">
      <c r="B1708" s="126"/>
      <c r="G1708" s="137"/>
      <c r="H1708" s="138"/>
      <c r="I1708" s="138"/>
      <c r="J1708" s="139"/>
      <c r="K1708" s="137"/>
      <c r="L1708" s="137"/>
      <c r="P1708" s="137"/>
      <c r="Q1708" s="137"/>
      <c r="R1708" s="126"/>
    </row>
    <row r="1709" spans="2:18" x14ac:dyDescent="0.3">
      <c r="B1709" s="126"/>
      <c r="G1709" s="137"/>
      <c r="H1709" s="138"/>
      <c r="I1709" s="138"/>
      <c r="J1709" s="139"/>
      <c r="K1709" s="137"/>
      <c r="L1709" s="137"/>
      <c r="P1709" s="137"/>
      <c r="Q1709" s="137"/>
      <c r="R1709" s="126"/>
    </row>
    <row r="1710" spans="2:18" x14ac:dyDescent="0.3">
      <c r="B1710" s="126"/>
      <c r="G1710" s="137"/>
      <c r="H1710" s="138"/>
      <c r="I1710" s="138"/>
      <c r="J1710" s="139"/>
      <c r="K1710" s="137"/>
      <c r="L1710" s="137"/>
      <c r="P1710" s="137"/>
      <c r="Q1710" s="137"/>
      <c r="R1710" s="126"/>
    </row>
    <row r="1711" spans="2:18" x14ac:dyDescent="0.3">
      <c r="B1711" s="126"/>
      <c r="G1711" s="137"/>
      <c r="H1711" s="138"/>
      <c r="I1711" s="138"/>
      <c r="J1711" s="139"/>
      <c r="K1711" s="137"/>
      <c r="L1711" s="137"/>
      <c r="P1711" s="137"/>
      <c r="Q1711" s="137"/>
      <c r="R1711" s="126"/>
    </row>
    <row r="1712" spans="2:18" x14ac:dyDescent="0.3">
      <c r="B1712" s="126"/>
      <c r="G1712" s="137"/>
      <c r="H1712" s="138"/>
      <c r="I1712" s="138"/>
      <c r="J1712" s="139"/>
      <c r="K1712" s="137"/>
      <c r="L1712" s="137"/>
      <c r="P1712" s="137"/>
      <c r="Q1712" s="137"/>
      <c r="R1712" s="126"/>
    </row>
    <row r="1713" spans="2:18" x14ac:dyDescent="0.3">
      <c r="B1713" s="126"/>
      <c r="G1713" s="137"/>
      <c r="H1713" s="138"/>
      <c r="I1713" s="138"/>
      <c r="J1713" s="139"/>
      <c r="K1713" s="137"/>
      <c r="L1713" s="137"/>
      <c r="P1713" s="137"/>
      <c r="Q1713" s="137"/>
      <c r="R1713" s="126"/>
    </row>
    <row r="1714" spans="2:18" x14ac:dyDescent="0.3">
      <c r="B1714" s="126"/>
      <c r="G1714" s="137"/>
      <c r="H1714" s="138"/>
      <c r="I1714" s="138"/>
      <c r="J1714" s="139"/>
      <c r="K1714" s="137"/>
      <c r="L1714" s="137"/>
      <c r="P1714" s="137"/>
      <c r="Q1714" s="137"/>
      <c r="R1714" s="126"/>
    </row>
    <row r="1715" spans="2:18" x14ac:dyDescent="0.3">
      <c r="B1715" s="126"/>
      <c r="G1715" s="137"/>
      <c r="H1715" s="138"/>
      <c r="I1715" s="138"/>
      <c r="J1715" s="139"/>
      <c r="K1715" s="137"/>
      <c r="L1715" s="137"/>
      <c r="P1715" s="137"/>
      <c r="Q1715" s="137"/>
      <c r="R1715" s="126"/>
    </row>
    <row r="1716" spans="2:18" x14ac:dyDescent="0.3">
      <c r="B1716" s="126"/>
      <c r="G1716" s="137"/>
      <c r="H1716" s="138"/>
      <c r="I1716" s="138"/>
      <c r="J1716" s="139"/>
      <c r="K1716" s="137"/>
      <c r="L1716" s="137"/>
      <c r="P1716" s="137"/>
      <c r="Q1716" s="137"/>
      <c r="R1716" s="126"/>
    </row>
    <row r="1717" spans="2:18" x14ac:dyDescent="0.3">
      <c r="B1717" s="126"/>
      <c r="G1717" s="137"/>
      <c r="H1717" s="138"/>
      <c r="I1717" s="138"/>
      <c r="J1717" s="139"/>
      <c r="K1717" s="137"/>
      <c r="L1717" s="137"/>
      <c r="P1717" s="137"/>
      <c r="Q1717" s="137"/>
      <c r="R1717" s="126"/>
    </row>
    <row r="1718" spans="2:18" x14ac:dyDescent="0.3">
      <c r="B1718" s="126"/>
      <c r="G1718" s="137"/>
      <c r="H1718" s="138"/>
      <c r="I1718" s="138"/>
      <c r="J1718" s="139"/>
      <c r="K1718" s="137"/>
      <c r="L1718" s="137"/>
      <c r="P1718" s="137"/>
      <c r="Q1718" s="137"/>
      <c r="R1718" s="126"/>
    </row>
    <row r="1719" spans="2:18" x14ac:dyDescent="0.3">
      <c r="B1719" s="126"/>
      <c r="G1719" s="137"/>
      <c r="H1719" s="138"/>
      <c r="I1719" s="138"/>
      <c r="J1719" s="139"/>
      <c r="K1719" s="137"/>
      <c r="L1719" s="137"/>
      <c r="P1719" s="137"/>
      <c r="Q1719" s="137"/>
      <c r="R1719" s="126"/>
    </row>
    <row r="1720" spans="2:18" x14ac:dyDescent="0.3">
      <c r="B1720" s="126"/>
      <c r="G1720" s="137"/>
      <c r="H1720" s="138"/>
      <c r="I1720" s="138"/>
      <c r="J1720" s="139"/>
      <c r="K1720" s="137"/>
      <c r="L1720" s="137"/>
      <c r="P1720" s="137"/>
      <c r="Q1720" s="137"/>
      <c r="R1720" s="126"/>
    </row>
    <row r="1721" spans="2:18" x14ac:dyDescent="0.3">
      <c r="B1721" s="126"/>
      <c r="G1721" s="137"/>
      <c r="H1721" s="138"/>
      <c r="I1721" s="138"/>
      <c r="J1721" s="139"/>
      <c r="K1721" s="137"/>
      <c r="L1721" s="137"/>
      <c r="P1721" s="137"/>
      <c r="Q1721" s="137"/>
      <c r="R1721" s="126"/>
    </row>
    <row r="1722" spans="2:18" x14ac:dyDescent="0.3">
      <c r="B1722" s="126"/>
      <c r="G1722" s="137"/>
      <c r="H1722" s="138"/>
      <c r="I1722" s="138"/>
      <c r="J1722" s="139"/>
      <c r="K1722" s="137"/>
      <c r="L1722" s="137"/>
      <c r="P1722" s="137"/>
      <c r="Q1722" s="137"/>
      <c r="R1722" s="126"/>
    </row>
    <row r="1723" spans="2:18" x14ac:dyDescent="0.3">
      <c r="B1723" s="126"/>
      <c r="G1723" s="137"/>
      <c r="H1723" s="138"/>
      <c r="I1723" s="138"/>
      <c r="J1723" s="139"/>
      <c r="K1723" s="137"/>
      <c r="L1723" s="137"/>
      <c r="P1723" s="137"/>
      <c r="Q1723" s="137"/>
      <c r="R1723" s="126"/>
    </row>
    <row r="1724" spans="2:18" x14ac:dyDescent="0.3">
      <c r="B1724" s="126"/>
      <c r="G1724" s="137"/>
      <c r="H1724" s="138"/>
      <c r="I1724" s="138"/>
      <c r="J1724" s="139"/>
      <c r="K1724" s="137"/>
      <c r="L1724" s="137"/>
      <c r="P1724" s="137"/>
      <c r="Q1724" s="137"/>
      <c r="R1724" s="126"/>
    </row>
    <row r="1725" spans="2:18" x14ac:dyDescent="0.3">
      <c r="B1725" s="126"/>
      <c r="G1725" s="137"/>
      <c r="H1725" s="138"/>
      <c r="I1725" s="138"/>
      <c r="J1725" s="139"/>
      <c r="K1725" s="137"/>
      <c r="L1725" s="137"/>
      <c r="P1725" s="137"/>
      <c r="Q1725" s="137"/>
      <c r="R1725" s="126"/>
    </row>
    <row r="1726" spans="2:18" x14ac:dyDescent="0.3">
      <c r="B1726" s="126"/>
      <c r="G1726" s="137"/>
      <c r="H1726" s="138"/>
      <c r="I1726" s="138"/>
      <c r="J1726" s="139"/>
      <c r="K1726" s="137"/>
      <c r="L1726" s="137"/>
      <c r="P1726" s="137"/>
      <c r="Q1726" s="137"/>
      <c r="R1726" s="126"/>
    </row>
    <row r="1727" spans="2:18" x14ac:dyDescent="0.3">
      <c r="B1727" s="126"/>
      <c r="G1727" s="137"/>
      <c r="H1727" s="138"/>
      <c r="I1727" s="138"/>
      <c r="J1727" s="139"/>
      <c r="K1727" s="137"/>
      <c r="L1727" s="137"/>
      <c r="P1727" s="137"/>
      <c r="Q1727" s="137"/>
      <c r="R1727" s="126"/>
    </row>
    <row r="1728" spans="2:18" x14ac:dyDescent="0.3">
      <c r="B1728" s="126"/>
      <c r="G1728" s="137"/>
      <c r="H1728" s="138"/>
      <c r="I1728" s="138"/>
      <c r="J1728" s="139"/>
      <c r="K1728" s="137"/>
      <c r="L1728" s="137"/>
      <c r="P1728" s="137"/>
      <c r="Q1728" s="137"/>
      <c r="R1728" s="126"/>
    </row>
    <row r="1729" spans="2:18" x14ac:dyDescent="0.3">
      <c r="B1729" s="126"/>
      <c r="G1729" s="137"/>
      <c r="H1729" s="138"/>
      <c r="I1729" s="138"/>
      <c r="J1729" s="139"/>
      <c r="K1729" s="137"/>
      <c r="L1729" s="137"/>
      <c r="P1729" s="137"/>
      <c r="Q1729" s="137"/>
      <c r="R1729" s="126"/>
    </row>
    <row r="1730" spans="2:18" x14ac:dyDescent="0.3">
      <c r="B1730" s="126"/>
      <c r="G1730" s="137"/>
      <c r="H1730" s="138"/>
      <c r="I1730" s="138"/>
      <c r="J1730" s="139"/>
      <c r="K1730" s="137"/>
      <c r="L1730" s="137"/>
      <c r="P1730" s="137"/>
      <c r="Q1730" s="137"/>
      <c r="R1730" s="126"/>
    </row>
    <row r="1731" spans="2:18" x14ac:dyDescent="0.3">
      <c r="B1731" s="126"/>
      <c r="G1731" s="137"/>
      <c r="H1731" s="138"/>
      <c r="I1731" s="138"/>
      <c r="J1731" s="139"/>
      <c r="K1731" s="137"/>
      <c r="L1731" s="137"/>
      <c r="P1731" s="137"/>
      <c r="Q1731" s="137"/>
      <c r="R1731" s="126"/>
    </row>
    <row r="1732" spans="2:18" x14ac:dyDescent="0.3">
      <c r="B1732" s="126"/>
      <c r="G1732" s="137"/>
      <c r="H1732" s="138"/>
      <c r="I1732" s="138"/>
      <c r="J1732" s="139"/>
      <c r="K1732" s="137"/>
      <c r="L1732" s="137"/>
      <c r="P1732" s="137"/>
      <c r="Q1732" s="137"/>
      <c r="R1732" s="126"/>
    </row>
    <row r="1733" spans="2:18" x14ac:dyDescent="0.3">
      <c r="B1733" s="126"/>
      <c r="G1733" s="137"/>
      <c r="H1733" s="138"/>
      <c r="I1733" s="138"/>
      <c r="J1733" s="139"/>
      <c r="K1733" s="137"/>
      <c r="L1733" s="137"/>
      <c r="P1733" s="137"/>
      <c r="Q1733" s="137"/>
      <c r="R1733" s="126"/>
    </row>
    <row r="1734" spans="2:18" x14ac:dyDescent="0.3">
      <c r="B1734" s="126"/>
      <c r="G1734" s="137"/>
      <c r="H1734" s="138"/>
      <c r="I1734" s="138"/>
      <c r="J1734" s="139"/>
      <c r="K1734" s="137"/>
      <c r="L1734" s="137"/>
      <c r="P1734" s="137"/>
      <c r="Q1734" s="137"/>
      <c r="R1734" s="126"/>
    </row>
    <row r="1735" spans="2:18" x14ac:dyDescent="0.3">
      <c r="B1735" s="126"/>
      <c r="G1735" s="137"/>
      <c r="H1735" s="138"/>
      <c r="I1735" s="138"/>
      <c r="J1735" s="139"/>
      <c r="K1735" s="137"/>
      <c r="L1735" s="137"/>
      <c r="P1735" s="137"/>
      <c r="Q1735" s="137"/>
      <c r="R1735" s="126"/>
    </row>
    <row r="1736" spans="2:18" x14ac:dyDescent="0.3">
      <c r="B1736" s="126"/>
      <c r="G1736" s="137"/>
      <c r="H1736" s="138"/>
      <c r="I1736" s="138"/>
      <c r="J1736" s="139"/>
      <c r="K1736" s="137"/>
      <c r="L1736" s="137"/>
      <c r="P1736" s="137"/>
      <c r="Q1736" s="137"/>
      <c r="R1736" s="126"/>
    </row>
    <row r="1737" spans="2:18" x14ac:dyDescent="0.3">
      <c r="B1737" s="126"/>
      <c r="G1737" s="137"/>
      <c r="H1737" s="138"/>
      <c r="I1737" s="138"/>
      <c r="J1737" s="139"/>
      <c r="K1737" s="137"/>
      <c r="L1737" s="137"/>
      <c r="P1737" s="137"/>
      <c r="Q1737" s="137"/>
      <c r="R1737" s="126"/>
    </row>
    <row r="1738" spans="2:18" x14ac:dyDescent="0.3">
      <c r="B1738" s="126"/>
      <c r="G1738" s="137"/>
      <c r="H1738" s="138"/>
      <c r="I1738" s="138"/>
      <c r="J1738" s="139"/>
      <c r="K1738" s="137"/>
      <c r="L1738" s="137"/>
      <c r="P1738" s="137"/>
      <c r="Q1738" s="137"/>
      <c r="R1738" s="126"/>
    </row>
    <row r="1739" spans="2:18" x14ac:dyDescent="0.3">
      <c r="B1739" s="126"/>
      <c r="G1739" s="137"/>
      <c r="H1739" s="138"/>
      <c r="I1739" s="138"/>
      <c r="J1739" s="139"/>
      <c r="K1739" s="137"/>
      <c r="L1739" s="137"/>
      <c r="P1739" s="137"/>
      <c r="Q1739" s="137"/>
      <c r="R1739" s="126"/>
    </row>
    <row r="1740" spans="2:18" x14ac:dyDescent="0.3">
      <c r="B1740" s="126"/>
      <c r="G1740" s="137"/>
      <c r="H1740" s="138"/>
      <c r="I1740" s="138"/>
      <c r="J1740" s="139"/>
      <c r="K1740" s="137"/>
      <c r="L1740" s="137"/>
      <c r="P1740" s="137"/>
      <c r="Q1740" s="137"/>
      <c r="R1740" s="126"/>
    </row>
    <row r="1741" spans="2:18" x14ac:dyDescent="0.3">
      <c r="B1741" s="126"/>
      <c r="G1741" s="137"/>
      <c r="H1741" s="138"/>
      <c r="I1741" s="138"/>
      <c r="J1741" s="139"/>
      <c r="K1741" s="137"/>
      <c r="L1741" s="137"/>
      <c r="P1741" s="137"/>
      <c r="Q1741" s="137"/>
      <c r="R1741" s="126"/>
    </row>
    <row r="1742" spans="2:18" x14ac:dyDescent="0.3">
      <c r="B1742" s="126"/>
      <c r="G1742" s="137"/>
      <c r="H1742" s="138"/>
      <c r="I1742" s="138"/>
      <c r="J1742" s="139"/>
      <c r="K1742" s="137"/>
      <c r="L1742" s="137"/>
      <c r="P1742" s="137"/>
      <c r="Q1742" s="137"/>
      <c r="R1742" s="126"/>
    </row>
    <row r="1743" spans="2:18" x14ac:dyDescent="0.3">
      <c r="B1743" s="126"/>
      <c r="G1743" s="137"/>
      <c r="H1743" s="138"/>
      <c r="I1743" s="138"/>
      <c r="J1743" s="139"/>
      <c r="K1743" s="137"/>
      <c r="L1743" s="137"/>
      <c r="P1743" s="137"/>
      <c r="Q1743" s="137"/>
      <c r="R1743" s="126"/>
    </row>
    <row r="1744" spans="2:18" x14ac:dyDescent="0.3">
      <c r="B1744" s="126"/>
      <c r="G1744" s="137"/>
      <c r="H1744" s="138"/>
      <c r="I1744" s="138"/>
      <c r="J1744" s="139"/>
      <c r="K1744" s="137"/>
      <c r="L1744" s="137"/>
      <c r="P1744" s="137"/>
      <c r="Q1744" s="137"/>
      <c r="R1744" s="126"/>
    </row>
    <row r="1745" spans="2:18" x14ac:dyDescent="0.3">
      <c r="B1745" s="126"/>
      <c r="G1745" s="137"/>
      <c r="H1745" s="138"/>
      <c r="I1745" s="138"/>
      <c r="J1745" s="139"/>
      <c r="K1745" s="137"/>
      <c r="L1745" s="137"/>
      <c r="P1745" s="137"/>
      <c r="Q1745" s="137"/>
      <c r="R1745" s="126"/>
    </row>
    <row r="1746" spans="2:18" x14ac:dyDescent="0.3">
      <c r="B1746" s="126"/>
      <c r="G1746" s="137"/>
      <c r="H1746" s="138"/>
      <c r="I1746" s="138"/>
      <c r="J1746" s="139"/>
      <c r="K1746" s="137"/>
      <c r="L1746" s="137"/>
      <c r="P1746" s="137"/>
      <c r="Q1746" s="137"/>
      <c r="R1746" s="126"/>
    </row>
    <row r="1747" spans="2:18" x14ac:dyDescent="0.3">
      <c r="B1747" s="126"/>
      <c r="G1747" s="137"/>
      <c r="H1747" s="138"/>
      <c r="I1747" s="138"/>
      <c r="J1747" s="139"/>
      <c r="K1747" s="137"/>
      <c r="L1747" s="137"/>
      <c r="P1747" s="137"/>
      <c r="Q1747" s="137"/>
      <c r="R1747" s="126"/>
    </row>
    <row r="1748" spans="2:18" x14ac:dyDescent="0.3">
      <c r="B1748" s="126"/>
      <c r="G1748" s="137"/>
      <c r="H1748" s="138"/>
      <c r="I1748" s="138"/>
      <c r="J1748" s="139"/>
      <c r="K1748" s="137"/>
      <c r="L1748" s="137"/>
      <c r="P1748" s="137"/>
      <c r="Q1748" s="137"/>
      <c r="R1748" s="126"/>
    </row>
    <row r="1749" spans="2:18" x14ac:dyDescent="0.3">
      <c r="B1749" s="126"/>
      <c r="G1749" s="137"/>
      <c r="H1749" s="138"/>
      <c r="I1749" s="138"/>
      <c r="J1749" s="139"/>
      <c r="K1749" s="137"/>
      <c r="L1749" s="137"/>
      <c r="P1749" s="137"/>
      <c r="Q1749" s="137"/>
      <c r="R1749" s="126"/>
    </row>
    <row r="1750" spans="2:18" x14ac:dyDescent="0.3">
      <c r="B1750" s="126"/>
      <c r="G1750" s="137"/>
      <c r="H1750" s="138"/>
      <c r="I1750" s="138"/>
      <c r="J1750" s="139"/>
      <c r="K1750" s="137"/>
      <c r="L1750" s="137"/>
      <c r="P1750" s="137"/>
      <c r="Q1750" s="137"/>
      <c r="R1750" s="126"/>
    </row>
    <row r="1751" spans="2:18" x14ac:dyDescent="0.3">
      <c r="B1751" s="126"/>
      <c r="G1751" s="137"/>
      <c r="H1751" s="138"/>
      <c r="I1751" s="138"/>
      <c r="J1751" s="139"/>
      <c r="K1751" s="137"/>
      <c r="L1751" s="137"/>
      <c r="P1751" s="137"/>
      <c r="Q1751" s="137"/>
      <c r="R1751" s="126"/>
    </row>
    <row r="1752" spans="2:18" x14ac:dyDescent="0.3">
      <c r="B1752" s="126"/>
      <c r="G1752" s="137"/>
      <c r="H1752" s="138"/>
      <c r="I1752" s="138"/>
      <c r="J1752" s="139"/>
      <c r="K1752" s="137"/>
      <c r="L1752" s="137"/>
      <c r="P1752" s="137"/>
      <c r="Q1752" s="137"/>
      <c r="R1752" s="126"/>
    </row>
    <row r="1753" spans="2:18" x14ac:dyDescent="0.3">
      <c r="B1753" s="126"/>
      <c r="G1753" s="137"/>
      <c r="H1753" s="138"/>
      <c r="I1753" s="138"/>
      <c r="J1753" s="139"/>
      <c r="K1753" s="137"/>
      <c r="L1753" s="137"/>
      <c r="P1753" s="137"/>
      <c r="Q1753" s="137"/>
      <c r="R1753" s="126"/>
    </row>
    <row r="1754" spans="2:18" x14ac:dyDescent="0.3">
      <c r="B1754" s="126"/>
      <c r="G1754" s="137"/>
      <c r="H1754" s="138"/>
      <c r="I1754" s="138"/>
      <c r="J1754" s="139"/>
      <c r="K1754" s="137"/>
      <c r="L1754" s="137"/>
      <c r="P1754" s="137"/>
      <c r="Q1754" s="137"/>
      <c r="R1754" s="126"/>
    </row>
    <row r="1755" spans="2:18" x14ac:dyDescent="0.3">
      <c r="B1755" s="126"/>
      <c r="G1755" s="137"/>
      <c r="H1755" s="138"/>
      <c r="I1755" s="138"/>
      <c r="J1755" s="139"/>
      <c r="K1755" s="137"/>
      <c r="L1755" s="137"/>
      <c r="P1755" s="137"/>
      <c r="Q1755" s="137"/>
      <c r="R1755" s="126"/>
    </row>
    <row r="1756" spans="2:18" x14ac:dyDescent="0.3">
      <c r="B1756" s="126"/>
      <c r="G1756" s="137"/>
      <c r="H1756" s="138"/>
      <c r="I1756" s="138"/>
      <c r="J1756" s="139"/>
      <c r="K1756" s="137"/>
      <c r="L1756" s="137"/>
      <c r="P1756" s="137"/>
      <c r="Q1756" s="137"/>
      <c r="R1756" s="126"/>
    </row>
    <row r="1757" spans="2:18" x14ac:dyDescent="0.3">
      <c r="B1757" s="126"/>
      <c r="G1757" s="137"/>
      <c r="H1757" s="138"/>
      <c r="I1757" s="138"/>
      <c r="J1757" s="139"/>
      <c r="K1757" s="137"/>
      <c r="L1757" s="137"/>
      <c r="P1757" s="137"/>
      <c r="Q1757" s="137"/>
      <c r="R1757" s="126"/>
    </row>
    <row r="1758" spans="2:18" x14ac:dyDescent="0.3">
      <c r="B1758" s="126"/>
      <c r="G1758" s="137"/>
      <c r="H1758" s="138"/>
      <c r="I1758" s="138"/>
      <c r="J1758" s="139"/>
      <c r="K1758" s="137"/>
      <c r="L1758" s="137"/>
      <c r="P1758" s="137"/>
      <c r="Q1758" s="137"/>
      <c r="R1758" s="126"/>
    </row>
    <row r="1759" spans="2:18" x14ac:dyDescent="0.3">
      <c r="B1759" s="126"/>
      <c r="G1759" s="137"/>
      <c r="H1759" s="138"/>
      <c r="I1759" s="138"/>
      <c r="J1759" s="139"/>
      <c r="K1759" s="137"/>
      <c r="L1759" s="137"/>
      <c r="P1759" s="137"/>
      <c r="Q1759" s="137"/>
      <c r="R1759" s="126"/>
    </row>
    <row r="1760" spans="2:18" x14ac:dyDescent="0.3">
      <c r="B1760" s="126"/>
      <c r="G1760" s="137"/>
      <c r="H1760" s="138"/>
      <c r="I1760" s="138"/>
      <c r="J1760" s="139"/>
      <c r="K1760" s="137"/>
      <c r="L1760" s="137"/>
      <c r="P1760" s="137"/>
      <c r="Q1760" s="137"/>
      <c r="R1760" s="126"/>
    </row>
    <row r="1761" spans="2:18" x14ac:dyDescent="0.3">
      <c r="B1761" s="126"/>
      <c r="G1761" s="137"/>
      <c r="H1761" s="138"/>
      <c r="I1761" s="138"/>
      <c r="J1761" s="139"/>
      <c r="K1761" s="137"/>
      <c r="L1761" s="137"/>
      <c r="P1761" s="137"/>
      <c r="Q1761" s="137"/>
      <c r="R1761" s="126"/>
    </row>
    <row r="1762" spans="2:18" x14ac:dyDescent="0.3">
      <c r="B1762" s="126"/>
      <c r="G1762" s="137"/>
      <c r="H1762" s="138"/>
      <c r="I1762" s="138"/>
      <c r="J1762" s="139"/>
      <c r="K1762" s="137"/>
      <c r="L1762" s="137"/>
      <c r="P1762" s="137"/>
      <c r="Q1762" s="137"/>
      <c r="R1762" s="126"/>
    </row>
    <row r="1763" spans="2:18" x14ac:dyDescent="0.3">
      <c r="B1763" s="126"/>
      <c r="G1763" s="137"/>
      <c r="H1763" s="138"/>
      <c r="I1763" s="138"/>
      <c r="J1763" s="139"/>
      <c r="K1763" s="137"/>
      <c r="L1763" s="137"/>
      <c r="P1763" s="137"/>
      <c r="Q1763" s="137"/>
      <c r="R1763" s="126"/>
    </row>
    <row r="1764" spans="2:18" x14ac:dyDescent="0.3">
      <c r="B1764" s="126"/>
      <c r="G1764" s="137"/>
      <c r="H1764" s="138"/>
      <c r="I1764" s="138"/>
      <c r="J1764" s="139"/>
      <c r="K1764" s="137"/>
      <c r="L1764" s="137"/>
      <c r="P1764" s="137"/>
      <c r="Q1764" s="137"/>
      <c r="R1764" s="126"/>
    </row>
    <row r="1765" spans="2:18" x14ac:dyDescent="0.3">
      <c r="B1765" s="126"/>
      <c r="G1765" s="137"/>
      <c r="H1765" s="138"/>
      <c r="I1765" s="138"/>
      <c r="J1765" s="139"/>
      <c r="K1765" s="137"/>
      <c r="L1765" s="137"/>
      <c r="P1765" s="137"/>
      <c r="Q1765" s="137"/>
      <c r="R1765" s="126"/>
    </row>
    <row r="1766" spans="2:18" x14ac:dyDescent="0.3">
      <c r="B1766" s="126"/>
      <c r="G1766" s="137"/>
      <c r="H1766" s="138"/>
      <c r="I1766" s="138"/>
      <c r="J1766" s="139"/>
      <c r="K1766" s="137"/>
      <c r="L1766" s="137"/>
      <c r="P1766" s="137"/>
      <c r="Q1766" s="137"/>
      <c r="R1766" s="126"/>
    </row>
    <row r="1767" spans="2:18" x14ac:dyDescent="0.3">
      <c r="B1767" s="126"/>
      <c r="G1767" s="137"/>
      <c r="H1767" s="138"/>
      <c r="I1767" s="138"/>
      <c r="J1767" s="139"/>
      <c r="K1767" s="137"/>
      <c r="L1767" s="137"/>
      <c r="P1767" s="137"/>
      <c r="Q1767" s="137"/>
      <c r="R1767" s="126"/>
    </row>
    <row r="1768" spans="2:18" x14ac:dyDescent="0.3">
      <c r="B1768" s="126"/>
      <c r="G1768" s="137"/>
      <c r="H1768" s="138"/>
      <c r="I1768" s="138"/>
      <c r="J1768" s="139"/>
      <c r="K1768" s="137"/>
      <c r="L1768" s="137"/>
      <c r="P1768" s="137"/>
      <c r="Q1768" s="137"/>
      <c r="R1768" s="126"/>
    </row>
    <row r="1769" spans="2:18" x14ac:dyDescent="0.3">
      <c r="B1769" s="126"/>
      <c r="G1769" s="137"/>
      <c r="H1769" s="138"/>
      <c r="I1769" s="138"/>
      <c r="J1769" s="139"/>
      <c r="K1769" s="137"/>
      <c r="L1769" s="137"/>
      <c r="P1769" s="137"/>
      <c r="Q1769" s="137"/>
      <c r="R1769" s="126"/>
    </row>
    <row r="1770" spans="2:18" x14ac:dyDescent="0.3">
      <c r="B1770" s="126"/>
      <c r="G1770" s="137"/>
      <c r="H1770" s="138"/>
      <c r="I1770" s="138"/>
      <c r="J1770" s="139"/>
      <c r="K1770" s="137"/>
      <c r="L1770" s="137"/>
      <c r="P1770" s="137"/>
      <c r="Q1770" s="137"/>
      <c r="R1770" s="126"/>
    </row>
    <row r="1771" spans="2:18" x14ac:dyDescent="0.3">
      <c r="B1771" s="126"/>
      <c r="G1771" s="137"/>
      <c r="H1771" s="138"/>
      <c r="I1771" s="138"/>
      <c r="J1771" s="139"/>
      <c r="K1771" s="137"/>
      <c r="L1771" s="137"/>
      <c r="P1771" s="137"/>
      <c r="Q1771" s="137"/>
      <c r="R1771" s="126"/>
    </row>
    <row r="1772" spans="2:18" x14ac:dyDescent="0.3">
      <c r="B1772" s="126"/>
      <c r="G1772" s="137"/>
      <c r="H1772" s="138"/>
      <c r="I1772" s="138"/>
      <c r="J1772" s="139"/>
      <c r="K1772" s="137"/>
      <c r="L1772" s="137"/>
      <c r="P1772" s="137"/>
      <c r="Q1772" s="137"/>
      <c r="R1772" s="126"/>
    </row>
    <row r="1773" spans="2:18" x14ac:dyDescent="0.3">
      <c r="B1773" s="126"/>
      <c r="G1773" s="137"/>
      <c r="H1773" s="138"/>
      <c r="I1773" s="138"/>
      <c r="J1773" s="139"/>
      <c r="K1773" s="137"/>
      <c r="L1773" s="137"/>
      <c r="P1773" s="137"/>
      <c r="Q1773" s="137"/>
      <c r="R1773" s="126"/>
    </row>
    <row r="1774" spans="2:18" x14ac:dyDescent="0.3">
      <c r="B1774" s="126"/>
      <c r="G1774" s="137"/>
      <c r="H1774" s="138"/>
      <c r="I1774" s="138"/>
      <c r="J1774" s="139"/>
      <c r="K1774" s="137"/>
      <c r="L1774" s="137"/>
      <c r="P1774" s="137"/>
      <c r="Q1774" s="137"/>
      <c r="R1774" s="126"/>
    </row>
    <row r="1775" spans="2:18" x14ac:dyDescent="0.3">
      <c r="B1775" s="126"/>
      <c r="G1775" s="137"/>
      <c r="H1775" s="138"/>
      <c r="I1775" s="138"/>
      <c r="J1775" s="139"/>
      <c r="K1775" s="137"/>
      <c r="L1775" s="137"/>
      <c r="P1775" s="137"/>
      <c r="Q1775" s="137"/>
      <c r="R1775" s="126"/>
    </row>
    <row r="1776" spans="2:18" x14ac:dyDescent="0.3">
      <c r="B1776" s="126"/>
      <c r="G1776" s="137"/>
      <c r="H1776" s="138"/>
      <c r="I1776" s="138"/>
      <c r="J1776" s="139"/>
      <c r="K1776" s="137"/>
      <c r="L1776" s="137"/>
      <c r="P1776" s="137"/>
      <c r="Q1776" s="137"/>
      <c r="R1776" s="126"/>
    </row>
    <row r="1777" spans="2:18" x14ac:dyDescent="0.3">
      <c r="B1777" s="126"/>
      <c r="G1777" s="137"/>
      <c r="H1777" s="138"/>
      <c r="I1777" s="138"/>
      <c r="J1777" s="139"/>
      <c r="K1777" s="137"/>
      <c r="L1777" s="137"/>
      <c r="P1777" s="137"/>
      <c r="Q1777" s="137"/>
      <c r="R1777" s="126"/>
    </row>
    <row r="1778" spans="2:18" x14ac:dyDescent="0.3">
      <c r="B1778" s="126"/>
      <c r="G1778" s="137"/>
      <c r="H1778" s="138"/>
      <c r="I1778" s="138"/>
      <c r="J1778" s="139"/>
      <c r="K1778" s="137"/>
      <c r="L1778" s="137"/>
      <c r="P1778" s="137"/>
      <c r="Q1778" s="137"/>
      <c r="R1778" s="126"/>
    </row>
    <row r="1779" spans="2:18" x14ac:dyDescent="0.3">
      <c r="B1779" s="126"/>
      <c r="G1779" s="137"/>
      <c r="H1779" s="138"/>
      <c r="I1779" s="138"/>
      <c r="J1779" s="139"/>
      <c r="K1779" s="137"/>
      <c r="L1779" s="137"/>
      <c r="P1779" s="137"/>
      <c r="Q1779" s="137"/>
      <c r="R1779" s="126"/>
    </row>
    <row r="1780" spans="2:18" x14ac:dyDescent="0.3">
      <c r="B1780" s="126"/>
      <c r="G1780" s="137"/>
      <c r="H1780" s="138"/>
      <c r="I1780" s="138"/>
      <c r="J1780" s="139"/>
      <c r="K1780" s="137"/>
      <c r="L1780" s="137"/>
      <c r="P1780" s="137"/>
      <c r="Q1780" s="137"/>
      <c r="R1780" s="126"/>
    </row>
    <row r="1781" spans="2:18" x14ac:dyDescent="0.3">
      <c r="B1781" s="126"/>
      <c r="G1781" s="137"/>
      <c r="H1781" s="138"/>
      <c r="I1781" s="138"/>
      <c r="J1781" s="139"/>
      <c r="K1781" s="137"/>
      <c r="L1781" s="137"/>
      <c r="P1781" s="137"/>
      <c r="Q1781" s="137"/>
      <c r="R1781" s="126"/>
    </row>
    <row r="1782" spans="2:18" x14ac:dyDescent="0.3">
      <c r="B1782" s="126"/>
      <c r="G1782" s="137"/>
      <c r="H1782" s="138"/>
      <c r="I1782" s="138"/>
      <c r="J1782" s="139"/>
      <c r="K1782" s="137"/>
      <c r="L1782" s="137"/>
      <c r="P1782" s="137"/>
      <c r="Q1782" s="137"/>
      <c r="R1782" s="126"/>
    </row>
    <row r="1783" spans="2:18" x14ac:dyDescent="0.3">
      <c r="B1783" s="126"/>
      <c r="G1783" s="137"/>
      <c r="H1783" s="138"/>
      <c r="I1783" s="138"/>
      <c r="J1783" s="139"/>
      <c r="K1783" s="137"/>
      <c r="L1783" s="137"/>
      <c r="P1783" s="137"/>
      <c r="Q1783" s="137"/>
      <c r="R1783" s="126"/>
    </row>
    <row r="1784" spans="2:18" x14ac:dyDescent="0.3">
      <c r="B1784" s="126"/>
      <c r="G1784" s="137"/>
      <c r="H1784" s="138"/>
      <c r="I1784" s="138"/>
      <c r="J1784" s="139"/>
      <c r="K1784" s="137"/>
      <c r="L1784" s="137"/>
      <c r="P1784" s="137"/>
      <c r="Q1784" s="137"/>
      <c r="R1784" s="126"/>
    </row>
    <row r="1785" spans="2:18" x14ac:dyDescent="0.3">
      <c r="B1785" s="126"/>
      <c r="G1785" s="137"/>
      <c r="H1785" s="138"/>
      <c r="I1785" s="138"/>
      <c r="J1785" s="139"/>
      <c r="K1785" s="137"/>
      <c r="L1785" s="137"/>
      <c r="P1785" s="137"/>
      <c r="Q1785" s="137"/>
      <c r="R1785" s="126"/>
    </row>
    <row r="1786" spans="2:18" x14ac:dyDescent="0.3">
      <c r="B1786" s="126"/>
      <c r="G1786" s="137"/>
      <c r="H1786" s="138"/>
      <c r="I1786" s="138"/>
      <c r="J1786" s="139"/>
      <c r="K1786" s="137"/>
      <c r="L1786" s="137"/>
      <c r="P1786" s="137"/>
      <c r="Q1786" s="137"/>
      <c r="R1786" s="126"/>
    </row>
    <row r="1787" spans="2:18" x14ac:dyDescent="0.3">
      <c r="B1787" s="126"/>
      <c r="G1787" s="137"/>
      <c r="H1787" s="138"/>
      <c r="I1787" s="138"/>
      <c r="J1787" s="139"/>
      <c r="K1787" s="137"/>
      <c r="L1787" s="137"/>
      <c r="P1787" s="137"/>
      <c r="Q1787" s="137"/>
      <c r="R1787" s="126"/>
    </row>
    <row r="1788" spans="2:18" x14ac:dyDescent="0.3">
      <c r="B1788" s="126"/>
      <c r="G1788" s="137"/>
      <c r="H1788" s="138"/>
      <c r="I1788" s="138"/>
      <c r="J1788" s="139"/>
      <c r="K1788" s="137"/>
      <c r="L1788" s="137"/>
      <c r="P1788" s="137"/>
      <c r="Q1788" s="137"/>
      <c r="R1788" s="126"/>
    </row>
    <row r="1789" spans="2:18" x14ac:dyDescent="0.3">
      <c r="B1789" s="126"/>
      <c r="G1789" s="137"/>
      <c r="H1789" s="138"/>
      <c r="I1789" s="138"/>
      <c r="J1789" s="139"/>
      <c r="K1789" s="137"/>
      <c r="L1789" s="137"/>
      <c r="P1789" s="137"/>
      <c r="Q1789" s="137"/>
      <c r="R1789" s="126"/>
    </row>
    <row r="1790" spans="2:18" x14ac:dyDescent="0.3">
      <c r="B1790" s="126"/>
      <c r="G1790" s="137"/>
      <c r="H1790" s="138"/>
      <c r="I1790" s="138"/>
      <c r="J1790" s="139"/>
      <c r="K1790" s="137"/>
      <c r="L1790" s="137"/>
      <c r="P1790" s="137"/>
      <c r="Q1790" s="137"/>
      <c r="R1790" s="126"/>
    </row>
    <row r="1791" spans="2:18" x14ac:dyDescent="0.3">
      <c r="B1791" s="126"/>
      <c r="G1791" s="137"/>
      <c r="H1791" s="138"/>
      <c r="I1791" s="138"/>
      <c r="J1791" s="139"/>
      <c r="K1791" s="137"/>
      <c r="L1791" s="137"/>
      <c r="P1791" s="137"/>
      <c r="Q1791" s="137"/>
      <c r="R1791" s="126"/>
    </row>
    <row r="1792" spans="2:18" x14ac:dyDescent="0.3">
      <c r="B1792" s="126"/>
      <c r="G1792" s="137"/>
      <c r="H1792" s="138"/>
      <c r="I1792" s="138"/>
      <c r="J1792" s="139"/>
      <c r="K1792" s="137"/>
      <c r="L1792" s="137"/>
      <c r="P1792" s="137"/>
      <c r="Q1792" s="137"/>
      <c r="R1792" s="126"/>
    </row>
    <row r="1793" spans="2:18" x14ac:dyDescent="0.3">
      <c r="B1793" s="126"/>
      <c r="G1793" s="137"/>
      <c r="H1793" s="138"/>
      <c r="I1793" s="138"/>
      <c r="J1793" s="139"/>
      <c r="K1793" s="137"/>
      <c r="L1793" s="137"/>
      <c r="P1793" s="137"/>
      <c r="Q1793" s="137"/>
      <c r="R1793" s="126"/>
    </row>
    <row r="1794" spans="2:18" x14ac:dyDescent="0.3">
      <c r="B1794" s="126"/>
      <c r="G1794" s="137"/>
      <c r="H1794" s="138"/>
      <c r="I1794" s="138"/>
      <c r="J1794" s="139"/>
      <c r="K1794" s="137"/>
      <c r="L1794" s="137"/>
      <c r="P1794" s="137"/>
      <c r="Q1794" s="137"/>
      <c r="R1794" s="126"/>
    </row>
    <row r="1795" spans="2:18" x14ac:dyDescent="0.3">
      <c r="B1795" s="126"/>
      <c r="G1795" s="137"/>
      <c r="H1795" s="138"/>
      <c r="I1795" s="138"/>
      <c r="J1795" s="139"/>
      <c r="K1795" s="137"/>
      <c r="L1795" s="137"/>
      <c r="P1795" s="137"/>
      <c r="Q1795" s="137"/>
      <c r="R1795" s="126"/>
    </row>
    <row r="1796" spans="2:18" x14ac:dyDescent="0.3">
      <c r="B1796" s="126"/>
      <c r="G1796" s="137"/>
      <c r="H1796" s="138"/>
      <c r="I1796" s="138"/>
      <c r="J1796" s="139"/>
      <c r="K1796" s="137"/>
      <c r="L1796" s="137"/>
      <c r="P1796" s="137"/>
      <c r="Q1796" s="137"/>
      <c r="R1796" s="126"/>
    </row>
    <row r="1797" spans="2:18" x14ac:dyDescent="0.3">
      <c r="B1797" s="126"/>
      <c r="G1797" s="137"/>
      <c r="H1797" s="138"/>
      <c r="I1797" s="138"/>
      <c r="J1797" s="139"/>
      <c r="K1797" s="137"/>
      <c r="L1797" s="137"/>
      <c r="P1797" s="137"/>
      <c r="Q1797" s="137"/>
      <c r="R1797" s="126"/>
    </row>
    <row r="1798" spans="2:18" x14ac:dyDescent="0.3">
      <c r="B1798" s="126"/>
      <c r="G1798" s="137"/>
      <c r="H1798" s="138"/>
      <c r="I1798" s="138"/>
      <c r="J1798" s="139"/>
      <c r="K1798" s="137"/>
      <c r="L1798" s="137"/>
      <c r="P1798" s="137"/>
      <c r="Q1798" s="137"/>
      <c r="R1798" s="126"/>
    </row>
    <row r="1799" spans="2:18" x14ac:dyDescent="0.3">
      <c r="B1799" s="126"/>
      <c r="G1799" s="137"/>
      <c r="H1799" s="138"/>
      <c r="I1799" s="138"/>
      <c r="J1799" s="139"/>
      <c r="K1799" s="137"/>
      <c r="L1799" s="137"/>
      <c r="P1799" s="137"/>
      <c r="Q1799" s="137"/>
      <c r="R1799" s="126"/>
    </row>
    <row r="1800" spans="2:18" x14ac:dyDescent="0.3">
      <c r="B1800" s="126"/>
      <c r="G1800" s="137"/>
      <c r="H1800" s="138"/>
      <c r="I1800" s="138"/>
      <c r="J1800" s="139"/>
      <c r="K1800" s="137"/>
      <c r="L1800" s="137"/>
      <c r="P1800" s="137"/>
      <c r="Q1800" s="137"/>
      <c r="R1800" s="126"/>
    </row>
    <row r="1801" spans="2:18" x14ac:dyDescent="0.3">
      <c r="B1801" s="126"/>
      <c r="G1801" s="137"/>
      <c r="H1801" s="138"/>
      <c r="I1801" s="138"/>
      <c r="J1801" s="139"/>
      <c r="K1801" s="137"/>
      <c r="L1801" s="137"/>
      <c r="P1801" s="137"/>
      <c r="Q1801" s="137"/>
      <c r="R1801" s="126"/>
    </row>
    <row r="1802" spans="2:18" x14ac:dyDescent="0.3">
      <c r="B1802" s="126"/>
      <c r="G1802" s="137"/>
      <c r="H1802" s="138"/>
      <c r="I1802" s="138"/>
      <c r="J1802" s="139"/>
      <c r="K1802" s="137"/>
      <c r="L1802" s="137"/>
      <c r="P1802" s="137"/>
      <c r="Q1802" s="137"/>
      <c r="R1802" s="126"/>
    </row>
    <row r="1803" spans="2:18" x14ac:dyDescent="0.3">
      <c r="B1803" s="126"/>
      <c r="G1803" s="137"/>
      <c r="H1803" s="138"/>
      <c r="I1803" s="138"/>
      <c r="J1803" s="139"/>
      <c r="K1803" s="137"/>
      <c r="L1803" s="137"/>
      <c r="P1803" s="137"/>
      <c r="Q1803" s="137"/>
      <c r="R1803" s="126"/>
    </row>
    <row r="1804" spans="2:18" x14ac:dyDescent="0.3">
      <c r="B1804" s="126"/>
      <c r="G1804" s="137"/>
      <c r="H1804" s="138"/>
      <c r="I1804" s="138"/>
      <c r="J1804" s="139"/>
      <c r="K1804" s="137"/>
      <c r="L1804" s="137"/>
      <c r="P1804" s="137"/>
      <c r="Q1804" s="137"/>
      <c r="R1804" s="126"/>
    </row>
    <row r="1805" spans="2:18" x14ac:dyDescent="0.3">
      <c r="B1805" s="126"/>
      <c r="G1805" s="137"/>
      <c r="H1805" s="138"/>
      <c r="I1805" s="138"/>
      <c r="J1805" s="139"/>
      <c r="K1805" s="137"/>
      <c r="L1805" s="137"/>
      <c r="P1805" s="137"/>
      <c r="Q1805" s="137"/>
      <c r="R1805" s="126"/>
    </row>
    <row r="1806" spans="2:18" x14ac:dyDescent="0.3">
      <c r="B1806" s="126"/>
      <c r="G1806" s="137"/>
      <c r="H1806" s="138"/>
      <c r="I1806" s="138"/>
      <c r="J1806" s="139"/>
      <c r="K1806" s="137"/>
      <c r="L1806" s="137"/>
      <c r="P1806" s="137"/>
      <c r="Q1806" s="137"/>
      <c r="R1806" s="126"/>
    </row>
    <row r="1807" spans="2:18" x14ac:dyDescent="0.3">
      <c r="B1807" s="126"/>
      <c r="G1807" s="137"/>
      <c r="H1807" s="138"/>
      <c r="I1807" s="138"/>
      <c r="J1807" s="139"/>
      <c r="K1807" s="137"/>
      <c r="L1807" s="137"/>
      <c r="P1807" s="137"/>
      <c r="Q1807" s="137"/>
      <c r="R1807" s="126"/>
    </row>
    <row r="1808" spans="2:18" x14ac:dyDescent="0.3">
      <c r="B1808" s="126"/>
      <c r="G1808" s="137"/>
      <c r="H1808" s="138"/>
      <c r="I1808" s="138"/>
      <c r="J1808" s="139"/>
      <c r="K1808" s="137"/>
      <c r="L1808" s="137"/>
      <c r="P1808" s="137"/>
      <c r="Q1808" s="137"/>
      <c r="R1808" s="126"/>
    </row>
    <row r="1809" spans="2:18" x14ac:dyDescent="0.3">
      <c r="B1809" s="126"/>
      <c r="G1809" s="137"/>
      <c r="H1809" s="138"/>
      <c r="I1809" s="138"/>
      <c r="J1809" s="139"/>
      <c r="K1809" s="137"/>
      <c r="L1809" s="137"/>
      <c r="P1809" s="137"/>
      <c r="Q1809" s="137"/>
      <c r="R1809" s="126"/>
    </row>
    <row r="1810" spans="2:18" x14ac:dyDescent="0.3">
      <c r="B1810" s="126"/>
      <c r="G1810" s="137"/>
      <c r="H1810" s="138"/>
      <c r="I1810" s="138"/>
      <c r="J1810" s="139"/>
      <c r="K1810" s="137"/>
      <c r="L1810" s="137"/>
      <c r="P1810" s="137"/>
      <c r="Q1810" s="137"/>
      <c r="R1810" s="126"/>
    </row>
    <row r="1811" spans="2:18" x14ac:dyDescent="0.3">
      <c r="B1811" s="126"/>
      <c r="G1811" s="137"/>
      <c r="H1811" s="138"/>
      <c r="I1811" s="138"/>
      <c r="J1811" s="139"/>
      <c r="K1811" s="137"/>
      <c r="L1811" s="137"/>
      <c r="P1811" s="137"/>
      <c r="Q1811" s="137"/>
      <c r="R1811" s="126"/>
    </row>
    <row r="1812" spans="2:18" x14ac:dyDescent="0.3">
      <c r="B1812" s="126"/>
      <c r="G1812" s="137"/>
      <c r="H1812" s="138"/>
      <c r="I1812" s="138"/>
      <c r="J1812" s="139"/>
      <c r="K1812" s="137"/>
      <c r="L1812" s="137"/>
      <c r="P1812" s="137"/>
      <c r="Q1812" s="137"/>
      <c r="R1812" s="126"/>
    </row>
    <row r="1813" spans="2:18" x14ac:dyDescent="0.3">
      <c r="B1813" s="126"/>
      <c r="G1813" s="137"/>
      <c r="H1813" s="138"/>
      <c r="I1813" s="138"/>
      <c r="J1813" s="139"/>
      <c r="K1813" s="137"/>
      <c r="L1813" s="137"/>
      <c r="P1813" s="137"/>
      <c r="Q1813" s="137"/>
      <c r="R1813" s="126"/>
    </row>
    <row r="1814" spans="2:18" x14ac:dyDescent="0.3">
      <c r="B1814" s="126"/>
      <c r="G1814" s="137"/>
      <c r="H1814" s="138"/>
      <c r="I1814" s="138"/>
      <c r="J1814" s="139"/>
      <c r="K1814" s="137"/>
      <c r="L1814" s="137"/>
      <c r="P1814" s="137"/>
      <c r="Q1814" s="137"/>
      <c r="R1814" s="126"/>
    </row>
    <row r="1815" spans="2:18" x14ac:dyDescent="0.3">
      <c r="B1815" s="126"/>
      <c r="G1815" s="137"/>
      <c r="H1815" s="138"/>
      <c r="I1815" s="138"/>
      <c r="J1815" s="139"/>
      <c r="K1815" s="137"/>
      <c r="L1815" s="137"/>
      <c r="P1815" s="137"/>
      <c r="Q1815" s="137"/>
      <c r="R1815" s="126"/>
    </row>
    <row r="1816" spans="2:18" x14ac:dyDescent="0.3">
      <c r="B1816" s="126"/>
      <c r="G1816" s="137"/>
      <c r="H1816" s="138"/>
      <c r="I1816" s="138"/>
      <c r="J1816" s="139"/>
      <c r="K1816" s="137"/>
      <c r="L1816" s="137"/>
      <c r="P1816" s="137"/>
      <c r="Q1816" s="137"/>
      <c r="R1816" s="126"/>
    </row>
    <row r="1817" spans="2:18" x14ac:dyDescent="0.3">
      <c r="B1817" s="126"/>
      <c r="G1817" s="137"/>
      <c r="H1817" s="138"/>
      <c r="I1817" s="138"/>
      <c r="J1817" s="139"/>
      <c r="K1817" s="137"/>
      <c r="L1817" s="137"/>
      <c r="P1817" s="137"/>
      <c r="Q1817" s="137"/>
      <c r="R1817" s="126"/>
    </row>
    <row r="1818" spans="2:18" x14ac:dyDescent="0.3">
      <c r="B1818" s="126"/>
      <c r="G1818" s="137"/>
      <c r="H1818" s="138"/>
      <c r="I1818" s="138"/>
      <c r="J1818" s="139"/>
      <c r="K1818" s="137"/>
      <c r="L1818" s="137"/>
      <c r="P1818" s="137"/>
      <c r="Q1818" s="137"/>
      <c r="R1818" s="126"/>
    </row>
    <row r="1819" spans="2:18" x14ac:dyDescent="0.3">
      <c r="B1819" s="126"/>
      <c r="G1819" s="137"/>
      <c r="H1819" s="138"/>
      <c r="I1819" s="138"/>
      <c r="J1819" s="139"/>
      <c r="K1819" s="137"/>
      <c r="L1819" s="137"/>
      <c r="P1819" s="137"/>
      <c r="Q1819" s="137"/>
      <c r="R1819" s="126"/>
    </row>
    <row r="1820" spans="2:18" x14ac:dyDescent="0.3">
      <c r="B1820" s="126"/>
      <c r="G1820" s="137"/>
      <c r="H1820" s="138"/>
      <c r="I1820" s="138"/>
      <c r="J1820" s="139"/>
      <c r="K1820" s="137"/>
      <c r="L1820" s="137"/>
      <c r="P1820" s="137"/>
      <c r="Q1820" s="137"/>
      <c r="R1820" s="126"/>
    </row>
    <row r="1821" spans="2:18" x14ac:dyDescent="0.3">
      <c r="B1821" s="126"/>
      <c r="G1821" s="137"/>
      <c r="H1821" s="138"/>
      <c r="I1821" s="138"/>
      <c r="J1821" s="139"/>
      <c r="K1821" s="137"/>
      <c r="L1821" s="137"/>
      <c r="P1821" s="137"/>
      <c r="Q1821" s="137"/>
      <c r="R1821" s="126"/>
    </row>
    <row r="1822" spans="2:18" x14ac:dyDescent="0.3">
      <c r="B1822" s="126"/>
      <c r="G1822" s="137"/>
      <c r="H1822" s="138"/>
      <c r="I1822" s="138"/>
      <c r="J1822" s="139"/>
      <c r="K1822" s="137"/>
      <c r="L1822" s="137"/>
      <c r="P1822" s="137"/>
      <c r="Q1822" s="137"/>
      <c r="R1822" s="126"/>
    </row>
    <row r="1823" spans="2:18" x14ac:dyDescent="0.3">
      <c r="B1823" s="126"/>
      <c r="G1823" s="137"/>
      <c r="H1823" s="138"/>
      <c r="I1823" s="138"/>
      <c r="J1823" s="139"/>
      <c r="K1823" s="137"/>
      <c r="L1823" s="137"/>
      <c r="P1823" s="137"/>
      <c r="Q1823" s="137"/>
      <c r="R1823" s="126"/>
    </row>
    <row r="1824" spans="2:18" x14ac:dyDescent="0.3">
      <c r="B1824" s="126"/>
      <c r="G1824" s="137"/>
      <c r="H1824" s="138"/>
      <c r="I1824" s="138"/>
      <c r="J1824" s="139"/>
      <c r="K1824" s="137"/>
      <c r="L1824" s="137"/>
      <c r="P1824" s="137"/>
      <c r="Q1824" s="137"/>
      <c r="R1824" s="126"/>
    </row>
    <row r="1825" spans="2:18" x14ac:dyDescent="0.3">
      <c r="B1825" s="126"/>
      <c r="G1825" s="137"/>
      <c r="H1825" s="138"/>
      <c r="I1825" s="138"/>
      <c r="J1825" s="139"/>
      <c r="K1825" s="137"/>
      <c r="L1825" s="137"/>
      <c r="P1825" s="137"/>
      <c r="Q1825" s="137"/>
      <c r="R1825" s="126"/>
    </row>
    <row r="1826" spans="2:18" x14ac:dyDescent="0.3">
      <c r="B1826" s="126"/>
      <c r="G1826" s="137"/>
      <c r="H1826" s="138"/>
      <c r="I1826" s="138"/>
      <c r="J1826" s="139"/>
      <c r="K1826" s="137"/>
      <c r="L1826" s="137"/>
      <c r="P1826" s="137"/>
      <c r="Q1826" s="137"/>
      <c r="R1826" s="126"/>
    </row>
    <row r="1827" spans="2:18" x14ac:dyDescent="0.3">
      <c r="B1827" s="126"/>
      <c r="G1827" s="137"/>
      <c r="H1827" s="138"/>
      <c r="I1827" s="138"/>
      <c r="J1827" s="139"/>
      <c r="K1827" s="137"/>
      <c r="L1827" s="137"/>
      <c r="P1827" s="137"/>
      <c r="Q1827" s="137"/>
      <c r="R1827" s="126"/>
    </row>
    <row r="1828" spans="2:18" x14ac:dyDescent="0.3">
      <c r="B1828" s="126"/>
      <c r="G1828" s="137"/>
      <c r="H1828" s="138"/>
      <c r="I1828" s="138"/>
      <c r="J1828" s="139"/>
      <c r="K1828" s="137"/>
      <c r="L1828" s="137"/>
      <c r="P1828" s="137"/>
      <c r="Q1828" s="137"/>
      <c r="R1828" s="126"/>
    </row>
    <row r="1829" spans="2:18" x14ac:dyDescent="0.3">
      <c r="B1829" s="126"/>
      <c r="G1829" s="137"/>
      <c r="H1829" s="138"/>
      <c r="I1829" s="138"/>
      <c r="J1829" s="139"/>
      <c r="K1829" s="137"/>
      <c r="L1829" s="137"/>
      <c r="P1829" s="137"/>
      <c r="Q1829" s="137"/>
      <c r="R1829" s="126"/>
    </row>
    <row r="1830" spans="2:18" x14ac:dyDescent="0.3">
      <c r="B1830" s="126"/>
      <c r="G1830" s="137"/>
      <c r="H1830" s="138"/>
      <c r="I1830" s="138"/>
      <c r="J1830" s="139"/>
      <c r="K1830" s="137"/>
      <c r="L1830" s="137"/>
      <c r="P1830" s="137"/>
      <c r="Q1830" s="137"/>
      <c r="R1830" s="126"/>
    </row>
    <row r="1831" spans="2:18" x14ac:dyDescent="0.3">
      <c r="B1831" s="126"/>
      <c r="G1831" s="137"/>
      <c r="H1831" s="138"/>
      <c r="I1831" s="138"/>
      <c r="J1831" s="139"/>
      <c r="K1831" s="137"/>
      <c r="L1831" s="137"/>
      <c r="P1831" s="137"/>
      <c r="Q1831" s="137"/>
      <c r="R1831" s="126"/>
    </row>
    <row r="1832" spans="2:18" x14ac:dyDescent="0.3">
      <c r="B1832" s="126"/>
      <c r="G1832" s="137"/>
      <c r="H1832" s="138"/>
      <c r="I1832" s="138"/>
      <c r="J1832" s="139"/>
      <c r="K1832" s="137"/>
      <c r="L1832" s="137"/>
      <c r="P1832" s="137"/>
      <c r="Q1832" s="137"/>
      <c r="R1832" s="126"/>
    </row>
    <row r="1833" spans="2:18" x14ac:dyDescent="0.3">
      <c r="B1833" s="126"/>
      <c r="G1833" s="137"/>
      <c r="H1833" s="138"/>
      <c r="I1833" s="138"/>
      <c r="J1833" s="139"/>
      <c r="K1833" s="137"/>
      <c r="L1833" s="137"/>
      <c r="P1833" s="137"/>
      <c r="Q1833" s="137"/>
      <c r="R1833" s="126"/>
    </row>
    <row r="1834" spans="2:18" x14ac:dyDescent="0.3">
      <c r="B1834" s="126"/>
      <c r="G1834" s="137"/>
      <c r="H1834" s="138"/>
      <c r="I1834" s="138"/>
      <c r="J1834" s="139"/>
      <c r="K1834" s="137"/>
      <c r="L1834" s="137"/>
      <c r="P1834" s="137"/>
      <c r="Q1834" s="137"/>
      <c r="R1834" s="126"/>
    </row>
    <row r="1835" spans="2:18" x14ac:dyDescent="0.3">
      <c r="B1835" s="126"/>
      <c r="G1835" s="137"/>
      <c r="H1835" s="138"/>
      <c r="I1835" s="138"/>
      <c r="J1835" s="139"/>
      <c r="K1835" s="137"/>
      <c r="L1835" s="137"/>
      <c r="P1835" s="137"/>
      <c r="Q1835" s="137"/>
      <c r="R1835" s="126"/>
    </row>
    <row r="1836" spans="2:18" x14ac:dyDescent="0.3">
      <c r="B1836" s="126"/>
      <c r="G1836" s="137"/>
      <c r="H1836" s="138"/>
      <c r="I1836" s="138"/>
      <c r="J1836" s="139"/>
      <c r="K1836" s="137"/>
      <c r="L1836" s="137"/>
      <c r="P1836" s="137"/>
      <c r="Q1836" s="137"/>
      <c r="R1836" s="126"/>
    </row>
    <row r="1837" spans="2:18" x14ac:dyDescent="0.3">
      <c r="B1837" s="126"/>
      <c r="G1837" s="137"/>
      <c r="H1837" s="138"/>
      <c r="I1837" s="138"/>
      <c r="J1837" s="139"/>
      <c r="K1837" s="137"/>
      <c r="L1837" s="137"/>
      <c r="P1837" s="137"/>
      <c r="Q1837" s="137"/>
      <c r="R1837" s="126"/>
    </row>
    <row r="1838" spans="2:18" x14ac:dyDescent="0.3">
      <c r="B1838" s="126"/>
      <c r="G1838" s="137"/>
      <c r="H1838" s="138"/>
      <c r="I1838" s="138"/>
      <c r="J1838" s="139"/>
      <c r="K1838" s="137"/>
      <c r="L1838" s="137"/>
      <c r="P1838" s="137"/>
      <c r="Q1838" s="137"/>
      <c r="R1838" s="126"/>
    </row>
    <row r="1839" spans="2:18" x14ac:dyDescent="0.3">
      <c r="B1839" s="126"/>
      <c r="G1839" s="137"/>
      <c r="H1839" s="138"/>
      <c r="I1839" s="138"/>
      <c r="J1839" s="139"/>
      <c r="K1839" s="137"/>
      <c r="L1839" s="137"/>
      <c r="P1839" s="137"/>
      <c r="Q1839" s="137"/>
      <c r="R1839" s="126"/>
    </row>
    <row r="1840" spans="2:18" x14ac:dyDescent="0.3">
      <c r="B1840" s="126"/>
      <c r="G1840" s="137"/>
      <c r="H1840" s="138"/>
      <c r="I1840" s="138"/>
      <c r="J1840" s="139"/>
      <c r="K1840" s="137"/>
      <c r="L1840" s="137"/>
      <c r="P1840" s="137"/>
      <c r="Q1840" s="137"/>
      <c r="R1840" s="126"/>
    </row>
    <row r="1841" spans="2:18" x14ac:dyDescent="0.3">
      <c r="B1841" s="126"/>
      <c r="G1841" s="137"/>
      <c r="H1841" s="138"/>
      <c r="I1841" s="138"/>
      <c r="J1841" s="139"/>
      <c r="K1841" s="137"/>
      <c r="L1841" s="137"/>
      <c r="P1841" s="137"/>
      <c r="Q1841" s="137"/>
      <c r="R1841" s="126"/>
    </row>
    <row r="1842" spans="2:18" x14ac:dyDescent="0.3">
      <c r="B1842" s="126"/>
      <c r="G1842" s="137"/>
      <c r="H1842" s="138"/>
      <c r="I1842" s="138"/>
      <c r="J1842" s="139"/>
      <c r="K1842" s="137"/>
      <c r="L1842" s="137"/>
      <c r="P1842" s="137"/>
      <c r="Q1842" s="137"/>
      <c r="R1842" s="126"/>
    </row>
    <row r="1843" spans="2:18" x14ac:dyDescent="0.3">
      <c r="B1843" s="126"/>
      <c r="G1843" s="137"/>
      <c r="H1843" s="138"/>
      <c r="I1843" s="138"/>
      <c r="J1843" s="139"/>
      <c r="K1843" s="137"/>
      <c r="L1843" s="137"/>
      <c r="P1843" s="137"/>
      <c r="Q1843" s="137"/>
      <c r="R1843" s="126"/>
    </row>
    <row r="1844" spans="2:18" x14ac:dyDescent="0.3">
      <c r="B1844" s="126"/>
      <c r="G1844" s="137"/>
      <c r="H1844" s="138"/>
      <c r="I1844" s="138"/>
      <c r="J1844" s="139"/>
      <c r="K1844" s="137"/>
      <c r="L1844" s="137"/>
      <c r="P1844" s="137"/>
      <c r="Q1844" s="137"/>
      <c r="R1844" s="126"/>
    </row>
    <row r="1845" spans="2:18" x14ac:dyDescent="0.3">
      <c r="B1845" s="126"/>
      <c r="G1845" s="137"/>
      <c r="H1845" s="138"/>
      <c r="I1845" s="138"/>
      <c r="J1845" s="139"/>
      <c r="K1845" s="137"/>
      <c r="L1845" s="137"/>
      <c r="P1845" s="137"/>
      <c r="Q1845" s="137"/>
      <c r="R1845" s="126"/>
    </row>
    <row r="1846" spans="2:18" x14ac:dyDescent="0.3">
      <c r="B1846" s="126"/>
      <c r="G1846" s="137"/>
      <c r="H1846" s="138"/>
      <c r="I1846" s="138"/>
      <c r="J1846" s="139"/>
      <c r="K1846" s="137"/>
      <c r="L1846" s="137"/>
      <c r="P1846" s="137"/>
      <c r="Q1846" s="137"/>
      <c r="R1846" s="126"/>
    </row>
    <row r="1847" spans="2:18" x14ac:dyDescent="0.3">
      <c r="B1847" s="126"/>
      <c r="G1847" s="137"/>
      <c r="H1847" s="138"/>
      <c r="I1847" s="138"/>
      <c r="J1847" s="139"/>
      <c r="K1847" s="137"/>
      <c r="L1847" s="137"/>
      <c r="P1847" s="137"/>
      <c r="Q1847" s="137"/>
      <c r="R1847" s="126"/>
    </row>
    <row r="1848" spans="2:18" x14ac:dyDescent="0.3">
      <c r="B1848" s="126"/>
      <c r="G1848" s="137"/>
      <c r="H1848" s="138"/>
      <c r="I1848" s="138"/>
      <c r="J1848" s="139"/>
      <c r="K1848" s="137"/>
      <c r="L1848" s="137"/>
      <c r="P1848" s="137"/>
      <c r="Q1848" s="137"/>
      <c r="R1848" s="126"/>
    </row>
    <row r="1849" spans="2:18" x14ac:dyDescent="0.3">
      <c r="B1849" s="126"/>
      <c r="G1849" s="137"/>
      <c r="H1849" s="138"/>
      <c r="I1849" s="138"/>
      <c r="J1849" s="139"/>
      <c r="K1849" s="137"/>
      <c r="L1849" s="137"/>
      <c r="P1849" s="137"/>
      <c r="Q1849" s="137"/>
      <c r="R1849" s="126"/>
    </row>
    <row r="1850" spans="2:18" x14ac:dyDescent="0.3">
      <c r="B1850" s="126"/>
      <c r="G1850" s="137"/>
      <c r="H1850" s="138"/>
      <c r="I1850" s="138"/>
      <c r="J1850" s="139"/>
      <c r="K1850" s="137"/>
      <c r="L1850" s="137"/>
      <c r="P1850" s="137"/>
      <c r="Q1850" s="137"/>
      <c r="R1850" s="126"/>
    </row>
    <row r="1851" spans="2:18" x14ac:dyDescent="0.3">
      <c r="B1851" s="126"/>
      <c r="G1851" s="137"/>
      <c r="H1851" s="138"/>
      <c r="I1851" s="138"/>
      <c r="J1851" s="139"/>
      <c r="K1851" s="137"/>
      <c r="L1851" s="137"/>
      <c r="P1851" s="137"/>
      <c r="Q1851" s="137"/>
      <c r="R1851" s="126"/>
    </row>
    <row r="1852" spans="2:18" x14ac:dyDescent="0.3">
      <c r="B1852" s="126"/>
      <c r="G1852" s="137"/>
      <c r="H1852" s="138"/>
      <c r="I1852" s="138"/>
      <c r="J1852" s="139"/>
      <c r="K1852" s="137"/>
      <c r="L1852" s="137"/>
      <c r="P1852" s="137"/>
      <c r="Q1852" s="137"/>
      <c r="R1852" s="126"/>
    </row>
    <row r="1853" spans="2:18" x14ac:dyDescent="0.3">
      <c r="B1853" s="126"/>
      <c r="G1853" s="137"/>
      <c r="H1853" s="138"/>
      <c r="I1853" s="138"/>
      <c r="J1853" s="139"/>
      <c r="K1853" s="137"/>
      <c r="L1853" s="137"/>
      <c r="P1853" s="137"/>
      <c r="Q1853" s="137"/>
      <c r="R1853" s="126"/>
    </row>
    <row r="1854" spans="2:18" x14ac:dyDescent="0.3">
      <c r="B1854" s="126"/>
      <c r="G1854" s="137"/>
      <c r="H1854" s="138"/>
      <c r="I1854" s="138"/>
      <c r="J1854" s="139"/>
      <c r="K1854" s="137"/>
      <c r="L1854" s="137"/>
      <c r="P1854" s="137"/>
      <c r="Q1854" s="137"/>
      <c r="R1854" s="126"/>
    </row>
    <row r="1855" spans="2:18" x14ac:dyDescent="0.3">
      <c r="B1855" s="126"/>
      <c r="G1855" s="137"/>
      <c r="H1855" s="138"/>
      <c r="I1855" s="138"/>
      <c r="J1855" s="139"/>
      <c r="K1855" s="137"/>
      <c r="L1855" s="137"/>
      <c r="P1855" s="137"/>
      <c r="Q1855" s="137"/>
      <c r="R1855" s="126"/>
    </row>
    <row r="1856" spans="2:18" x14ac:dyDescent="0.3">
      <c r="B1856" s="126"/>
      <c r="G1856" s="137"/>
      <c r="H1856" s="138"/>
      <c r="I1856" s="138"/>
      <c r="J1856" s="139"/>
      <c r="K1856" s="137"/>
      <c r="L1856" s="137"/>
      <c r="P1856" s="137"/>
      <c r="Q1856" s="137"/>
      <c r="R1856" s="126"/>
    </row>
    <row r="1857" spans="2:18" x14ac:dyDescent="0.3">
      <c r="B1857" s="126"/>
      <c r="G1857" s="137"/>
      <c r="H1857" s="138"/>
      <c r="I1857" s="138"/>
      <c r="J1857" s="139"/>
      <c r="K1857" s="137"/>
      <c r="L1857" s="137"/>
      <c r="P1857" s="137"/>
      <c r="Q1857" s="137"/>
      <c r="R1857" s="126"/>
    </row>
    <row r="1858" spans="2:18" x14ac:dyDescent="0.3">
      <c r="B1858" s="126"/>
      <c r="G1858" s="137"/>
      <c r="H1858" s="138"/>
      <c r="I1858" s="138"/>
      <c r="J1858" s="139"/>
      <c r="K1858" s="137"/>
      <c r="L1858" s="137"/>
      <c r="P1858" s="137"/>
      <c r="Q1858" s="137"/>
      <c r="R1858" s="126"/>
    </row>
    <row r="1859" spans="2:18" x14ac:dyDescent="0.3">
      <c r="B1859" s="126"/>
      <c r="G1859" s="137"/>
      <c r="H1859" s="138"/>
      <c r="I1859" s="138"/>
      <c r="J1859" s="139"/>
      <c r="K1859" s="137"/>
      <c r="L1859" s="137"/>
      <c r="P1859" s="137"/>
      <c r="Q1859" s="137"/>
      <c r="R1859" s="126"/>
    </row>
    <row r="1860" spans="2:18" x14ac:dyDescent="0.3">
      <c r="B1860" s="126"/>
      <c r="G1860" s="137"/>
      <c r="H1860" s="138"/>
      <c r="I1860" s="138"/>
      <c r="J1860" s="139"/>
      <c r="K1860" s="137"/>
      <c r="L1860" s="137"/>
      <c r="P1860" s="137"/>
      <c r="Q1860" s="137"/>
      <c r="R1860" s="126"/>
    </row>
    <row r="1861" spans="2:18" x14ac:dyDescent="0.3">
      <c r="B1861" s="126"/>
      <c r="G1861" s="137"/>
      <c r="H1861" s="138"/>
      <c r="I1861" s="138"/>
      <c r="J1861" s="139"/>
      <c r="K1861" s="137"/>
      <c r="L1861" s="137"/>
      <c r="P1861" s="137"/>
      <c r="Q1861" s="137"/>
      <c r="R1861" s="126"/>
    </row>
    <row r="1862" spans="2:18" x14ac:dyDescent="0.3">
      <c r="B1862" s="126"/>
      <c r="G1862" s="137"/>
      <c r="H1862" s="138"/>
      <c r="I1862" s="138"/>
      <c r="J1862" s="139"/>
      <c r="K1862" s="137"/>
      <c r="L1862" s="137"/>
      <c r="P1862" s="137"/>
      <c r="Q1862" s="137"/>
      <c r="R1862" s="126"/>
    </row>
    <row r="1863" spans="2:18" x14ac:dyDescent="0.3">
      <c r="B1863" s="126"/>
      <c r="G1863" s="137"/>
      <c r="H1863" s="138"/>
      <c r="I1863" s="138"/>
      <c r="J1863" s="139"/>
      <c r="K1863" s="137"/>
      <c r="L1863" s="137"/>
      <c r="P1863" s="137"/>
      <c r="Q1863" s="137"/>
      <c r="R1863" s="126"/>
    </row>
    <row r="1864" spans="2:18" x14ac:dyDescent="0.3">
      <c r="B1864" s="126"/>
      <c r="G1864" s="137"/>
      <c r="H1864" s="138"/>
      <c r="I1864" s="138"/>
      <c r="J1864" s="139"/>
      <c r="K1864" s="137"/>
      <c r="L1864" s="137"/>
      <c r="P1864" s="137"/>
      <c r="Q1864" s="137"/>
      <c r="R1864" s="126"/>
    </row>
    <row r="1865" spans="2:18" x14ac:dyDescent="0.3">
      <c r="B1865" s="126"/>
      <c r="G1865" s="137"/>
      <c r="H1865" s="138"/>
      <c r="I1865" s="138"/>
      <c r="J1865" s="139"/>
      <c r="K1865" s="137"/>
      <c r="L1865" s="137"/>
      <c r="P1865" s="137"/>
      <c r="Q1865" s="137"/>
      <c r="R1865" s="126"/>
    </row>
    <row r="1866" spans="2:18" x14ac:dyDescent="0.3">
      <c r="B1866" s="126"/>
      <c r="G1866" s="137"/>
      <c r="H1866" s="138"/>
      <c r="I1866" s="138"/>
      <c r="J1866" s="139"/>
      <c r="K1866" s="137"/>
      <c r="L1866" s="137"/>
      <c r="P1866" s="137"/>
      <c r="Q1866" s="137"/>
      <c r="R1866" s="126"/>
    </row>
    <row r="1867" spans="2:18" x14ac:dyDescent="0.3">
      <c r="B1867" s="126"/>
      <c r="G1867" s="137"/>
      <c r="H1867" s="138"/>
      <c r="I1867" s="138"/>
      <c r="J1867" s="139"/>
      <c r="K1867" s="137"/>
      <c r="L1867" s="137"/>
      <c r="P1867" s="137"/>
      <c r="Q1867" s="137"/>
      <c r="R1867" s="126"/>
    </row>
    <row r="1868" spans="2:18" x14ac:dyDescent="0.3">
      <c r="B1868" s="126"/>
      <c r="G1868" s="137"/>
      <c r="H1868" s="138"/>
      <c r="I1868" s="138"/>
      <c r="J1868" s="139"/>
      <c r="K1868" s="137"/>
      <c r="L1868" s="137"/>
      <c r="P1868" s="137"/>
      <c r="Q1868" s="137"/>
      <c r="R1868" s="126"/>
    </row>
    <row r="1869" spans="2:18" x14ac:dyDescent="0.3">
      <c r="B1869" s="126"/>
      <c r="G1869" s="137"/>
      <c r="H1869" s="138"/>
      <c r="I1869" s="138"/>
      <c r="J1869" s="139"/>
      <c r="K1869" s="137"/>
      <c r="L1869" s="137"/>
      <c r="P1869" s="137"/>
      <c r="Q1869" s="137"/>
      <c r="R1869" s="126"/>
    </row>
    <row r="1870" spans="2:18" x14ac:dyDescent="0.3">
      <c r="B1870" s="126"/>
      <c r="G1870" s="137"/>
      <c r="H1870" s="138"/>
      <c r="I1870" s="138"/>
      <c r="J1870" s="139"/>
      <c r="K1870" s="137"/>
      <c r="L1870" s="137"/>
      <c r="P1870" s="137"/>
      <c r="Q1870" s="137"/>
      <c r="R1870" s="126"/>
    </row>
    <row r="1871" spans="2:18" x14ac:dyDescent="0.3">
      <c r="B1871" s="126"/>
      <c r="G1871" s="137"/>
      <c r="H1871" s="138"/>
      <c r="I1871" s="138"/>
      <c r="J1871" s="139"/>
      <c r="K1871" s="137"/>
      <c r="L1871" s="137"/>
      <c r="P1871" s="137"/>
      <c r="Q1871" s="137"/>
      <c r="R1871" s="126"/>
    </row>
    <row r="1872" spans="2:18" x14ac:dyDescent="0.3">
      <c r="B1872" s="126"/>
      <c r="G1872" s="137"/>
      <c r="H1872" s="138"/>
      <c r="I1872" s="138"/>
      <c r="J1872" s="139"/>
      <c r="K1872" s="137"/>
      <c r="L1872" s="137"/>
      <c r="P1872" s="137"/>
      <c r="Q1872" s="137"/>
      <c r="R1872" s="126"/>
    </row>
    <row r="1873" spans="2:18" x14ac:dyDescent="0.3">
      <c r="B1873" s="126"/>
      <c r="G1873" s="137"/>
      <c r="H1873" s="138"/>
      <c r="I1873" s="138"/>
      <c r="J1873" s="139"/>
      <c r="K1873" s="137"/>
      <c r="L1873" s="137"/>
      <c r="P1873" s="137"/>
      <c r="Q1873" s="137"/>
      <c r="R1873" s="126"/>
    </row>
    <row r="1874" spans="2:18" x14ac:dyDescent="0.3">
      <c r="B1874" s="126"/>
      <c r="G1874" s="137"/>
      <c r="H1874" s="138"/>
      <c r="I1874" s="138"/>
      <c r="J1874" s="139"/>
      <c r="K1874" s="137"/>
      <c r="L1874" s="137"/>
      <c r="P1874" s="137"/>
      <c r="Q1874" s="137"/>
      <c r="R1874" s="126"/>
    </row>
    <row r="1875" spans="2:18" x14ac:dyDescent="0.3">
      <c r="B1875" s="126"/>
      <c r="G1875" s="137"/>
      <c r="H1875" s="138"/>
      <c r="I1875" s="138"/>
      <c r="J1875" s="139"/>
      <c r="K1875" s="137"/>
      <c r="L1875" s="137"/>
      <c r="P1875" s="137"/>
      <c r="Q1875" s="137"/>
      <c r="R1875" s="126"/>
    </row>
    <row r="1876" spans="2:18" x14ac:dyDescent="0.3">
      <c r="B1876" s="126"/>
      <c r="G1876" s="137"/>
      <c r="H1876" s="138"/>
      <c r="I1876" s="138"/>
      <c r="J1876" s="139"/>
      <c r="K1876" s="137"/>
      <c r="L1876" s="137"/>
      <c r="P1876" s="137"/>
      <c r="Q1876" s="137"/>
      <c r="R1876" s="126"/>
    </row>
    <row r="1877" spans="2:18" x14ac:dyDescent="0.3">
      <c r="B1877" s="126"/>
      <c r="G1877" s="137"/>
      <c r="H1877" s="138"/>
      <c r="I1877" s="138"/>
      <c r="J1877" s="139"/>
      <c r="K1877" s="137"/>
      <c r="L1877" s="137"/>
      <c r="P1877" s="137"/>
      <c r="Q1877" s="137"/>
      <c r="R1877" s="126"/>
    </row>
    <row r="1878" spans="2:18" x14ac:dyDescent="0.3">
      <c r="B1878" s="126"/>
      <c r="G1878" s="137"/>
      <c r="H1878" s="138"/>
      <c r="I1878" s="138"/>
      <c r="J1878" s="139"/>
      <c r="K1878" s="137"/>
      <c r="L1878" s="137"/>
      <c r="P1878" s="137"/>
      <c r="Q1878" s="137"/>
      <c r="R1878" s="126"/>
    </row>
    <row r="1879" spans="2:18" x14ac:dyDescent="0.3">
      <c r="B1879" s="126"/>
      <c r="G1879" s="137"/>
      <c r="H1879" s="138"/>
      <c r="I1879" s="138"/>
      <c r="J1879" s="139"/>
      <c r="K1879" s="137"/>
      <c r="L1879" s="137"/>
      <c r="P1879" s="137"/>
      <c r="Q1879" s="137"/>
      <c r="R1879" s="126"/>
    </row>
    <row r="1880" spans="2:18" x14ac:dyDescent="0.3">
      <c r="B1880" s="126"/>
      <c r="G1880" s="137"/>
      <c r="H1880" s="138"/>
      <c r="I1880" s="138"/>
      <c r="J1880" s="139"/>
      <c r="K1880" s="137"/>
      <c r="L1880" s="137"/>
      <c r="P1880" s="137"/>
      <c r="Q1880" s="137"/>
      <c r="R1880" s="126"/>
    </row>
    <row r="1881" spans="2:18" x14ac:dyDescent="0.3">
      <c r="B1881" s="126"/>
      <c r="G1881" s="137"/>
      <c r="H1881" s="138"/>
      <c r="I1881" s="138"/>
      <c r="J1881" s="139"/>
      <c r="K1881" s="137"/>
      <c r="L1881" s="137"/>
      <c r="P1881" s="137"/>
      <c r="Q1881" s="137"/>
      <c r="R1881" s="126"/>
    </row>
    <row r="1882" spans="2:18" x14ac:dyDescent="0.3">
      <c r="B1882" s="126"/>
      <c r="G1882" s="137"/>
      <c r="H1882" s="138"/>
      <c r="I1882" s="138"/>
      <c r="J1882" s="139"/>
      <c r="K1882" s="137"/>
      <c r="L1882" s="137"/>
      <c r="P1882" s="137"/>
      <c r="Q1882" s="137"/>
      <c r="R1882" s="126"/>
    </row>
    <row r="1883" spans="2:18" x14ac:dyDescent="0.3">
      <c r="B1883" s="126"/>
      <c r="G1883" s="137"/>
      <c r="H1883" s="138"/>
      <c r="I1883" s="138"/>
      <c r="J1883" s="139"/>
      <c r="K1883" s="137"/>
      <c r="L1883" s="137"/>
      <c r="P1883" s="137"/>
      <c r="Q1883" s="137"/>
      <c r="R1883" s="126"/>
    </row>
    <row r="1884" spans="2:18" x14ac:dyDescent="0.3">
      <c r="B1884" s="126"/>
      <c r="G1884" s="137"/>
      <c r="H1884" s="138"/>
      <c r="I1884" s="138"/>
      <c r="J1884" s="139"/>
      <c r="K1884" s="137"/>
      <c r="L1884" s="137"/>
      <c r="P1884" s="137"/>
      <c r="Q1884" s="137"/>
      <c r="R1884" s="126"/>
    </row>
    <row r="1885" spans="2:18" x14ac:dyDescent="0.3">
      <c r="B1885" s="126"/>
      <c r="G1885" s="137"/>
      <c r="H1885" s="138"/>
      <c r="I1885" s="138"/>
      <c r="J1885" s="139"/>
      <c r="K1885" s="137"/>
      <c r="L1885" s="137"/>
      <c r="P1885" s="137"/>
      <c r="Q1885" s="137"/>
      <c r="R1885" s="126"/>
    </row>
    <row r="1886" spans="2:18" x14ac:dyDescent="0.3">
      <c r="B1886" s="126"/>
      <c r="G1886" s="137"/>
      <c r="H1886" s="138"/>
      <c r="I1886" s="138"/>
      <c r="J1886" s="139"/>
      <c r="K1886" s="137"/>
      <c r="L1886" s="137"/>
      <c r="P1886" s="137"/>
      <c r="Q1886" s="137"/>
      <c r="R1886" s="126"/>
    </row>
    <row r="1887" spans="2:18" x14ac:dyDescent="0.3">
      <c r="B1887" s="126"/>
      <c r="G1887" s="137"/>
      <c r="H1887" s="138"/>
      <c r="I1887" s="138"/>
      <c r="J1887" s="139"/>
      <c r="K1887" s="137"/>
      <c r="L1887" s="137"/>
      <c r="P1887" s="137"/>
      <c r="Q1887" s="137"/>
      <c r="R1887" s="126"/>
    </row>
    <row r="1888" spans="2:18" x14ac:dyDescent="0.3">
      <c r="B1888" s="126"/>
      <c r="G1888" s="137"/>
      <c r="H1888" s="138"/>
      <c r="I1888" s="138"/>
      <c r="J1888" s="139"/>
      <c r="K1888" s="137"/>
      <c r="L1888" s="137"/>
      <c r="P1888" s="137"/>
      <c r="Q1888" s="137"/>
      <c r="R1888" s="126"/>
    </row>
    <row r="1889" spans="2:18" x14ac:dyDescent="0.3">
      <c r="B1889" s="126"/>
      <c r="G1889" s="137"/>
      <c r="H1889" s="138"/>
      <c r="I1889" s="138"/>
      <c r="J1889" s="139"/>
      <c r="K1889" s="137"/>
      <c r="L1889" s="137"/>
      <c r="P1889" s="137"/>
      <c r="Q1889" s="137"/>
      <c r="R1889" s="126"/>
    </row>
    <row r="1890" spans="2:18" x14ac:dyDescent="0.3">
      <c r="B1890" s="126"/>
      <c r="G1890" s="137"/>
      <c r="H1890" s="138"/>
      <c r="I1890" s="138"/>
      <c r="J1890" s="139"/>
      <c r="K1890" s="137"/>
      <c r="L1890" s="137"/>
      <c r="P1890" s="137"/>
      <c r="Q1890" s="137"/>
      <c r="R1890" s="126"/>
    </row>
    <row r="1891" spans="2:18" x14ac:dyDescent="0.3">
      <c r="B1891" s="126"/>
      <c r="G1891" s="137"/>
      <c r="H1891" s="138"/>
      <c r="I1891" s="138"/>
      <c r="J1891" s="139"/>
      <c r="K1891" s="137"/>
      <c r="L1891" s="137"/>
      <c r="P1891" s="137"/>
      <c r="Q1891" s="137"/>
      <c r="R1891" s="126"/>
    </row>
    <row r="1892" spans="2:18" x14ac:dyDescent="0.3">
      <c r="B1892" s="126"/>
      <c r="G1892" s="137"/>
      <c r="H1892" s="138"/>
      <c r="I1892" s="138"/>
      <c r="J1892" s="139"/>
      <c r="K1892" s="137"/>
      <c r="L1892" s="137"/>
      <c r="P1892" s="137"/>
      <c r="Q1892" s="137"/>
      <c r="R1892" s="126"/>
    </row>
    <row r="1893" spans="2:18" x14ac:dyDescent="0.3">
      <c r="B1893" s="126"/>
      <c r="G1893" s="137"/>
      <c r="H1893" s="138"/>
      <c r="I1893" s="138"/>
      <c r="J1893" s="139"/>
      <c r="K1893" s="137"/>
      <c r="L1893" s="137"/>
      <c r="P1893" s="137"/>
      <c r="Q1893" s="137"/>
      <c r="R1893" s="126"/>
    </row>
    <row r="1894" spans="2:18" x14ac:dyDescent="0.3">
      <c r="B1894" s="126"/>
      <c r="G1894" s="137"/>
      <c r="H1894" s="138"/>
      <c r="I1894" s="138"/>
      <c r="J1894" s="139"/>
      <c r="K1894" s="137"/>
      <c r="L1894" s="137"/>
      <c r="P1894" s="137"/>
      <c r="Q1894" s="137"/>
      <c r="R1894" s="126"/>
    </row>
    <row r="1895" spans="2:18" x14ac:dyDescent="0.3">
      <c r="B1895" s="126"/>
      <c r="G1895" s="137"/>
      <c r="H1895" s="138"/>
      <c r="I1895" s="138"/>
      <c r="J1895" s="139"/>
      <c r="K1895" s="137"/>
      <c r="L1895" s="137"/>
      <c r="P1895" s="137"/>
      <c r="Q1895" s="137"/>
      <c r="R1895" s="126"/>
    </row>
    <row r="1896" spans="2:18" x14ac:dyDescent="0.3">
      <c r="B1896" s="126"/>
      <c r="G1896" s="137"/>
      <c r="H1896" s="138"/>
      <c r="I1896" s="138"/>
      <c r="J1896" s="139"/>
      <c r="K1896" s="137"/>
      <c r="L1896" s="137"/>
      <c r="P1896" s="137"/>
      <c r="Q1896" s="137"/>
      <c r="R1896" s="126"/>
    </row>
    <row r="1897" spans="2:18" x14ac:dyDescent="0.3">
      <c r="B1897" s="126"/>
      <c r="G1897" s="137"/>
      <c r="H1897" s="138"/>
      <c r="I1897" s="138"/>
      <c r="J1897" s="139"/>
      <c r="K1897" s="137"/>
      <c r="L1897" s="137"/>
      <c r="P1897" s="137"/>
      <c r="Q1897" s="137"/>
      <c r="R1897" s="126"/>
    </row>
    <row r="1898" spans="2:18" x14ac:dyDescent="0.3">
      <c r="B1898" s="126"/>
      <c r="G1898" s="137"/>
      <c r="H1898" s="138"/>
      <c r="I1898" s="138"/>
      <c r="J1898" s="139"/>
      <c r="K1898" s="137"/>
      <c r="L1898" s="137"/>
      <c r="P1898" s="137"/>
      <c r="Q1898" s="137"/>
      <c r="R1898" s="126"/>
    </row>
    <row r="1899" spans="2:18" x14ac:dyDescent="0.3">
      <c r="B1899" s="126"/>
      <c r="G1899" s="137"/>
      <c r="H1899" s="138"/>
      <c r="I1899" s="138"/>
      <c r="J1899" s="139"/>
      <c r="K1899" s="137"/>
      <c r="L1899" s="137"/>
      <c r="P1899" s="137"/>
      <c r="Q1899" s="137"/>
      <c r="R1899" s="126"/>
    </row>
    <row r="1900" spans="2:18" x14ac:dyDescent="0.3">
      <c r="B1900" s="126"/>
      <c r="G1900" s="137"/>
      <c r="H1900" s="138"/>
      <c r="I1900" s="138"/>
      <c r="J1900" s="139"/>
      <c r="K1900" s="137"/>
      <c r="L1900" s="137"/>
      <c r="P1900" s="137"/>
      <c r="Q1900" s="137"/>
      <c r="R1900" s="126"/>
    </row>
    <row r="1901" spans="2:18" x14ac:dyDescent="0.3">
      <c r="B1901" s="126"/>
      <c r="G1901" s="137"/>
      <c r="H1901" s="138"/>
      <c r="I1901" s="138"/>
      <c r="J1901" s="139"/>
      <c r="K1901" s="137"/>
      <c r="L1901" s="137"/>
      <c r="P1901" s="137"/>
      <c r="Q1901" s="137"/>
      <c r="R1901" s="126"/>
    </row>
    <row r="1902" spans="2:18" x14ac:dyDescent="0.3">
      <c r="B1902" s="126"/>
      <c r="G1902" s="137"/>
      <c r="H1902" s="138"/>
      <c r="I1902" s="138"/>
      <c r="J1902" s="139"/>
      <c r="K1902" s="137"/>
      <c r="L1902" s="137"/>
      <c r="P1902" s="137"/>
      <c r="Q1902" s="137"/>
      <c r="R1902" s="126"/>
    </row>
    <row r="1903" spans="2:18" x14ac:dyDescent="0.3">
      <c r="B1903" s="126"/>
      <c r="G1903" s="137"/>
      <c r="H1903" s="138"/>
      <c r="I1903" s="138"/>
      <c r="J1903" s="139"/>
      <c r="K1903" s="137"/>
      <c r="L1903" s="137"/>
      <c r="P1903" s="137"/>
      <c r="Q1903" s="137"/>
      <c r="R1903" s="126"/>
    </row>
    <row r="1904" spans="2:18" x14ac:dyDescent="0.3">
      <c r="B1904" s="126"/>
      <c r="G1904" s="137"/>
      <c r="H1904" s="138"/>
      <c r="I1904" s="138"/>
      <c r="J1904" s="139"/>
      <c r="K1904" s="137"/>
      <c r="L1904" s="137"/>
      <c r="P1904" s="137"/>
      <c r="Q1904" s="137"/>
      <c r="R1904" s="126"/>
    </row>
    <row r="1905" spans="2:18" x14ac:dyDescent="0.3">
      <c r="B1905" s="126"/>
      <c r="G1905" s="137"/>
      <c r="H1905" s="138"/>
      <c r="I1905" s="138"/>
      <c r="J1905" s="139"/>
      <c r="K1905" s="137"/>
      <c r="L1905" s="137"/>
      <c r="P1905" s="137"/>
      <c r="Q1905" s="137"/>
      <c r="R1905" s="126"/>
    </row>
    <row r="1906" spans="2:18" x14ac:dyDescent="0.3">
      <c r="B1906" s="126"/>
      <c r="G1906" s="137"/>
      <c r="H1906" s="138"/>
      <c r="I1906" s="138"/>
      <c r="J1906" s="139"/>
      <c r="K1906" s="137"/>
      <c r="L1906" s="137"/>
      <c r="P1906" s="137"/>
      <c r="Q1906" s="137"/>
      <c r="R1906" s="126"/>
    </row>
    <row r="1907" spans="2:18" x14ac:dyDescent="0.3">
      <c r="B1907" s="126"/>
      <c r="G1907" s="137"/>
      <c r="H1907" s="138"/>
      <c r="I1907" s="138"/>
      <c r="J1907" s="139"/>
      <c r="K1907" s="137"/>
      <c r="L1907" s="137"/>
      <c r="P1907" s="137"/>
      <c r="Q1907" s="137"/>
      <c r="R1907" s="126"/>
    </row>
    <row r="1908" spans="2:18" x14ac:dyDescent="0.3">
      <c r="B1908" s="126"/>
      <c r="G1908" s="137"/>
      <c r="H1908" s="138"/>
      <c r="I1908" s="138"/>
      <c r="J1908" s="139"/>
      <c r="K1908" s="137"/>
      <c r="L1908" s="137"/>
      <c r="P1908" s="137"/>
      <c r="Q1908" s="137"/>
      <c r="R1908" s="126"/>
    </row>
    <row r="1909" spans="2:18" x14ac:dyDescent="0.3">
      <c r="B1909" s="126"/>
      <c r="G1909" s="137"/>
      <c r="H1909" s="138"/>
      <c r="I1909" s="138"/>
      <c r="J1909" s="139"/>
      <c r="K1909" s="137"/>
      <c r="L1909" s="137"/>
      <c r="P1909" s="137"/>
      <c r="Q1909" s="137"/>
      <c r="R1909" s="126"/>
    </row>
    <row r="1910" spans="2:18" x14ac:dyDescent="0.3">
      <c r="B1910" s="126"/>
      <c r="G1910" s="137"/>
      <c r="H1910" s="138"/>
      <c r="I1910" s="138"/>
      <c r="J1910" s="139"/>
      <c r="K1910" s="137"/>
      <c r="L1910" s="137"/>
      <c r="P1910" s="137"/>
      <c r="Q1910" s="137"/>
      <c r="R1910" s="126"/>
    </row>
    <row r="1911" spans="2:18" x14ac:dyDescent="0.3">
      <c r="B1911" s="126"/>
      <c r="G1911" s="137"/>
      <c r="H1911" s="138"/>
      <c r="I1911" s="138"/>
      <c r="J1911" s="139"/>
      <c r="K1911" s="137"/>
      <c r="L1911" s="137"/>
      <c r="P1911" s="137"/>
      <c r="Q1911" s="137"/>
      <c r="R1911" s="126"/>
    </row>
    <row r="1912" spans="2:18" x14ac:dyDescent="0.3">
      <c r="B1912" s="126"/>
      <c r="G1912" s="137"/>
      <c r="H1912" s="138"/>
      <c r="I1912" s="138"/>
      <c r="J1912" s="139"/>
      <c r="K1912" s="137"/>
      <c r="L1912" s="137"/>
      <c r="P1912" s="137"/>
      <c r="Q1912" s="137"/>
      <c r="R1912" s="126"/>
    </row>
    <row r="1913" spans="2:18" x14ac:dyDescent="0.3">
      <c r="B1913" s="126"/>
      <c r="G1913" s="137"/>
      <c r="H1913" s="138"/>
      <c r="I1913" s="138"/>
      <c r="J1913" s="139"/>
      <c r="K1913" s="137"/>
      <c r="L1913" s="137"/>
      <c r="P1913" s="137"/>
      <c r="Q1913" s="137"/>
      <c r="R1913" s="126"/>
    </row>
    <row r="1914" spans="2:18" x14ac:dyDescent="0.3">
      <c r="B1914" s="126"/>
      <c r="G1914" s="137"/>
      <c r="H1914" s="138"/>
      <c r="I1914" s="138"/>
      <c r="J1914" s="139"/>
      <c r="K1914" s="137"/>
      <c r="L1914" s="137"/>
      <c r="P1914" s="137"/>
      <c r="Q1914" s="137"/>
      <c r="R1914" s="126"/>
    </row>
    <row r="1915" spans="2:18" x14ac:dyDescent="0.3">
      <c r="B1915" s="126"/>
      <c r="G1915" s="137"/>
      <c r="H1915" s="138"/>
      <c r="I1915" s="138"/>
      <c r="J1915" s="139"/>
      <c r="K1915" s="137"/>
      <c r="L1915" s="137"/>
      <c r="P1915" s="137"/>
      <c r="Q1915" s="137"/>
      <c r="R1915" s="126"/>
    </row>
    <row r="1916" spans="2:18" x14ac:dyDescent="0.3">
      <c r="B1916" s="126"/>
      <c r="G1916" s="137"/>
      <c r="H1916" s="138"/>
      <c r="I1916" s="138"/>
      <c r="J1916" s="139"/>
      <c r="K1916" s="137"/>
      <c r="L1916" s="137"/>
      <c r="P1916" s="137"/>
      <c r="Q1916" s="137"/>
      <c r="R1916" s="126"/>
    </row>
    <row r="1917" spans="2:18" x14ac:dyDescent="0.3">
      <c r="B1917" s="126"/>
      <c r="G1917" s="137"/>
      <c r="H1917" s="138"/>
      <c r="I1917" s="138"/>
      <c r="J1917" s="139"/>
      <c r="K1917" s="137"/>
      <c r="L1917" s="137"/>
      <c r="P1917" s="137"/>
      <c r="Q1917" s="137"/>
      <c r="R1917" s="126"/>
    </row>
    <row r="1918" spans="2:18" x14ac:dyDescent="0.3">
      <c r="B1918" s="126"/>
      <c r="G1918" s="137"/>
      <c r="H1918" s="138"/>
      <c r="I1918" s="138"/>
      <c r="J1918" s="139"/>
      <c r="K1918" s="137"/>
      <c r="L1918" s="137"/>
      <c r="P1918" s="137"/>
      <c r="Q1918" s="137"/>
      <c r="R1918" s="126"/>
    </row>
    <row r="1919" spans="2:18" x14ac:dyDescent="0.3">
      <c r="B1919" s="126"/>
      <c r="G1919" s="137"/>
      <c r="H1919" s="138"/>
      <c r="I1919" s="138"/>
      <c r="J1919" s="139"/>
      <c r="K1919" s="137"/>
      <c r="L1919" s="137"/>
      <c r="P1919" s="137"/>
      <c r="Q1919" s="137"/>
      <c r="R1919" s="126"/>
    </row>
    <row r="1920" spans="2:18" x14ac:dyDescent="0.3">
      <c r="B1920" s="126"/>
      <c r="G1920" s="137"/>
      <c r="H1920" s="138"/>
      <c r="I1920" s="138"/>
      <c r="J1920" s="139"/>
      <c r="K1920" s="137"/>
      <c r="L1920" s="137"/>
      <c r="P1920" s="137"/>
      <c r="Q1920" s="137"/>
      <c r="R1920" s="126"/>
    </row>
    <row r="1921" spans="2:18" x14ac:dyDescent="0.3">
      <c r="B1921" s="126"/>
      <c r="G1921" s="137"/>
      <c r="H1921" s="138"/>
      <c r="I1921" s="138"/>
      <c r="J1921" s="139"/>
      <c r="K1921" s="137"/>
      <c r="L1921" s="137"/>
      <c r="P1921" s="137"/>
      <c r="Q1921" s="137"/>
      <c r="R1921" s="126"/>
    </row>
    <row r="1922" spans="2:18" x14ac:dyDescent="0.3">
      <c r="B1922" s="126"/>
      <c r="G1922" s="137"/>
      <c r="H1922" s="138"/>
      <c r="I1922" s="138"/>
      <c r="J1922" s="139"/>
      <c r="K1922" s="137"/>
      <c r="L1922" s="137"/>
      <c r="P1922" s="137"/>
      <c r="Q1922" s="137"/>
      <c r="R1922" s="126"/>
    </row>
    <row r="1923" spans="2:18" x14ac:dyDescent="0.3">
      <c r="B1923" s="126"/>
      <c r="G1923" s="137"/>
      <c r="H1923" s="138"/>
      <c r="I1923" s="138"/>
      <c r="J1923" s="139"/>
      <c r="K1923" s="137"/>
      <c r="L1923" s="137"/>
      <c r="P1923" s="137"/>
      <c r="Q1923" s="137"/>
      <c r="R1923" s="126"/>
    </row>
    <row r="1924" spans="2:18" x14ac:dyDescent="0.3">
      <c r="B1924" s="126"/>
      <c r="G1924" s="137"/>
      <c r="H1924" s="138"/>
      <c r="I1924" s="138"/>
      <c r="J1924" s="139"/>
      <c r="K1924" s="137"/>
      <c r="L1924" s="137"/>
      <c r="P1924" s="137"/>
      <c r="Q1924" s="137"/>
      <c r="R1924" s="126"/>
    </row>
    <row r="1925" spans="2:18" x14ac:dyDescent="0.3">
      <c r="B1925" s="126"/>
      <c r="G1925" s="137"/>
      <c r="H1925" s="138"/>
      <c r="I1925" s="138"/>
      <c r="J1925" s="139"/>
      <c r="K1925" s="137"/>
      <c r="L1925" s="137"/>
      <c r="P1925" s="137"/>
      <c r="Q1925" s="137"/>
      <c r="R1925" s="126"/>
    </row>
    <row r="1926" spans="2:18" x14ac:dyDescent="0.3">
      <c r="B1926" s="126"/>
      <c r="G1926" s="137"/>
      <c r="H1926" s="138"/>
      <c r="I1926" s="138"/>
      <c r="J1926" s="139"/>
      <c r="K1926" s="137"/>
      <c r="L1926" s="137"/>
      <c r="P1926" s="137"/>
      <c r="Q1926" s="137"/>
      <c r="R1926" s="126"/>
    </row>
    <row r="1927" spans="2:18" x14ac:dyDescent="0.3">
      <c r="B1927" s="126"/>
      <c r="G1927" s="137"/>
      <c r="H1927" s="138"/>
      <c r="I1927" s="138"/>
      <c r="J1927" s="139"/>
      <c r="K1927" s="137"/>
      <c r="L1927" s="137"/>
      <c r="P1927" s="137"/>
      <c r="Q1927" s="137"/>
      <c r="R1927" s="126"/>
    </row>
    <row r="1928" spans="2:18" x14ac:dyDescent="0.3">
      <c r="B1928" s="126"/>
      <c r="G1928" s="137"/>
      <c r="H1928" s="138"/>
      <c r="I1928" s="138"/>
      <c r="J1928" s="139"/>
      <c r="K1928" s="137"/>
      <c r="L1928" s="137"/>
      <c r="P1928" s="137"/>
      <c r="Q1928" s="137"/>
      <c r="R1928" s="126"/>
    </row>
    <row r="1929" spans="2:18" x14ac:dyDescent="0.3">
      <c r="B1929" s="126"/>
      <c r="G1929" s="137"/>
      <c r="H1929" s="138"/>
      <c r="I1929" s="138"/>
      <c r="J1929" s="139"/>
      <c r="K1929" s="137"/>
      <c r="L1929" s="137"/>
      <c r="P1929" s="137"/>
      <c r="Q1929" s="137"/>
      <c r="R1929" s="126"/>
    </row>
    <row r="1930" spans="2:18" x14ac:dyDescent="0.3">
      <c r="B1930" s="126"/>
      <c r="G1930" s="137"/>
      <c r="H1930" s="138"/>
      <c r="I1930" s="138"/>
      <c r="J1930" s="139"/>
      <c r="K1930" s="137"/>
      <c r="L1930" s="137"/>
      <c r="P1930" s="137"/>
      <c r="Q1930" s="137"/>
      <c r="R1930" s="126"/>
    </row>
    <row r="1931" spans="2:18" x14ac:dyDescent="0.3">
      <c r="B1931" s="126"/>
      <c r="G1931" s="137"/>
      <c r="H1931" s="138"/>
      <c r="I1931" s="138"/>
      <c r="J1931" s="139"/>
      <c r="K1931" s="137"/>
      <c r="L1931" s="137"/>
      <c r="P1931" s="137"/>
      <c r="Q1931" s="137"/>
      <c r="R1931" s="126"/>
    </row>
    <row r="1932" spans="2:18" x14ac:dyDescent="0.3">
      <c r="B1932" s="126"/>
      <c r="G1932" s="137"/>
      <c r="H1932" s="138"/>
      <c r="I1932" s="138"/>
      <c r="J1932" s="139"/>
      <c r="K1932" s="137"/>
      <c r="L1932" s="137"/>
      <c r="P1932" s="137"/>
      <c r="Q1932" s="137"/>
      <c r="R1932" s="126"/>
    </row>
    <row r="1933" spans="2:18" x14ac:dyDescent="0.3">
      <c r="B1933" s="126"/>
      <c r="G1933" s="137"/>
      <c r="H1933" s="138"/>
      <c r="I1933" s="138"/>
      <c r="J1933" s="139"/>
      <c r="K1933" s="137"/>
      <c r="L1933" s="137"/>
      <c r="P1933" s="137"/>
      <c r="Q1933" s="137"/>
      <c r="R1933" s="126"/>
    </row>
    <row r="1934" spans="2:18" x14ac:dyDescent="0.3">
      <c r="B1934" s="126"/>
      <c r="G1934" s="137"/>
      <c r="H1934" s="138"/>
      <c r="I1934" s="138"/>
      <c r="J1934" s="139"/>
      <c r="K1934" s="137"/>
      <c r="L1934" s="137"/>
      <c r="P1934" s="137"/>
      <c r="Q1934" s="137"/>
      <c r="R1934" s="126"/>
    </row>
    <row r="1935" spans="2:18" x14ac:dyDescent="0.3">
      <c r="B1935" s="126"/>
      <c r="G1935" s="137"/>
      <c r="H1935" s="138"/>
      <c r="I1935" s="138"/>
      <c r="J1935" s="139"/>
      <c r="K1935" s="137"/>
      <c r="L1935" s="137"/>
      <c r="P1935" s="137"/>
      <c r="Q1935" s="137"/>
      <c r="R1935" s="126"/>
    </row>
    <row r="1936" spans="2:18" x14ac:dyDescent="0.3">
      <c r="B1936" s="126"/>
      <c r="G1936" s="137"/>
      <c r="H1936" s="138"/>
      <c r="I1936" s="138"/>
      <c r="J1936" s="139"/>
      <c r="K1936" s="137"/>
      <c r="L1936" s="137"/>
      <c r="P1936" s="137"/>
      <c r="Q1936" s="137"/>
      <c r="R1936" s="126"/>
    </row>
    <row r="1937" spans="2:18" x14ac:dyDescent="0.3">
      <c r="B1937" s="126"/>
      <c r="G1937" s="137"/>
      <c r="H1937" s="138"/>
      <c r="I1937" s="138"/>
      <c r="J1937" s="139"/>
      <c r="K1937" s="137"/>
      <c r="L1937" s="137"/>
      <c r="P1937" s="137"/>
      <c r="Q1937" s="137"/>
      <c r="R1937" s="126"/>
    </row>
    <row r="1938" spans="2:18" x14ac:dyDescent="0.3">
      <c r="B1938" s="126"/>
      <c r="G1938" s="137"/>
      <c r="H1938" s="138"/>
      <c r="I1938" s="138"/>
      <c r="J1938" s="139"/>
      <c r="K1938" s="137"/>
      <c r="L1938" s="137"/>
      <c r="P1938" s="137"/>
      <c r="Q1938" s="137"/>
      <c r="R1938" s="126"/>
    </row>
    <row r="1939" spans="2:18" x14ac:dyDescent="0.3">
      <c r="B1939" s="126"/>
      <c r="G1939" s="137"/>
      <c r="H1939" s="138"/>
      <c r="I1939" s="138"/>
      <c r="J1939" s="139"/>
      <c r="K1939" s="137"/>
      <c r="L1939" s="137"/>
      <c r="P1939" s="137"/>
      <c r="Q1939" s="137"/>
      <c r="R1939" s="126"/>
    </row>
    <row r="1940" spans="2:18" x14ac:dyDescent="0.3">
      <c r="B1940" s="126"/>
      <c r="G1940" s="137"/>
      <c r="H1940" s="138"/>
      <c r="I1940" s="138"/>
      <c r="J1940" s="139"/>
      <c r="K1940" s="137"/>
      <c r="L1940" s="137"/>
      <c r="P1940" s="137"/>
      <c r="Q1940" s="137"/>
      <c r="R1940" s="126"/>
    </row>
    <row r="1941" spans="2:18" x14ac:dyDescent="0.3">
      <c r="B1941" s="126"/>
      <c r="G1941" s="137"/>
      <c r="H1941" s="138"/>
      <c r="I1941" s="138"/>
      <c r="J1941" s="139"/>
      <c r="K1941" s="137"/>
      <c r="L1941" s="137"/>
      <c r="P1941" s="137"/>
      <c r="Q1941" s="137"/>
      <c r="R1941" s="126"/>
    </row>
    <row r="1942" spans="2:18" x14ac:dyDescent="0.3">
      <c r="B1942" s="126"/>
      <c r="G1942" s="137"/>
      <c r="H1942" s="138"/>
      <c r="I1942" s="138"/>
      <c r="J1942" s="139"/>
      <c r="K1942" s="137"/>
      <c r="L1942" s="137"/>
      <c r="P1942" s="137"/>
      <c r="Q1942" s="137"/>
      <c r="R1942" s="126"/>
    </row>
    <row r="1943" spans="2:18" x14ac:dyDescent="0.3">
      <c r="B1943" s="126"/>
      <c r="G1943" s="137"/>
      <c r="H1943" s="138"/>
      <c r="I1943" s="138"/>
      <c r="J1943" s="139"/>
      <c r="K1943" s="137"/>
      <c r="L1943" s="137"/>
      <c r="P1943" s="137"/>
      <c r="Q1943" s="137"/>
      <c r="R1943" s="126"/>
    </row>
    <row r="1944" spans="2:18" x14ac:dyDescent="0.3">
      <c r="B1944" s="126"/>
      <c r="G1944" s="137"/>
      <c r="H1944" s="138"/>
      <c r="I1944" s="138"/>
      <c r="J1944" s="139"/>
      <c r="K1944" s="137"/>
      <c r="L1944" s="137"/>
      <c r="P1944" s="137"/>
      <c r="Q1944" s="137"/>
      <c r="R1944" s="126"/>
    </row>
    <row r="1945" spans="2:18" x14ac:dyDescent="0.3">
      <c r="B1945" s="126"/>
      <c r="G1945" s="137"/>
      <c r="H1945" s="138"/>
      <c r="I1945" s="138"/>
      <c r="J1945" s="139"/>
      <c r="K1945" s="137"/>
      <c r="L1945" s="137"/>
      <c r="P1945" s="137"/>
      <c r="Q1945" s="137"/>
      <c r="R1945" s="126"/>
    </row>
    <row r="1946" spans="2:18" x14ac:dyDescent="0.3">
      <c r="B1946" s="126"/>
      <c r="G1946" s="137"/>
      <c r="H1946" s="138"/>
      <c r="I1946" s="138"/>
      <c r="J1946" s="139"/>
      <c r="K1946" s="137"/>
      <c r="L1946" s="137"/>
      <c r="P1946" s="137"/>
      <c r="Q1946" s="137"/>
      <c r="R1946" s="126"/>
    </row>
    <row r="1947" spans="2:18" x14ac:dyDescent="0.3">
      <c r="B1947" s="126"/>
      <c r="G1947" s="137"/>
      <c r="H1947" s="138"/>
      <c r="I1947" s="138"/>
      <c r="J1947" s="139"/>
      <c r="K1947" s="137"/>
      <c r="L1947" s="137"/>
      <c r="P1947" s="137"/>
      <c r="Q1947" s="137"/>
      <c r="R1947" s="126"/>
    </row>
    <row r="1948" spans="2:18" x14ac:dyDescent="0.3">
      <c r="B1948" s="126"/>
      <c r="G1948" s="137"/>
      <c r="H1948" s="138"/>
      <c r="I1948" s="138"/>
      <c r="J1948" s="139"/>
      <c r="K1948" s="137"/>
      <c r="L1948" s="137"/>
      <c r="P1948" s="137"/>
      <c r="Q1948" s="137"/>
      <c r="R1948" s="126"/>
    </row>
    <row r="1949" spans="2:18" x14ac:dyDescent="0.3">
      <c r="B1949" s="126"/>
      <c r="G1949" s="137"/>
      <c r="H1949" s="138"/>
      <c r="I1949" s="138"/>
      <c r="J1949" s="139"/>
      <c r="K1949" s="137"/>
      <c r="L1949" s="137"/>
      <c r="P1949" s="137"/>
      <c r="Q1949" s="137"/>
      <c r="R1949" s="126"/>
    </row>
    <row r="1950" spans="2:18" x14ac:dyDescent="0.3">
      <c r="B1950" s="126"/>
      <c r="G1950" s="137"/>
      <c r="H1950" s="138"/>
      <c r="I1950" s="138"/>
      <c r="J1950" s="139"/>
      <c r="K1950" s="137"/>
      <c r="L1950" s="137"/>
      <c r="P1950" s="137"/>
      <c r="Q1950" s="137"/>
      <c r="R1950" s="126"/>
    </row>
    <row r="1951" spans="2:18" x14ac:dyDescent="0.3">
      <c r="B1951" s="126"/>
      <c r="G1951" s="137"/>
      <c r="H1951" s="138"/>
      <c r="I1951" s="138"/>
      <c r="J1951" s="139"/>
      <c r="K1951" s="137"/>
      <c r="L1951" s="137"/>
      <c r="P1951" s="137"/>
      <c r="Q1951" s="137"/>
      <c r="R1951" s="126"/>
    </row>
    <row r="1952" spans="2:18" x14ac:dyDescent="0.3">
      <c r="B1952" s="126"/>
      <c r="G1952" s="137"/>
      <c r="H1952" s="138"/>
      <c r="I1952" s="138"/>
      <c r="J1952" s="139"/>
      <c r="K1952" s="137"/>
      <c r="L1952" s="137"/>
      <c r="P1952" s="137"/>
      <c r="Q1952" s="137"/>
      <c r="R1952" s="126"/>
    </row>
    <row r="1953" spans="2:18" x14ac:dyDescent="0.3">
      <c r="B1953" s="126"/>
      <c r="G1953" s="137"/>
      <c r="H1953" s="138"/>
      <c r="I1953" s="138"/>
      <c r="J1953" s="139"/>
      <c r="K1953" s="137"/>
      <c r="L1953" s="137"/>
      <c r="P1953" s="137"/>
      <c r="Q1953" s="137"/>
      <c r="R1953" s="126"/>
    </row>
    <row r="1954" spans="2:18" x14ac:dyDescent="0.3">
      <c r="B1954" s="126"/>
      <c r="G1954" s="137"/>
      <c r="H1954" s="138"/>
      <c r="I1954" s="138"/>
      <c r="J1954" s="139"/>
      <c r="K1954" s="137"/>
      <c r="L1954" s="137"/>
      <c r="P1954" s="137"/>
      <c r="Q1954" s="137"/>
      <c r="R1954" s="126"/>
    </row>
    <row r="1955" spans="2:18" x14ac:dyDescent="0.3">
      <c r="B1955" s="126"/>
      <c r="G1955" s="137"/>
      <c r="H1955" s="138"/>
      <c r="I1955" s="138"/>
      <c r="J1955" s="139"/>
      <c r="K1955" s="137"/>
      <c r="L1955" s="137"/>
      <c r="P1955" s="137"/>
      <c r="Q1955" s="137"/>
      <c r="R1955" s="126"/>
    </row>
    <row r="1956" spans="2:18" x14ac:dyDescent="0.3">
      <c r="B1956" s="126"/>
      <c r="G1956" s="137"/>
      <c r="H1956" s="138"/>
      <c r="I1956" s="138"/>
      <c r="J1956" s="139"/>
      <c r="K1956" s="137"/>
      <c r="L1956" s="137"/>
      <c r="P1956" s="137"/>
      <c r="Q1956" s="137"/>
      <c r="R1956" s="126"/>
    </row>
    <row r="1957" spans="2:18" x14ac:dyDescent="0.3">
      <c r="B1957" s="126"/>
      <c r="G1957" s="137"/>
      <c r="H1957" s="138"/>
      <c r="I1957" s="138"/>
      <c r="J1957" s="139"/>
      <c r="K1957" s="137"/>
      <c r="L1957" s="137"/>
      <c r="P1957" s="137"/>
      <c r="Q1957" s="137"/>
      <c r="R1957" s="126"/>
    </row>
    <row r="1958" spans="2:18" x14ac:dyDescent="0.3">
      <c r="B1958" s="126"/>
      <c r="G1958" s="137"/>
      <c r="H1958" s="138"/>
      <c r="I1958" s="138"/>
      <c r="J1958" s="139"/>
      <c r="K1958" s="137"/>
      <c r="L1958" s="137"/>
      <c r="P1958" s="137"/>
      <c r="Q1958" s="137"/>
      <c r="R1958" s="126"/>
    </row>
    <row r="1959" spans="2:18" x14ac:dyDescent="0.3">
      <c r="B1959" s="126"/>
      <c r="G1959" s="137"/>
      <c r="H1959" s="138"/>
      <c r="I1959" s="138"/>
      <c r="J1959" s="139"/>
      <c r="K1959" s="137"/>
      <c r="L1959" s="137"/>
      <c r="P1959" s="137"/>
      <c r="Q1959" s="137"/>
      <c r="R1959" s="126"/>
    </row>
    <row r="1960" spans="2:18" x14ac:dyDescent="0.3">
      <c r="B1960" s="126"/>
      <c r="G1960" s="137"/>
      <c r="H1960" s="138"/>
      <c r="I1960" s="138"/>
      <c r="J1960" s="139"/>
      <c r="K1960" s="137"/>
      <c r="L1960" s="137"/>
      <c r="P1960" s="137"/>
      <c r="Q1960" s="137"/>
      <c r="R1960" s="126"/>
    </row>
    <row r="1961" spans="2:18" x14ac:dyDescent="0.3">
      <c r="B1961" s="126"/>
      <c r="G1961" s="137"/>
      <c r="H1961" s="138"/>
      <c r="I1961" s="138"/>
      <c r="J1961" s="139"/>
      <c r="K1961" s="137"/>
      <c r="L1961" s="137"/>
      <c r="P1961" s="137"/>
      <c r="Q1961" s="137"/>
      <c r="R1961" s="126"/>
    </row>
    <row r="1962" spans="2:18" x14ac:dyDescent="0.3">
      <c r="B1962" s="126"/>
      <c r="G1962" s="137"/>
      <c r="H1962" s="138"/>
      <c r="I1962" s="138"/>
      <c r="J1962" s="139"/>
      <c r="K1962" s="137"/>
      <c r="L1962" s="137"/>
      <c r="P1962" s="137"/>
      <c r="Q1962" s="137"/>
      <c r="R1962" s="126"/>
    </row>
    <row r="1963" spans="2:18" x14ac:dyDescent="0.3">
      <c r="B1963" s="126"/>
      <c r="G1963" s="137"/>
      <c r="H1963" s="138"/>
      <c r="I1963" s="138"/>
      <c r="J1963" s="139"/>
      <c r="K1963" s="137"/>
      <c r="L1963" s="137"/>
      <c r="P1963" s="137"/>
      <c r="Q1963" s="137"/>
      <c r="R1963" s="126"/>
    </row>
    <row r="1964" spans="2:18" x14ac:dyDescent="0.3">
      <c r="B1964" s="126"/>
      <c r="G1964" s="137"/>
      <c r="H1964" s="138"/>
      <c r="I1964" s="138"/>
      <c r="J1964" s="139"/>
      <c r="K1964" s="137"/>
      <c r="L1964" s="137"/>
      <c r="P1964" s="137"/>
      <c r="Q1964" s="137"/>
      <c r="R1964" s="126"/>
    </row>
    <row r="1965" spans="2:18" x14ac:dyDescent="0.3">
      <c r="B1965" s="126"/>
      <c r="G1965" s="137"/>
      <c r="H1965" s="138"/>
      <c r="I1965" s="138"/>
      <c r="J1965" s="139"/>
      <c r="K1965" s="137"/>
      <c r="L1965" s="137"/>
      <c r="P1965" s="137"/>
      <c r="Q1965" s="137"/>
      <c r="R1965" s="126"/>
    </row>
    <row r="1966" spans="2:18" x14ac:dyDescent="0.3">
      <c r="B1966" s="126"/>
      <c r="G1966" s="137"/>
      <c r="H1966" s="138"/>
      <c r="I1966" s="138"/>
      <c r="J1966" s="139"/>
      <c r="K1966" s="137"/>
      <c r="L1966" s="137"/>
      <c r="P1966" s="137"/>
      <c r="Q1966" s="137"/>
      <c r="R1966" s="126"/>
    </row>
    <row r="1967" spans="2:18" x14ac:dyDescent="0.3">
      <c r="B1967" s="126"/>
      <c r="G1967" s="137"/>
      <c r="H1967" s="138"/>
      <c r="I1967" s="138"/>
      <c r="J1967" s="139"/>
      <c r="K1967" s="137"/>
      <c r="L1967" s="137"/>
      <c r="P1967" s="137"/>
      <c r="Q1967" s="137"/>
      <c r="R1967" s="126"/>
    </row>
    <row r="1968" spans="2:18" x14ac:dyDescent="0.3">
      <c r="B1968" s="126"/>
      <c r="G1968" s="137"/>
      <c r="H1968" s="138"/>
      <c r="I1968" s="138"/>
      <c r="J1968" s="139"/>
      <c r="K1968" s="137"/>
      <c r="L1968" s="137"/>
      <c r="P1968" s="137"/>
      <c r="Q1968" s="137"/>
      <c r="R1968" s="126"/>
    </row>
    <row r="1969" spans="2:18" x14ac:dyDescent="0.3">
      <c r="B1969" s="126"/>
      <c r="G1969" s="137"/>
      <c r="H1969" s="138"/>
      <c r="I1969" s="138"/>
      <c r="J1969" s="139"/>
      <c r="K1969" s="137"/>
      <c r="L1969" s="137"/>
      <c r="P1969" s="137"/>
      <c r="Q1969" s="137"/>
      <c r="R1969" s="126"/>
    </row>
    <row r="1970" spans="2:18" x14ac:dyDescent="0.3">
      <c r="B1970" s="126"/>
      <c r="G1970" s="137"/>
      <c r="H1970" s="138"/>
      <c r="I1970" s="138"/>
      <c r="J1970" s="139"/>
      <c r="K1970" s="137"/>
      <c r="L1970" s="137"/>
      <c r="P1970" s="137"/>
      <c r="Q1970" s="137"/>
      <c r="R1970" s="126"/>
    </row>
    <row r="1971" spans="2:18" x14ac:dyDescent="0.3">
      <c r="B1971" s="126"/>
      <c r="G1971" s="137"/>
      <c r="H1971" s="138"/>
      <c r="I1971" s="138"/>
      <c r="J1971" s="139"/>
      <c r="K1971" s="137"/>
      <c r="L1971" s="137"/>
      <c r="P1971" s="137"/>
      <c r="Q1971" s="137"/>
      <c r="R1971" s="126"/>
    </row>
    <row r="1972" spans="2:18" x14ac:dyDescent="0.3">
      <c r="B1972" s="126"/>
      <c r="G1972" s="137"/>
      <c r="H1972" s="138"/>
      <c r="I1972" s="138"/>
      <c r="J1972" s="139"/>
      <c r="K1972" s="137"/>
      <c r="L1972" s="137"/>
      <c r="P1972" s="137"/>
      <c r="Q1972" s="137"/>
      <c r="R1972" s="126"/>
    </row>
    <row r="1973" spans="2:18" x14ac:dyDescent="0.3">
      <c r="B1973" s="126"/>
      <c r="G1973" s="137"/>
      <c r="H1973" s="138"/>
      <c r="I1973" s="138"/>
      <c r="J1973" s="139"/>
      <c r="K1973" s="137"/>
      <c r="L1973" s="137"/>
      <c r="P1973" s="137"/>
      <c r="Q1973" s="137"/>
      <c r="R1973" s="126"/>
    </row>
    <row r="1974" spans="2:18" x14ac:dyDescent="0.3">
      <c r="B1974" s="126"/>
      <c r="G1974" s="137"/>
      <c r="H1974" s="138"/>
      <c r="I1974" s="138"/>
      <c r="J1974" s="139"/>
      <c r="K1974" s="137"/>
      <c r="L1974" s="137"/>
      <c r="P1974" s="137"/>
      <c r="Q1974" s="137"/>
      <c r="R1974" s="126"/>
    </row>
    <row r="1975" spans="2:18" x14ac:dyDescent="0.3">
      <c r="B1975" s="126"/>
      <c r="G1975" s="137"/>
      <c r="H1975" s="138"/>
      <c r="I1975" s="138"/>
      <c r="J1975" s="139"/>
      <c r="K1975" s="137"/>
      <c r="L1975" s="137"/>
      <c r="P1975" s="137"/>
      <c r="Q1975" s="137"/>
      <c r="R1975" s="126"/>
    </row>
    <row r="1976" spans="2:18" x14ac:dyDescent="0.3">
      <c r="B1976" s="126"/>
      <c r="G1976" s="137"/>
      <c r="H1976" s="138"/>
      <c r="I1976" s="138"/>
      <c r="J1976" s="139"/>
      <c r="K1976" s="137"/>
      <c r="L1976" s="137"/>
      <c r="P1976" s="137"/>
      <c r="Q1976" s="137"/>
      <c r="R1976" s="126"/>
    </row>
    <row r="1977" spans="2:18" x14ac:dyDescent="0.3">
      <c r="B1977" s="126"/>
      <c r="G1977" s="137"/>
      <c r="H1977" s="138"/>
      <c r="I1977" s="138"/>
      <c r="J1977" s="139"/>
      <c r="K1977" s="137"/>
      <c r="L1977" s="137"/>
      <c r="P1977" s="137"/>
      <c r="Q1977" s="137"/>
      <c r="R1977" s="126"/>
    </row>
    <row r="1978" spans="2:18" x14ac:dyDescent="0.3">
      <c r="B1978" s="126"/>
      <c r="G1978" s="137"/>
      <c r="H1978" s="138"/>
      <c r="I1978" s="138"/>
      <c r="J1978" s="139"/>
      <c r="K1978" s="137"/>
      <c r="L1978" s="137"/>
      <c r="P1978" s="137"/>
      <c r="Q1978" s="137"/>
      <c r="R1978" s="126"/>
    </row>
    <row r="1979" spans="2:18" x14ac:dyDescent="0.3">
      <c r="B1979" s="126"/>
      <c r="G1979" s="137"/>
      <c r="H1979" s="138"/>
      <c r="I1979" s="138"/>
      <c r="J1979" s="139"/>
      <c r="K1979" s="137"/>
      <c r="L1979" s="137"/>
      <c r="P1979" s="137"/>
      <c r="Q1979" s="137"/>
      <c r="R1979" s="126"/>
    </row>
    <row r="1980" spans="2:18" x14ac:dyDescent="0.3">
      <c r="B1980" s="126"/>
      <c r="G1980" s="137"/>
      <c r="H1980" s="138"/>
      <c r="I1980" s="138"/>
      <c r="J1980" s="139"/>
      <c r="K1980" s="137"/>
      <c r="L1980" s="137"/>
      <c r="P1980" s="137"/>
      <c r="Q1980" s="137"/>
      <c r="R1980" s="126"/>
    </row>
    <row r="1981" spans="2:18" x14ac:dyDescent="0.3">
      <c r="B1981" s="126"/>
      <c r="G1981" s="137"/>
      <c r="H1981" s="138"/>
      <c r="I1981" s="138"/>
      <c r="J1981" s="139"/>
      <c r="K1981" s="137"/>
      <c r="L1981" s="137"/>
      <c r="P1981" s="137"/>
      <c r="Q1981" s="137"/>
      <c r="R1981" s="126"/>
    </row>
    <row r="1982" spans="2:18" x14ac:dyDescent="0.3">
      <c r="B1982" s="126"/>
      <c r="G1982" s="137"/>
      <c r="H1982" s="138"/>
      <c r="I1982" s="138"/>
      <c r="J1982" s="139"/>
      <c r="K1982" s="137"/>
      <c r="L1982" s="137"/>
      <c r="P1982" s="137"/>
      <c r="Q1982" s="137"/>
      <c r="R1982" s="126"/>
    </row>
    <row r="1983" spans="2:18" x14ac:dyDescent="0.3">
      <c r="B1983" s="126"/>
      <c r="G1983" s="137"/>
      <c r="H1983" s="138"/>
      <c r="I1983" s="138"/>
      <c r="J1983" s="139"/>
      <c r="K1983" s="137"/>
      <c r="L1983" s="137"/>
      <c r="P1983" s="137"/>
      <c r="Q1983" s="137"/>
      <c r="R1983" s="126"/>
    </row>
    <row r="1984" spans="2:18" x14ac:dyDescent="0.3">
      <c r="B1984" s="126"/>
      <c r="G1984" s="137"/>
      <c r="H1984" s="138"/>
      <c r="I1984" s="138"/>
      <c r="J1984" s="139"/>
      <c r="K1984" s="137"/>
      <c r="L1984" s="137"/>
      <c r="P1984" s="137"/>
      <c r="Q1984" s="137"/>
      <c r="R1984" s="126"/>
    </row>
    <row r="1985" spans="2:18" x14ac:dyDescent="0.3">
      <c r="B1985" s="126"/>
      <c r="G1985" s="137"/>
      <c r="H1985" s="138"/>
      <c r="I1985" s="138"/>
      <c r="J1985" s="139"/>
      <c r="K1985" s="137"/>
      <c r="L1985" s="137"/>
      <c r="P1985" s="137"/>
      <c r="Q1985" s="137"/>
      <c r="R1985" s="126"/>
    </row>
    <row r="1986" spans="2:18" x14ac:dyDescent="0.3">
      <c r="B1986" s="126"/>
      <c r="G1986" s="137"/>
      <c r="H1986" s="138"/>
      <c r="I1986" s="138"/>
      <c r="J1986" s="139"/>
      <c r="K1986" s="137"/>
      <c r="L1986" s="137"/>
      <c r="P1986" s="137"/>
      <c r="Q1986" s="137"/>
      <c r="R1986" s="126"/>
    </row>
    <row r="1987" spans="2:18" x14ac:dyDescent="0.3">
      <c r="B1987" s="126"/>
      <c r="G1987" s="137"/>
      <c r="H1987" s="138"/>
      <c r="I1987" s="138"/>
      <c r="J1987" s="139"/>
      <c r="K1987" s="137"/>
      <c r="L1987" s="137"/>
      <c r="P1987" s="137"/>
      <c r="Q1987" s="137"/>
      <c r="R1987" s="126"/>
    </row>
    <row r="1988" spans="2:18" x14ac:dyDescent="0.3">
      <c r="B1988" s="126"/>
      <c r="G1988" s="137"/>
      <c r="H1988" s="138"/>
      <c r="I1988" s="138"/>
      <c r="J1988" s="139"/>
      <c r="K1988" s="137"/>
      <c r="L1988" s="137"/>
      <c r="P1988" s="137"/>
      <c r="Q1988" s="137"/>
      <c r="R1988" s="126"/>
    </row>
    <row r="1989" spans="2:18" x14ac:dyDescent="0.3">
      <c r="B1989" s="126"/>
      <c r="G1989" s="137"/>
      <c r="H1989" s="138"/>
      <c r="I1989" s="138"/>
      <c r="J1989" s="139"/>
      <c r="K1989" s="137"/>
      <c r="L1989" s="137"/>
      <c r="P1989" s="137"/>
      <c r="Q1989" s="137"/>
      <c r="R1989" s="126"/>
    </row>
    <row r="1990" spans="2:18" x14ac:dyDescent="0.3">
      <c r="B1990" s="126"/>
      <c r="G1990" s="137"/>
      <c r="H1990" s="138"/>
      <c r="I1990" s="138"/>
      <c r="J1990" s="139"/>
      <c r="K1990" s="137"/>
      <c r="L1990" s="137"/>
      <c r="P1990" s="137"/>
      <c r="Q1990" s="137"/>
      <c r="R1990" s="126"/>
    </row>
    <row r="1991" spans="2:18" x14ac:dyDescent="0.3">
      <c r="B1991" s="126"/>
      <c r="G1991" s="137"/>
      <c r="H1991" s="138"/>
      <c r="I1991" s="138"/>
      <c r="J1991" s="139"/>
      <c r="K1991" s="137"/>
      <c r="L1991" s="137"/>
      <c r="P1991" s="137"/>
      <c r="Q1991" s="137"/>
      <c r="R1991" s="126"/>
    </row>
    <row r="1992" spans="2:18" x14ac:dyDescent="0.3">
      <c r="B1992" s="126"/>
      <c r="G1992" s="137"/>
      <c r="H1992" s="138"/>
      <c r="I1992" s="138"/>
      <c r="J1992" s="139"/>
      <c r="K1992" s="137"/>
      <c r="L1992" s="137"/>
      <c r="P1992" s="137"/>
      <c r="Q1992" s="137"/>
      <c r="R1992" s="126"/>
    </row>
    <row r="1993" spans="2:18" x14ac:dyDescent="0.3">
      <c r="B1993" s="126"/>
      <c r="G1993" s="137"/>
      <c r="H1993" s="138"/>
      <c r="I1993" s="138"/>
      <c r="J1993" s="139"/>
      <c r="K1993" s="137"/>
      <c r="L1993" s="137"/>
      <c r="P1993" s="137"/>
      <c r="Q1993" s="137"/>
      <c r="R1993" s="126"/>
    </row>
    <row r="1994" spans="2:18" x14ac:dyDescent="0.3">
      <c r="B1994" s="126"/>
      <c r="G1994" s="137"/>
      <c r="H1994" s="138"/>
      <c r="I1994" s="138"/>
      <c r="J1994" s="139"/>
      <c r="K1994" s="137"/>
      <c r="L1994" s="137"/>
      <c r="P1994" s="137"/>
      <c r="Q1994" s="137"/>
      <c r="R1994" s="126"/>
    </row>
    <row r="1995" spans="2:18" x14ac:dyDescent="0.3">
      <c r="B1995" s="126"/>
      <c r="G1995" s="137"/>
      <c r="H1995" s="138"/>
      <c r="I1995" s="138"/>
      <c r="J1995" s="139"/>
      <c r="K1995" s="137"/>
      <c r="L1995" s="137"/>
      <c r="P1995" s="137"/>
      <c r="Q1995" s="137"/>
      <c r="R1995" s="126"/>
    </row>
    <row r="1996" spans="2:18" x14ac:dyDescent="0.3">
      <c r="B1996" s="126"/>
      <c r="G1996" s="137"/>
      <c r="H1996" s="138"/>
      <c r="I1996" s="138"/>
      <c r="J1996" s="139"/>
      <c r="K1996" s="137"/>
      <c r="L1996" s="137"/>
      <c r="P1996" s="137"/>
      <c r="Q1996" s="137"/>
      <c r="R1996" s="126"/>
    </row>
    <row r="1997" spans="2:18" x14ac:dyDescent="0.3">
      <c r="B1997" s="126"/>
      <c r="G1997" s="137"/>
      <c r="H1997" s="138"/>
      <c r="I1997" s="138"/>
      <c r="J1997" s="139"/>
      <c r="K1997" s="137"/>
      <c r="L1997" s="137"/>
      <c r="P1997" s="137"/>
      <c r="Q1997" s="137"/>
      <c r="R1997" s="126"/>
    </row>
    <row r="1998" spans="2:18" x14ac:dyDescent="0.3">
      <c r="B1998" s="126"/>
      <c r="G1998" s="137"/>
      <c r="H1998" s="138"/>
      <c r="I1998" s="138"/>
      <c r="J1998" s="139"/>
      <c r="K1998" s="137"/>
      <c r="L1998" s="137"/>
      <c r="P1998" s="137"/>
      <c r="Q1998" s="137"/>
      <c r="R1998" s="126"/>
    </row>
    <row r="1999" spans="2:18" x14ac:dyDescent="0.3">
      <c r="B1999" s="126"/>
      <c r="G1999" s="137"/>
      <c r="H1999" s="138"/>
      <c r="I1999" s="138"/>
      <c r="J1999" s="139"/>
      <c r="K1999" s="137"/>
      <c r="L1999" s="137"/>
      <c r="P1999" s="137"/>
      <c r="Q1999" s="137"/>
      <c r="R1999" s="126"/>
    </row>
    <row r="2000" spans="2:18" x14ac:dyDescent="0.3">
      <c r="B2000" s="126"/>
      <c r="G2000" s="137"/>
      <c r="H2000" s="138"/>
      <c r="I2000" s="138"/>
      <c r="J2000" s="139"/>
      <c r="K2000" s="137"/>
      <c r="L2000" s="137"/>
      <c r="P2000" s="137"/>
      <c r="Q2000" s="137"/>
      <c r="R2000" s="126"/>
    </row>
    <row r="2001" spans="2:18" x14ac:dyDescent="0.3">
      <c r="B2001" s="126"/>
      <c r="G2001" s="137"/>
      <c r="H2001" s="138"/>
      <c r="I2001" s="138"/>
      <c r="J2001" s="139"/>
      <c r="K2001" s="137"/>
      <c r="L2001" s="137"/>
      <c r="P2001" s="137"/>
      <c r="Q2001" s="137"/>
      <c r="R2001" s="126"/>
    </row>
    <row r="2002" spans="2:18" x14ac:dyDescent="0.3">
      <c r="B2002" s="126"/>
      <c r="G2002" s="137"/>
      <c r="H2002" s="138"/>
      <c r="I2002" s="138"/>
      <c r="J2002" s="139"/>
      <c r="K2002" s="137"/>
      <c r="L2002" s="137"/>
      <c r="P2002" s="137"/>
      <c r="Q2002" s="137"/>
      <c r="R2002" s="126"/>
    </row>
    <row r="2003" spans="2:18" x14ac:dyDescent="0.3">
      <c r="B2003" s="126"/>
      <c r="G2003" s="137"/>
      <c r="H2003" s="138"/>
      <c r="I2003" s="138"/>
      <c r="J2003" s="139"/>
      <c r="K2003" s="137"/>
      <c r="L2003" s="137"/>
      <c r="P2003" s="137"/>
      <c r="Q2003" s="137"/>
      <c r="R2003" s="126"/>
    </row>
    <row r="2004" spans="2:18" x14ac:dyDescent="0.3">
      <c r="B2004" s="126"/>
      <c r="G2004" s="137"/>
      <c r="H2004" s="138"/>
      <c r="I2004" s="138"/>
      <c r="J2004" s="139"/>
      <c r="K2004" s="137"/>
      <c r="L2004" s="137"/>
      <c r="P2004" s="137"/>
      <c r="Q2004" s="137"/>
      <c r="R2004" s="126"/>
    </row>
    <row r="2005" spans="2:18" x14ac:dyDescent="0.3">
      <c r="B2005" s="126"/>
      <c r="G2005" s="137"/>
      <c r="H2005" s="138"/>
      <c r="I2005" s="138"/>
      <c r="J2005" s="139"/>
      <c r="K2005" s="137"/>
      <c r="L2005" s="137"/>
      <c r="P2005" s="137"/>
      <c r="Q2005" s="137"/>
      <c r="R2005" s="126"/>
    </row>
    <row r="2006" spans="2:18" x14ac:dyDescent="0.3">
      <c r="B2006" s="126"/>
      <c r="G2006" s="137"/>
      <c r="H2006" s="138"/>
      <c r="I2006" s="138"/>
      <c r="J2006" s="139"/>
      <c r="K2006" s="137"/>
      <c r="L2006" s="137"/>
      <c r="P2006" s="137"/>
      <c r="Q2006" s="137"/>
      <c r="R2006" s="126"/>
    </row>
    <row r="2007" spans="2:18" x14ac:dyDescent="0.3">
      <c r="B2007" s="126"/>
      <c r="G2007" s="137"/>
      <c r="H2007" s="138"/>
      <c r="I2007" s="138"/>
      <c r="J2007" s="139"/>
      <c r="K2007" s="137"/>
      <c r="L2007" s="137"/>
      <c r="P2007" s="137"/>
      <c r="Q2007" s="137"/>
      <c r="R2007" s="126"/>
    </row>
    <row r="2008" spans="2:18" x14ac:dyDescent="0.3">
      <c r="B2008" s="126"/>
      <c r="G2008" s="137"/>
      <c r="H2008" s="138"/>
      <c r="I2008" s="138"/>
      <c r="J2008" s="139"/>
      <c r="K2008" s="137"/>
      <c r="L2008" s="137"/>
      <c r="P2008" s="137"/>
      <c r="Q2008" s="137"/>
      <c r="R2008" s="126"/>
    </row>
    <row r="2009" spans="2:18" x14ac:dyDescent="0.3">
      <c r="B2009" s="126"/>
      <c r="G2009" s="137"/>
      <c r="H2009" s="138"/>
      <c r="I2009" s="138"/>
      <c r="J2009" s="139"/>
      <c r="K2009" s="137"/>
      <c r="L2009" s="137"/>
      <c r="P2009" s="137"/>
      <c r="Q2009" s="137"/>
      <c r="R2009" s="126"/>
    </row>
    <row r="2010" spans="2:18" x14ac:dyDescent="0.3">
      <c r="B2010" s="126"/>
      <c r="G2010" s="137"/>
      <c r="H2010" s="138"/>
      <c r="I2010" s="138"/>
      <c r="J2010" s="139"/>
      <c r="K2010" s="137"/>
      <c r="L2010" s="137"/>
      <c r="P2010" s="137"/>
      <c r="Q2010" s="137"/>
      <c r="R2010" s="126"/>
    </row>
    <row r="2011" spans="2:18" x14ac:dyDescent="0.3">
      <c r="B2011" s="126"/>
      <c r="G2011" s="137"/>
      <c r="H2011" s="138"/>
      <c r="I2011" s="138"/>
      <c r="J2011" s="139"/>
      <c r="K2011" s="137"/>
      <c r="L2011" s="137"/>
      <c r="P2011" s="137"/>
      <c r="Q2011" s="137"/>
      <c r="R2011" s="126"/>
    </row>
    <row r="2012" spans="2:18" x14ac:dyDescent="0.3">
      <c r="B2012" s="126"/>
      <c r="G2012" s="137"/>
      <c r="H2012" s="138"/>
      <c r="I2012" s="138"/>
      <c r="J2012" s="139"/>
      <c r="K2012" s="137"/>
      <c r="L2012" s="137"/>
      <c r="P2012" s="137"/>
      <c r="Q2012" s="137"/>
      <c r="R2012" s="126"/>
    </row>
    <row r="2013" spans="2:18" x14ac:dyDescent="0.3">
      <c r="B2013" s="126"/>
      <c r="G2013" s="137"/>
      <c r="H2013" s="138"/>
      <c r="I2013" s="138"/>
      <c r="J2013" s="139"/>
      <c r="K2013" s="137"/>
      <c r="L2013" s="137"/>
      <c r="P2013" s="137"/>
      <c r="Q2013" s="137"/>
      <c r="R2013" s="126"/>
    </row>
    <row r="2014" spans="2:18" x14ac:dyDescent="0.3">
      <c r="B2014" s="126"/>
      <c r="G2014" s="137"/>
      <c r="H2014" s="138"/>
      <c r="I2014" s="138"/>
      <c r="J2014" s="139"/>
      <c r="K2014" s="137"/>
      <c r="L2014" s="137"/>
      <c r="P2014" s="137"/>
      <c r="Q2014" s="137"/>
      <c r="R2014" s="126"/>
    </row>
    <row r="2015" spans="2:18" x14ac:dyDescent="0.3">
      <c r="B2015" s="126"/>
      <c r="G2015" s="137"/>
      <c r="H2015" s="138"/>
      <c r="I2015" s="138"/>
      <c r="J2015" s="139"/>
      <c r="K2015" s="137"/>
      <c r="L2015" s="137"/>
      <c r="P2015" s="137"/>
      <c r="Q2015" s="137"/>
      <c r="R2015" s="126"/>
    </row>
    <row r="2016" spans="2:18" x14ac:dyDescent="0.3">
      <c r="B2016" s="126"/>
      <c r="G2016" s="137"/>
      <c r="H2016" s="138"/>
      <c r="I2016" s="138"/>
      <c r="J2016" s="139"/>
      <c r="K2016" s="137"/>
      <c r="L2016" s="137"/>
      <c r="P2016" s="137"/>
      <c r="Q2016" s="137"/>
      <c r="R2016" s="126"/>
    </row>
    <row r="2017" spans="2:18" x14ac:dyDescent="0.3">
      <c r="B2017" s="126"/>
      <c r="G2017" s="137"/>
      <c r="H2017" s="138"/>
      <c r="I2017" s="138"/>
      <c r="J2017" s="139"/>
      <c r="K2017" s="137"/>
      <c r="L2017" s="137"/>
      <c r="P2017" s="137"/>
      <c r="Q2017" s="137"/>
      <c r="R2017" s="126"/>
    </row>
    <row r="2018" spans="2:18" x14ac:dyDescent="0.3">
      <c r="B2018" s="126"/>
      <c r="G2018" s="137"/>
      <c r="H2018" s="138"/>
      <c r="I2018" s="138"/>
      <c r="J2018" s="139"/>
      <c r="K2018" s="137"/>
      <c r="L2018" s="137"/>
      <c r="P2018" s="137"/>
      <c r="Q2018" s="137"/>
      <c r="R2018" s="126"/>
    </row>
    <row r="2019" spans="2:18" x14ac:dyDescent="0.3">
      <c r="B2019" s="126"/>
      <c r="G2019" s="137"/>
      <c r="H2019" s="138"/>
      <c r="I2019" s="138"/>
      <c r="J2019" s="139"/>
      <c r="K2019" s="137"/>
      <c r="L2019" s="137"/>
      <c r="P2019" s="137"/>
      <c r="Q2019" s="137"/>
      <c r="R2019" s="126"/>
    </row>
    <row r="2020" spans="2:18" x14ac:dyDescent="0.3">
      <c r="B2020" s="126"/>
      <c r="G2020" s="137"/>
      <c r="H2020" s="138"/>
      <c r="I2020" s="138"/>
      <c r="J2020" s="139"/>
      <c r="K2020" s="137"/>
      <c r="L2020" s="137"/>
      <c r="P2020" s="137"/>
      <c r="Q2020" s="137"/>
      <c r="R2020" s="126"/>
    </row>
    <row r="2021" spans="2:18" x14ac:dyDescent="0.3">
      <c r="B2021" s="126"/>
      <c r="G2021" s="137"/>
      <c r="H2021" s="138"/>
      <c r="I2021" s="138"/>
      <c r="J2021" s="139"/>
      <c r="K2021" s="137"/>
      <c r="L2021" s="137"/>
      <c r="P2021" s="137"/>
      <c r="Q2021" s="137"/>
      <c r="R2021" s="126"/>
    </row>
    <row r="2022" spans="2:18" x14ac:dyDescent="0.3">
      <c r="B2022" s="126"/>
      <c r="G2022" s="137"/>
      <c r="H2022" s="138"/>
      <c r="I2022" s="138"/>
      <c r="J2022" s="139"/>
      <c r="K2022" s="137"/>
      <c r="L2022" s="137"/>
      <c r="P2022" s="137"/>
      <c r="Q2022" s="137"/>
      <c r="R2022" s="126"/>
    </row>
    <row r="2023" spans="2:18" x14ac:dyDescent="0.3">
      <c r="B2023" s="126"/>
      <c r="G2023" s="137"/>
      <c r="H2023" s="138"/>
      <c r="I2023" s="138"/>
      <c r="J2023" s="139"/>
      <c r="K2023" s="137"/>
      <c r="L2023" s="137"/>
      <c r="P2023" s="137"/>
      <c r="Q2023" s="137"/>
      <c r="R2023" s="126"/>
    </row>
    <row r="2024" spans="2:18" x14ac:dyDescent="0.3">
      <c r="B2024" s="126"/>
      <c r="G2024" s="137"/>
      <c r="H2024" s="138"/>
      <c r="I2024" s="138"/>
      <c r="J2024" s="139"/>
      <c r="K2024" s="137"/>
      <c r="L2024" s="137"/>
      <c r="P2024" s="137"/>
      <c r="Q2024" s="137"/>
      <c r="R2024" s="126"/>
    </row>
    <row r="2025" spans="2:18" x14ac:dyDescent="0.3">
      <c r="B2025" s="126"/>
      <c r="G2025" s="137"/>
      <c r="H2025" s="138"/>
      <c r="I2025" s="138"/>
      <c r="J2025" s="139"/>
      <c r="K2025" s="137"/>
      <c r="L2025" s="137"/>
      <c r="P2025" s="137"/>
      <c r="Q2025" s="137"/>
      <c r="R2025" s="126"/>
    </row>
    <row r="2026" spans="2:18" x14ac:dyDescent="0.3">
      <c r="B2026" s="126"/>
      <c r="G2026" s="137"/>
      <c r="H2026" s="138"/>
      <c r="I2026" s="138"/>
      <c r="J2026" s="139"/>
      <c r="K2026" s="137"/>
      <c r="L2026" s="137"/>
      <c r="P2026" s="137"/>
      <c r="Q2026" s="137"/>
      <c r="R2026" s="126"/>
    </row>
    <row r="2027" spans="2:18" x14ac:dyDescent="0.3">
      <c r="B2027" s="126"/>
      <c r="G2027" s="137"/>
      <c r="H2027" s="138"/>
      <c r="I2027" s="138"/>
      <c r="J2027" s="139"/>
      <c r="K2027" s="137"/>
      <c r="L2027" s="137"/>
      <c r="P2027" s="137"/>
      <c r="Q2027" s="137"/>
      <c r="R2027" s="126"/>
    </row>
    <row r="2028" spans="2:18" x14ac:dyDescent="0.3">
      <c r="B2028" s="126"/>
      <c r="G2028" s="137"/>
      <c r="H2028" s="138"/>
      <c r="I2028" s="138"/>
      <c r="J2028" s="139"/>
      <c r="K2028" s="137"/>
      <c r="L2028" s="137"/>
      <c r="P2028" s="137"/>
      <c r="Q2028" s="137"/>
      <c r="R2028" s="126"/>
    </row>
    <row r="2029" spans="2:18" x14ac:dyDescent="0.3">
      <c r="B2029" s="126"/>
      <c r="G2029" s="137"/>
      <c r="H2029" s="138"/>
      <c r="I2029" s="138"/>
      <c r="J2029" s="139"/>
      <c r="K2029" s="137"/>
      <c r="L2029" s="137"/>
      <c r="P2029" s="137"/>
      <c r="Q2029" s="137"/>
      <c r="R2029" s="126"/>
    </row>
    <row r="2030" spans="2:18" x14ac:dyDescent="0.3">
      <c r="B2030" s="126"/>
      <c r="G2030" s="137"/>
      <c r="H2030" s="138"/>
      <c r="I2030" s="138"/>
      <c r="J2030" s="139"/>
      <c r="K2030" s="137"/>
      <c r="L2030" s="137"/>
      <c r="P2030" s="137"/>
      <c r="Q2030" s="137"/>
      <c r="R2030" s="126"/>
    </row>
    <row r="2031" spans="2:18" x14ac:dyDescent="0.3">
      <c r="B2031" s="126"/>
      <c r="G2031" s="137"/>
      <c r="H2031" s="138"/>
      <c r="I2031" s="138"/>
      <c r="J2031" s="139"/>
      <c r="K2031" s="137"/>
      <c r="L2031" s="137"/>
      <c r="P2031" s="137"/>
      <c r="Q2031" s="137"/>
      <c r="R2031" s="126"/>
    </row>
    <row r="2032" spans="2:18" x14ac:dyDescent="0.3">
      <c r="B2032" s="126"/>
      <c r="G2032" s="137"/>
      <c r="H2032" s="138"/>
      <c r="I2032" s="138"/>
      <c r="J2032" s="139"/>
      <c r="K2032" s="137"/>
      <c r="L2032" s="137"/>
      <c r="P2032" s="137"/>
      <c r="Q2032" s="137"/>
      <c r="R2032" s="126"/>
    </row>
    <row r="2033" spans="2:18" x14ac:dyDescent="0.3">
      <c r="B2033" s="126"/>
      <c r="G2033" s="137"/>
      <c r="H2033" s="138"/>
      <c r="I2033" s="138"/>
      <c r="J2033" s="139"/>
      <c r="K2033" s="137"/>
      <c r="L2033" s="137"/>
      <c r="P2033" s="137"/>
      <c r="Q2033" s="137"/>
      <c r="R2033" s="126"/>
    </row>
    <row r="2034" spans="2:18" x14ac:dyDescent="0.3">
      <c r="B2034" s="126"/>
      <c r="G2034" s="137"/>
      <c r="H2034" s="138"/>
      <c r="I2034" s="138"/>
      <c r="J2034" s="139"/>
      <c r="K2034" s="137"/>
      <c r="L2034" s="137"/>
      <c r="P2034" s="137"/>
      <c r="Q2034" s="137"/>
      <c r="R2034" s="126"/>
    </row>
    <row r="2035" spans="2:18" x14ac:dyDescent="0.3">
      <c r="B2035" s="126"/>
      <c r="G2035" s="137"/>
      <c r="H2035" s="138"/>
      <c r="I2035" s="138"/>
      <c r="J2035" s="139"/>
      <c r="K2035" s="137"/>
      <c r="L2035" s="137"/>
      <c r="P2035" s="137"/>
      <c r="Q2035" s="137"/>
      <c r="R2035" s="126"/>
    </row>
    <row r="2036" spans="2:18" x14ac:dyDescent="0.3">
      <c r="B2036" s="126"/>
      <c r="G2036" s="137"/>
      <c r="H2036" s="138"/>
      <c r="I2036" s="138"/>
      <c r="J2036" s="139"/>
      <c r="K2036" s="137"/>
      <c r="L2036" s="137"/>
      <c r="P2036" s="137"/>
      <c r="Q2036" s="137"/>
      <c r="R2036" s="126"/>
    </row>
    <row r="2037" spans="2:18" x14ac:dyDescent="0.3">
      <c r="B2037" s="126"/>
      <c r="G2037" s="137"/>
      <c r="H2037" s="138"/>
      <c r="I2037" s="138"/>
      <c r="J2037" s="139"/>
      <c r="K2037" s="137"/>
      <c r="L2037" s="137"/>
      <c r="P2037" s="137"/>
      <c r="Q2037" s="137"/>
      <c r="R2037" s="126"/>
    </row>
    <row r="2038" spans="2:18" x14ac:dyDescent="0.3">
      <c r="B2038" s="126"/>
      <c r="G2038" s="137"/>
      <c r="H2038" s="138"/>
      <c r="I2038" s="138"/>
      <c r="J2038" s="139"/>
      <c r="K2038" s="137"/>
      <c r="L2038" s="137"/>
      <c r="P2038" s="137"/>
      <c r="Q2038" s="137"/>
      <c r="R2038" s="126"/>
    </row>
    <row r="2039" spans="2:18" x14ac:dyDescent="0.3">
      <c r="B2039" s="126"/>
      <c r="G2039" s="137"/>
      <c r="H2039" s="138"/>
      <c r="I2039" s="138"/>
      <c r="J2039" s="139"/>
      <c r="K2039" s="137"/>
      <c r="L2039" s="137"/>
      <c r="P2039" s="137"/>
      <c r="Q2039" s="137"/>
      <c r="R2039" s="126"/>
    </row>
    <row r="2040" spans="2:18" x14ac:dyDescent="0.3">
      <c r="B2040" s="126"/>
      <c r="G2040" s="137"/>
      <c r="H2040" s="138"/>
      <c r="I2040" s="138"/>
      <c r="J2040" s="139"/>
      <c r="K2040" s="137"/>
      <c r="L2040" s="137"/>
      <c r="P2040" s="137"/>
      <c r="Q2040" s="137"/>
      <c r="R2040" s="126"/>
    </row>
    <row r="2041" spans="2:18" x14ac:dyDescent="0.3">
      <c r="B2041" s="126"/>
      <c r="G2041" s="137"/>
      <c r="H2041" s="138"/>
      <c r="I2041" s="138"/>
      <c r="J2041" s="139"/>
      <c r="K2041" s="137"/>
      <c r="L2041" s="137"/>
      <c r="P2041" s="137"/>
      <c r="Q2041" s="137"/>
      <c r="R2041" s="126"/>
    </row>
    <row r="2042" spans="2:18" x14ac:dyDescent="0.3">
      <c r="B2042" s="126"/>
      <c r="G2042" s="137"/>
      <c r="H2042" s="138"/>
      <c r="I2042" s="138"/>
      <c r="J2042" s="139"/>
      <c r="K2042" s="137"/>
      <c r="L2042" s="137"/>
      <c r="P2042" s="137"/>
      <c r="Q2042" s="137"/>
      <c r="R2042" s="126"/>
    </row>
    <row r="2043" spans="2:18" x14ac:dyDescent="0.3">
      <c r="B2043" s="126"/>
      <c r="G2043" s="137"/>
      <c r="H2043" s="138"/>
      <c r="I2043" s="138"/>
      <c r="J2043" s="139"/>
      <c r="K2043" s="137"/>
      <c r="L2043" s="137"/>
      <c r="P2043" s="137"/>
      <c r="Q2043" s="137"/>
      <c r="R2043" s="126"/>
    </row>
    <row r="2044" spans="2:18" x14ac:dyDescent="0.3">
      <c r="B2044" s="126"/>
      <c r="G2044" s="137"/>
      <c r="H2044" s="138"/>
      <c r="I2044" s="138"/>
      <c r="J2044" s="139"/>
      <c r="K2044" s="137"/>
      <c r="L2044" s="137"/>
      <c r="P2044" s="137"/>
      <c r="Q2044" s="137"/>
      <c r="R2044" s="126"/>
    </row>
    <row r="2045" spans="2:18" x14ac:dyDescent="0.3">
      <c r="B2045" s="126"/>
      <c r="G2045" s="137"/>
      <c r="H2045" s="138"/>
      <c r="I2045" s="138"/>
      <c r="J2045" s="139"/>
      <c r="K2045" s="137"/>
      <c r="L2045" s="137"/>
      <c r="P2045" s="137"/>
      <c r="Q2045" s="137"/>
      <c r="R2045" s="126"/>
    </row>
    <row r="2046" spans="2:18" x14ac:dyDescent="0.3">
      <c r="B2046" s="126"/>
      <c r="G2046" s="137"/>
      <c r="H2046" s="138"/>
      <c r="I2046" s="138"/>
      <c r="J2046" s="139"/>
      <c r="K2046" s="137"/>
      <c r="L2046" s="137"/>
      <c r="P2046" s="137"/>
      <c r="Q2046" s="137"/>
      <c r="R2046" s="126"/>
    </row>
    <row r="2047" spans="2:18" x14ac:dyDescent="0.3">
      <c r="B2047" s="126"/>
      <c r="G2047" s="137"/>
      <c r="H2047" s="138"/>
      <c r="I2047" s="138"/>
      <c r="J2047" s="139"/>
      <c r="K2047" s="137"/>
      <c r="L2047" s="137"/>
      <c r="P2047" s="137"/>
      <c r="Q2047" s="137"/>
      <c r="R2047" s="126"/>
    </row>
    <row r="2048" spans="2:18" x14ac:dyDescent="0.3">
      <c r="B2048" s="126"/>
      <c r="G2048" s="137"/>
      <c r="H2048" s="138"/>
      <c r="I2048" s="138"/>
      <c r="J2048" s="139"/>
      <c r="K2048" s="137"/>
      <c r="L2048" s="137"/>
      <c r="P2048" s="137"/>
      <c r="Q2048" s="137"/>
      <c r="R2048" s="126"/>
    </row>
    <row r="2049" spans="2:18" x14ac:dyDescent="0.3">
      <c r="B2049" s="126"/>
      <c r="G2049" s="137"/>
      <c r="H2049" s="138"/>
      <c r="I2049" s="138"/>
      <c r="J2049" s="139"/>
      <c r="K2049" s="137"/>
      <c r="L2049" s="137"/>
      <c r="P2049" s="137"/>
      <c r="Q2049" s="137"/>
      <c r="R2049" s="126"/>
    </row>
    <row r="2050" spans="2:18" x14ac:dyDescent="0.3">
      <c r="B2050" s="126"/>
      <c r="G2050" s="137"/>
      <c r="H2050" s="138"/>
      <c r="I2050" s="138"/>
      <c r="J2050" s="139"/>
      <c r="K2050" s="137"/>
      <c r="L2050" s="137"/>
      <c r="P2050" s="137"/>
      <c r="Q2050" s="137"/>
      <c r="R2050" s="126"/>
    </row>
    <row r="2051" spans="2:18" x14ac:dyDescent="0.3">
      <c r="B2051" s="126"/>
      <c r="G2051" s="137"/>
      <c r="H2051" s="138"/>
      <c r="I2051" s="138"/>
      <c r="J2051" s="139"/>
      <c r="K2051" s="137"/>
      <c r="L2051" s="137"/>
      <c r="P2051" s="137"/>
      <c r="Q2051" s="137"/>
      <c r="R2051" s="126"/>
    </row>
    <row r="2052" spans="2:18" x14ac:dyDescent="0.3">
      <c r="B2052" s="126"/>
      <c r="G2052" s="137"/>
      <c r="H2052" s="138"/>
      <c r="I2052" s="138"/>
      <c r="J2052" s="139"/>
      <c r="K2052" s="137"/>
      <c r="L2052" s="137"/>
      <c r="P2052" s="137"/>
      <c r="Q2052" s="137"/>
      <c r="R2052" s="126"/>
    </row>
    <row r="2053" spans="2:18" x14ac:dyDescent="0.3">
      <c r="B2053" s="126"/>
      <c r="G2053" s="137"/>
      <c r="H2053" s="138"/>
      <c r="I2053" s="138"/>
      <c r="J2053" s="139"/>
      <c r="K2053" s="137"/>
      <c r="L2053" s="137"/>
      <c r="P2053" s="137"/>
      <c r="Q2053" s="137"/>
      <c r="R2053" s="126"/>
    </row>
    <row r="2054" spans="2:18" x14ac:dyDescent="0.3">
      <c r="B2054" s="126"/>
      <c r="G2054" s="137"/>
      <c r="H2054" s="138"/>
      <c r="I2054" s="138"/>
      <c r="J2054" s="139"/>
      <c r="K2054" s="137"/>
      <c r="L2054" s="137"/>
      <c r="P2054" s="137"/>
      <c r="Q2054" s="137"/>
      <c r="R2054" s="126"/>
    </row>
    <row r="2055" spans="2:18" x14ac:dyDescent="0.3">
      <c r="B2055" s="126"/>
      <c r="G2055" s="137"/>
      <c r="H2055" s="138"/>
      <c r="I2055" s="138"/>
      <c r="J2055" s="139"/>
      <c r="K2055" s="137"/>
      <c r="L2055" s="137"/>
      <c r="P2055" s="137"/>
      <c r="Q2055" s="137"/>
      <c r="R2055" s="126"/>
    </row>
    <row r="2056" spans="2:18" x14ac:dyDescent="0.3">
      <c r="B2056" s="126"/>
      <c r="G2056" s="137"/>
      <c r="H2056" s="138"/>
      <c r="I2056" s="138"/>
      <c r="J2056" s="139"/>
      <c r="K2056" s="137"/>
      <c r="L2056" s="137"/>
      <c r="P2056" s="137"/>
      <c r="Q2056" s="137"/>
      <c r="R2056" s="126"/>
    </row>
    <row r="2057" spans="2:18" x14ac:dyDescent="0.3">
      <c r="B2057" s="126"/>
      <c r="G2057" s="137"/>
      <c r="H2057" s="138"/>
      <c r="I2057" s="138"/>
      <c r="J2057" s="139"/>
      <c r="K2057" s="137"/>
      <c r="L2057" s="137"/>
      <c r="P2057" s="137"/>
      <c r="Q2057" s="137"/>
      <c r="R2057" s="126"/>
    </row>
    <row r="2058" spans="2:18" x14ac:dyDescent="0.3">
      <c r="B2058" s="126"/>
      <c r="G2058" s="137"/>
      <c r="H2058" s="138"/>
      <c r="I2058" s="138"/>
      <c r="J2058" s="139"/>
      <c r="K2058" s="137"/>
      <c r="L2058" s="137"/>
      <c r="P2058" s="137"/>
      <c r="Q2058" s="137"/>
      <c r="R2058" s="126"/>
    </row>
    <row r="2059" spans="2:18" x14ac:dyDescent="0.3">
      <c r="B2059" s="126"/>
      <c r="G2059" s="137"/>
      <c r="H2059" s="138"/>
      <c r="I2059" s="138"/>
      <c r="J2059" s="139"/>
      <c r="K2059" s="137"/>
      <c r="L2059" s="137"/>
      <c r="P2059" s="137"/>
      <c r="Q2059" s="137"/>
      <c r="R2059" s="126"/>
    </row>
    <row r="2060" spans="2:18" x14ac:dyDescent="0.3">
      <c r="B2060" s="126"/>
      <c r="G2060" s="137"/>
      <c r="H2060" s="138"/>
      <c r="I2060" s="138"/>
      <c r="J2060" s="139"/>
      <c r="K2060" s="137"/>
      <c r="L2060" s="137"/>
      <c r="P2060" s="137"/>
      <c r="Q2060" s="137"/>
      <c r="R2060" s="126"/>
    </row>
    <row r="2061" spans="2:18" x14ac:dyDescent="0.3">
      <c r="B2061" s="126"/>
      <c r="G2061" s="137"/>
      <c r="H2061" s="138"/>
      <c r="I2061" s="138"/>
      <c r="J2061" s="139"/>
      <c r="K2061" s="137"/>
      <c r="L2061" s="137"/>
      <c r="P2061" s="137"/>
      <c r="Q2061" s="137"/>
      <c r="R2061" s="126"/>
    </row>
    <row r="2062" spans="2:18" x14ac:dyDescent="0.3">
      <c r="B2062" s="126"/>
      <c r="G2062" s="137"/>
      <c r="H2062" s="138"/>
      <c r="I2062" s="138"/>
      <c r="J2062" s="139"/>
      <c r="K2062" s="137"/>
      <c r="L2062" s="137"/>
      <c r="P2062" s="137"/>
      <c r="Q2062" s="137"/>
      <c r="R2062" s="126"/>
    </row>
    <row r="2063" spans="2:18" x14ac:dyDescent="0.3">
      <c r="B2063" s="126"/>
      <c r="G2063" s="137"/>
      <c r="H2063" s="138"/>
      <c r="I2063" s="138"/>
      <c r="J2063" s="139"/>
      <c r="K2063" s="137"/>
      <c r="L2063" s="137"/>
      <c r="P2063" s="137"/>
      <c r="Q2063" s="137"/>
      <c r="R2063" s="126"/>
    </row>
    <row r="2064" spans="2:18" x14ac:dyDescent="0.3">
      <c r="B2064" s="126"/>
      <c r="G2064" s="137"/>
      <c r="H2064" s="138"/>
      <c r="I2064" s="138"/>
      <c r="J2064" s="139"/>
      <c r="K2064" s="137"/>
      <c r="L2064" s="137"/>
      <c r="P2064" s="137"/>
      <c r="Q2064" s="137"/>
      <c r="R2064" s="126"/>
    </row>
    <row r="2065" spans="2:18" x14ac:dyDescent="0.3">
      <c r="B2065" s="126"/>
      <c r="G2065" s="137"/>
      <c r="H2065" s="138"/>
      <c r="I2065" s="138"/>
      <c r="J2065" s="139"/>
      <c r="K2065" s="137"/>
      <c r="L2065" s="137"/>
      <c r="P2065" s="137"/>
      <c r="Q2065" s="137"/>
      <c r="R2065" s="126"/>
    </row>
    <row r="2066" spans="2:18" x14ac:dyDescent="0.3">
      <c r="B2066" s="126"/>
      <c r="G2066" s="137"/>
      <c r="H2066" s="138"/>
      <c r="I2066" s="138"/>
      <c r="J2066" s="139"/>
      <c r="K2066" s="137"/>
      <c r="L2066" s="137"/>
      <c r="P2066" s="137"/>
      <c r="Q2066" s="137"/>
      <c r="R2066" s="126"/>
    </row>
    <row r="2067" spans="2:18" x14ac:dyDescent="0.3">
      <c r="B2067" s="126"/>
      <c r="G2067" s="137"/>
      <c r="H2067" s="138"/>
      <c r="I2067" s="138"/>
      <c r="J2067" s="139"/>
      <c r="K2067" s="137"/>
      <c r="L2067" s="137"/>
      <c r="P2067" s="137"/>
      <c r="Q2067" s="137"/>
      <c r="R2067" s="126"/>
    </row>
    <row r="2068" spans="2:18" x14ac:dyDescent="0.3">
      <c r="B2068" s="126"/>
      <c r="G2068" s="137"/>
      <c r="H2068" s="138"/>
      <c r="I2068" s="138"/>
      <c r="J2068" s="139"/>
      <c r="K2068" s="137"/>
      <c r="L2068" s="137"/>
      <c r="P2068" s="137"/>
      <c r="Q2068" s="137"/>
      <c r="R2068" s="126"/>
    </row>
    <row r="2069" spans="2:18" x14ac:dyDescent="0.3">
      <c r="B2069" s="126"/>
      <c r="G2069" s="137"/>
      <c r="H2069" s="138"/>
      <c r="I2069" s="138"/>
      <c r="J2069" s="139"/>
      <c r="K2069" s="137"/>
      <c r="L2069" s="137"/>
      <c r="P2069" s="137"/>
      <c r="Q2069" s="137"/>
      <c r="R2069" s="126"/>
    </row>
    <row r="2070" spans="2:18" x14ac:dyDescent="0.3">
      <c r="B2070" s="126"/>
      <c r="G2070" s="137"/>
      <c r="H2070" s="138"/>
      <c r="I2070" s="138"/>
      <c r="J2070" s="139"/>
      <c r="K2070" s="137"/>
      <c r="L2070" s="137"/>
      <c r="P2070" s="137"/>
      <c r="Q2070" s="137"/>
      <c r="R2070" s="126"/>
    </row>
    <row r="2071" spans="2:18" x14ac:dyDescent="0.3">
      <c r="B2071" s="126"/>
      <c r="G2071" s="137"/>
      <c r="H2071" s="138"/>
      <c r="I2071" s="138"/>
      <c r="J2071" s="139"/>
      <c r="K2071" s="137"/>
      <c r="L2071" s="137"/>
      <c r="P2071" s="137"/>
      <c r="Q2071" s="137"/>
      <c r="R2071" s="126"/>
    </row>
    <row r="2072" spans="2:18" x14ac:dyDescent="0.3">
      <c r="B2072" s="126"/>
      <c r="G2072" s="137"/>
      <c r="H2072" s="138"/>
      <c r="I2072" s="138"/>
      <c r="J2072" s="139"/>
      <c r="K2072" s="137"/>
      <c r="L2072" s="137"/>
      <c r="P2072" s="137"/>
      <c r="Q2072" s="137"/>
      <c r="R2072" s="126"/>
    </row>
    <row r="2073" spans="2:18" x14ac:dyDescent="0.3">
      <c r="B2073" s="126"/>
      <c r="G2073" s="137"/>
      <c r="H2073" s="138"/>
      <c r="I2073" s="138"/>
      <c r="J2073" s="139"/>
      <c r="K2073" s="137"/>
      <c r="L2073" s="137"/>
      <c r="P2073" s="137"/>
      <c r="Q2073" s="137"/>
      <c r="R2073" s="126"/>
    </row>
    <row r="2074" spans="2:18" x14ac:dyDescent="0.3">
      <c r="B2074" s="126"/>
      <c r="G2074" s="137"/>
      <c r="H2074" s="138"/>
      <c r="I2074" s="138"/>
      <c r="J2074" s="139"/>
      <c r="K2074" s="137"/>
      <c r="L2074" s="137"/>
      <c r="P2074" s="137"/>
      <c r="Q2074" s="137"/>
      <c r="R2074" s="126"/>
    </row>
    <row r="2075" spans="2:18" x14ac:dyDescent="0.3">
      <c r="B2075" s="126"/>
      <c r="G2075" s="137"/>
      <c r="H2075" s="138"/>
      <c r="I2075" s="138"/>
      <c r="J2075" s="139"/>
      <c r="K2075" s="137"/>
      <c r="L2075" s="137"/>
      <c r="P2075" s="137"/>
      <c r="Q2075" s="137"/>
      <c r="R2075" s="126"/>
    </row>
    <row r="2076" spans="2:18" x14ac:dyDescent="0.3">
      <c r="B2076" s="126"/>
      <c r="G2076" s="137"/>
      <c r="H2076" s="138"/>
      <c r="I2076" s="138"/>
      <c r="J2076" s="139"/>
      <c r="K2076" s="137"/>
      <c r="L2076" s="137"/>
      <c r="P2076" s="137"/>
      <c r="Q2076" s="137"/>
      <c r="R2076" s="126"/>
    </row>
    <row r="2077" spans="2:18" x14ac:dyDescent="0.3">
      <c r="B2077" s="126"/>
      <c r="G2077" s="137"/>
      <c r="H2077" s="138"/>
      <c r="I2077" s="138"/>
      <c r="J2077" s="139"/>
      <c r="K2077" s="137"/>
      <c r="L2077" s="137"/>
      <c r="P2077" s="137"/>
      <c r="Q2077" s="137"/>
      <c r="R2077" s="126"/>
    </row>
    <row r="2078" spans="2:18" x14ac:dyDescent="0.3">
      <c r="B2078" s="126"/>
      <c r="G2078" s="137"/>
      <c r="H2078" s="138"/>
      <c r="I2078" s="138"/>
      <c r="J2078" s="139"/>
      <c r="K2078" s="137"/>
      <c r="L2078" s="137"/>
      <c r="P2078" s="137"/>
      <c r="Q2078" s="137"/>
      <c r="R2078" s="126"/>
    </row>
    <row r="2079" spans="2:18" x14ac:dyDescent="0.3">
      <c r="B2079" s="126"/>
      <c r="G2079" s="137"/>
      <c r="H2079" s="138"/>
      <c r="I2079" s="138"/>
      <c r="J2079" s="139"/>
      <c r="K2079" s="137"/>
      <c r="L2079" s="137"/>
      <c r="P2079" s="137"/>
      <c r="Q2079" s="137"/>
      <c r="R2079" s="126"/>
    </row>
    <row r="2080" spans="2:18" x14ac:dyDescent="0.3">
      <c r="B2080" s="126"/>
      <c r="G2080" s="137"/>
      <c r="H2080" s="138"/>
      <c r="I2080" s="138"/>
      <c r="J2080" s="139"/>
      <c r="K2080" s="137"/>
      <c r="L2080" s="137"/>
      <c r="P2080" s="137"/>
      <c r="Q2080" s="137"/>
      <c r="R2080" s="126"/>
    </row>
    <row r="2081" spans="2:18" x14ac:dyDescent="0.3">
      <c r="B2081" s="126"/>
      <c r="G2081" s="137"/>
      <c r="H2081" s="138"/>
      <c r="I2081" s="138"/>
      <c r="J2081" s="139"/>
      <c r="K2081" s="137"/>
      <c r="L2081" s="137"/>
      <c r="P2081" s="137"/>
      <c r="Q2081" s="137"/>
      <c r="R2081" s="126"/>
    </row>
    <row r="2082" spans="2:18" x14ac:dyDescent="0.3">
      <c r="B2082" s="126"/>
      <c r="G2082" s="137"/>
      <c r="H2082" s="138"/>
      <c r="I2082" s="138"/>
      <c r="J2082" s="139"/>
      <c r="K2082" s="137"/>
      <c r="L2082" s="137"/>
      <c r="P2082" s="137"/>
      <c r="Q2082" s="137"/>
      <c r="R2082" s="126"/>
    </row>
    <row r="2083" spans="2:18" x14ac:dyDescent="0.3">
      <c r="B2083" s="126"/>
      <c r="G2083" s="137"/>
      <c r="H2083" s="138"/>
      <c r="I2083" s="138"/>
      <c r="J2083" s="139"/>
      <c r="K2083" s="137"/>
      <c r="L2083" s="137"/>
      <c r="P2083" s="137"/>
      <c r="Q2083" s="137"/>
      <c r="R2083" s="126"/>
    </row>
    <row r="2084" spans="2:18" x14ac:dyDescent="0.3">
      <c r="B2084" s="126"/>
      <c r="G2084" s="137"/>
      <c r="H2084" s="138"/>
      <c r="I2084" s="138"/>
      <c r="J2084" s="139"/>
      <c r="K2084" s="137"/>
      <c r="L2084" s="137"/>
      <c r="P2084" s="137"/>
      <c r="Q2084" s="137"/>
      <c r="R2084" s="126"/>
    </row>
    <row r="2085" spans="2:18" x14ac:dyDescent="0.3">
      <c r="B2085" s="126"/>
      <c r="G2085" s="137"/>
      <c r="H2085" s="138"/>
      <c r="I2085" s="138"/>
      <c r="J2085" s="139"/>
      <c r="K2085" s="137"/>
      <c r="L2085" s="137"/>
      <c r="P2085" s="137"/>
      <c r="Q2085" s="137"/>
      <c r="R2085" s="126"/>
    </row>
    <row r="2086" spans="2:18" x14ac:dyDescent="0.3">
      <c r="B2086" s="126"/>
      <c r="G2086" s="137"/>
      <c r="H2086" s="138"/>
      <c r="I2086" s="138"/>
      <c r="J2086" s="139"/>
      <c r="K2086" s="137"/>
      <c r="L2086" s="137"/>
      <c r="P2086" s="137"/>
      <c r="Q2086" s="137"/>
      <c r="R2086" s="126"/>
    </row>
    <row r="2087" spans="2:18" x14ac:dyDescent="0.3">
      <c r="B2087" s="126"/>
      <c r="G2087" s="137"/>
      <c r="H2087" s="138"/>
      <c r="I2087" s="138"/>
      <c r="J2087" s="139"/>
      <c r="K2087" s="137"/>
      <c r="L2087" s="137"/>
      <c r="P2087" s="137"/>
      <c r="Q2087" s="137"/>
      <c r="R2087" s="126"/>
    </row>
    <row r="2088" spans="2:18" x14ac:dyDescent="0.3">
      <c r="B2088" s="126"/>
      <c r="G2088" s="137"/>
      <c r="H2088" s="138"/>
      <c r="I2088" s="138"/>
      <c r="J2088" s="139"/>
      <c r="K2088" s="137"/>
      <c r="L2088" s="137"/>
      <c r="P2088" s="137"/>
      <c r="Q2088" s="137"/>
      <c r="R2088" s="126"/>
    </row>
    <row r="2089" spans="2:18" x14ac:dyDescent="0.3">
      <c r="B2089" s="126"/>
      <c r="G2089" s="137"/>
      <c r="H2089" s="138"/>
      <c r="I2089" s="138"/>
      <c r="J2089" s="139"/>
      <c r="K2089" s="137"/>
      <c r="L2089" s="137"/>
      <c r="P2089" s="137"/>
      <c r="Q2089" s="137"/>
      <c r="R2089" s="126"/>
    </row>
    <row r="2090" spans="2:18" x14ac:dyDescent="0.3">
      <c r="B2090" s="126"/>
      <c r="G2090" s="137"/>
      <c r="H2090" s="138"/>
      <c r="I2090" s="138"/>
      <c r="J2090" s="139"/>
      <c r="K2090" s="137"/>
      <c r="L2090" s="137"/>
      <c r="P2090" s="137"/>
      <c r="Q2090" s="137"/>
      <c r="R2090" s="126"/>
    </row>
    <row r="2091" spans="2:18" x14ac:dyDescent="0.3">
      <c r="B2091" s="126"/>
      <c r="G2091" s="137"/>
      <c r="H2091" s="138"/>
      <c r="I2091" s="138"/>
      <c r="J2091" s="139"/>
      <c r="K2091" s="137"/>
      <c r="L2091" s="137"/>
      <c r="P2091" s="137"/>
      <c r="Q2091" s="137"/>
      <c r="R2091" s="126"/>
    </row>
    <row r="2092" spans="2:18" x14ac:dyDescent="0.3">
      <c r="B2092" s="126"/>
      <c r="G2092" s="137"/>
      <c r="H2092" s="138"/>
      <c r="I2092" s="138"/>
      <c r="J2092" s="139"/>
      <c r="K2092" s="137"/>
      <c r="L2092" s="137"/>
      <c r="P2092" s="137"/>
      <c r="Q2092" s="137"/>
      <c r="R2092" s="126"/>
    </row>
    <row r="2093" spans="2:18" x14ac:dyDescent="0.3">
      <c r="B2093" s="126"/>
      <c r="G2093" s="137"/>
      <c r="H2093" s="138"/>
      <c r="I2093" s="138"/>
      <c r="J2093" s="139"/>
      <c r="K2093" s="137"/>
      <c r="L2093" s="137"/>
      <c r="P2093" s="137"/>
      <c r="Q2093" s="137"/>
      <c r="R2093" s="126"/>
    </row>
    <row r="2094" spans="2:18" x14ac:dyDescent="0.3">
      <c r="B2094" s="126"/>
      <c r="G2094" s="137"/>
      <c r="H2094" s="138"/>
      <c r="I2094" s="138"/>
      <c r="J2094" s="139"/>
      <c r="K2094" s="137"/>
      <c r="L2094" s="137"/>
      <c r="P2094" s="137"/>
      <c r="Q2094" s="137"/>
      <c r="R2094" s="126"/>
    </row>
    <row r="2095" spans="2:18" x14ac:dyDescent="0.3">
      <c r="B2095" s="126"/>
      <c r="G2095" s="137"/>
      <c r="H2095" s="138"/>
      <c r="I2095" s="138"/>
      <c r="J2095" s="139"/>
      <c r="K2095" s="137"/>
      <c r="L2095" s="137"/>
      <c r="P2095" s="137"/>
      <c r="Q2095" s="137"/>
      <c r="R2095" s="126"/>
    </row>
    <row r="2096" spans="2:18" x14ac:dyDescent="0.3">
      <c r="B2096" s="126"/>
      <c r="G2096" s="137"/>
      <c r="H2096" s="138"/>
      <c r="I2096" s="138"/>
      <c r="J2096" s="139"/>
      <c r="K2096" s="137"/>
      <c r="L2096" s="137"/>
      <c r="P2096" s="137"/>
      <c r="Q2096" s="137"/>
      <c r="R2096" s="126"/>
    </row>
    <row r="2097" spans="2:18" x14ac:dyDescent="0.3">
      <c r="B2097" s="126"/>
      <c r="G2097" s="137"/>
      <c r="H2097" s="138"/>
      <c r="I2097" s="138"/>
      <c r="J2097" s="139"/>
      <c r="K2097" s="137"/>
      <c r="L2097" s="137"/>
      <c r="P2097" s="137"/>
      <c r="Q2097" s="137"/>
      <c r="R2097" s="126"/>
    </row>
    <row r="2098" spans="2:18" x14ac:dyDescent="0.3">
      <c r="B2098" s="126"/>
      <c r="G2098" s="137"/>
      <c r="H2098" s="138"/>
      <c r="I2098" s="138"/>
      <c r="J2098" s="139"/>
      <c r="K2098" s="137"/>
      <c r="L2098" s="137"/>
      <c r="P2098" s="137"/>
      <c r="Q2098" s="137"/>
      <c r="R2098" s="126"/>
    </row>
    <row r="2099" spans="2:18" x14ac:dyDescent="0.3">
      <c r="B2099" s="126"/>
      <c r="G2099" s="137"/>
      <c r="H2099" s="138"/>
      <c r="I2099" s="138"/>
      <c r="J2099" s="139"/>
      <c r="K2099" s="137"/>
      <c r="L2099" s="137"/>
      <c r="P2099" s="137"/>
      <c r="Q2099" s="137"/>
      <c r="R2099" s="126"/>
    </row>
    <row r="2100" spans="2:18" x14ac:dyDescent="0.3">
      <c r="B2100" s="126"/>
      <c r="G2100" s="137"/>
      <c r="H2100" s="138"/>
      <c r="I2100" s="138"/>
      <c r="J2100" s="139"/>
      <c r="K2100" s="137"/>
      <c r="L2100" s="137"/>
      <c r="P2100" s="137"/>
      <c r="Q2100" s="137"/>
      <c r="R2100" s="126"/>
    </row>
    <row r="2101" spans="2:18" x14ac:dyDescent="0.3">
      <c r="B2101" s="126"/>
      <c r="G2101" s="137"/>
      <c r="H2101" s="138"/>
      <c r="I2101" s="138"/>
      <c r="J2101" s="139"/>
      <c r="K2101" s="137"/>
      <c r="L2101" s="137"/>
      <c r="P2101" s="137"/>
      <c r="Q2101" s="137"/>
      <c r="R2101" s="126"/>
    </row>
    <row r="2102" spans="2:18" x14ac:dyDescent="0.3">
      <c r="B2102" s="126"/>
      <c r="G2102" s="137"/>
      <c r="H2102" s="138"/>
      <c r="I2102" s="138"/>
      <c r="J2102" s="139"/>
      <c r="K2102" s="137"/>
      <c r="L2102" s="137"/>
      <c r="P2102" s="137"/>
      <c r="Q2102" s="137"/>
      <c r="R2102" s="126"/>
    </row>
    <row r="2103" spans="2:18" x14ac:dyDescent="0.3">
      <c r="B2103" s="126"/>
      <c r="G2103" s="137"/>
      <c r="H2103" s="138"/>
      <c r="I2103" s="138"/>
      <c r="J2103" s="139"/>
      <c r="K2103" s="137"/>
      <c r="L2103" s="137"/>
      <c r="P2103" s="137"/>
      <c r="Q2103" s="137"/>
      <c r="R2103" s="126"/>
    </row>
    <row r="2104" spans="2:18" x14ac:dyDescent="0.3">
      <c r="B2104" s="126"/>
      <c r="G2104" s="137"/>
      <c r="H2104" s="138"/>
      <c r="I2104" s="138"/>
      <c r="J2104" s="139"/>
      <c r="K2104" s="137"/>
      <c r="L2104" s="137"/>
      <c r="P2104" s="137"/>
      <c r="Q2104" s="137"/>
      <c r="R2104" s="126"/>
    </row>
    <row r="2105" spans="2:18" x14ac:dyDescent="0.3">
      <c r="B2105" s="126"/>
      <c r="G2105" s="137"/>
      <c r="H2105" s="138"/>
      <c r="I2105" s="138"/>
      <c r="J2105" s="139"/>
      <c r="K2105" s="137"/>
      <c r="L2105" s="137"/>
      <c r="P2105" s="137"/>
      <c r="Q2105" s="137"/>
      <c r="R2105" s="126"/>
    </row>
    <row r="2106" spans="2:18" x14ac:dyDescent="0.3">
      <c r="B2106" s="126"/>
      <c r="G2106" s="137"/>
      <c r="H2106" s="138"/>
      <c r="I2106" s="138"/>
      <c r="J2106" s="139"/>
      <c r="K2106" s="137"/>
      <c r="L2106" s="137"/>
      <c r="P2106" s="137"/>
      <c r="Q2106" s="137"/>
      <c r="R2106" s="126"/>
    </row>
    <row r="2107" spans="2:18" x14ac:dyDescent="0.3">
      <c r="B2107" s="126"/>
      <c r="G2107" s="137"/>
      <c r="H2107" s="138"/>
      <c r="I2107" s="138"/>
      <c r="J2107" s="139"/>
      <c r="K2107" s="137"/>
      <c r="L2107" s="137"/>
      <c r="P2107" s="137"/>
      <c r="Q2107" s="137"/>
      <c r="R2107" s="126"/>
    </row>
    <row r="2108" spans="2:18" x14ac:dyDescent="0.3">
      <c r="B2108" s="126"/>
      <c r="G2108" s="137"/>
      <c r="H2108" s="138"/>
      <c r="I2108" s="138"/>
      <c r="J2108" s="139"/>
      <c r="K2108" s="137"/>
      <c r="L2108" s="137"/>
      <c r="P2108" s="137"/>
      <c r="Q2108" s="137"/>
      <c r="R2108" s="126"/>
    </row>
    <row r="2109" spans="2:18" x14ac:dyDescent="0.3">
      <c r="B2109" s="126"/>
      <c r="G2109" s="137"/>
      <c r="H2109" s="138"/>
      <c r="I2109" s="138"/>
      <c r="J2109" s="139"/>
      <c r="K2109" s="137"/>
      <c r="L2109" s="137"/>
      <c r="P2109" s="137"/>
      <c r="Q2109" s="137"/>
      <c r="R2109" s="126"/>
    </row>
    <row r="2110" spans="2:18" x14ac:dyDescent="0.3">
      <c r="B2110" s="126"/>
      <c r="G2110" s="137"/>
      <c r="H2110" s="138"/>
      <c r="I2110" s="138"/>
      <c r="J2110" s="139"/>
      <c r="K2110" s="137"/>
      <c r="L2110" s="137"/>
      <c r="P2110" s="137"/>
      <c r="Q2110" s="137"/>
      <c r="R2110" s="126"/>
    </row>
    <row r="2111" spans="2:18" x14ac:dyDescent="0.3">
      <c r="B2111" s="126"/>
      <c r="G2111" s="137"/>
      <c r="H2111" s="138"/>
      <c r="I2111" s="138"/>
      <c r="J2111" s="139"/>
      <c r="K2111" s="137"/>
      <c r="L2111" s="137"/>
      <c r="P2111" s="137"/>
      <c r="Q2111" s="137"/>
      <c r="R2111" s="126"/>
    </row>
    <row r="2112" spans="2:18" x14ac:dyDescent="0.3">
      <c r="B2112" s="126"/>
      <c r="G2112" s="137"/>
      <c r="H2112" s="138"/>
      <c r="I2112" s="138"/>
      <c r="J2112" s="139"/>
      <c r="K2112" s="137"/>
      <c r="L2112" s="137"/>
      <c r="P2112" s="137"/>
      <c r="Q2112" s="137"/>
      <c r="R2112" s="126"/>
    </row>
    <row r="2113" spans="2:18" x14ac:dyDescent="0.3">
      <c r="B2113" s="126"/>
      <c r="G2113" s="137"/>
      <c r="H2113" s="138"/>
      <c r="I2113" s="138"/>
      <c r="J2113" s="139"/>
      <c r="K2113" s="137"/>
      <c r="L2113" s="137"/>
      <c r="P2113" s="137"/>
      <c r="Q2113" s="137"/>
      <c r="R2113" s="126"/>
    </row>
    <row r="2114" spans="2:18" x14ac:dyDescent="0.3">
      <c r="B2114" s="126"/>
      <c r="G2114" s="137"/>
      <c r="H2114" s="138"/>
      <c r="I2114" s="138"/>
      <c r="J2114" s="139"/>
      <c r="K2114" s="137"/>
      <c r="L2114" s="137"/>
      <c r="P2114" s="137"/>
      <c r="Q2114" s="137"/>
      <c r="R2114" s="126"/>
    </row>
    <row r="2115" spans="2:18" x14ac:dyDescent="0.3">
      <c r="B2115" s="126"/>
      <c r="G2115" s="137"/>
      <c r="H2115" s="138"/>
      <c r="I2115" s="138"/>
      <c r="J2115" s="139"/>
      <c r="K2115" s="137"/>
      <c r="L2115" s="137"/>
      <c r="P2115" s="137"/>
      <c r="Q2115" s="137"/>
      <c r="R2115" s="126"/>
    </row>
    <row r="2116" spans="2:18" x14ac:dyDescent="0.3">
      <c r="B2116" s="126"/>
      <c r="G2116" s="137"/>
      <c r="H2116" s="138"/>
      <c r="I2116" s="138"/>
      <c r="J2116" s="139"/>
      <c r="K2116" s="137"/>
      <c r="L2116" s="137"/>
      <c r="P2116" s="137"/>
      <c r="Q2116" s="137"/>
      <c r="R2116" s="126"/>
    </row>
    <row r="2117" spans="2:18" x14ac:dyDescent="0.3">
      <c r="B2117" s="126"/>
      <c r="G2117" s="137"/>
      <c r="H2117" s="138"/>
      <c r="I2117" s="138"/>
      <c r="J2117" s="139"/>
      <c r="K2117" s="137"/>
      <c r="L2117" s="137"/>
      <c r="P2117" s="137"/>
      <c r="Q2117" s="137"/>
      <c r="R2117" s="126"/>
    </row>
    <row r="2118" spans="2:18" x14ac:dyDescent="0.3">
      <c r="B2118" s="126"/>
      <c r="G2118" s="137"/>
      <c r="H2118" s="138"/>
      <c r="I2118" s="138"/>
      <c r="J2118" s="139"/>
      <c r="K2118" s="137"/>
      <c r="L2118" s="137"/>
      <c r="P2118" s="137"/>
      <c r="Q2118" s="137"/>
      <c r="R2118" s="126"/>
    </row>
    <row r="2119" spans="2:18" x14ac:dyDescent="0.3">
      <c r="B2119" s="126"/>
      <c r="G2119" s="137"/>
      <c r="H2119" s="138"/>
      <c r="I2119" s="138"/>
      <c r="J2119" s="139"/>
      <c r="K2119" s="137"/>
      <c r="L2119" s="137"/>
      <c r="P2119" s="137"/>
      <c r="Q2119" s="137"/>
      <c r="R2119" s="126"/>
    </row>
    <row r="2120" spans="2:18" x14ac:dyDescent="0.3">
      <c r="B2120" s="126"/>
      <c r="G2120" s="137"/>
      <c r="H2120" s="138"/>
      <c r="I2120" s="138"/>
      <c r="J2120" s="139"/>
      <c r="K2120" s="137"/>
      <c r="L2120" s="137"/>
      <c r="P2120" s="137"/>
      <c r="Q2120" s="137"/>
      <c r="R2120" s="126"/>
    </row>
    <row r="2121" spans="2:18" x14ac:dyDescent="0.3">
      <c r="B2121" s="126"/>
      <c r="G2121" s="137"/>
      <c r="H2121" s="138"/>
      <c r="I2121" s="138"/>
      <c r="J2121" s="139"/>
      <c r="K2121" s="137"/>
      <c r="L2121" s="137"/>
      <c r="P2121" s="137"/>
      <c r="Q2121" s="137"/>
      <c r="R2121" s="126"/>
    </row>
    <row r="2122" spans="2:18" x14ac:dyDescent="0.3">
      <c r="B2122" s="126"/>
      <c r="G2122" s="137"/>
      <c r="H2122" s="138"/>
      <c r="I2122" s="138"/>
      <c r="J2122" s="139"/>
      <c r="K2122" s="137"/>
      <c r="L2122" s="137"/>
      <c r="P2122" s="137"/>
      <c r="Q2122" s="137"/>
      <c r="R2122" s="126"/>
    </row>
    <row r="2123" spans="2:18" x14ac:dyDescent="0.3">
      <c r="B2123" s="126"/>
      <c r="G2123" s="137"/>
      <c r="H2123" s="138"/>
      <c r="I2123" s="138"/>
      <c r="J2123" s="139"/>
      <c r="K2123" s="137"/>
      <c r="L2123" s="137"/>
      <c r="P2123" s="137"/>
      <c r="Q2123" s="137"/>
      <c r="R2123" s="126"/>
    </row>
    <row r="2124" spans="2:18" x14ac:dyDescent="0.3">
      <c r="B2124" s="126"/>
      <c r="G2124" s="137"/>
      <c r="H2124" s="138"/>
      <c r="I2124" s="138"/>
      <c r="J2124" s="139"/>
      <c r="K2124" s="137"/>
      <c r="L2124" s="137"/>
      <c r="P2124" s="137"/>
      <c r="Q2124" s="137"/>
      <c r="R2124" s="126"/>
    </row>
    <row r="2125" spans="2:18" x14ac:dyDescent="0.3">
      <c r="B2125" s="126"/>
      <c r="G2125" s="137"/>
      <c r="H2125" s="138"/>
      <c r="I2125" s="138"/>
      <c r="J2125" s="139"/>
      <c r="K2125" s="137"/>
      <c r="L2125" s="137"/>
      <c r="P2125" s="137"/>
      <c r="Q2125" s="137"/>
      <c r="R2125" s="126"/>
    </row>
    <row r="2126" spans="2:18" x14ac:dyDescent="0.3">
      <c r="B2126" s="126"/>
      <c r="G2126" s="137"/>
      <c r="H2126" s="138"/>
      <c r="I2126" s="138"/>
      <c r="J2126" s="139"/>
      <c r="K2126" s="137"/>
      <c r="L2126" s="137"/>
      <c r="P2126" s="137"/>
      <c r="Q2126" s="137"/>
      <c r="R2126" s="126"/>
    </row>
    <row r="2127" spans="2:18" x14ac:dyDescent="0.3">
      <c r="B2127" s="126"/>
      <c r="G2127" s="137"/>
      <c r="H2127" s="138"/>
      <c r="I2127" s="138"/>
      <c r="J2127" s="139"/>
      <c r="K2127" s="137"/>
      <c r="L2127" s="137"/>
      <c r="P2127" s="137"/>
      <c r="Q2127" s="137"/>
      <c r="R2127" s="126"/>
    </row>
    <row r="2128" spans="2:18" x14ac:dyDescent="0.3">
      <c r="B2128" s="126"/>
      <c r="G2128" s="137"/>
      <c r="H2128" s="138"/>
      <c r="I2128" s="138"/>
      <c r="J2128" s="139"/>
      <c r="K2128" s="137"/>
      <c r="L2128" s="137"/>
      <c r="P2128" s="137"/>
      <c r="Q2128" s="137"/>
      <c r="R2128" s="126"/>
    </row>
    <row r="2129" spans="2:18" x14ac:dyDescent="0.3">
      <c r="B2129" s="126"/>
      <c r="G2129" s="137"/>
      <c r="H2129" s="138"/>
      <c r="I2129" s="138"/>
      <c r="J2129" s="139"/>
      <c r="K2129" s="137"/>
      <c r="L2129" s="137"/>
      <c r="P2129" s="137"/>
      <c r="Q2129" s="137"/>
      <c r="R2129" s="126"/>
    </row>
    <row r="2130" spans="2:18" x14ac:dyDescent="0.3">
      <c r="B2130" s="126"/>
      <c r="G2130" s="137"/>
      <c r="H2130" s="138"/>
      <c r="I2130" s="138"/>
      <c r="J2130" s="139"/>
      <c r="K2130" s="137"/>
      <c r="L2130" s="137"/>
      <c r="P2130" s="137"/>
      <c r="Q2130" s="137"/>
      <c r="R2130" s="126"/>
    </row>
    <row r="2131" spans="2:18" x14ac:dyDescent="0.3">
      <c r="B2131" s="126"/>
      <c r="G2131" s="137"/>
      <c r="H2131" s="138"/>
      <c r="I2131" s="138"/>
      <c r="J2131" s="139"/>
      <c r="K2131" s="137"/>
      <c r="L2131" s="137"/>
      <c r="P2131" s="137"/>
      <c r="Q2131" s="137"/>
      <c r="R2131" s="126"/>
    </row>
    <row r="2132" spans="2:18" x14ac:dyDescent="0.3">
      <c r="B2132" s="126"/>
      <c r="G2132" s="137"/>
      <c r="H2132" s="138"/>
      <c r="I2132" s="138"/>
      <c r="J2132" s="139"/>
      <c r="K2132" s="137"/>
      <c r="L2132" s="137"/>
      <c r="P2132" s="137"/>
      <c r="Q2132" s="137"/>
      <c r="R2132" s="126"/>
    </row>
    <row r="2133" spans="2:18" x14ac:dyDescent="0.3">
      <c r="B2133" s="126"/>
      <c r="G2133" s="137"/>
      <c r="H2133" s="138"/>
      <c r="I2133" s="138"/>
      <c r="J2133" s="139"/>
      <c r="K2133" s="137"/>
      <c r="L2133" s="137"/>
      <c r="P2133" s="137"/>
      <c r="Q2133" s="137"/>
      <c r="R2133" s="126"/>
    </row>
    <row r="2134" spans="2:18" x14ac:dyDescent="0.3">
      <c r="B2134" s="126"/>
      <c r="G2134" s="137"/>
      <c r="H2134" s="138"/>
      <c r="I2134" s="138"/>
      <c r="J2134" s="139"/>
      <c r="K2134" s="137"/>
      <c r="L2134" s="137"/>
      <c r="P2134" s="137"/>
      <c r="Q2134" s="137"/>
      <c r="R2134" s="126"/>
    </row>
    <row r="2135" spans="2:18" x14ac:dyDescent="0.3">
      <c r="B2135" s="126"/>
      <c r="G2135" s="137"/>
      <c r="H2135" s="138"/>
      <c r="I2135" s="138"/>
      <c r="J2135" s="139"/>
      <c r="K2135" s="137"/>
      <c r="L2135" s="137"/>
      <c r="P2135" s="137"/>
      <c r="Q2135" s="137"/>
      <c r="R2135" s="126"/>
    </row>
    <row r="2136" spans="2:18" x14ac:dyDescent="0.3">
      <c r="B2136" s="126"/>
      <c r="G2136" s="137"/>
      <c r="H2136" s="138"/>
      <c r="I2136" s="138"/>
      <c r="J2136" s="139"/>
      <c r="K2136" s="137"/>
      <c r="L2136" s="137"/>
      <c r="P2136" s="137"/>
      <c r="Q2136" s="137"/>
      <c r="R2136" s="126"/>
    </row>
    <row r="2137" spans="2:18" x14ac:dyDescent="0.3">
      <c r="B2137" s="126"/>
      <c r="G2137" s="137"/>
      <c r="H2137" s="138"/>
      <c r="I2137" s="138"/>
      <c r="J2137" s="139"/>
      <c r="K2137" s="137"/>
      <c r="L2137" s="137"/>
      <c r="P2137" s="137"/>
      <c r="Q2137" s="137"/>
      <c r="R2137" s="126"/>
    </row>
    <row r="2138" spans="2:18" x14ac:dyDescent="0.3">
      <c r="B2138" s="126"/>
      <c r="G2138" s="137"/>
      <c r="H2138" s="138"/>
      <c r="I2138" s="138"/>
      <c r="J2138" s="139"/>
      <c r="K2138" s="137"/>
      <c r="L2138" s="137"/>
      <c r="P2138" s="137"/>
      <c r="Q2138" s="137"/>
      <c r="R2138" s="126"/>
    </row>
    <row r="2139" spans="2:18" x14ac:dyDescent="0.3">
      <c r="B2139" s="126"/>
      <c r="G2139" s="137"/>
      <c r="H2139" s="138"/>
      <c r="I2139" s="138"/>
      <c r="J2139" s="139"/>
      <c r="K2139" s="137"/>
      <c r="L2139" s="137"/>
      <c r="P2139" s="137"/>
      <c r="Q2139" s="137"/>
      <c r="R2139" s="126"/>
    </row>
    <row r="2140" spans="2:18" x14ac:dyDescent="0.3">
      <c r="B2140" s="126"/>
      <c r="G2140" s="137"/>
      <c r="H2140" s="138"/>
      <c r="I2140" s="138"/>
      <c r="J2140" s="139"/>
      <c r="K2140" s="137"/>
      <c r="L2140" s="137"/>
      <c r="P2140" s="137"/>
      <c r="Q2140" s="137"/>
      <c r="R2140" s="126"/>
    </row>
    <row r="2141" spans="2:18" x14ac:dyDescent="0.3">
      <c r="B2141" s="126"/>
      <c r="G2141" s="137"/>
      <c r="H2141" s="138"/>
      <c r="I2141" s="138"/>
      <c r="J2141" s="139"/>
      <c r="K2141" s="137"/>
      <c r="L2141" s="137"/>
      <c r="P2141" s="137"/>
      <c r="Q2141" s="137"/>
      <c r="R2141" s="126"/>
    </row>
    <row r="2142" spans="2:18" x14ac:dyDescent="0.3">
      <c r="B2142" s="126"/>
      <c r="G2142" s="137"/>
      <c r="H2142" s="138"/>
      <c r="I2142" s="138"/>
      <c r="J2142" s="139"/>
      <c r="K2142" s="137"/>
      <c r="L2142" s="137"/>
      <c r="P2142" s="137"/>
      <c r="Q2142" s="137"/>
      <c r="R2142" s="126"/>
    </row>
    <row r="2143" spans="2:18" x14ac:dyDescent="0.3">
      <c r="B2143" s="126"/>
      <c r="G2143" s="137"/>
      <c r="H2143" s="138"/>
      <c r="I2143" s="138"/>
      <c r="J2143" s="139"/>
      <c r="K2143" s="137"/>
      <c r="L2143" s="137"/>
      <c r="P2143" s="137"/>
      <c r="Q2143" s="137"/>
      <c r="R2143" s="126"/>
    </row>
    <row r="2144" spans="2:18" x14ac:dyDescent="0.3">
      <c r="B2144" s="126"/>
      <c r="G2144" s="137"/>
      <c r="H2144" s="138"/>
      <c r="I2144" s="138"/>
      <c r="J2144" s="139"/>
      <c r="K2144" s="137"/>
      <c r="L2144" s="137"/>
      <c r="P2144" s="137"/>
      <c r="Q2144" s="137"/>
      <c r="R2144" s="126"/>
    </row>
    <row r="2145" spans="2:18" x14ac:dyDescent="0.3">
      <c r="B2145" s="126"/>
      <c r="G2145" s="137"/>
      <c r="H2145" s="138"/>
      <c r="I2145" s="138"/>
      <c r="J2145" s="139"/>
      <c r="K2145" s="137"/>
      <c r="L2145" s="137"/>
      <c r="P2145" s="137"/>
      <c r="Q2145" s="137"/>
      <c r="R2145" s="126"/>
    </row>
    <row r="2146" spans="2:18" x14ac:dyDescent="0.3">
      <c r="B2146" s="126"/>
      <c r="G2146" s="137"/>
      <c r="H2146" s="138"/>
      <c r="I2146" s="138"/>
      <c r="J2146" s="139"/>
      <c r="K2146" s="137"/>
      <c r="L2146" s="137"/>
      <c r="P2146" s="137"/>
      <c r="Q2146" s="137"/>
      <c r="R2146" s="126"/>
    </row>
    <row r="2147" spans="2:18" x14ac:dyDescent="0.3">
      <c r="B2147" s="126"/>
      <c r="G2147" s="137"/>
      <c r="H2147" s="138"/>
      <c r="I2147" s="138"/>
      <c r="J2147" s="139"/>
      <c r="K2147" s="137"/>
      <c r="L2147" s="137"/>
      <c r="P2147" s="137"/>
      <c r="Q2147" s="137"/>
      <c r="R2147" s="126"/>
    </row>
    <row r="2148" spans="2:18" x14ac:dyDescent="0.3">
      <c r="B2148" s="126"/>
      <c r="G2148" s="137"/>
      <c r="H2148" s="138"/>
      <c r="I2148" s="138"/>
      <c r="J2148" s="139"/>
      <c r="K2148" s="137"/>
      <c r="L2148" s="137"/>
      <c r="P2148" s="137"/>
      <c r="Q2148" s="137"/>
      <c r="R2148" s="126"/>
    </row>
    <row r="2149" spans="2:18" x14ac:dyDescent="0.3">
      <c r="B2149" s="126"/>
      <c r="G2149" s="137"/>
      <c r="H2149" s="138"/>
      <c r="I2149" s="138"/>
      <c r="J2149" s="139"/>
      <c r="K2149" s="137"/>
      <c r="L2149" s="137"/>
      <c r="P2149" s="137"/>
      <c r="Q2149" s="137"/>
      <c r="R2149" s="126"/>
    </row>
    <row r="2150" spans="2:18" x14ac:dyDescent="0.3">
      <c r="B2150" s="126"/>
      <c r="G2150" s="137"/>
      <c r="H2150" s="138"/>
      <c r="I2150" s="138"/>
      <c r="J2150" s="139"/>
      <c r="K2150" s="137"/>
      <c r="L2150" s="137"/>
      <c r="P2150" s="137"/>
      <c r="Q2150" s="137"/>
      <c r="R2150" s="126"/>
    </row>
    <row r="2151" spans="2:18" x14ac:dyDescent="0.3">
      <c r="B2151" s="126"/>
      <c r="G2151" s="137"/>
      <c r="H2151" s="138"/>
      <c r="I2151" s="138"/>
      <c r="J2151" s="139"/>
      <c r="K2151" s="137"/>
      <c r="L2151" s="137"/>
      <c r="P2151" s="137"/>
      <c r="Q2151" s="137"/>
      <c r="R2151" s="126"/>
    </row>
    <row r="2152" spans="2:18" x14ac:dyDescent="0.3">
      <c r="B2152" s="126"/>
      <c r="G2152" s="137"/>
      <c r="H2152" s="138"/>
      <c r="I2152" s="138"/>
      <c r="J2152" s="139"/>
      <c r="K2152" s="137"/>
      <c r="L2152" s="137"/>
      <c r="P2152" s="137"/>
      <c r="Q2152" s="137"/>
      <c r="R2152" s="126"/>
    </row>
    <row r="2153" spans="2:18" x14ac:dyDescent="0.3">
      <c r="B2153" s="126"/>
      <c r="G2153" s="137"/>
      <c r="H2153" s="138"/>
      <c r="I2153" s="138"/>
      <c r="J2153" s="139"/>
      <c r="K2153" s="137"/>
      <c r="L2153" s="137"/>
      <c r="P2153" s="137"/>
      <c r="Q2153" s="137"/>
      <c r="R2153" s="126"/>
    </row>
    <row r="2154" spans="2:18" x14ac:dyDescent="0.3">
      <c r="B2154" s="126"/>
      <c r="G2154" s="137"/>
      <c r="H2154" s="138"/>
      <c r="I2154" s="138"/>
      <c r="J2154" s="139"/>
      <c r="K2154" s="137"/>
      <c r="L2154" s="137"/>
      <c r="P2154" s="137"/>
      <c r="Q2154" s="137"/>
      <c r="R2154" s="126"/>
    </row>
    <row r="2155" spans="2:18" x14ac:dyDescent="0.3">
      <c r="B2155" s="126"/>
      <c r="G2155" s="137"/>
      <c r="H2155" s="138"/>
      <c r="I2155" s="138"/>
      <c r="J2155" s="139"/>
      <c r="K2155" s="137"/>
      <c r="L2155" s="137"/>
      <c r="P2155" s="137"/>
      <c r="Q2155" s="137"/>
      <c r="R2155" s="126"/>
    </row>
    <row r="2156" spans="2:18" x14ac:dyDescent="0.3">
      <c r="B2156" s="126"/>
      <c r="G2156" s="137"/>
      <c r="H2156" s="138"/>
      <c r="I2156" s="138"/>
      <c r="J2156" s="139"/>
      <c r="K2156" s="137"/>
      <c r="L2156" s="137"/>
      <c r="P2156" s="137"/>
      <c r="Q2156" s="137"/>
      <c r="R2156" s="126"/>
    </row>
    <row r="2157" spans="2:18" x14ac:dyDescent="0.3">
      <c r="B2157" s="126"/>
      <c r="G2157" s="137"/>
      <c r="H2157" s="138"/>
      <c r="I2157" s="138"/>
      <c r="J2157" s="139"/>
      <c r="K2157" s="137"/>
      <c r="L2157" s="137"/>
      <c r="P2157" s="137"/>
      <c r="Q2157" s="137"/>
      <c r="R2157" s="126"/>
    </row>
    <row r="2158" spans="2:18" x14ac:dyDescent="0.3">
      <c r="B2158" s="126"/>
      <c r="G2158" s="137"/>
      <c r="H2158" s="138"/>
      <c r="I2158" s="138"/>
      <c r="J2158" s="139"/>
      <c r="K2158" s="137"/>
      <c r="L2158" s="137"/>
      <c r="P2158" s="137"/>
      <c r="Q2158" s="137"/>
      <c r="R2158" s="126"/>
    </row>
    <row r="2159" spans="2:18" x14ac:dyDescent="0.3">
      <c r="B2159" s="126"/>
      <c r="G2159" s="137"/>
      <c r="H2159" s="138"/>
      <c r="I2159" s="138"/>
      <c r="J2159" s="139"/>
      <c r="K2159" s="137"/>
      <c r="L2159" s="137"/>
      <c r="P2159" s="137"/>
      <c r="Q2159" s="137"/>
      <c r="R2159" s="126"/>
    </row>
    <row r="2160" spans="2:18" x14ac:dyDescent="0.3">
      <c r="B2160" s="126"/>
      <c r="G2160" s="137"/>
      <c r="H2160" s="138"/>
      <c r="I2160" s="138"/>
      <c r="J2160" s="139"/>
      <c r="K2160" s="137"/>
      <c r="L2160" s="137"/>
      <c r="P2160" s="137"/>
      <c r="Q2160" s="137"/>
      <c r="R2160" s="126"/>
    </row>
    <row r="2161" spans="2:18" x14ac:dyDescent="0.3">
      <c r="B2161" s="126"/>
      <c r="G2161" s="137"/>
      <c r="H2161" s="138"/>
      <c r="I2161" s="138"/>
      <c r="J2161" s="139"/>
      <c r="K2161" s="137"/>
      <c r="L2161" s="137"/>
      <c r="P2161" s="137"/>
      <c r="Q2161" s="137"/>
      <c r="R2161" s="126"/>
    </row>
    <row r="2162" spans="2:18" x14ac:dyDescent="0.3">
      <c r="B2162" s="126"/>
      <c r="G2162" s="137"/>
      <c r="H2162" s="138"/>
      <c r="I2162" s="138"/>
      <c r="J2162" s="139"/>
      <c r="K2162" s="137"/>
      <c r="L2162" s="137"/>
      <c r="P2162" s="137"/>
      <c r="Q2162" s="137"/>
      <c r="R2162" s="126"/>
    </row>
    <row r="2163" spans="2:18" x14ac:dyDescent="0.3">
      <c r="B2163" s="126"/>
      <c r="G2163" s="137"/>
      <c r="H2163" s="138"/>
      <c r="I2163" s="138"/>
      <c r="J2163" s="139"/>
      <c r="K2163" s="137"/>
      <c r="L2163" s="137"/>
      <c r="P2163" s="137"/>
      <c r="Q2163" s="137"/>
      <c r="R2163" s="126"/>
    </row>
    <row r="2164" spans="2:18" x14ac:dyDescent="0.3">
      <c r="B2164" s="126"/>
      <c r="G2164" s="137"/>
      <c r="H2164" s="138"/>
      <c r="I2164" s="138"/>
      <c r="J2164" s="139"/>
      <c r="K2164" s="137"/>
      <c r="L2164" s="137"/>
      <c r="P2164" s="137"/>
      <c r="Q2164" s="137"/>
      <c r="R2164" s="126"/>
    </row>
    <row r="2165" spans="2:18" x14ac:dyDescent="0.3">
      <c r="B2165" s="126"/>
      <c r="G2165" s="137"/>
      <c r="H2165" s="138"/>
      <c r="I2165" s="138"/>
      <c r="J2165" s="139"/>
      <c r="K2165" s="137"/>
      <c r="L2165" s="137"/>
      <c r="P2165" s="137"/>
      <c r="Q2165" s="137"/>
      <c r="R2165" s="126"/>
    </row>
    <row r="2166" spans="2:18" x14ac:dyDescent="0.3">
      <c r="B2166" s="126"/>
      <c r="G2166" s="137"/>
      <c r="H2166" s="138"/>
      <c r="I2166" s="138"/>
      <c r="J2166" s="139"/>
      <c r="K2166" s="137"/>
      <c r="L2166" s="137"/>
      <c r="P2166" s="137"/>
      <c r="Q2166" s="137"/>
      <c r="R2166" s="126"/>
    </row>
    <row r="2167" spans="2:18" x14ac:dyDescent="0.3">
      <c r="B2167" s="126"/>
      <c r="G2167" s="137"/>
      <c r="H2167" s="138"/>
      <c r="I2167" s="138"/>
      <c r="J2167" s="139"/>
      <c r="K2167" s="137"/>
      <c r="L2167" s="137"/>
      <c r="P2167" s="137"/>
      <c r="Q2167" s="137"/>
      <c r="R2167" s="126"/>
    </row>
    <row r="2168" spans="2:18" x14ac:dyDescent="0.3">
      <c r="B2168" s="126"/>
      <c r="G2168" s="137"/>
      <c r="H2168" s="138"/>
      <c r="I2168" s="138"/>
      <c r="J2168" s="139"/>
      <c r="K2168" s="137"/>
      <c r="L2168" s="137"/>
      <c r="P2168" s="137"/>
      <c r="Q2168" s="137"/>
      <c r="R2168" s="126"/>
    </row>
    <row r="2169" spans="2:18" x14ac:dyDescent="0.3">
      <c r="B2169" s="126"/>
      <c r="G2169" s="137"/>
      <c r="H2169" s="138"/>
      <c r="I2169" s="138"/>
      <c r="J2169" s="139"/>
      <c r="K2169" s="137"/>
      <c r="L2169" s="137"/>
      <c r="P2169" s="137"/>
      <c r="Q2169" s="137"/>
      <c r="R2169" s="126"/>
    </row>
    <row r="2170" spans="2:18" x14ac:dyDescent="0.3">
      <c r="B2170" s="126"/>
      <c r="G2170" s="137"/>
      <c r="H2170" s="138"/>
      <c r="I2170" s="138"/>
      <c r="J2170" s="139"/>
      <c r="K2170" s="137"/>
      <c r="L2170" s="137"/>
      <c r="P2170" s="137"/>
      <c r="Q2170" s="137"/>
      <c r="R2170" s="126"/>
    </row>
    <row r="2171" spans="2:18" x14ac:dyDescent="0.3">
      <c r="B2171" s="126"/>
      <c r="G2171" s="137"/>
      <c r="H2171" s="138"/>
      <c r="I2171" s="138"/>
      <c r="J2171" s="139"/>
      <c r="K2171" s="137"/>
      <c r="L2171" s="137"/>
      <c r="P2171" s="137"/>
      <c r="Q2171" s="137"/>
      <c r="R2171" s="126"/>
    </row>
    <row r="2172" spans="2:18" x14ac:dyDescent="0.3">
      <c r="B2172" s="126"/>
      <c r="G2172" s="137"/>
      <c r="H2172" s="138"/>
      <c r="I2172" s="138"/>
      <c r="J2172" s="139"/>
      <c r="K2172" s="137"/>
      <c r="L2172" s="137"/>
      <c r="P2172" s="137"/>
      <c r="Q2172" s="137"/>
      <c r="R2172" s="126"/>
    </row>
    <row r="2173" spans="2:18" x14ac:dyDescent="0.3">
      <c r="B2173" s="126"/>
      <c r="G2173" s="137"/>
      <c r="H2173" s="138"/>
      <c r="I2173" s="138"/>
      <c r="J2173" s="139"/>
      <c r="K2173" s="137"/>
      <c r="L2173" s="137"/>
      <c r="P2173" s="137"/>
      <c r="Q2173" s="137"/>
      <c r="R2173" s="126"/>
    </row>
    <row r="2174" spans="2:18" x14ac:dyDescent="0.3">
      <c r="B2174" s="126"/>
      <c r="G2174" s="137"/>
      <c r="H2174" s="138"/>
      <c r="I2174" s="138"/>
      <c r="J2174" s="139"/>
      <c r="K2174" s="137"/>
      <c r="L2174" s="137"/>
      <c r="P2174" s="137"/>
      <c r="Q2174" s="137"/>
      <c r="R2174" s="126"/>
    </row>
    <row r="2175" spans="2:18" x14ac:dyDescent="0.3">
      <c r="B2175" s="126"/>
      <c r="G2175" s="137"/>
      <c r="H2175" s="138"/>
      <c r="I2175" s="138"/>
      <c r="J2175" s="139"/>
      <c r="K2175" s="137"/>
      <c r="L2175" s="137"/>
      <c r="P2175" s="137"/>
      <c r="Q2175" s="137"/>
      <c r="R2175" s="126"/>
    </row>
    <row r="2176" spans="2:18" x14ac:dyDescent="0.3">
      <c r="B2176" s="126"/>
      <c r="G2176" s="137"/>
      <c r="H2176" s="138"/>
      <c r="I2176" s="138"/>
      <c r="J2176" s="139"/>
      <c r="K2176" s="137"/>
      <c r="L2176" s="137"/>
      <c r="P2176" s="137"/>
      <c r="Q2176" s="137"/>
      <c r="R2176" s="126"/>
    </row>
    <row r="2177" spans="2:18" x14ac:dyDescent="0.3">
      <c r="B2177" s="126"/>
      <c r="G2177" s="137"/>
      <c r="H2177" s="138"/>
      <c r="I2177" s="138"/>
      <c r="J2177" s="139"/>
      <c r="K2177" s="137"/>
      <c r="L2177" s="137"/>
      <c r="P2177" s="137"/>
      <c r="Q2177" s="137"/>
      <c r="R2177" s="126"/>
    </row>
    <row r="2178" spans="2:18" x14ac:dyDescent="0.3">
      <c r="B2178" s="126"/>
      <c r="G2178" s="137"/>
      <c r="H2178" s="138"/>
      <c r="I2178" s="138"/>
      <c r="J2178" s="139"/>
      <c r="K2178" s="137"/>
      <c r="L2178" s="137"/>
      <c r="P2178" s="137"/>
      <c r="Q2178" s="137"/>
      <c r="R2178" s="126"/>
    </row>
    <row r="2179" spans="2:18" x14ac:dyDescent="0.3">
      <c r="B2179" s="126"/>
      <c r="G2179" s="137"/>
      <c r="H2179" s="138"/>
      <c r="I2179" s="138"/>
      <c r="J2179" s="139"/>
      <c r="K2179" s="137"/>
      <c r="L2179" s="137"/>
      <c r="P2179" s="137"/>
      <c r="Q2179" s="137"/>
      <c r="R2179" s="126"/>
    </row>
    <row r="2180" spans="2:18" x14ac:dyDescent="0.3">
      <c r="B2180" s="126"/>
      <c r="G2180" s="137"/>
      <c r="H2180" s="138"/>
      <c r="I2180" s="138"/>
      <c r="J2180" s="139"/>
      <c r="K2180" s="137"/>
      <c r="L2180" s="137"/>
      <c r="P2180" s="137"/>
      <c r="Q2180" s="137"/>
      <c r="R2180" s="126"/>
    </row>
    <row r="2181" spans="2:18" x14ac:dyDescent="0.3">
      <c r="B2181" s="126"/>
      <c r="G2181" s="137"/>
      <c r="H2181" s="138"/>
      <c r="I2181" s="138"/>
      <c r="J2181" s="139"/>
      <c r="K2181" s="137"/>
      <c r="L2181" s="137"/>
      <c r="P2181" s="137"/>
      <c r="Q2181" s="137"/>
      <c r="R2181" s="126"/>
    </row>
    <row r="2182" spans="2:18" x14ac:dyDescent="0.3">
      <c r="B2182" s="126"/>
      <c r="G2182" s="137"/>
      <c r="H2182" s="138"/>
      <c r="I2182" s="138"/>
      <c r="J2182" s="139"/>
      <c r="K2182" s="137"/>
      <c r="L2182" s="137"/>
      <c r="P2182" s="137"/>
      <c r="Q2182" s="137"/>
      <c r="R2182" s="126"/>
    </row>
    <row r="2183" spans="2:18" x14ac:dyDescent="0.3">
      <c r="B2183" s="126"/>
      <c r="G2183" s="137"/>
      <c r="H2183" s="138"/>
      <c r="I2183" s="138"/>
      <c r="J2183" s="139"/>
      <c r="K2183" s="137"/>
      <c r="L2183" s="137"/>
      <c r="P2183" s="137"/>
      <c r="Q2183" s="137"/>
      <c r="R2183" s="126"/>
    </row>
    <row r="2184" spans="2:18" x14ac:dyDescent="0.3">
      <c r="B2184" s="126"/>
      <c r="G2184" s="137"/>
      <c r="H2184" s="138"/>
      <c r="I2184" s="138"/>
      <c r="J2184" s="139"/>
      <c r="K2184" s="137"/>
      <c r="L2184" s="137"/>
      <c r="P2184" s="137"/>
      <c r="Q2184" s="137"/>
      <c r="R2184" s="126"/>
    </row>
    <row r="2185" spans="2:18" x14ac:dyDescent="0.3">
      <c r="B2185" s="126"/>
      <c r="G2185" s="137"/>
      <c r="H2185" s="138"/>
      <c r="I2185" s="138"/>
      <c r="J2185" s="139"/>
      <c r="K2185" s="137"/>
      <c r="L2185" s="137"/>
      <c r="P2185" s="137"/>
      <c r="Q2185" s="137"/>
      <c r="R2185" s="126"/>
    </row>
    <row r="2186" spans="2:18" x14ac:dyDescent="0.3">
      <c r="B2186" s="126"/>
      <c r="G2186" s="137"/>
      <c r="H2186" s="138"/>
      <c r="I2186" s="138"/>
      <c r="J2186" s="139"/>
      <c r="K2186" s="137"/>
      <c r="L2186" s="137"/>
      <c r="P2186" s="137"/>
      <c r="Q2186" s="137"/>
      <c r="R2186" s="126"/>
    </row>
    <row r="2187" spans="2:18" x14ac:dyDescent="0.3">
      <c r="B2187" s="126"/>
      <c r="G2187" s="137"/>
      <c r="H2187" s="138"/>
      <c r="I2187" s="138"/>
      <c r="J2187" s="139"/>
      <c r="K2187" s="137"/>
      <c r="L2187" s="137"/>
      <c r="P2187" s="137"/>
      <c r="Q2187" s="137"/>
      <c r="R2187" s="126"/>
    </row>
    <row r="2188" spans="2:18" x14ac:dyDescent="0.3">
      <c r="B2188" s="126"/>
      <c r="G2188" s="137"/>
      <c r="H2188" s="138"/>
      <c r="I2188" s="138"/>
      <c r="J2188" s="139"/>
      <c r="K2188" s="137"/>
      <c r="L2188" s="137"/>
      <c r="P2188" s="137"/>
      <c r="Q2188" s="137"/>
      <c r="R2188" s="126"/>
    </row>
    <row r="2189" spans="2:18" x14ac:dyDescent="0.3">
      <c r="B2189" s="126"/>
      <c r="G2189" s="137"/>
      <c r="H2189" s="138"/>
      <c r="I2189" s="138"/>
      <c r="J2189" s="139"/>
      <c r="K2189" s="137"/>
      <c r="L2189" s="137"/>
      <c r="P2189" s="137"/>
      <c r="Q2189" s="137"/>
      <c r="R2189" s="126"/>
    </row>
    <row r="2190" spans="2:18" x14ac:dyDescent="0.3">
      <c r="B2190" s="126"/>
      <c r="G2190" s="137"/>
      <c r="H2190" s="138"/>
      <c r="I2190" s="138"/>
      <c r="J2190" s="139"/>
      <c r="K2190" s="137"/>
      <c r="L2190" s="137"/>
      <c r="P2190" s="137"/>
      <c r="Q2190" s="137"/>
      <c r="R2190" s="126"/>
    </row>
    <row r="2191" spans="2:18" x14ac:dyDescent="0.3">
      <c r="B2191" s="126"/>
      <c r="G2191" s="137"/>
      <c r="H2191" s="138"/>
      <c r="I2191" s="138"/>
      <c r="J2191" s="139"/>
      <c r="K2191" s="137"/>
      <c r="L2191" s="137"/>
      <c r="P2191" s="137"/>
      <c r="Q2191" s="137"/>
      <c r="R2191" s="126"/>
    </row>
    <row r="2192" spans="2:18" x14ac:dyDescent="0.3">
      <c r="B2192" s="126"/>
      <c r="G2192" s="137"/>
      <c r="H2192" s="138"/>
      <c r="I2192" s="138"/>
      <c r="J2192" s="139"/>
      <c r="K2192" s="137"/>
      <c r="L2192" s="137"/>
      <c r="P2192" s="137"/>
      <c r="Q2192" s="137"/>
      <c r="R2192" s="126"/>
    </row>
    <row r="2193" spans="2:18" x14ac:dyDescent="0.3">
      <c r="B2193" s="126"/>
      <c r="G2193" s="137"/>
      <c r="H2193" s="138"/>
      <c r="I2193" s="138"/>
      <c r="J2193" s="139"/>
      <c r="K2193" s="137"/>
      <c r="L2193" s="137"/>
      <c r="P2193" s="137"/>
      <c r="Q2193" s="137"/>
      <c r="R2193" s="126"/>
    </row>
    <row r="2194" spans="2:18" x14ac:dyDescent="0.3">
      <c r="B2194" s="126"/>
      <c r="G2194" s="137"/>
      <c r="H2194" s="138"/>
      <c r="I2194" s="138"/>
      <c r="J2194" s="139"/>
      <c r="K2194" s="137"/>
      <c r="L2194" s="137"/>
      <c r="P2194" s="137"/>
      <c r="Q2194" s="137"/>
      <c r="R2194" s="126"/>
    </row>
    <row r="2195" spans="2:18" x14ac:dyDescent="0.3">
      <c r="B2195" s="126"/>
      <c r="G2195" s="137"/>
      <c r="H2195" s="138"/>
      <c r="I2195" s="138"/>
      <c r="J2195" s="139"/>
      <c r="K2195" s="137"/>
      <c r="L2195" s="137"/>
      <c r="P2195" s="137"/>
      <c r="Q2195" s="137"/>
      <c r="R2195" s="126"/>
    </row>
    <row r="2196" spans="2:18" x14ac:dyDescent="0.3">
      <c r="B2196" s="126"/>
      <c r="G2196" s="137"/>
      <c r="H2196" s="138"/>
      <c r="I2196" s="138"/>
      <c r="J2196" s="139"/>
      <c r="K2196" s="137"/>
      <c r="L2196" s="137"/>
      <c r="P2196" s="137"/>
      <c r="Q2196" s="137"/>
      <c r="R2196" s="126"/>
    </row>
    <row r="2197" spans="2:18" x14ac:dyDescent="0.3">
      <c r="B2197" s="126"/>
      <c r="G2197" s="137"/>
      <c r="H2197" s="138"/>
      <c r="I2197" s="138"/>
      <c r="J2197" s="139"/>
      <c r="K2197" s="137"/>
      <c r="L2197" s="137"/>
      <c r="P2197" s="137"/>
      <c r="Q2197" s="137"/>
      <c r="R2197" s="126"/>
    </row>
    <row r="2198" spans="2:18" x14ac:dyDescent="0.3">
      <c r="B2198" s="126"/>
      <c r="G2198" s="137"/>
      <c r="H2198" s="138"/>
      <c r="I2198" s="138"/>
      <c r="J2198" s="139"/>
      <c r="K2198" s="137"/>
      <c r="L2198" s="137"/>
      <c r="P2198" s="137"/>
      <c r="Q2198" s="137"/>
      <c r="R2198" s="126"/>
    </row>
    <row r="2199" spans="2:18" x14ac:dyDescent="0.3">
      <c r="B2199" s="126"/>
      <c r="G2199" s="137"/>
      <c r="H2199" s="138"/>
      <c r="I2199" s="138"/>
      <c r="J2199" s="139"/>
      <c r="K2199" s="137"/>
      <c r="L2199" s="137"/>
      <c r="P2199" s="137"/>
      <c r="Q2199" s="137"/>
      <c r="R2199" s="126"/>
    </row>
    <row r="2200" spans="2:18" x14ac:dyDescent="0.3">
      <c r="B2200" s="126"/>
      <c r="G2200" s="137"/>
      <c r="H2200" s="138"/>
      <c r="I2200" s="138"/>
      <c r="J2200" s="139"/>
      <c r="K2200" s="137"/>
      <c r="L2200" s="137"/>
      <c r="P2200" s="137"/>
      <c r="Q2200" s="137"/>
      <c r="R2200" s="126"/>
    </row>
    <row r="2201" spans="2:18" x14ac:dyDescent="0.3">
      <c r="B2201" s="126"/>
      <c r="G2201" s="137"/>
      <c r="H2201" s="138"/>
      <c r="I2201" s="138"/>
      <c r="J2201" s="139"/>
      <c r="K2201" s="137"/>
      <c r="L2201" s="137"/>
      <c r="P2201" s="137"/>
      <c r="Q2201" s="137"/>
      <c r="R2201" s="126"/>
    </row>
    <row r="2202" spans="2:18" x14ac:dyDescent="0.3">
      <c r="B2202" s="126"/>
      <c r="G2202" s="137"/>
      <c r="H2202" s="138"/>
      <c r="I2202" s="138"/>
      <c r="J2202" s="139"/>
      <c r="K2202" s="137"/>
      <c r="L2202" s="137"/>
      <c r="P2202" s="137"/>
      <c r="Q2202" s="137"/>
      <c r="R2202" s="126"/>
    </row>
    <row r="2203" spans="2:18" x14ac:dyDescent="0.3">
      <c r="B2203" s="126"/>
      <c r="G2203" s="137"/>
      <c r="H2203" s="138"/>
      <c r="I2203" s="138"/>
      <c r="J2203" s="139"/>
      <c r="K2203" s="137"/>
      <c r="L2203" s="137"/>
      <c r="P2203" s="137"/>
      <c r="Q2203" s="137"/>
      <c r="R2203" s="126"/>
    </row>
    <row r="2204" spans="2:18" x14ac:dyDescent="0.3">
      <c r="B2204" s="126"/>
      <c r="G2204" s="137"/>
      <c r="H2204" s="138"/>
      <c r="I2204" s="138"/>
      <c r="J2204" s="139"/>
      <c r="K2204" s="137"/>
      <c r="L2204" s="137"/>
      <c r="P2204" s="137"/>
      <c r="Q2204" s="137"/>
      <c r="R2204" s="126"/>
    </row>
    <row r="2205" spans="2:18" x14ac:dyDescent="0.3">
      <c r="B2205" s="126"/>
      <c r="G2205" s="137"/>
      <c r="H2205" s="138"/>
      <c r="I2205" s="138"/>
      <c r="J2205" s="139"/>
      <c r="K2205" s="137"/>
      <c r="L2205" s="137"/>
      <c r="P2205" s="137"/>
      <c r="Q2205" s="137"/>
      <c r="R2205" s="126"/>
    </row>
    <row r="2206" spans="2:18" x14ac:dyDescent="0.3">
      <c r="B2206" s="126"/>
      <c r="G2206" s="137"/>
      <c r="H2206" s="138"/>
      <c r="I2206" s="138"/>
      <c r="J2206" s="139"/>
      <c r="K2206" s="137"/>
      <c r="L2206" s="137"/>
      <c r="P2206" s="137"/>
      <c r="Q2206" s="137"/>
      <c r="R2206" s="126"/>
    </row>
    <row r="2207" spans="2:18" x14ac:dyDescent="0.3">
      <c r="B2207" s="126"/>
      <c r="G2207" s="137"/>
      <c r="H2207" s="138"/>
      <c r="I2207" s="138"/>
      <c r="J2207" s="139"/>
      <c r="K2207" s="137"/>
      <c r="L2207" s="137"/>
      <c r="P2207" s="137"/>
      <c r="Q2207" s="137"/>
      <c r="R2207" s="126"/>
    </row>
    <row r="2208" spans="2:18" x14ac:dyDescent="0.3">
      <c r="B2208" s="126"/>
      <c r="G2208" s="137"/>
      <c r="H2208" s="138"/>
      <c r="I2208" s="138"/>
      <c r="J2208" s="139"/>
      <c r="K2208" s="137"/>
      <c r="L2208" s="137"/>
      <c r="P2208" s="137"/>
      <c r="Q2208" s="137"/>
      <c r="R2208" s="126"/>
    </row>
    <row r="2209" spans="2:18" x14ac:dyDescent="0.3">
      <c r="B2209" s="126"/>
      <c r="G2209" s="137"/>
      <c r="H2209" s="138"/>
      <c r="I2209" s="138"/>
      <c r="J2209" s="139"/>
      <c r="K2209" s="137"/>
      <c r="L2209" s="137"/>
      <c r="P2209" s="137"/>
      <c r="Q2209" s="137"/>
      <c r="R2209" s="126"/>
    </row>
    <row r="2210" spans="2:18" x14ac:dyDescent="0.3">
      <c r="B2210" s="126"/>
      <c r="G2210" s="137"/>
      <c r="H2210" s="138"/>
      <c r="I2210" s="138"/>
      <c r="J2210" s="139"/>
      <c r="K2210" s="137"/>
      <c r="L2210" s="137"/>
      <c r="P2210" s="137"/>
      <c r="Q2210" s="137"/>
      <c r="R2210" s="126"/>
    </row>
    <row r="2211" spans="2:18" x14ac:dyDescent="0.3">
      <c r="B2211" s="126"/>
      <c r="G2211" s="137"/>
      <c r="H2211" s="138"/>
      <c r="I2211" s="138"/>
      <c r="J2211" s="139"/>
      <c r="K2211" s="137"/>
      <c r="L2211" s="137"/>
      <c r="P2211" s="137"/>
      <c r="Q2211" s="137"/>
      <c r="R2211" s="126"/>
    </row>
    <row r="2212" spans="2:18" x14ac:dyDescent="0.3">
      <c r="B2212" s="126"/>
      <c r="G2212" s="137"/>
      <c r="H2212" s="138"/>
      <c r="I2212" s="138"/>
      <c r="J2212" s="139"/>
      <c r="K2212" s="137"/>
      <c r="L2212" s="137"/>
      <c r="P2212" s="137"/>
      <c r="Q2212" s="137"/>
      <c r="R2212" s="126"/>
    </row>
    <row r="2213" spans="2:18" x14ac:dyDescent="0.3">
      <c r="B2213" s="126"/>
      <c r="G2213" s="137"/>
      <c r="H2213" s="138"/>
      <c r="I2213" s="138"/>
      <c r="J2213" s="139"/>
      <c r="K2213" s="137"/>
      <c r="L2213" s="137"/>
      <c r="P2213" s="137"/>
      <c r="Q2213" s="137"/>
      <c r="R2213" s="126"/>
    </row>
    <row r="2214" spans="2:18" x14ac:dyDescent="0.3">
      <c r="B2214" s="126"/>
      <c r="G2214" s="137"/>
      <c r="H2214" s="138"/>
      <c r="I2214" s="138"/>
      <c r="J2214" s="139"/>
      <c r="K2214" s="137"/>
      <c r="L2214" s="137"/>
      <c r="P2214" s="137"/>
      <c r="Q2214" s="137"/>
      <c r="R2214" s="126"/>
    </row>
    <row r="2215" spans="2:18" x14ac:dyDescent="0.3">
      <c r="B2215" s="126"/>
      <c r="G2215" s="137"/>
      <c r="H2215" s="138"/>
      <c r="I2215" s="138"/>
      <c r="J2215" s="139"/>
      <c r="K2215" s="137"/>
      <c r="L2215" s="137"/>
      <c r="P2215" s="137"/>
      <c r="Q2215" s="137"/>
      <c r="R2215" s="126"/>
    </row>
    <row r="2216" spans="2:18" x14ac:dyDescent="0.3">
      <c r="B2216" s="126"/>
      <c r="G2216" s="137"/>
      <c r="H2216" s="138"/>
      <c r="I2216" s="138"/>
      <c r="J2216" s="139"/>
      <c r="K2216" s="137"/>
      <c r="L2216" s="137"/>
      <c r="P2216" s="137"/>
      <c r="Q2216" s="137"/>
      <c r="R2216" s="126"/>
    </row>
    <row r="2217" spans="2:18" x14ac:dyDescent="0.3">
      <c r="B2217" s="126"/>
      <c r="G2217" s="137"/>
      <c r="H2217" s="138"/>
      <c r="I2217" s="138"/>
      <c r="J2217" s="139"/>
      <c r="K2217" s="137"/>
      <c r="L2217" s="137"/>
      <c r="P2217" s="137"/>
      <c r="Q2217" s="137"/>
      <c r="R2217" s="126"/>
    </row>
    <row r="2218" spans="2:18" x14ac:dyDescent="0.3">
      <c r="B2218" s="126"/>
      <c r="G2218" s="137"/>
      <c r="H2218" s="138"/>
      <c r="I2218" s="138"/>
      <c r="J2218" s="139"/>
      <c r="K2218" s="137"/>
      <c r="L2218" s="137"/>
      <c r="P2218" s="137"/>
      <c r="Q2218" s="137"/>
      <c r="R2218" s="126"/>
    </row>
    <row r="2219" spans="2:18" x14ac:dyDescent="0.3">
      <c r="B2219" s="126"/>
      <c r="G2219" s="137"/>
      <c r="H2219" s="138"/>
      <c r="I2219" s="138"/>
      <c r="J2219" s="139"/>
      <c r="K2219" s="137"/>
      <c r="L2219" s="137"/>
      <c r="P2219" s="137"/>
      <c r="Q2219" s="137"/>
      <c r="R2219" s="126"/>
    </row>
    <row r="2220" spans="2:18" x14ac:dyDescent="0.3">
      <c r="B2220" s="126"/>
      <c r="G2220" s="137"/>
      <c r="H2220" s="138"/>
      <c r="I2220" s="138"/>
      <c r="J2220" s="139"/>
      <c r="K2220" s="137"/>
      <c r="L2220" s="137"/>
      <c r="P2220" s="137"/>
      <c r="Q2220" s="137"/>
      <c r="R2220" s="126"/>
    </row>
    <row r="2221" spans="2:18" x14ac:dyDescent="0.3">
      <c r="B2221" s="126"/>
      <c r="G2221" s="137"/>
      <c r="H2221" s="138"/>
      <c r="I2221" s="138"/>
      <c r="J2221" s="139"/>
      <c r="K2221" s="137"/>
      <c r="L2221" s="137"/>
      <c r="P2221" s="137"/>
      <c r="Q2221" s="137"/>
      <c r="R2221" s="126"/>
    </row>
    <row r="2222" spans="2:18" x14ac:dyDescent="0.3">
      <c r="B2222" s="126"/>
      <c r="G2222" s="137"/>
      <c r="H2222" s="138"/>
      <c r="I2222" s="138"/>
      <c r="J2222" s="139"/>
      <c r="K2222" s="137"/>
      <c r="L2222" s="137"/>
      <c r="P2222" s="137"/>
      <c r="Q2222" s="137"/>
      <c r="R2222" s="126"/>
    </row>
    <row r="2223" spans="2:18" x14ac:dyDescent="0.3">
      <c r="B2223" s="126"/>
      <c r="G2223" s="137"/>
      <c r="H2223" s="138"/>
      <c r="I2223" s="138"/>
      <c r="J2223" s="139"/>
      <c r="K2223" s="137"/>
      <c r="L2223" s="137"/>
      <c r="P2223" s="137"/>
      <c r="Q2223" s="137"/>
      <c r="R2223" s="126"/>
    </row>
    <row r="2224" spans="2:18" x14ac:dyDescent="0.3">
      <c r="B2224" s="126"/>
      <c r="G2224" s="137"/>
      <c r="H2224" s="138"/>
      <c r="I2224" s="138"/>
      <c r="J2224" s="139"/>
      <c r="K2224" s="137"/>
      <c r="L2224" s="137"/>
      <c r="P2224" s="137"/>
      <c r="Q2224" s="137"/>
      <c r="R2224" s="126"/>
    </row>
    <row r="2225" spans="2:18" x14ac:dyDescent="0.3">
      <c r="B2225" s="126"/>
      <c r="G2225" s="137"/>
      <c r="H2225" s="138"/>
      <c r="I2225" s="138"/>
      <c r="J2225" s="139"/>
      <c r="K2225" s="137"/>
      <c r="L2225" s="137"/>
      <c r="P2225" s="137"/>
      <c r="Q2225" s="137"/>
      <c r="R2225" s="126"/>
    </row>
    <row r="2226" spans="2:18" x14ac:dyDescent="0.3">
      <c r="B2226" s="126"/>
      <c r="G2226" s="137"/>
      <c r="H2226" s="138"/>
      <c r="I2226" s="138"/>
      <c r="J2226" s="139"/>
      <c r="K2226" s="137"/>
      <c r="L2226" s="137"/>
      <c r="P2226" s="137"/>
      <c r="Q2226" s="137"/>
      <c r="R2226" s="126"/>
    </row>
    <row r="2227" spans="2:18" x14ac:dyDescent="0.3">
      <c r="B2227" s="126"/>
      <c r="G2227" s="137"/>
      <c r="H2227" s="138"/>
      <c r="I2227" s="138"/>
      <c r="J2227" s="139"/>
      <c r="K2227" s="137"/>
      <c r="L2227" s="137"/>
      <c r="P2227" s="137"/>
      <c r="Q2227" s="137"/>
      <c r="R2227" s="126"/>
    </row>
    <row r="2228" spans="2:18" x14ac:dyDescent="0.3">
      <c r="B2228" s="126"/>
      <c r="G2228" s="137"/>
      <c r="H2228" s="138"/>
      <c r="I2228" s="138"/>
      <c r="J2228" s="139"/>
      <c r="K2228" s="137"/>
      <c r="L2228" s="137"/>
      <c r="P2228" s="137"/>
      <c r="Q2228" s="137"/>
      <c r="R2228" s="126"/>
    </row>
    <row r="2229" spans="2:18" x14ac:dyDescent="0.3">
      <c r="B2229" s="126"/>
      <c r="G2229" s="137"/>
      <c r="H2229" s="138"/>
      <c r="I2229" s="138"/>
      <c r="J2229" s="139"/>
      <c r="K2229" s="137"/>
      <c r="L2229" s="137"/>
      <c r="P2229" s="137"/>
      <c r="Q2229" s="137"/>
      <c r="R2229" s="126"/>
    </row>
    <row r="2230" spans="2:18" x14ac:dyDescent="0.3">
      <c r="B2230" s="126"/>
      <c r="G2230" s="137"/>
      <c r="H2230" s="138"/>
      <c r="I2230" s="138"/>
      <c r="J2230" s="139"/>
      <c r="K2230" s="137"/>
      <c r="L2230" s="137"/>
      <c r="P2230" s="137"/>
      <c r="Q2230" s="137"/>
      <c r="R2230" s="126"/>
    </row>
    <row r="2231" spans="2:18" x14ac:dyDescent="0.3">
      <c r="B2231" s="126"/>
      <c r="G2231" s="137"/>
      <c r="H2231" s="138"/>
      <c r="I2231" s="138"/>
      <c r="J2231" s="139"/>
      <c r="K2231" s="137"/>
      <c r="L2231" s="137"/>
      <c r="P2231" s="137"/>
      <c r="Q2231" s="137"/>
      <c r="R2231" s="126"/>
    </row>
    <row r="2232" spans="2:18" x14ac:dyDescent="0.3">
      <c r="B2232" s="126"/>
      <c r="G2232" s="137"/>
      <c r="H2232" s="138"/>
      <c r="I2232" s="138"/>
      <c r="J2232" s="139"/>
      <c r="K2232" s="137"/>
      <c r="L2232" s="137"/>
      <c r="P2232" s="137"/>
      <c r="Q2232" s="137"/>
      <c r="R2232" s="126"/>
    </row>
    <row r="2233" spans="2:18" x14ac:dyDescent="0.3">
      <c r="B2233" s="126"/>
      <c r="G2233" s="137"/>
      <c r="H2233" s="138"/>
      <c r="I2233" s="138"/>
      <c r="J2233" s="139"/>
      <c r="K2233" s="137"/>
      <c r="L2233" s="137"/>
      <c r="P2233" s="137"/>
      <c r="Q2233" s="137"/>
      <c r="R2233" s="126"/>
    </row>
    <row r="2234" spans="2:18" x14ac:dyDescent="0.3">
      <c r="B2234" s="126"/>
      <c r="G2234" s="137"/>
      <c r="H2234" s="138"/>
      <c r="I2234" s="138"/>
      <c r="J2234" s="139"/>
      <c r="K2234" s="137"/>
      <c r="L2234" s="137"/>
      <c r="P2234" s="137"/>
      <c r="Q2234" s="137"/>
      <c r="R2234" s="126"/>
    </row>
    <row r="2235" spans="2:18" x14ac:dyDescent="0.3">
      <c r="B2235" s="126"/>
      <c r="G2235" s="137"/>
      <c r="H2235" s="138"/>
      <c r="I2235" s="138"/>
      <c r="J2235" s="139"/>
      <c r="K2235" s="137"/>
      <c r="L2235" s="137"/>
      <c r="P2235" s="137"/>
      <c r="Q2235" s="137"/>
      <c r="R2235" s="126"/>
    </row>
    <row r="2236" spans="2:18" x14ac:dyDescent="0.3">
      <c r="B2236" s="126"/>
      <c r="G2236" s="137"/>
      <c r="H2236" s="138"/>
      <c r="I2236" s="138"/>
      <c r="J2236" s="139"/>
      <c r="K2236" s="137"/>
      <c r="L2236" s="137"/>
      <c r="P2236" s="137"/>
      <c r="Q2236" s="137"/>
      <c r="R2236" s="126"/>
    </row>
    <row r="2237" spans="2:18" x14ac:dyDescent="0.3">
      <c r="B2237" s="126"/>
      <c r="G2237" s="137"/>
      <c r="H2237" s="138"/>
      <c r="I2237" s="138"/>
      <c r="J2237" s="139"/>
      <c r="K2237" s="137"/>
      <c r="L2237" s="137"/>
      <c r="P2237" s="137"/>
      <c r="Q2237" s="137"/>
      <c r="R2237" s="126"/>
    </row>
    <row r="2238" spans="2:18" x14ac:dyDescent="0.3">
      <c r="B2238" s="126"/>
      <c r="G2238" s="137"/>
      <c r="H2238" s="138"/>
      <c r="I2238" s="138"/>
      <c r="J2238" s="139"/>
      <c r="K2238" s="137"/>
      <c r="L2238" s="137"/>
      <c r="P2238" s="137"/>
      <c r="Q2238" s="137"/>
      <c r="R2238" s="126"/>
    </row>
    <row r="2239" spans="2:18" x14ac:dyDescent="0.3">
      <c r="B2239" s="126"/>
      <c r="G2239" s="137"/>
      <c r="H2239" s="138"/>
      <c r="I2239" s="138"/>
      <c r="J2239" s="139"/>
      <c r="K2239" s="137"/>
      <c r="L2239" s="137"/>
      <c r="P2239" s="137"/>
      <c r="Q2239" s="137"/>
      <c r="R2239" s="126"/>
    </row>
    <row r="2240" spans="2:18" x14ac:dyDescent="0.3">
      <c r="B2240" s="126"/>
      <c r="G2240" s="137"/>
      <c r="H2240" s="138"/>
      <c r="I2240" s="138"/>
      <c r="J2240" s="139"/>
      <c r="K2240" s="137"/>
      <c r="L2240" s="137"/>
      <c r="P2240" s="137"/>
      <c r="Q2240" s="137"/>
      <c r="R2240" s="126"/>
    </row>
    <row r="2241" spans="2:18" x14ac:dyDescent="0.3">
      <c r="B2241" s="126"/>
      <c r="G2241" s="137"/>
      <c r="H2241" s="138"/>
      <c r="I2241" s="138"/>
      <c r="J2241" s="139"/>
      <c r="K2241" s="137"/>
      <c r="L2241" s="137"/>
      <c r="P2241" s="137"/>
      <c r="Q2241" s="137"/>
      <c r="R2241" s="126"/>
    </row>
    <row r="2242" spans="2:18" x14ac:dyDescent="0.3">
      <c r="B2242" s="126"/>
      <c r="G2242" s="137"/>
      <c r="H2242" s="138"/>
      <c r="I2242" s="138"/>
      <c r="J2242" s="139"/>
      <c r="K2242" s="137"/>
      <c r="L2242" s="137"/>
      <c r="P2242" s="137"/>
      <c r="Q2242" s="137"/>
      <c r="R2242" s="126"/>
    </row>
    <row r="2243" spans="2:18" x14ac:dyDescent="0.3">
      <c r="B2243" s="126"/>
      <c r="G2243" s="137"/>
      <c r="H2243" s="138"/>
      <c r="I2243" s="138"/>
      <c r="J2243" s="139"/>
      <c r="K2243" s="137"/>
      <c r="L2243" s="137"/>
      <c r="P2243" s="137"/>
      <c r="Q2243" s="137"/>
      <c r="R2243" s="126"/>
    </row>
    <row r="2244" spans="2:18" x14ac:dyDescent="0.3">
      <c r="B2244" s="126"/>
      <c r="G2244" s="137"/>
      <c r="H2244" s="138"/>
      <c r="I2244" s="138"/>
      <c r="J2244" s="139"/>
      <c r="K2244" s="137"/>
      <c r="L2244" s="137"/>
      <c r="P2244" s="137"/>
      <c r="Q2244" s="137"/>
      <c r="R2244" s="126"/>
    </row>
    <row r="2245" spans="2:18" x14ac:dyDescent="0.3">
      <c r="B2245" s="126"/>
      <c r="G2245" s="137"/>
      <c r="H2245" s="138"/>
      <c r="I2245" s="138"/>
      <c r="J2245" s="139"/>
      <c r="K2245" s="137"/>
      <c r="L2245" s="137"/>
      <c r="P2245" s="137"/>
      <c r="Q2245" s="137"/>
      <c r="R2245" s="126"/>
    </row>
    <row r="2246" spans="2:18" x14ac:dyDescent="0.3">
      <c r="B2246" s="126"/>
      <c r="G2246" s="137"/>
      <c r="H2246" s="138"/>
      <c r="I2246" s="138"/>
      <c r="J2246" s="139"/>
      <c r="K2246" s="137"/>
      <c r="L2246" s="137"/>
      <c r="P2246" s="137"/>
      <c r="Q2246" s="137"/>
      <c r="R2246" s="126"/>
    </row>
    <row r="2247" spans="2:18" x14ac:dyDescent="0.3">
      <c r="B2247" s="126"/>
      <c r="G2247" s="137"/>
      <c r="H2247" s="138"/>
      <c r="I2247" s="138"/>
      <c r="J2247" s="139"/>
      <c r="K2247" s="137"/>
      <c r="L2247" s="137"/>
      <c r="P2247" s="137"/>
      <c r="Q2247" s="137"/>
      <c r="R2247" s="126"/>
    </row>
    <row r="2248" spans="2:18" x14ac:dyDescent="0.3">
      <c r="B2248" s="126"/>
      <c r="G2248" s="137"/>
      <c r="H2248" s="138"/>
      <c r="I2248" s="138"/>
      <c r="J2248" s="139"/>
      <c r="K2248" s="137"/>
      <c r="L2248" s="137"/>
      <c r="P2248" s="137"/>
      <c r="Q2248" s="137"/>
      <c r="R2248" s="126"/>
    </row>
    <row r="2249" spans="2:18" x14ac:dyDescent="0.3">
      <c r="B2249" s="126"/>
      <c r="G2249" s="137"/>
      <c r="H2249" s="138"/>
      <c r="I2249" s="138"/>
      <c r="J2249" s="139"/>
      <c r="K2249" s="137"/>
      <c r="L2249" s="137"/>
      <c r="P2249" s="137"/>
      <c r="Q2249" s="137"/>
      <c r="R2249" s="126"/>
    </row>
    <row r="2250" spans="2:18" x14ac:dyDescent="0.3">
      <c r="B2250" s="126"/>
      <c r="G2250" s="137"/>
      <c r="H2250" s="138"/>
      <c r="I2250" s="138"/>
      <c r="J2250" s="139"/>
      <c r="K2250" s="137"/>
      <c r="L2250" s="137"/>
      <c r="P2250" s="137"/>
      <c r="Q2250" s="137"/>
      <c r="R2250" s="126"/>
    </row>
    <row r="2251" spans="2:18" x14ac:dyDescent="0.3">
      <c r="B2251" s="126"/>
      <c r="G2251" s="137"/>
      <c r="H2251" s="138"/>
      <c r="I2251" s="138"/>
      <c r="J2251" s="139"/>
      <c r="K2251" s="137"/>
      <c r="L2251" s="137"/>
      <c r="P2251" s="137"/>
      <c r="Q2251" s="137"/>
      <c r="R2251" s="126"/>
    </row>
    <row r="2252" spans="2:18" x14ac:dyDescent="0.3">
      <c r="B2252" s="126"/>
      <c r="G2252" s="137"/>
      <c r="H2252" s="138"/>
      <c r="I2252" s="138"/>
      <c r="J2252" s="139"/>
      <c r="K2252" s="137"/>
      <c r="L2252" s="137"/>
      <c r="P2252" s="137"/>
      <c r="Q2252" s="137"/>
      <c r="R2252" s="126"/>
    </row>
    <row r="2253" spans="2:18" x14ac:dyDescent="0.3">
      <c r="B2253" s="126"/>
      <c r="G2253" s="137"/>
      <c r="H2253" s="138"/>
      <c r="I2253" s="138"/>
      <c r="J2253" s="139"/>
      <c r="K2253" s="137"/>
      <c r="L2253" s="137"/>
      <c r="P2253" s="137"/>
      <c r="Q2253" s="137"/>
      <c r="R2253" s="126"/>
    </row>
    <row r="2254" spans="2:18" x14ac:dyDescent="0.3">
      <c r="B2254" s="126"/>
      <c r="G2254" s="137"/>
      <c r="H2254" s="138"/>
      <c r="I2254" s="138"/>
      <c r="J2254" s="139"/>
      <c r="K2254" s="137"/>
      <c r="L2254" s="137"/>
      <c r="P2254" s="137"/>
      <c r="Q2254" s="137"/>
      <c r="R2254" s="126"/>
    </row>
    <row r="2255" spans="2:18" x14ac:dyDescent="0.3">
      <c r="B2255" s="126"/>
      <c r="G2255" s="137"/>
      <c r="H2255" s="138"/>
      <c r="I2255" s="138"/>
      <c r="J2255" s="139"/>
      <c r="K2255" s="137"/>
      <c r="L2255" s="137"/>
      <c r="P2255" s="137"/>
      <c r="Q2255" s="137"/>
      <c r="R2255" s="126"/>
    </row>
    <row r="2256" spans="2:18" x14ac:dyDescent="0.3">
      <c r="B2256" s="126"/>
      <c r="G2256" s="137"/>
      <c r="H2256" s="138"/>
      <c r="I2256" s="138"/>
      <c r="J2256" s="139"/>
      <c r="K2256" s="137"/>
      <c r="L2256" s="137"/>
      <c r="P2256" s="137"/>
      <c r="Q2256" s="137"/>
      <c r="R2256" s="126"/>
    </row>
    <row r="2257" spans="2:18" x14ac:dyDescent="0.3">
      <c r="B2257" s="126"/>
      <c r="G2257" s="137"/>
      <c r="H2257" s="138"/>
      <c r="I2257" s="138"/>
      <c r="J2257" s="139"/>
      <c r="K2257" s="137"/>
      <c r="L2257" s="137"/>
      <c r="P2257" s="137"/>
      <c r="Q2257" s="137"/>
      <c r="R2257" s="126"/>
    </row>
    <row r="2258" spans="2:18" x14ac:dyDescent="0.3">
      <c r="B2258" s="126"/>
      <c r="G2258" s="137"/>
      <c r="H2258" s="138"/>
      <c r="I2258" s="138"/>
      <c r="J2258" s="139"/>
      <c r="K2258" s="137"/>
      <c r="L2258" s="137"/>
      <c r="P2258" s="137"/>
      <c r="Q2258" s="137"/>
      <c r="R2258" s="126"/>
    </row>
    <row r="2259" spans="2:18" x14ac:dyDescent="0.3">
      <c r="B2259" s="126"/>
      <c r="G2259" s="137"/>
      <c r="H2259" s="138"/>
      <c r="I2259" s="138"/>
      <c r="J2259" s="139"/>
      <c r="K2259" s="137"/>
      <c r="L2259" s="137"/>
      <c r="P2259" s="137"/>
      <c r="Q2259" s="137"/>
      <c r="R2259" s="126"/>
    </row>
    <row r="2260" spans="2:18" x14ac:dyDescent="0.3">
      <c r="B2260" s="126"/>
      <c r="G2260" s="137"/>
      <c r="H2260" s="138"/>
      <c r="I2260" s="138"/>
      <c r="J2260" s="139"/>
      <c r="K2260" s="137"/>
      <c r="L2260" s="137"/>
      <c r="P2260" s="137"/>
      <c r="Q2260" s="137"/>
      <c r="R2260" s="126"/>
    </row>
    <row r="2261" spans="2:18" x14ac:dyDescent="0.3">
      <c r="B2261" s="126"/>
      <c r="G2261" s="137"/>
      <c r="H2261" s="138"/>
      <c r="I2261" s="138"/>
      <c r="J2261" s="139"/>
      <c r="K2261" s="137"/>
      <c r="L2261" s="137"/>
      <c r="P2261" s="137"/>
      <c r="Q2261" s="137"/>
      <c r="R2261" s="126"/>
    </row>
    <row r="2262" spans="2:18" x14ac:dyDescent="0.3">
      <c r="B2262" s="126"/>
      <c r="G2262" s="137"/>
      <c r="H2262" s="138"/>
      <c r="I2262" s="138"/>
      <c r="J2262" s="139"/>
      <c r="K2262" s="137"/>
      <c r="L2262" s="137"/>
      <c r="P2262" s="137"/>
      <c r="Q2262" s="137"/>
      <c r="R2262" s="126"/>
    </row>
    <row r="2263" spans="2:18" x14ac:dyDescent="0.3">
      <c r="B2263" s="126"/>
      <c r="G2263" s="137"/>
      <c r="H2263" s="138"/>
      <c r="I2263" s="138"/>
      <c r="J2263" s="139"/>
      <c r="K2263" s="137"/>
      <c r="L2263" s="137"/>
      <c r="P2263" s="137"/>
      <c r="Q2263" s="137"/>
      <c r="R2263" s="126"/>
    </row>
    <row r="2264" spans="2:18" x14ac:dyDescent="0.3">
      <c r="B2264" s="126"/>
      <c r="G2264" s="137"/>
      <c r="H2264" s="138"/>
      <c r="I2264" s="138"/>
      <c r="J2264" s="139"/>
      <c r="K2264" s="137"/>
      <c r="L2264" s="137"/>
      <c r="P2264" s="137"/>
      <c r="Q2264" s="137"/>
      <c r="R2264" s="126"/>
    </row>
    <row r="2265" spans="2:18" x14ac:dyDescent="0.3">
      <c r="B2265" s="126"/>
      <c r="G2265" s="137"/>
      <c r="H2265" s="138"/>
      <c r="I2265" s="138"/>
      <c r="J2265" s="139"/>
      <c r="K2265" s="137"/>
      <c r="L2265" s="137"/>
      <c r="P2265" s="137"/>
      <c r="Q2265" s="137"/>
      <c r="R2265" s="126"/>
    </row>
    <row r="2266" spans="2:18" x14ac:dyDescent="0.3">
      <c r="B2266" s="126"/>
      <c r="G2266" s="137"/>
      <c r="H2266" s="138"/>
      <c r="I2266" s="138"/>
      <c r="J2266" s="139"/>
      <c r="K2266" s="137"/>
      <c r="L2266" s="137"/>
      <c r="P2266" s="137"/>
      <c r="Q2266" s="137"/>
      <c r="R2266" s="126"/>
    </row>
    <row r="2267" spans="2:18" x14ac:dyDescent="0.3">
      <c r="B2267" s="126"/>
      <c r="G2267" s="137"/>
      <c r="H2267" s="138"/>
      <c r="I2267" s="138"/>
      <c r="J2267" s="139"/>
      <c r="K2267" s="137"/>
      <c r="L2267" s="137"/>
      <c r="P2267" s="137"/>
      <c r="Q2267" s="137"/>
      <c r="R2267" s="126"/>
    </row>
    <row r="2268" spans="2:18" x14ac:dyDescent="0.3">
      <c r="B2268" s="126"/>
      <c r="G2268" s="137"/>
      <c r="H2268" s="138"/>
      <c r="I2268" s="138"/>
      <c r="J2268" s="139"/>
      <c r="K2268" s="137"/>
      <c r="L2268" s="137"/>
      <c r="P2268" s="137"/>
      <c r="Q2268" s="137"/>
      <c r="R2268" s="126"/>
    </row>
    <row r="2269" spans="2:18" x14ac:dyDescent="0.3">
      <c r="B2269" s="126"/>
      <c r="G2269" s="137"/>
      <c r="H2269" s="138"/>
      <c r="I2269" s="138"/>
      <c r="J2269" s="139"/>
      <c r="K2269" s="137"/>
      <c r="L2269" s="137"/>
      <c r="P2269" s="137"/>
      <c r="Q2269" s="137"/>
      <c r="R2269" s="126"/>
    </row>
    <row r="2270" spans="2:18" x14ac:dyDescent="0.3">
      <c r="B2270" s="126"/>
      <c r="G2270" s="137"/>
      <c r="H2270" s="138"/>
      <c r="I2270" s="138"/>
      <c r="J2270" s="139"/>
      <c r="K2270" s="137"/>
      <c r="L2270" s="137"/>
      <c r="P2270" s="137"/>
      <c r="Q2270" s="137"/>
      <c r="R2270" s="126"/>
    </row>
    <row r="2271" spans="2:18" x14ac:dyDescent="0.3">
      <c r="B2271" s="126"/>
      <c r="G2271" s="137"/>
      <c r="H2271" s="138"/>
      <c r="I2271" s="138"/>
      <c r="J2271" s="139"/>
      <c r="K2271" s="137"/>
      <c r="L2271" s="137"/>
      <c r="P2271" s="137"/>
      <c r="Q2271" s="137"/>
      <c r="R2271" s="126"/>
    </row>
    <row r="2272" spans="2:18" x14ac:dyDescent="0.3">
      <c r="B2272" s="126"/>
      <c r="G2272" s="137"/>
      <c r="H2272" s="138"/>
      <c r="I2272" s="138"/>
      <c r="J2272" s="139"/>
      <c r="K2272" s="137"/>
      <c r="L2272" s="137"/>
      <c r="P2272" s="137"/>
      <c r="Q2272" s="137"/>
      <c r="R2272" s="126"/>
    </row>
    <row r="2273" spans="2:18" x14ac:dyDescent="0.3">
      <c r="B2273" s="126"/>
      <c r="G2273" s="137"/>
      <c r="H2273" s="138"/>
      <c r="I2273" s="138"/>
      <c r="J2273" s="139"/>
      <c r="K2273" s="137"/>
      <c r="L2273" s="137"/>
      <c r="P2273" s="137"/>
      <c r="Q2273" s="137"/>
      <c r="R2273" s="126"/>
    </row>
    <row r="2274" spans="2:18" x14ac:dyDescent="0.3">
      <c r="B2274" s="126"/>
      <c r="G2274" s="137"/>
      <c r="H2274" s="138"/>
      <c r="I2274" s="138"/>
      <c r="J2274" s="139"/>
      <c r="K2274" s="137"/>
      <c r="L2274" s="137"/>
      <c r="P2274" s="137"/>
      <c r="Q2274" s="137"/>
      <c r="R2274" s="126"/>
    </row>
    <row r="2275" spans="2:18" x14ac:dyDescent="0.3">
      <c r="B2275" s="126"/>
      <c r="G2275" s="137"/>
      <c r="H2275" s="138"/>
      <c r="I2275" s="138"/>
      <c r="J2275" s="139"/>
      <c r="K2275" s="137"/>
      <c r="L2275" s="137"/>
      <c r="P2275" s="137"/>
      <c r="Q2275" s="137"/>
      <c r="R2275" s="126"/>
    </row>
    <row r="2276" spans="2:18" x14ac:dyDescent="0.3">
      <c r="B2276" s="126"/>
      <c r="G2276" s="137"/>
      <c r="H2276" s="138"/>
      <c r="I2276" s="138"/>
      <c r="J2276" s="139"/>
      <c r="K2276" s="137"/>
      <c r="L2276" s="137"/>
      <c r="P2276" s="137"/>
      <c r="Q2276" s="137"/>
      <c r="R2276" s="126"/>
    </row>
    <row r="2277" spans="2:18" x14ac:dyDescent="0.3">
      <c r="B2277" s="126"/>
      <c r="G2277" s="137"/>
      <c r="H2277" s="138"/>
      <c r="I2277" s="138"/>
      <c r="J2277" s="139"/>
      <c r="K2277" s="137"/>
      <c r="L2277" s="137"/>
      <c r="P2277" s="137"/>
      <c r="Q2277" s="137"/>
      <c r="R2277" s="126"/>
    </row>
    <row r="2278" spans="2:18" x14ac:dyDescent="0.3">
      <c r="B2278" s="126"/>
      <c r="G2278" s="137"/>
      <c r="H2278" s="138"/>
      <c r="I2278" s="138"/>
      <c r="J2278" s="139"/>
      <c r="K2278" s="137"/>
      <c r="L2278" s="137"/>
      <c r="P2278" s="137"/>
      <c r="Q2278" s="137"/>
      <c r="R2278" s="126"/>
    </row>
    <row r="2279" spans="2:18" x14ac:dyDescent="0.3">
      <c r="B2279" s="126"/>
      <c r="G2279" s="137"/>
      <c r="H2279" s="138"/>
      <c r="I2279" s="138"/>
      <c r="J2279" s="139"/>
      <c r="K2279" s="137"/>
      <c r="L2279" s="137"/>
      <c r="P2279" s="137"/>
      <c r="Q2279" s="137"/>
      <c r="R2279" s="126"/>
    </row>
    <row r="2280" spans="2:18" x14ac:dyDescent="0.3">
      <c r="B2280" s="126"/>
      <c r="G2280" s="137"/>
      <c r="H2280" s="138"/>
      <c r="I2280" s="138"/>
      <c r="J2280" s="139"/>
      <c r="K2280" s="137"/>
      <c r="L2280" s="137"/>
      <c r="P2280" s="137"/>
      <c r="Q2280" s="137"/>
      <c r="R2280" s="126"/>
    </row>
    <row r="2281" spans="2:18" x14ac:dyDescent="0.3">
      <c r="B2281" s="126"/>
      <c r="G2281" s="137"/>
      <c r="H2281" s="138"/>
      <c r="I2281" s="138"/>
      <c r="J2281" s="139"/>
      <c r="K2281" s="137"/>
      <c r="L2281" s="137"/>
      <c r="P2281" s="137"/>
      <c r="Q2281" s="137"/>
      <c r="R2281" s="126"/>
    </row>
    <row r="2282" spans="2:18" x14ac:dyDescent="0.3">
      <c r="B2282" s="126"/>
      <c r="G2282" s="137"/>
      <c r="H2282" s="138"/>
      <c r="I2282" s="138"/>
      <c r="J2282" s="139"/>
      <c r="K2282" s="137"/>
      <c r="L2282" s="137"/>
      <c r="P2282" s="137"/>
      <c r="Q2282" s="137"/>
      <c r="R2282" s="126"/>
    </row>
    <row r="2283" spans="2:18" x14ac:dyDescent="0.3">
      <c r="B2283" s="126"/>
      <c r="G2283" s="137"/>
      <c r="H2283" s="138"/>
      <c r="I2283" s="138"/>
      <c r="J2283" s="139"/>
      <c r="K2283" s="137"/>
      <c r="L2283" s="137"/>
      <c r="P2283" s="137"/>
      <c r="Q2283" s="137"/>
      <c r="R2283" s="126"/>
    </row>
    <row r="2284" spans="2:18" x14ac:dyDescent="0.3">
      <c r="B2284" s="126"/>
      <c r="G2284" s="137"/>
      <c r="H2284" s="138"/>
      <c r="I2284" s="138"/>
      <c r="J2284" s="139"/>
      <c r="K2284" s="137"/>
      <c r="L2284" s="137"/>
      <c r="P2284" s="137"/>
      <c r="Q2284" s="137"/>
      <c r="R2284" s="126"/>
    </row>
    <row r="2285" spans="2:18" x14ac:dyDescent="0.3">
      <c r="B2285" s="126"/>
      <c r="G2285" s="137"/>
      <c r="H2285" s="138"/>
      <c r="I2285" s="138"/>
      <c r="J2285" s="139"/>
      <c r="K2285" s="137"/>
      <c r="L2285" s="137"/>
      <c r="P2285" s="137"/>
      <c r="Q2285" s="137"/>
      <c r="R2285" s="126"/>
    </row>
    <row r="2286" spans="2:18" x14ac:dyDescent="0.3">
      <c r="B2286" s="126"/>
      <c r="G2286" s="137"/>
      <c r="H2286" s="138"/>
      <c r="I2286" s="138"/>
      <c r="J2286" s="139"/>
      <c r="K2286" s="137"/>
      <c r="L2286" s="137"/>
      <c r="P2286" s="137"/>
      <c r="Q2286" s="137"/>
      <c r="R2286" s="126"/>
    </row>
    <row r="2287" spans="2:18" x14ac:dyDescent="0.3">
      <c r="B2287" s="126"/>
      <c r="G2287" s="137"/>
      <c r="H2287" s="138"/>
      <c r="I2287" s="138"/>
      <c r="J2287" s="139"/>
      <c r="K2287" s="137"/>
      <c r="L2287" s="137"/>
      <c r="P2287" s="137"/>
      <c r="Q2287" s="137"/>
      <c r="R2287" s="126"/>
    </row>
    <row r="2288" spans="2:18" x14ac:dyDescent="0.3">
      <c r="B2288" s="126"/>
      <c r="G2288" s="137"/>
      <c r="H2288" s="138"/>
      <c r="I2288" s="138"/>
      <c r="J2288" s="139"/>
      <c r="K2288" s="137"/>
      <c r="L2288" s="137"/>
      <c r="P2288" s="137"/>
      <c r="Q2288" s="137"/>
      <c r="R2288" s="126"/>
    </row>
    <row r="2289" spans="2:18" x14ac:dyDescent="0.3">
      <c r="B2289" s="126"/>
      <c r="G2289" s="137"/>
      <c r="H2289" s="138"/>
      <c r="I2289" s="138"/>
      <c r="J2289" s="139"/>
      <c r="K2289" s="137"/>
      <c r="L2289" s="137"/>
      <c r="P2289" s="137"/>
      <c r="Q2289" s="137"/>
      <c r="R2289" s="126"/>
    </row>
    <row r="2290" spans="2:18" x14ac:dyDescent="0.3">
      <c r="B2290" s="126"/>
      <c r="G2290" s="137"/>
      <c r="H2290" s="138"/>
      <c r="I2290" s="138"/>
      <c r="J2290" s="139"/>
      <c r="K2290" s="137"/>
      <c r="L2290" s="137"/>
      <c r="P2290" s="137"/>
      <c r="Q2290" s="137"/>
      <c r="R2290" s="126"/>
    </row>
    <row r="2291" spans="2:18" x14ac:dyDescent="0.3">
      <c r="B2291" s="126"/>
      <c r="G2291" s="137"/>
      <c r="H2291" s="138"/>
      <c r="I2291" s="138"/>
      <c r="J2291" s="139"/>
      <c r="K2291" s="137"/>
      <c r="L2291" s="137"/>
      <c r="P2291" s="137"/>
      <c r="Q2291" s="137"/>
      <c r="R2291" s="126"/>
    </row>
    <row r="2292" spans="2:18" x14ac:dyDescent="0.3">
      <c r="B2292" s="126"/>
      <c r="G2292" s="137"/>
      <c r="H2292" s="138"/>
      <c r="I2292" s="138"/>
      <c r="J2292" s="139"/>
      <c r="K2292" s="137"/>
      <c r="L2292" s="137"/>
      <c r="P2292" s="137"/>
      <c r="Q2292" s="137"/>
      <c r="R2292" s="126"/>
    </row>
    <row r="2293" spans="2:18" x14ac:dyDescent="0.3">
      <c r="B2293" s="126"/>
      <c r="G2293" s="137"/>
      <c r="H2293" s="138"/>
      <c r="I2293" s="138"/>
      <c r="J2293" s="139"/>
      <c r="K2293" s="137"/>
      <c r="L2293" s="137"/>
      <c r="P2293" s="137"/>
      <c r="Q2293" s="137"/>
      <c r="R2293" s="126"/>
    </row>
    <row r="2294" spans="2:18" x14ac:dyDescent="0.3">
      <c r="B2294" s="126"/>
      <c r="G2294" s="137"/>
      <c r="H2294" s="138"/>
      <c r="I2294" s="138"/>
      <c r="J2294" s="139"/>
      <c r="K2294" s="137"/>
      <c r="L2294" s="137"/>
      <c r="P2294" s="137"/>
      <c r="Q2294" s="137"/>
      <c r="R2294" s="126"/>
    </row>
    <row r="2295" spans="2:18" x14ac:dyDescent="0.3">
      <c r="B2295" s="126"/>
      <c r="G2295" s="137"/>
      <c r="H2295" s="138"/>
      <c r="I2295" s="138"/>
      <c r="J2295" s="139"/>
      <c r="K2295" s="137"/>
      <c r="L2295" s="137"/>
      <c r="P2295" s="137"/>
      <c r="Q2295" s="137"/>
      <c r="R2295" s="126"/>
    </row>
    <row r="2296" spans="2:18" x14ac:dyDescent="0.3">
      <c r="B2296" s="126"/>
      <c r="G2296" s="137"/>
      <c r="H2296" s="138"/>
      <c r="I2296" s="138"/>
      <c r="J2296" s="139"/>
      <c r="K2296" s="137"/>
      <c r="L2296" s="137"/>
      <c r="P2296" s="137"/>
      <c r="Q2296" s="137"/>
      <c r="R2296" s="126"/>
    </row>
    <row r="2297" spans="2:18" x14ac:dyDescent="0.3">
      <c r="B2297" s="126"/>
      <c r="G2297" s="137"/>
      <c r="H2297" s="138"/>
      <c r="I2297" s="138"/>
      <c r="J2297" s="139"/>
      <c r="K2297" s="137"/>
      <c r="L2297" s="137"/>
      <c r="P2297" s="137"/>
      <c r="Q2297" s="137"/>
      <c r="R2297" s="126"/>
    </row>
    <row r="2298" spans="2:18" x14ac:dyDescent="0.3">
      <c r="B2298" s="126"/>
      <c r="G2298" s="137"/>
      <c r="H2298" s="138"/>
      <c r="I2298" s="138"/>
      <c r="J2298" s="139"/>
      <c r="K2298" s="137"/>
      <c r="L2298" s="137"/>
      <c r="P2298" s="137"/>
      <c r="Q2298" s="137"/>
      <c r="R2298" s="126"/>
    </row>
    <row r="2299" spans="2:18" x14ac:dyDescent="0.3">
      <c r="B2299" s="126"/>
      <c r="G2299" s="137"/>
      <c r="H2299" s="138"/>
      <c r="I2299" s="138"/>
      <c r="J2299" s="139"/>
      <c r="K2299" s="137"/>
      <c r="L2299" s="137"/>
      <c r="P2299" s="137"/>
      <c r="Q2299" s="137"/>
      <c r="R2299" s="126"/>
    </row>
    <row r="2300" spans="2:18" x14ac:dyDescent="0.3">
      <c r="B2300" s="126"/>
      <c r="G2300" s="137"/>
      <c r="H2300" s="138"/>
      <c r="I2300" s="138"/>
      <c r="J2300" s="139"/>
      <c r="K2300" s="137"/>
      <c r="L2300" s="137"/>
      <c r="P2300" s="137"/>
      <c r="Q2300" s="137"/>
      <c r="R2300" s="126"/>
    </row>
    <row r="2301" spans="2:18" x14ac:dyDescent="0.3">
      <c r="B2301" s="126"/>
      <c r="G2301" s="137"/>
      <c r="H2301" s="138"/>
      <c r="I2301" s="138"/>
      <c r="J2301" s="139"/>
      <c r="K2301" s="137"/>
      <c r="L2301" s="137"/>
      <c r="P2301" s="137"/>
      <c r="Q2301" s="137"/>
      <c r="R2301" s="126"/>
    </row>
    <row r="2302" spans="2:18" x14ac:dyDescent="0.3">
      <c r="B2302" s="126"/>
      <c r="G2302" s="137"/>
      <c r="H2302" s="138"/>
      <c r="I2302" s="138"/>
      <c r="J2302" s="139"/>
      <c r="K2302" s="137"/>
      <c r="L2302" s="137"/>
      <c r="P2302" s="137"/>
      <c r="Q2302" s="137"/>
      <c r="R2302" s="126"/>
    </row>
    <row r="2303" spans="2:18" x14ac:dyDescent="0.3">
      <c r="B2303" s="126"/>
      <c r="G2303" s="137"/>
      <c r="H2303" s="138"/>
      <c r="I2303" s="138"/>
      <c r="J2303" s="139"/>
      <c r="K2303" s="137"/>
      <c r="L2303" s="137"/>
      <c r="P2303" s="137"/>
      <c r="Q2303" s="137"/>
      <c r="R2303" s="126"/>
    </row>
    <row r="2304" spans="2:18" x14ac:dyDescent="0.3">
      <c r="B2304" s="126"/>
      <c r="G2304" s="137"/>
      <c r="H2304" s="138"/>
      <c r="I2304" s="138"/>
      <c r="J2304" s="139"/>
      <c r="K2304" s="137"/>
      <c r="L2304" s="137"/>
      <c r="P2304" s="137"/>
      <c r="Q2304" s="137"/>
      <c r="R2304" s="126"/>
    </row>
    <row r="2305" spans="2:18" x14ac:dyDescent="0.3">
      <c r="B2305" s="126"/>
      <c r="G2305" s="137"/>
      <c r="H2305" s="138"/>
      <c r="I2305" s="138"/>
      <c r="J2305" s="139"/>
      <c r="K2305" s="137"/>
      <c r="L2305" s="137"/>
      <c r="P2305" s="137"/>
      <c r="Q2305" s="137"/>
      <c r="R2305" s="126"/>
    </row>
    <row r="2306" spans="2:18" x14ac:dyDescent="0.3">
      <c r="B2306" s="126"/>
      <c r="G2306" s="137"/>
      <c r="H2306" s="138"/>
      <c r="I2306" s="138"/>
      <c r="J2306" s="139"/>
      <c r="K2306" s="137"/>
      <c r="L2306" s="137"/>
      <c r="P2306" s="137"/>
      <c r="Q2306" s="137"/>
      <c r="R2306" s="126"/>
    </row>
    <row r="2307" spans="2:18" x14ac:dyDescent="0.3">
      <c r="B2307" s="126"/>
      <c r="G2307" s="137"/>
      <c r="H2307" s="138"/>
      <c r="I2307" s="138"/>
      <c r="J2307" s="139"/>
      <c r="K2307" s="137"/>
      <c r="L2307" s="137"/>
      <c r="P2307" s="137"/>
      <c r="Q2307" s="137"/>
      <c r="R2307" s="126"/>
    </row>
    <row r="2308" spans="2:18" x14ac:dyDescent="0.3">
      <c r="B2308" s="126"/>
      <c r="G2308" s="137"/>
      <c r="H2308" s="138"/>
      <c r="I2308" s="138"/>
      <c r="J2308" s="139"/>
      <c r="K2308" s="137"/>
      <c r="L2308" s="137"/>
      <c r="P2308" s="137"/>
      <c r="Q2308" s="137"/>
      <c r="R2308" s="126"/>
    </row>
    <row r="2309" spans="2:18" x14ac:dyDescent="0.3">
      <c r="B2309" s="126"/>
      <c r="G2309" s="137"/>
      <c r="H2309" s="138"/>
      <c r="I2309" s="138"/>
      <c r="J2309" s="139"/>
      <c r="K2309" s="137"/>
      <c r="L2309" s="137"/>
      <c r="P2309" s="137"/>
      <c r="Q2309" s="137"/>
      <c r="R2309" s="126"/>
    </row>
    <row r="2310" spans="2:18" x14ac:dyDescent="0.3">
      <c r="B2310" s="126"/>
      <c r="G2310" s="137"/>
      <c r="H2310" s="138"/>
      <c r="I2310" s="138"/>
      <c r="J2310" s="139"/>
      <c r="K2310" s="137"/>
      <c r="L2310" s="137"/>
      <c r="P2310" s="137"/>
      <c r="Q2310" s="137"/>
      <c r="R2310" s="126"/>
    </row>
    <row r="2311" spans="2:18" x14ac:dyDescent="0.3">
      <c r="B2311" s="126"/>
      <c r="G2311" s="137"/>
      <c r="H2311" s="138"/>
      <c r="I2311" s="138"/>
      <c r="J2311" s="139"/>
      <c r="K2311" s="137"/>
      <c r="L2311" s="137"/>
      <c r="P2311" s="137"/>
      <c r="Q2311" s="137"/>
      <c r="R2311" s="126"/>
    </row>
    <row r="2312" spans="2:18" x14ac:dyDescent="0.3">
      <c r="B2312" s="126"/>
      <c r="G2312" s="137"/>
      <c r="H2312" s="138"/>
      <c r="I2312" s="138"/>
      <c r="J2312" s="139"/>
      <c r="K2312" s="137"/>
      <c r="L2312" s="137"/>
      <c r="P2312" s="137"/>
      <c r="Q2312" s="137"/>
      <c r="R2312" s="126"/>
    </row>
    <row r="2313" spans="2:18" x14ac:dyDescent="0.3">
      <c r="B2313" s="126"/>
      <c r="G2313" s="137"/>
      <c r="H2313" s="138"/>
      <c r="I2313" s="138"/>
      <c r="J2313" s="139"/>
      <c r="K2313" s="137"/>
      <c r="L2313" s="137"/>
      <c r="P2313" s="137"/>
      <c r="Q2313" s="137"/>
      <c r="R2313" s="126"/>
    </row>
    <row r="2314" spans="2:18" x14ac:dyDescent="0.3">
      <c r="B2314" s="126"/>
      <c r="G2314" s="137"/>
      <c r="H2314" s="138"/>
      <c r="I2314" s="138"/>
      <c r="J2314" s="139"/>
      <c r="K2314" s="137"/>
      <c r="L2314" s="137"/>
      <c r="P2314" s="137"/>
      <c r="Q2314" s="137"/>
      <c r="R2314" s="126"/>
    </row>
    <row r="2315" spans="2:18" x14ac:dyDescent="0.3">
      <c r="B2315" s="126"/>
      <c r="G2315" s="137"/>
      <c r="H2315" s="138"/>
      <c r="I2315" s="138"/>
      <c r="J2315" s="139"/>
      <c r="K2315" s="137"/>
      <c r="L2315" s="137"/>
      <c r="P2315" s="137"/>
      <c r="Q2315" s="137"/>
      <c r="R2315" s="126"/>
    </row>
    <row r="2316" spans="2:18" x14ac:dyDescent="0.3">
      <c r="B2316" s="126"/>
      <c r="G2316" s="137"/>
      <c r="H2316" s="138"/>
      <c r="I2316" s="138"/>
      <c r="J2316" s="139"/>
      <c r="K2316" s="137"/>
      <c r="L2316" s="137"/>
      <c r="P2316" s="137"/>
      <c r="Q2316" s="137"/>
      <c r="R2316" s="126"/>
    </row>
    <row r="2317" spans="2:18" x14ac:dyDescent="0.3">
      <c r="B2317" s="126"/>
      <c r="G2317" s="137"/>
      <c r="H2317" s="138"/>
      <c r="I2317" s="138"/>
      <c r="J2317" s="139"/>
      <c r="K2317" s="137"/>
      <c r="L2317" s="137"/>
      <c r="P2317" s="137"/>
      <c r="Q2317" s="137"/>
      <c r="R2317" s="126"/>
    </row>
    <row r="2318" spans="2:18" x14ac:dyDescent="0.3">
      <c r="B2318" s="126"/>
      <c r="G2318" s="137"/>
      <c r="H2318" s="138"/>
      <c r="I2318" s="138"/>
      <c r="J2318" s="139"/>
      <c r="K2318" s="137"/>
      <c r="L2318" s="137"/>
      <c r="P2318" s="137"/>
      <c r="Q2318" s="137"/>
      <c r="R2318" s="126"/>
    </row>
    <row r="2319" spans="2:18" x14ac:dyDescent="0.3">
      <c r="B2319" s="126"/>
      <c r="G2319" s="137"/>
      <c r="H2319" s="138"/>
      <c r="I2319" s="138"/>
      <c r="J2319" s="139"/>
      <c r="K2319" s="137"/>
      <c r="L2319" s="137"/>
      <c r="P2319" s="137"/>
      <c r="Q2319" s="137"/>
      <c r="R2319" s="126"/>
    </row>
    <row r="2320" spans="2:18" x14ac:dyDescent="0.3">
      <c r="B2320" s="126"/>
      <c r="G2320" s="137"/>
      <c r="H2320" s="138"/>
      <c r="I2320" s="138"/>
      <c r="J2320" s="139"/>
      <c r="K2320" s="137"/>
      <c r="L2320" s="137"/>
      <c r="P2320" s="137"/>
      <c r="Q2320" s="137"/>
      <c r="R2320" s="126"/>
    </row>
    <row r="2321" spans="2:18" x14ac:dyDescent="0.3">
      <c r="B2321" s="126"/>
      <c r="G2321" s="137"/>
      <c r="H2321" s="138"/>
      <c r="I2321" s="138"/>
      <c r="J2321" s="139"/>
      <c r="K2321" s="137"/>
      <c r="L2321" s="137"/>
      <c r="P2321" s="137"/>
      <c r="Q2321" s="137"/>
      <c r="R2321" s="126"/>
    </row>
    <row r="2322" spans="2:18" x14ac:dyDescent="0.3">
      <c r="B2322" s="126"/>
      <c r="G2322" s="137"/>
      <c r="H2322" s="138"/>
      <c r="I2322" s="138"/>
      <c r="J2322" s="139"/>
      <c r="K2322" s="137"/>
      <c r="L2322" s="137"/>
      <c r="P2322" s="137"/>
      <c r="Q2322" s="137"/>
      <c r="R2322" s="126"/>
    </row>
    <row r="2323" spans="2:18" x14ac:dyDescent="0.3">
      <c r="B2323" s="126"/>
      <c r="G2323" s="137"/>
      <c r="H2323" s="138"/>
      <c r="I2323" s="138"/>
      <c r="J2323" s="139"/>
      <c r="K2323" s="137"/>
      <c r="L2323" s="137"/>
      <c r="P2323" s="137"/>
      <c r="Q2323" s="137"/>
      <c r="R2323" s="126"/>
    </row>
    <row r="2324" spans="2:18" x14ac:dyDescent="0.3">
      <c r="B2324" s="126"/>
      <c r="G2324" s="137"/>
      <c r="H2324" s="138"/>
      <c r="I2324" s="138"/>
      <c r="J2324" s="139"/>
      <c r="K2324" s="137"/>
      <c r="L2324" s="137"/>
      <c r="P2324" s="137"/>
      <c r="Q2324" s="137"/>
      <c r="R2324" s="126"/>
    </row>
    <row r="2325" spans="2:18" x14ac:dyDescent="0.3">
      <c r="B2325" s="126"/>
      <c r="G2325" s="137"/>
      <c r="H2325" s="138"/>
      <c r="I2325" s="138"/>
      <c r="J2325" s="139"/>
      <c r="K2325" s="137"/>
      <c r="L2325" s="137"/>
      <c r="P2325" s="137"/>
      <c r="Q2325" s="137"/>
      <c r="R2325" s="126"/>
    </row>
    <row r="2326" spans="2:18" x14ac:dyDescent="0.3">
      <c r="B2326" s="126"/>
      <c r="G2326" s="137"/>
      <c r="H2326" s="138"/>
      <c r="I2326" s="138"/>
      <c r="J2326" s="139"/>
      <c r="K2326" s="137"/>
      <c r="L2326" s="137"/>
      <c r="P2326" s="137"/>
      <c r="Q2326" s="137"/>
      <c r="R2326" s="126"/>
    </row>
    <row r="2327" spans="2:18" x14ac:dyDescent="0.3">
      <c r="B2327" s="126"/>
      <c r="G2327" s="137"/>
      <c r="H2327" s="138"/>
      <c r="I2327" s="138"/>
      <c r="J2327" s="139"/>
      <c r="K2327" s="137"/>
      <c r="L2327" s="137"/>
      <c r="P2327" s="137"/>
      <c r="Q2327" s="137"/>
      <c r="R2327" s="126"/>
    </row>
    <row r="2328" spans="2:18" x14ac:dyDescent="0.3">
      <c r="B2328" s="126"/>
      <c r="G2328" s="137"/>
      <c r="H2328" s="138"/>
      <c r="I2328" s="138"/>
      <c r="J2328" s="139"/>
      <c r="K2328" s="137"/>
      <c r="L2328" s="137"/>
      <c r="P2328" s="137"/>
      <c r="Q2328" s="137"/>
      <c r="R2328" s="126"/>
    </row>
    <row r="2329" spans="2:18" x14ac:dyDescent="0.3">
      <c r="B2329" s="126"/>
      <c r="G2329" s="137"/>
      <c r="H2329" s="138"/>
      <c r="I2329" s="138"/>
      <c r="J2329" s="139"/>
      <c r="K2329" s="137"/>
      <c r="L2329" s="137"/>
      <c r="P2329" s="137"/>
      <c r="Q2329" s="137"/>
      <c r="R2329" s="126"/>
    </row>
    <row r="2330" spans="2:18" x14ac:dyDescent="0.3">
      <c r="B2330" s="126"/>
      <c r="G2330" s="137"/>
      <c r="H2330" s="138"/>
      <c r="I2330" s="138"/>
      <c r="J2330" s="139"/>
      <c r="K2330" s="137"/>
      <c r="L2330" s="137"/>
      <c r="P2330" s="137"/>
      <c r="Q2330" s="137"/>
      <c r="R2330" s="126"/>
    </row>
    <row r="2331" spans="2:18" x14ac:dyDescent="0.3">
      <c r="B2331" s="126"/>
      <c r="G2331" s="137"/>
      <c r="H2331" s="138"/>
      <c r="I2331" s="138"/>
      <c r="J2331" s="139"/>
      <c r="K2331" s="137"/>
      <c r="L2331" s="137"/>
      <c r="P2331" s="137"/>
      <c r="Q2331" s="137"/>
      <c r="R2331" s="126"/>
    </row>
    <row r="2332" spans="2:18" x14ac:dyDescent="0.3">
      <c r="B2332" s="126"/>
      <c r="G2332" s="137"/>
      <c r="H2332" s="138"/>
      <c r="I2332" s="138"/>
      <c r="J2332" s="139"/>
      <c r="K2332" s="137"/>
      <c r="L2332" s="137"/>
      <c r="P2332" s="137"/>
      <c r="Q2332" s="137"/>
      <c r="R2332" s="126"/>
    </row>
    <row r="2333" spans="2:18" x14ac:dyDescent="0.3">
      <c r="B2333" s="126"/>
      <c r="G2333" s="137"/>
      <c r="H2333" s="138"/>
      <c r="I2333" s="138"/>
      <c r="J2333" s="139"/>
      <c r="K2333" s="137"/>
      <c r="L2333" s="137"/>
      <c r="P2333" s="137"/>
      <c r="Q2333" s="137"/>
      <c r="R2333" s="126"/>
    </row>
    <row r="2334" spans="2:18" x14ac:dyDescent="0.3">
      <c r="B2334" s="126"/>
      <c r="G2334" s="137"/>
      <c r="H2334" s="138"/>
      <c r="I2334" s="138"/>
      <c r="J2334" s="139"/>
      <c r="K2334" s="137"/>
      <c r="L2334" s="137"/>
      <c r="P2334" s="137"/>
      <c r="Q2334" s="137"/>
      <c r="R2334" s="126"/>
    </row>
    <row r="2335" spans="2:18" x14ac:dyDescent="0.3">
      <c r="B2335" s="126"/>
      <c r="G2335" s="137"/>
      <c r="H2335" s="138"/>
      <c r="I2335" s="138"/>
      <c r="J2335" s="139"/>
      <c r="K2335" s="137"/>
      <c r="L2335" s="137"/>
      <c r="P2335" s="137"/>
      <c r="Q2335" s="137"/>
      <c r="R2335" s="126"/>
    </row>
    <row r="2336" spans="2:18" x14ac:dyDescent="0.3">
      <c r="B2336" s="126"/>
      <c r="G2336" s="137"/>
      <c r="H2336" s="138"/>
      <c r="I2336" s="138"/>
      <c r="J2336" s="139"/>
      <c r="K2336" s="137"/>
      <c r="L2336" s="137"/>
      <c r="P2336" s="137"/>
      <c r="Q2336" s="137"/>
      <c r="R2336" s="126"/>
    </row>
    <row r="2337" spans="2:18" x14ac:dyDescent="0.3">
      <c r="B2337" s="126"/>
      <c r="G2337" s="137"/>
      <c r="H2337" s="138"/>
      <c r="I2337" s="138"/>
      <c r="J2337" s="139"/>
      <c r="K2337" s="137"/>
      <c r="L2337" s="137"/>
      <c r="P2337" s="137"/>
      <c r="Q2337" s="137"/>
      <c r="R2337" s="126"/>
    </row>
    <row r="2338" spans="2:18" x14ac:dyDescent="0.3">
      <c r="B2338" s="126"/>
      <c r="G2338" s="137"/>
      <c r="H2338" s="138"/>
      <c r="I2338" s="138"/>
      <c r="J2338" s="139"/>
      <c r="K2338" s="137"/>
      <c r="L2338" s="137"/>
      <c r="P2338" s="137"/>
      <c r="Q2338" s="137"/>
      <c r="R2338" s="126"/>
    </row>
    <row r="2339" spans="2:18" x14ac:dyDescent="0.3">
      <c r="B2339" s="126"/>
      <c r="G2339" s="137"/>
      <c r="H2339" s="138"/>
      <c r="I2339" s="138"/>
      <c r="J2339" s="139"/>
      <c r="K2339" s="137"/>
      <c r="L2339" s="137"/>
      <c r="P2339" s="137"/>
      <c r="Q2339" s="137"/>
      <c r="R2339" s="126"/>
    </row>
    <row r="2340" spans="2:18" x14ac:dyDescent="0.3">
      <c r="B2340" s="126"/>
      <c r="G2340" s="137"/>
      <c r="H2340" s="138"/>
      <c r="I2340" s="138"/>
      <c r="J2340" s="139"/>
      <c r="K2340" s="137"/>
      <c r="L2340" s="137"/>
      <c r="P2340" s="137"/>
      <c r="Q2340" s="137"/>
      <c r="R2340" s="126"/>
    </row>
    <row r="2341" spans="2:18" x14ac:dyDescent="0.3">
      <c r="B2341" s="126"/>
      <c r="G2341" s="137"/>
      <c r="H2341" s="138"/>
      <c r="I2341" s="138"/>
      <c r="J2341" s="139"/>
      <c r="K2341" s="137"/>
      <c r="L2341" s="137"/>
      <c r="P2341" s="137"/>
      <c r="Q2341" s="137"/>
      <c r="R2341" s="126"/>
    </row>
    <row r="2342" spans="2:18" x14ac:dyDescent="0.3">
      <c r="B2342" s="126"/>
      <c r="G2342" s="137"/>
      <c r="H2342" s="138"/>
      <c r="I2342" s="138"/>
      <c r="J2342" s="139"/>
      <c r="K2342" s="137"/>
      <c r="L2342" s="137"/>
      <c r="P2342" s="137"/>
      <c r="Q2342" s="137"/>
      <c r="R2342" s="126"/>
    </row>
    <row r="2343" spans="2:18" x14ac:dyDescent="0.3">
      <c r="B2343" s="126"/>
      <c r="G2343" s="137"/>
      <c r="H2343" s="138"/>
      <c r="I2343" s="138"/>
      <c r="J2343" s="139"/>
      <c r="K2343" s="137"/>
      <c r="L2343" s="137"/>
      <c r="P2343" s="137"/>
      <c r="Q2343" s="137"/>
      <c r="R2343" s="126"/>
    </row>
    <row r="2344" spans="2:18" x14ac:dyDescent="0.3">
      <c r="B2344" s="126"/>
      <c r="G2344" s="137"/>
      <c r="H2344" s="138"/>
      <c r="I2344" s="138"/>
      <c r="J2344" s="139"/>
      <c r="K2344" s="137"/>
      <c r="L2344" s="137"/>
      <c r="P2344" s="137"/>
      <c r="Q2344" s="137"/>
      <c r="R2344" s="126"/>
    </row>
    <row r="2345" spans="2:18" x14ac:dyDescent="0.3">
      <c r="B2345" s="126"/>
      <c r="G2345" s="137"/>
      <c r="H2345" s="138"/>
      <c r="I2345" s="138"/>
      <c r="J2345" s="139"/>
      <c r="K2345" s="137"/>
      <c r="L2345" s="137"/>
      <c r="P2345" s="137"/>
      <c r="Q2345" s="137"/>
      <c r="R2345" s="126"/>
    </row>
    <row r="2346" spans="2:18" x14ac:dyDescent="0.3">
      <c r="B2346" s="126"/>
      <c r="G2346" s="137"/>
      <c r="H2346" s="138"/>
      <c r="I2346" s="138"/>
      <c r="J2346" s="139"/>
      <c r="K2346" s="137"/>
      <c r="L2346" s="137"/>
      <c r="P2346" s="137"/>
      <c r="Q2346" s="137"/>
      <c r="R2346" s="126"/>
    </row>
    <row r="2347" spans="2:18" x14ac:dyDescent="0.3">
      <c r="B2347" s="126"/>
      <c r="G2347" s="137"/>
      <c r="H2347" s="138"/>
      <c r="I2347" s="138"/>
      <c r="J2347" s="139"/>
      <c r="K2347" s="137"/>
      <c r="L2347" s="137"/>
      <c r="P2347" s="137"/>
      <c r="Q2347" s="137"/>
      <c r="R2347" s="126"/>
    </row>
    <row r="2348" spans="2:18" x14ac:dyDescent="0.3">
      <c r="B2348" s="126"/>
      <c r="G2348" s="137"/>
      <c r="H2348" s="138"/>
      <c r="I2348" s="138"/>
      <c r="J2348" s="139"/>
      <c r="K2348" s="137"/>
      <c r="L2348" s="137"/>
      <c r="P2348" s="137"/>
      <c r="Q2348" s="137"/>
      <c r="R2348" s="126"/>
    </row>
    <row r="2349" spans="2:18" x14ac:dyDescent="0.3">
      <c r="B2349" s="126"/>
      <c r="G2349" s="137"/>
      <c r="H2349" s="138"/>
      <c r="I2349" s="138"/>
      <c r="J2349" s="139"/>
      <c r="K2349" s="137"/>
      <c r="L2349" s="137"/>
      <c r="P2349" s="137"/>
      <c r="Q2349" s="137"/>
      <c r="R2349" s="126"/>
    </row>
    <row r="2350" spans="2:18" x14ac:dyDescent="0.3">
      <c r="B2350" s="126"/>
      <c r="G2350" s="137"/>
      <c r="H2350" s="138"/>
      <c r="I2350" s="138"/>
      <c r="J2350" s="139"/>
      <c r="K2350" s="137"/>
      <c r="L2350" s="137"/>
      <c r="P2350" s="137"/>
      <c r="Q2350" s="137"/>
      <c r="R2350" s="126"/>
    </row>
    <row r="2351" spans="2:18" x14ac:dyDescent="0.3">
      <c r="B2351" s="126"/>
      <c r="G2351" s="137"/>
      <c r="H2351" s="138"/>
      <c r="I2351" s="138"/>
      <c r="J2351" s="139"/>
      <c r="K2351" s="137"/>
      <c r="L2351" s="137"/>
      <c r="P2351" s="137"/>
      <c r="Q2351" s="137"/>
      <c r="R2351" s="126"/>
    </row>
    <row r="2352" spans="2:18" x14ac:dyDescent="0.3">
      <c r="B2352" s="126"/>
      <c r="G2352" s="137"/>
      <c r="H2352" s="138"/>
      <c r="I2352" s="138"/>
      <c r="J2352" s="139"/>
      <c r="K2352" s="137"/>
      <c r="L2352" s="137"/>
      <c r="P2352" s="137"/>
      <c r="Q2352" s="137"/>
      <c r="R2352" s="126"/>
    </row>
    <row r="2353" spans="2:18" x14ac:dyDescent="0.3">
      <c r="B2353" s="126"/>
      <c r="G2353" s="137"/>
      <c r="H2353" s="138"/>
      <c r="I2353" s="138"/>
      <c r="J2353" s="139"/>
      <c r="K2353" s="137"/>
      <c r="L2353" s="137"/>
      <c r="P2353" s="137"/>
      <c r="Q2353" s="137"/>
      <c r="R2353" s="126"/>
    </row>
    <row r="2354" spans="2:18" x14ac:dyDescent="0.3">
      <c r="B2354" s="126"/>
      <c r="G2354" s="137"/>
      <c r="H2354" s="138"/>
      <c r="I2354" s="138"/>
      <c r="J2354" s="139"/>
      <c r="K2354" s="137"/>
      <c r="L2354" s="137"/>
      <c r="P2354" s="137"/>
      <c r="Q2354" s="137"/>
      <c r="R2354" s="126"/>
    </row>
    <row r="2355" spans="2:18" x14ac:dyDescent="0.3">
      <c r="B2355" s="126"/>
      <c r="G2355" s="137"/>
      <c r="H2355" s="138"/>
      <c r="I2355" s="138"/>
      <c r="J2355" s="139"/>
      <c r="K2355" s="137"/>
      <c r="L2355" s="137"/>
      <c r="P2355" s="137"/>
      <c r="Q2355" s="137"/>
      <c r="R2355" s="126"/>
    </row>
    <row r="2356" spans="2:18" x14ac:dyDescent="0.3">
      <c r="B2356" s="126"/>
      <c r="G2356" s="137"/>
      <c r="H2356" s="138"/>
      <c r="I2356" s="138"/>
      <c r="J2356" s="139"/>
      <c r="K2356" s="137"/>
      <c r="L2356" s="137"/>
      <c r="P2356" s="137"/>
      <c r="Q2356" s="137"/>
      <c r="R2356" s="126"/>
    </row>
    <row r="2357" spans="2:18" x14ac:dyDescent="0.3">
      <c r="B2357" s="126"/>
      <c r="G2357" s="137"/>
      <c r="H2357" s="138"/>
      <c r="I2357" s="138"/>
      <c r="J2357" s="139"/>
      <c r="K2357" s="137"/>
      <c r="L2357" s="137"/>
      <c r="P2357" s="137"/>
      <c r="Q2357" s="137"/>
      <c r="R2357" s="126"/>
    </row>
    <row r="2358" spans="2:18" x14ac:dyDescent="0.3">
      <c r="B2358" s="126"/>
      <c r="G2358" s="137"/>
      <c r="H2358" s="138"/>
      <c r="I2358" s="138"/>
      <c r="J2358" s="139"/>
      <c r="K2358" s="137"/>
      <c r="L2358" s="137"/>
      <c r="P2358" s="137"/>
      <c r="Q2358" s="137"/>
      <c r="R2358" s="126"/>
    </row>
    <row r="2359" spans="2:18" x14ac:dyDescent="0.3">
      <c r="B2359" s="126"/>
      <c r="G2359" s="137"/>
      <c r="H2359" s="138"/>
      <c r="I2359" s="138"/>
      <c r="J2359" s="139"/>
      <c r="K2359" s="137"/>
      <c r="L2359" s="137"/>
      <c r="P2359" s="137"/>
      <c r="Q2359" s="137"/>
      <c r="R2359" s="126"/>
    </row>
    <row r="2360" spans="2:18" x14ac:dyDescent="0.3">
      <c r="B2360" s="126"/>
      <c r="G2360" s="137"/>
      <c r="H2360" s="138"/>
      <c r="I2360" s="138"/>
      <c r="J2360" s="139"/>
      <c r="K2360" s="137"/>
      <c r="L2360" s="137"/>
      <c r="P2360" s="137"/>
      <c r="Q2360" s="137"/>
      <c r="R2360" s="126"/>
    </row>
    <row r="2361" spans="2:18" x14ac:dyDescent="0.3">
      <c r="B2361" s="126"/>
      <c r="G2361" s="137"/>
      <c r="H2361" s="138"/>
      <c r="I2361" s="138"/>
      <c r="J2361" s="139"/>
      <c r="K2361" s="137"/>
      <c r="L2361" s="137"/>
      <c r="P2361" s="137"/>
      <c r="Q2361" s="137"/>
      <c r="R2361" s="126"/>
    </row>
    <row r="2362" spans="2:18" x14ac:dyDescent="0.3">
      <c r="B2362" s="126"/>
      <c r="G2362" s="137"/>
      <c r="H2362" s="138"/>
      <c r="I2362" s="138"/>
      <c r="J2362" s="139"/>
      <c r="K2362" s="137"/>
      <c r="L2362" s="137"/>
      <c r="P2362" s="137"/>
      <c r="Q2362" s="137"/>
      <c r="R2362" s="126"/>
    </row>
    <row r="2363" spans="2:18" x14ac:dyDescent="0.3">
      <c r="B2363" s="126"/>
      <c r="G2363" s="137"/>
      <c r="H2363" s="138"/>
      <c r="I2363" s="138"/>
      <c r="J2363" s="139"/>
      <c r="K2363" s="137"/>
      <c r="L2363" s="137"/>
      <c r="P2363" s="137"/>
      <c r="Q2363" s="137"/>
      <c r="R2363" s="126"/>
    </row>
    <row r="2364" spans="2:18" x14ac:dyDescent="0.3">
      <c r="B2364" s="126"/>
      <c r="G2364" s="137"/>
      <c r="H2364" s="138"/>
      <c r="I2364" s="138"/>
      <c r="J2364" s="139"/>
      <c r="K2364" s="137"/>
      <c r="L2364" s="137"/>
      <c r="P2364" s="137"/>
      <c r="Q2364" s="137"/>
      <c r="R2364" s="126"/>
    </row>
    <row r="2365" spans="2:18" x14ac:dyDescent="0.3">
      <c r="B2365" s="126"/>
      <c r="G2365" s="137"/>
      <c r="H2365" s="138"/>
      <c r="I2365" s="138"/>
      <c r="J2365" s="139"/>
      <c r="K2365" s="137"/>
      <c r="L2365" s="137"/>
      <c r="P2365" s="137"/>
      <c r="Q2365" s="137"/>
      <c r="R2365" s="126"/>
    </row>
    <row r="2366" spans="2:18" x14ac:dyDescent="0.3">
      <c r="B2366" s="126"/>
      <c r="G2366" s="137"/>
      <c r="H2366" s="138"/>
      <c r="I2366" s="138"/>
      <c r="J2366" s="139"/>
      <c r="K2366" s="137"/>
      <c r="L2366" s="137"/>
      <c r="P2366" s="137"/>
      <c r="Q2366" s="137"/>
      <c r="R2366" s="126"/>
    </row>
    <row r="2367" spans="2:18" x14ac:dyDescent="0.3">
      <c r="B2367" s="126"/>
      <c r="G2367" s="137"/>
      <c r="H2367" s="138"/>
      <c r="I2367" s="138"/>
      <c r="J2367" s="139"/>
      <c r="K2367" s="137"/>
      <c r="L2367" s="137"/>
      <c r="P2367" s="137"/>
      <c r="Q2367" s="137"/>
      <c r="R2367" s="126"/>
    </row>
    <row r="2368" spans="2:18" x14ac:dyDescent="0.3">
      <c r="B2368" s="126"/>
      <c r="G2368" s="137"/>
      <c r="H2368" s="138"/>
      <c r="I2368" s="138"/>
      <c r="J2368" s="139"/>
      <c r="K2368" s="137"/>
      <c r="L2368" s="137"/>
      <c r="P2368" s="137"/>
      <c r="Q2368" s="137"/>
      <c r="R2368" s="126"/>
    </row>
    <row r="2369" spans="2:18" x14ac:dyDescent="0.3">
      <c r="B2369" s="126"/>
      <c r="G2369" s="137"/>
      <c r="H2369" s="138"/>
      <c r="I2369" s="138"/>
      <c r="J2369" s="139"/>
      <c r="K2369" s="137"/>
      <c r="L2369" s="137"/>
      <c r="P2369" s="137"/>
      <c r="Q2369" s="137"/>
      <c r="R2369" s="126"/>
    </row>
    <row r="2370" spans="2:18" x14ac:dyDescent="0.3">
      <c r="B2370" s="126"/>
      <c r="G2370" s="137"/>
      <c r="H2370" s="138"/>
      <c r="I2370" s="138"/>
      <c r="J2370" s="139"/>
      <c r="K2370" s="137"/>
      <c r="L2370" s="137"/>
      <c r="P2370" s="137"/>
      <c r="Q2370" s="137"/>
      <c r="R2370" s="126"/>
    </row>
    <row r="2371" spans="2:18" x14ac:dyDescent="0.3">
      <c r="B2371" s="126"/>
      <c r="G2371" s="137"/>
      <c r="H2371" s="138"/>
      <c r="I2371" s="138"/>
      <c r="J2371" s="139"/>
      <c r="K2371" s="137"/>
      <c r="L2371" s="137"/>
      <c r="P2371" s="137"/>
      <c r="Q2371" s="137"/>
      <c r="R2371" s="126"/>
    </row>
    <row r="2372" spans="2:18" x14ac:dyDescent="0.3">
      <c r="B2372" s="126"/>
      <c r="G2372" s="137"/>
      <c r="H2372" s="138"/>
      <c r="I2372" s="138"/>
      <c r="J2372" s="139"/>
      <c r="K2372" s="137"/>
      <c r="L2372" s="137"/>
      <c r="P2372" s="137"/>
      <c r="Q2372" s="137"/>
      <c r="R2372" s="126"/>
    </row>
    <row r="2373" spans="2:18" x14ac:dyDescent="0.3">
      <c r="B2373" s="126"/>
      <c r="G2373" s="137"/>
      <c r="H2373" s="138"/>
      <c r="I2373" s="138"/>
      <c r="J2373" s="139"/>
      <c r="K2373" s="137"/>
      <c r="L2373" s="137"/>
      <c r="P2373" s="137"/>
      <c r="Q2373" s="137"/>
      <c r="R2373" s="126"/>
    </row>
    <row r="2374" spans="2:18" x14ac:dyDescent="0.3">
      <c r="B2374" s="126"/>
      <c r="G2374" s="137"/>
      <c r="H2374" s="138"/>
      <c r="I2374" s="138"/>
      <c r="J2374" s="139"/>
      <c r="K2374" s="137"/>
      <c r="L2374" s="137"/>
      <c r="P2374" s="137"/>
      <c r="Q2374" s="137"/>
      <c r="R2374" s="126"/>
    </row>
    <row r="2375" spans="2:18" x14ac:dyDescent="0.3">
      <c r="B2375" s="126"/>
      <c r="G2375" s="137"/>
      <c r="H2375" s="138"/>
      <c r="I2375" s="138"/>
      <c r="J2375" s="139"/>
      <c r="K2375" s="137"/>
      <c r="L2375" s="137"/>
      <c r="P2375" s="137"/>
      <c r="Q2375" s="137"/>
      <c r="R2375" s="126"/>
    </row>
    <row r="2376" spans="2:18" x14ac:dyDescent="0.3">
      <c r="B2376" s="126"/>
      <c r="G2376" s="137"/>
      <c r="H2376" s="138"/>
      <c r="I2376" s="138"/>
      <c r="J2376" s="139"/>
      <c r="K2376" s="137"/>
      <c r="L2376" s="137"/>
      <c r="P2376" s="137"/>
      <c r="Q2376" s="137"/>
      <c r="R2376" s="126"/>
    </row>
    <row r="2377" spans="2:18" x14ac:dyDescent="0.3">
      <c r="B2377" s="126"/>
      <c r="G2377" s="137"/>
      <c r="H2377" s="138"/>
      <c r="I2377" s="138"/>
      <c r="J2377" s="139"/>
      <c r="K2377" s="137"/>
      <c r="L2377" s="137"/>
      <c r="P2377" s="137"/>
      <c r="Q2377" s="137"/>
      <c r="R2377" s="126"/>
    </row>
    <row r="2378" spans="2:18" x14ac:dyDescent="0.3">
      <c r="B2378" s="126"/>
      <c r="G2378" s="137"/>
      <c r="H2378" s="138"/>
      <c r="I2378" s="138"/>
      <c r="J2378" s="139"/>
      <c r="K2378" s="137"/>
      <c r="L2378" s="137"/>
      <c r="P2378" s="137"/>
      <c r="Q2378" s="137"/>
      <c r="R2378" s="126"/>
    </row>
    <row r="2379" spans="2:18" x14ac:dyDescent="0.3">
      <c r="B2379" s="126"/>
      <c r="G2379" s="137"/>
      <c r="H2379" s="138"/>
      <c r="I2379" s="138"/>
      <c r="J2379" s="139"/>
      <c r="K2379" s="137"/>
      <c r="L2379" s="137"/>
      <c r="P2379" s="137"/>
      <c r="Q2379" s="137"/>
      <c r="R2379" s="126"/>
    </row>
    <row r="2380" spans="2:18" x14ac:dyDescent="0.3">
      <c r="B2380" s="126"/>
      <c r="G2380" s="137"/>
      <c r="H2380" s="138"/>
      <c r="I2380" s="138"/>
      <c r="J2380" s="139"/>
      <c r="K2380" s="137"/>
      <c r="L2380" s="137"/>
      <c r="P2380" s="137"/>
      <c r="Q2380" s="137"/>
      <c r="R2380" s="126"/>
    </row>
    <row r="2381" spans="2:18" x14ac:dyDescent="0.3">
      <c r="B2381" s="126"/>
      <c r="G2381" s="137"/>
      <c r="H2381" s="138"/>
      <c r="I2381" s="138"/>
      <c r="J2381" s="139"/>
      <c r="K2381" s="137"/>
      <c r="L2381" s="137"/>
      <c r="P2381" s="137"/>
      <c r="Q2381" s="137"/>
      <c r="R2381" s="126"/>
    </row>
    <row r="2382" spans="2:18" x14ac:dyDescent="0.3">
      <c r="B2382" s="126"/>
      <c r="G2382" s="137"/>
      <c r="H2382" s="138"/>
      <c r="I2382" s="138"/>
      <c r="J2382" s="139"/>
      <c r="K2382" s="137"/>
      <c r="L2382" s="137"/>
      <c r="P2382" s="137"/>
      <c r="Q2382" s="137"/>
      <c r="R2382" s="126"/>
    </row>
    <row r="2383" spans="2:18" x14ac:dyDescent="0.3">
      <c r="B2383" s="126"/>
      <c r="G2383" s="137"/>
      <c r="H2383" s="138"/>
      <c r="I2383" s="138"/>
      <c r="J2383" s="139"/>
      <c r="K2383" s="137"/>
      <c r="L2383" s="137"/>
      <c r="P2383" s="137"/>
      <c r="Q2383" s="137"/>
      <c r="R2383" s="126"/>
    </row>
    <row r="2384" spans="2:18" x14ac:dyDescent="0.3">
      <c r="B2384" s="126"/>
      <c r="G2384" s="137"/>
      <c r="H2384" s="138"/>
      <c r="I2384" s="138"/>
      <c r="J2384" s="139"/>
      <c r="K2384" s="137"/>
      <c r="L2384" s="137"/>
      <c r="P2384" s="137"/>
      <c r="Q2384" s="137"/>
      <c r="R2384" s="126"/>
    </row>
    <row r="2385" spans="2:18" x14ac:dyDescent="0.3">
      <c r="B2385" s="126"/>
      <c r="G2385" s="137"/>
      <c r="H2385" s="138"/>
      <c r="I2385" s="138"/>
      <c r="J2385" s="139"/>
      <c r="K2385" s="137"/>
      <c r="L2385" s="137"/>
      <c r="P2385" s="137"/>
      <c r="Q2385" s="137"/>
      <c r="R2385" s="126"/>
    </row>
    <row r="2386" spans="2:18" x14ac:dyDescent="0.3">
      <c r="B2386" s="126"/>
      <c r="G2386" s="137"/>
      <c r="H2386" s="138"/>
      <c r="I2386" s="138"/>
      <c r="J2386" s="139"/>
      <c r="K2386" s="137"/>
      <c r="L2386" s="137"/>
      <c r="P2386" s="137"/>
      <c r="Q2386" s="137"/>
      <c r="R2386" s="126"/>
    </row>
    <row r="2387" spans="2:18" x14ac:dyDescent="0.3">
      <c r="B2387" s="126"/>
      <c r="G2387" s="137"/>
      <c r="H2387" s="138"/>
      <c r="I2387" s="138"/>
      <c r="J2387" s="139"/>
      <c r="K2387" s="137"/>
      <c r="L2387" s="137"/>
      <c r="P2387" s="137"/>
      <c r="Q2387" s="137"/>
      <c r="R2387" s="126"/>
    </row>
    <row r="2388" spans="2:18" x14ac:dyDescent="0.3">
      <c r="B2388" s="126"/>
      <c r="G2388" s="137"/>
      <c r="H2388" s="138"/>
      <c r="I2388" s="138"/>
      <c r="J2388" s="139"/>
      <c r="K2388" s="137"/>
      <c r="L2388" s="137"/>
      <c r="P2388" s="137"/>
      <c r="Q2388" s="137"/>
      <c r="R2388" s="126"/>
    </row>
    <row r="2389" spans="2:18" x14ac:dyDescent="0.3">
      <c r="B2389" s="126"/>
      <c r="G2389" s="137"/>
      <c r="H2389" s="138"/>
      <c r="I2389" s="138"/>
      <c r="J2389" s="139"/>
      <c r="K2389" s="137"/>
      <c r="L2389" s="137"/>
      <c r="P2389" s="137"/>
      <c r="Q2389" s="137"/>
      <c r="R2389" s="126"/>
    </row>
    <row r="2390" spans="2:18" x14ac:dyDescent="0.3">
      <c r="B2390" s="126"/>
      <c r="G2390" s="137"/>
      <c r="H2390" s="138"/>
      <c r="I2390" s="138"/>
      <c r="J2390" s="139"/>
      <c r="K2390" s="137"/>
      <c r="L2390" s="137"/>
      <c r="P2390" s="137"/>
      <c r="Q2390" s="137"/>
      <c r="R2390" s="126"/>
    </row>
    <row r="2391" spans="2:18" x14ac:dyDescent="0.3">
      <c r="B2391" s="126"/>
      <c r="G2391" s="137"/>
      <c r="H2391" s="138"/>
      <c r="I2391" s="138"/>
      <c r="J2391" s="139"/>
      <c r="K2391" s="137"/>
      <c r="L2391" s="137"/>
      <c r="P2391" s="137"/>
      <c r="Q2391" s="137"/>
      <c r="R2391" s="126"/>
    </row>
    <row r="2392" spans="2:18" x14ac:dyDescent="0.3">
      <c r="B2392" s="126"/>
      <c r="G2392" s="137"/>
      <c r="H2392" s="138"/>
      <c r="I2392" s="138"/>
      <c r="J2392" s="139"/>
      <c r="K2392" s="137"/>
      <c r="L2392" s="137"/>
      <c r="P2392" s="137"/>
      <c r="Q2392" s="137"/>
      <c r="R2392" s="126"/>
    </row>
    <row r="2393" spans="2:18" x14ac:dyDescent="0.3">
      <c r="B2393" s="126"/>
      <c r="G2393" s="137"/>
      <c r="H2393" s="138"/>
      <c r="I2393" s="138"/>
      <c r="J2393" s="139"/>
      <c r="K2393" s="137"/>
      <c r="L2393" s="137"/>
      <c r="P2393" s="137"/>
      <c r="Q2393" s="137"/>
      <c r="R2393" s="126"/>
    </row>
    <row r="2394" spans="2:18" x14ac:dyDescent="0.3">
      <c r="B2394" s="126"/>
      <c r="G2394" s="137"/>
      <c r="H2394" s="138"/>
      <c r="I2394" s="138"/>
      <c r="J2394" s="139"/>
      <c r="K2394" s="137"/>
      <c r="L2394" s="137"/>
      <c r="P2394" s="137"/>
      <c r="Q2394" s="137"/>
      <c r="R2394" s="126"/>
    </row>
    <row r="2395" spans="2:18" x14ac:dyDescent="0.3">
      <c r="B2395" s="126"/>
      <c r="G2395" s="137"/>
      <c r="H2395" s="138"/>
      <c r="I2395" s="138"/>
      <c r="J2395" s="139"/>
      <c r="K2395" s="137"/>
      <c r="L2395" s="137"/>
      <c r="P2395" s="137"/>
      <c r="Q2395" s="137"/>
      <c r="R2395" s="126"/>
    </row>
    <row r="2396" spans="2:18" x14ac:dyDescent="0.3">
      <c r="B2396" s="126"/>
      <c r="G2396" s="137"/>
      <c r="H2396" s="138"/>
      <c r="I2396" s="138"/>
      <c r="J2396" s="139"/>
      <c r="K2396" s="137"/>
      <c r="L2396" s="137"/>
      <c r="P2396" s="137"/>
      <c r="Q2396" s="137"/>
      <c r="R2396" s="126"/>
    </row>
    <row r="2397" spans="2:18" x14ac:dyDescent="0.3">
      <c r="B2397" s="126"/>
      <c r="G2397" s="137"/>
      <c r="H2397" s="138"/>
      <c r="I2397" s="138"/>
      <c r="J2397" s="139"/>
      <c r="K2397" s="137"/>
      <c r="L2397" s="137"/>
      <c r="P2397" s="137"/>
      <c r="Q2397" s="137"/>
      <c r="R2397" s="126"/>
    </row>
    <row r="2398" spans="2:18" x14ac:dyDescent="0.3">
      <c r="B2398" s="126"/>
      <c r="G2398" s="137"/>
      <c r="H2398" s="138"/>
      <c r="I2398" s="138"/>
      <c r="J2398" s="139"/>
      <c r="K2398" s="137"/>
      <c r="L2398" s="137"/>
      <c r="P2398" s="137"/>
      <c r="Q2398" s="137"/>
      <c r="R2398" s="126"/>
    </row>
    <row r="2399" spans="2:18" x14ac:dyDescent="0.3">
      <c r="B2399" s="126"/>
      <c r="G2399" s="137"/>
      <c r="H2399" s="138"/>
      <c r="I2399" s="138"/>
      <c r="J2399" s="139"/>
      <c r="K2399" s="137"/>
      <c r="L2399" s="137"/>
      <c r="P2399" s="137"/>
      <c r="Q2399" s="137"/>
      <c r="R2399" s="126"/>
    </row>
    <row r="2400" spans="2:18" x14ac:dyDescent="0.3">
      <c r="B2400" s="126"/>
      <c r="G2400" s="137"/>
      <c r="H2400" s="138"/>
      <c r="I2400" s="138"/>
      <c r="J2400" s="139"/>
      <c r="K2400" s="137"/>
      <c r="L2400" s="137"/>
      <c r="P2400" s="137"/>
      <c r="Q2400" s="137"/>
      <c r="R2400" s="126"/>
    </row>
    <row r="2401" spans="2:18" x14ac:dyDescent="0.3">
      <c r="B2401" s="126"/>
      <c r="G2401" s="137"/>
      <c r="H2401" s="138"/>
      <c r="I2401" s="138"/>
      <c r="J2401" s="139"/>
      <c r="K2401" s="137"/>
      <c r="L2401" s="137"/>
      <c r="P2401" s="137"/>
      <c r="Q2401" s="137"/>
      <c r="R2401" s="126"/>
    </row>
    <row r="2402" spans="2:18" x14ac:dyDescent="0.3">
      <c r="B2402" s="126"/>
      <c r="G2402" s="137"/>
      <c r="H2402" s="138"/>
      <c r="I2402" s="138"/>
      <c r="J2402" s="139"/>
      <c r="K2402" s="137"/>
      <c r="L2402" s="137"/>
      <c r="P2402" s="137"/>
      <c r="Q2402" s="137"/>
      <c r="R2402" s="126"/>
    </row>
    <row r="2403" spans="2:18" x14ac:dyDescent="0.3">
      <c r="B2403" s="126"/>
      <c r="G2403" s="137"/>
      <c r="H2403" s="138"/>
      <c r="I2403" s="138"/>
      <c r="J2403" s="139"/>
      <c r="K2403" s="137"/>
      <c r="L2403" s="137"/>
      <c r="P2403" s="137"/>
      <c r="Q2403" s="137"/>
      <c r="R2403" s="126"/>
    </row>
    <row r="2404" spans="2:18" x14ac:dyDescent="0.3">
      <c r="B2404" s="126"/>
      <c r="G2404" s="137"/>
      <c r="H2404" s="138"/>
      <c r="I2404" s="138"/>
      <c r="J2404" s="139"/>
      <c r="K2404" s="137"/>
      <c r="L2404" s="137"/>
      <c r="P2404" s="137"/>
      <c r="Q2404" s="137"/>
      <c r="R2404" s="126"/>
    </row>
    <row r="2405" spans="2:18" x14ac:dyDescent="0.3">
      <c r="B2405" s="126"/>
      <c r="G2405" s="137"/>
      <c r="H2405" s="138"/>
      <c r="I2405" s="138"/>
      <c r="J2405" s="139"/>
      <c r="K2405" s="137"/>
      <c r="L2405" s="137"/>
      <c r="P2405" s="137"/>
      <c r="Q2405" s="137"/>
      <c r="R2405" s="126"/>
    </row>
    <row r="2406" spans="2:18" x14ac:dyDescent="0.3">
      <c r="B2406" s="126"/>
      <c r="G2406" s="137"/>
      <c r="H2406" s="138"/>
      <c r="I2406" s="138"/>
      <c r="J2406" s="139"/>
      <c r="K2406" s="137"/>
      <c r="L2406" s="137"/>
      <c r="P2406" s="137"/>
      <c r="Q2406" s="137"/>
      <c r="R2406" s="126"/>
    </row>
    <row r="2407" spans="2:18" x14ac:dyDescent="0.3">
      <c r="B2407" s="126"/>
      <c r="G2407" s="137"/>
      <c r="H2407" s="138"/>
      <c r="I2407" s="138"/>
      <c r="J2407" s="139"/>
      <c r="K2407" s="137"/>
      <c r="L2407" s="137"/>
      <c r="P2407" s="137"/>
      <c r="Q2407" s="137"/>
      <c r="R2407" s="126"/>
    </row>
    <row r="2408" spans="2:18" x14ac:dyDescent="0.3">
      <c r="B2408" s="126"/>
      <c r="G2408" s="137"/>
      <c r="H2408" s="138"/>
      <c r="I2408" s="138"/>
      <c r="J2408" s="139"/>
      <c r="K2408" s="137"/>
      <c r="L2408" s="137"/>
      <c r="P2408" s="137"/>
      <c r="Q2408" s="137"/>
      <c r="R2408" s="126"/>
    </row>
    <row r="2409" spans="2:18" x14ac:dyDescent="0.3">
      <c r="B2409" s="126"/>
      <c r="G2409" s="137"/>
      <c r="H2409" s="138"/>
      <c r="I2409" s="138"/>
      <c r="J2409" s="139"/>
      <c r="K2409" s="137"/>
      <c r="L2409" s="137"/>
      <c r="P2409" s="137"/>
      <c r="Q2409" s="137"/>
      <c r="R2409" s="126"/>
    </row>
    <row r="2410" spans="2:18" x14ac:dyDescent="0.3">
      <c r="B2410" s="126"/>
      <c r="G2410" s="137"/>
      <c r="H2410" s="138"/>
      <c r="I2410" s="138"/>
      <c r="J2410" s="139"/>
      <c r="K2410" s="137"/>
      <c r="L2410" s="137"/>
      <c r="P2410" s="137"/>
      <c r="Q2410" s="137"/>
      <c r="R2410" s="126"/>
    </row>
    <row r="2411" spans="2:18" x14ac:dyDescent="0.3">
      <c r="B2411" s="126"/>
      <c r="G2411" s="137"/>
      <c r="H2411" s="138"/>
      <c r="I2411" s="138"/>
      <c r="J2411" s="139"/>
      <c r="K2411" s="137"/>
      <c r="L2411" s="137"/>
      <c r="P2411" s="137"/>
      <c r="Q2411" s="137"/>
      <c r="R2411" s="126"/>
    </row>
    <row r="2412" spans="2:18" x14ac:dyDescent="0.3">
      <c r="B2412" s="126"/>
      <c r="G2412" s="137"/>
      <c r="H2412" s="138"/>
      <c r="I2412" s="138"/>
      <c r="J2412" s="139"/>
      <c r="K2412" s="137"/>
      <c r="L2412" s="137"/>
      <c r="P2412" s="137"/>
      <c r="Q2412" s="137"/>
      <c r="R2412" s="126"/>
    </row>
    <row r="2413" spans="2:18" x14ac:dyDescent="0.3">
      <c r="B2413" s="126"/>
      <c r="G2413" s="137"/>
      <c r="H2413" s="138"/>
      <c r="I2413" s="138"/>
      <c r="J2413" s="139"/>
      <c r="K2413" s="137"/>
      <c r="L2413" s="137"/>
      <c r="P2413" s="137"/>
      <c r="Q2413" s="137"/>
      <c r="R2413" s="126"/>
    </row>
    <row r="2414" spans="2:18" x14ac:dyDescent="0.3">
      <c r="B2414" s="126"/>
      <c r="G2414" s="137"/>
      <c r="H2414" s="138"/>
      <c r="I2414" s="138"/>
      <c r="J2414" s="139"/>
      <c r="K2414" s="137"/>
      <c r="L2414" s="137"/>
      <c r="P2414" s="137"/>
      <c r="Q2414" s="137"/>
      <c r="R2414" s="126"/>
    </row>
    <row r="2415" spans="2:18" x14ac:dyDescent="0.3">
      <c r="B2415" s="126"/>
      <c r="G2415" s="137"/>
      <c r="H2415" s="138"/>
      <c r="I2415" s="138"/>
      <c r="J2415" s="139"/>
      <c r="K2415" s="137"/>
      <c r="L2415" s="137"/>
      <c r="P2415" s="137"/>
      <c r="Q2415" s="137"/>
      <c r="R2415" s="126"/>
    </row>
    <row r="2416" spans="2:18" x14ac:dyDescent="0.3">
      <c r="B2416" s="126"/>
      <c r="G2416" s="137"/>
      <c r="H2416" s="138"/>
      <c r="I2416" s="138"/>
      <c r="J2416" s="139"/>
      <c r="K2416" s="137"/>
      <c r="L2416" s="137"/>
      <c r="P2416" s="137"/>
      <c r="Q2416" s="137"/>
      <c r="R2416" s="126"/>
    </row>
    <row r="2417" spans="2:18" x14ac:dyDescent="0.3">
      <c r="B2417" s="126"/>
      <c r="G2417" s="137"/>
      <c r="H2417" s="138"/>
      <c r="I2417" s="138"/>
      <c r="J2417" s="139"/>
      <c r="K2417" s="137"/>
      <c r="L2417" s="137"/>
      <c r="P2417" s="137"/>
      <c r="Q2417" s="137"/>
      <c r="R2417" s="126"/>
    </row>
    <row r="2418" spans="2:18" x14ac:dyDescent="0.3">
      <c r="B2418" s="126"/>
      <c r="G2418" s="137"/>
      <c r="H2418" s="138"/>
      <c r="I2418" s="138"/>
      <c r="J2418" s="139"/>
      <c r="K2418" s="137"/>
      <c r="L2418" s="137"/>
      <c r="P2418" s="137"/>
      <c r="Q2418" s="137"/>
      <c r="R2418" s="126"/>
    </row>
    <row r="2419" spans="2:18" x14ac:dyDescent="0.3">
      <c r="B2419" s="126"/>
      <c r="G2419" s="137"/>
      <c r="H2419" s="138"/>
      <c r="I2419" s="138"/>
      <c r="J2419" s="139"/>
      <c r="K2419" s="137"/>
      <c r="L2419" s="137"/>
      <c r="P2419" s="137"/>
      <c r="Q2419" s="137"/>
      <c r="R2419" s="126"/>
    </row>
    <row r="2420" spans="2:18" x14ac:dyDescent="0.3">
      <c r="B2420" s="126"/>
      <c r="G2420" s="137"/>
      <c r="H2420" s="138"/>
      <c r="I2420" s="138"/>
      <c r="J2420" s="139"/>
      <c r="K2420" s="137"/>
      <c r="L2420" s="137"/>
      <c r="P2420" s="137"/>
      <c r="Q2420" s="137"/>
      <c r="R2420" s="126"/>
    </row>
    <row r="2421" spans="2:18" x14ac:dyDescent="0.3">
      <c r="B2421" s="126"/>
      <c r="G2421" s="137"/>
      <c r="H2421" s="138"/>
      <c r="I2421" s="138"/>
      <c r="J2421" s="139"/>
      <c r="K2421" s="137"/>
      <c r="L2421" s="137"/>
      <c r="P2421" s="137"/>
      <c r="Q2421" s="137"/>
      <c r="R2421" s="126"/>
    </row>
    <row r="2422" spans="2:18" x14ac:dyDescent="0.3">
      <c r="B2422" s="126"/>
      <c r="G2422" s="137"/>
      <c r="H2422" s="138"/>
      <c r="I2422" s="138"/>
      <c r="J2422" s="139"/>
      <c r="K2422" s="137"/>
      <c r="L2422" s="137"/>
      <c r="P2422" s="137"/>
      <c r="Q2422" s="137"/>
      <c r="R2422" s="126"/>
    </row>
    <row r="2423" spans="2:18" x14ac:dyDescent="0.3">
      <c r="B2423" s="126"/>
      <c r="G2423" s="137"/>
      <c r="H2423" s="138"/>
      <c r="I2423" s="138"/>
      <c r="J2423" s="139"/>
      <c r="K2423" s="137"/>
      <c r="L2423" s="137"/>
      <c r="P2423" s="137"/>
      <c r="Q2423" s="137"/>
      <c r="R2423" s="126"/>
    </row>
    <row r="2424" spans="2:18" x14ac:dyDescent="0.3">
      <c r="B2424" s="126"/>
      <c r="G2424" s="137"/>
      <c r="H2424" s="138"/>
      <c r="I2424" s="138"/>
      <c r="J2424" s="139"/>
      <c r="K2424" s="137"/>
      <c r="L2424" s="137"/>
      <c r="P2424" s="137"/>
      <c r="Q2424" s="137"/>
      <c r="R2424" s="126"/>
    </row>
    <row r="2425" spans="2:18" x14ac:dyDescent="0.3">
      <c r="B2425" s="126"/>
      <c r="G2425" s="137"/>
      <c r="H2425" s="138"/>
      <c r="I2425" s="138"/>
      <c r="J2425" s="139"/>
      <c r="K2425" s="137"/>
      <c r="L2425" s="137"/>
      <c r="P2425" s="137"/>
      <c r="Q2425" s="137"/>
      <c r="R2425" s="126"/>
    </row>
    <row r="2426" spans="2:18" x14ac:dyDescent="0.3">
      <c r="B2426" s="126"/>
      <c r="G2426" s="137"/>
      <c r="H2426" s="138"/>
      <c r="I2426" s="138"/>
      <c r="J2426" s="139"/>
      <c r="K2426" s="137"/>
      <c r="L2426" s="137"/>
      <c r="P2426" s="137"/>
      <c r="Q2426" s="137"/>
      <c r="R2426" s="126"/>
    </row>
    <row r="2427" spans="2:18" x14ac:dyDescent="0.3">
      <c r="B2427" s="126"/>
      <c r="G2427" s="137"/>
      <c r="H2427" s="138"/>
      <c r="I2427" s="138"/>
      <c r="J2427" s="139"/>
      <c r="K2427" s="137"/>
      <c r="L2427" s="137"/>
      <c r="P2427" s="137"/>
      <c r="Q2427" s="137"/>
      <c r="R2427" s="126"/>
    </row>
    <row r="2428" spans="2:18" x14ac:dyDescent="0.3">
      <c r="B2428" s="126"/>
      <c r="G2428" s="137"/>
      <c r="H2428" s="138"/>
      <c r="I2428" s="138"/>
      <c r="J2428" s="139"/>
      <c r="K2428" s="137"/>
      <c r="L2428" s="137"/>
      <c r="P2428" s="137"/>
      <c r="Q2428" s="137"/>
      <c r="R2428" s="126"/>
    </row>
    <row r="2429" spans="2:18" x14ac:dyDescent="0.3">
      <c r="B2429" s="126"/>
      <c r="G2429" s="137"/>
      <c r="H2429" s="138"/>
      <c r="I2429" s="138"/>
      <c r="J2429" s="139"/>
      <c r="K2429" s="137"/>
      <c r="L2429" s="137"/>
      <c r="P2429" s="137"/>
      <c r="Q2429" s="137"/>
      <c r="R2429" s="126"/>
    </row>
    <row r="2430" spans="2:18" x14ac:dyDescent="0.3">
      <c r="B2430" s="126"/>
      <c r="G2430" s="137"/>
      <c r="H2430" s="138"/>
      <c r="I2430" s="138"/>
      <c r="J2430" s="139"/>
      <c r="K2430" s="137"/>
      <c r="L2430" s="137"/>
      <c r="P2430" s="137"/>
      <c r="Q2430" s="137"/>
      <c r="R2430" s="126"/>
    </row>
    <row r="2431" spans="2:18" x14ac:dyDescent="0.3">
      <c r="B2431" s="126"/>
      <c r="G2431" s="137"/>
      <c r="H2431" s="138"/>
      <c r="I2431" s="138"/>
      <c r="J2431" s="139"/>
      <c r="K2431" s="137"/>
      <c r="L2431" s="137"/>
      <c r="P2431" s="137"/>
      <c r="Q2431" s="137"/>
      <c r="R2431" s="126"/>
    </row>
    <row r="2432" spans="2:18" x14ac:dyDescent="0.3">
      <c r="B2432" s="126"/>
      <c r="G2432" s="137"/>
      <c r="H2432" s="138"/>
      <c r="I2432" s="138"/>
      <c r="J2432" s="139"/>
      <c r="K2432" s="137"/>
      <c r="L2432" s="137"/>
      <c r="P2432" s="137"/>
      <c r="Q2432" s="137"/>
      <c r="R2432" s="126"/>
    </row>
    <row r="2433" spans="2:18" x14ac:dyDescent="0.3">
      <c r="B2433" s="126"/>
      <c r="G2433" s="137"/>
      <c r="H2433" s="138"/>
      <c r="I2433" s="138"/>
      <c r="J2433" s="139"/>
      <c r="K2433" s="137"/>
      <c r="L2433" s="137"/>
      <c r="P2433" s="137"/>
      <c r="Q2433" s="137"/>
      <c r="R2433" s="126"/>
    </row>
    <row r="2434" spans="2:18" x14ac:dyDescent="0.3">
      <c r="B2434" s="126"/>
      <c r="G2434" s="137"/>
      <c r="H2434" s="138"/>
      <c r="I2434" s="138"/>
      <c r="J2434" s="139"/>
      <c r="K2434" s="137"/>
      <c r="L2434" s="137"/>
      <c r="P2434" s="137"/>
      <c r="Q2434" s="137"/>
      <c r="R2434" s="126"/>
    </row>
    <row r="2435" spans="2:18" x14ac:dyDescent="0.3">
      <c r="B2435" s="126"/>
      <c r="G2435" s="137"/>
      <c r="H2435" s="138"/>
      <c r="I2435" s="138"/>
      <c r="J2435" s="139"/>
      <c r="K2435" s="137"/>
      <c r="L2435" s="137"/>
      <c r="P2435" s="137"/>
      <c r="Q2435" s="137"/>
      <c r="R2435" s="126"/>
    </row>
    <row r="2436" spans="2:18" x14ac:dyDescent="0.3">
      <c r="B2436" s="126"/>
      <c r="G2436" s="137"/>
      <c r="H2436" s="138"/>
      <c r="I2436" s="138"/>
      <c r="J2436" s="139"/>
      <c r="K2436" s="137"/>
      <c r="L2436" s="137"/>
      <c r="P2436" s="137"/>
      <c r="Q2436" s="137"/>
      <c r="R2436" s="126"/>
    </row>
    <row r="2437" spans="2:18" x14ac:dyDescent="0.3">
      <c r="B2437" s="126"/>
      <c r="G2437" s="137"/>
      <c r="H2437" s="138"/>
      <c r="I2437" s="138"/>
      <c r="J2437" s="139"/>
      <c r="K2437" s="137"/>
      <c r="L2437" s="137"/>
      <c r="P2437" s="137"/>
      <c r="Q2437" s="137"/>
      <c r="R2437" s="126"/>
    </row>
    <row r="2438" spans="2:18" x14ac:dyDescent="0.3">
      <c r="B2438" s="126"/>
      <c r="G2438" s="137"/>
      <c r="H2438" s="138"/>
      <c r="I2438" s="138"/>
      <c r="J2438" s="139"/>
      <c r="K2438" s="137"/>
      <c r="L2438" s="137"/>
      <c r="P2438" s="137"/>
      <c r="Q2438" s="137"/>
      <c r="R2438" s="126"/>
    </row>
    <row r="2439" spans="2:18" x14ac:dyDescent="0.3">
      <c r="B2439" s="126"/>
      <c r="G2439" s="137"/>
      <c r="H2439" s="138"/>
      <c r="I2439" s="138"/>
      <c r="J2439" s="139"/>
      <c r="K2439" s="137"/>
      <c r="L2439" s="137"/>
      <c r="P2439" s="137"/>
      <c r="Q2439" s="137"/>
      <c r="R2439" s="126"/>
    </row>
    <row r="2440" spans="2:18" x14ac:dyDescent="0.3">
      <c r="B2440" s="126"/>
      <c r="G2440" s="137"/>
      <c r="H2440" s="138"/>
      <c r="I2440" s="138"/>
      <c r="J2440" s="139"/>
      <c r="K2440" s="137"/>
      <c r="L2440" s="137"/>
      <c r="P2440" s="137"/>
      <c r="Q2440" s="137"/>
      <c r="R2440" s="126"/>
    </row>
    <row r="2441" spans="2:18" x14ac:dyDescent="0.3">
      <c r="B2441" s="126"/>
      <c r="G2441" s="137"/>
      <c r="H2441" s="138"/>
      <c r="I2441" s="138"/>
      <c r="J2441" s="139"/>
      <c r="K2441" s="137"/>
      <c r="L2441" s="137"/>
      <c r="P2441" s="137"/>
      <c r="Q2441" s="137"/>
      <c r="R2441" s="126"/>
    </row>
    <row r="2442" spans="2:18" x14ac:dyDescent="0.3">
      <c r="B2442" s="126"/>
      <c r="G2442" s="137"/>
      <c r="H2442" s="138"/>
      <c r="I2442" s="138"/>
      <c r="J2442" s="139"/>
      <c r="K2442" s="137"/>
      <c r="L2442" s="137"/>
      <c r="P2442" s="137"/>
      <c r="Q2442" s="137"/>
      <c r="R2442" s="126"/>
    </row>
    <row r="2443" spans="2:18" x14ac:dyDescent="0.3">
      <c r="B2443" s="126"/>
      <c r="G2443" s="137"/>
      <c r="H2443" s="138"/>
      <c r="I2443" s="138"/>
      <c r="J2443" s="139"/>
      <c r="K2443" s="137"/>
      <c r="L2443" s="137"/>
      <c r="P2443" s="137"/>
      <c r="Q2443" s="137"/>
      <c r="R2443" s="126"/>
    </row>
    <row r="2444" spans="2:18" x14ac:dyDescent="0.3">
      <c r="B2444" s="126"/>
      <c r="G2444" s="137"/>
      <c r="H2444" s="138"/>
      <c r="I2444" s="138"/>
      <c r="J2444" s="139"/>
      <c r="K2444" s="137"/>
      <c r="L2444" s="137"/>
      <c r="P2444" s="137"/>
      <c r="Q2444" s="137"/>
      <c r="R2444" s="126"/>
    </row>
    <row r="2445" spans="2:18" x14ac:dyDescent="0.3">
      <c r="B2445" s="126"/>
      <c r="G2445" s="137"/>
      <c r="H2445" s="138"/>
      <c r="I2445" s="138"/>
      <c r="J2445" s="139"/>
      <c r="K2445" s="137"/>
      <c r="L2445" s="137"/>
      <c r="P2445" s="137"/>
      <c r="Q2445" s="137"/>
      <c r="R2445" s="126"/>
    </row>
    <row r="2446" spans="2:18" x14ac:dyDescent="0.3">
      <c r="B2446" s="126"/>
      <c r="G2446" s="137"/>
      <c r="H2446" s="138"/>
      <c r="I2446" s="138"/>
      <c r="J2446" s="139"/>
      <c r="K2446" s="137"/>
      <c r="L2446" s="137"/>
      <c r="P2446" s="137"/>
      <c r="Q2446" s="137"/>
      <c r="R2446" s="126"/>
    </row>
    <row r="2447" spans="2:18" x14ac:dyDescent="0.3">
      <c r="B2447" s="126"/>
      <c r="G2447" s="137"/>
      <c r="H2447" s="138"/>
      <c r="I2447" s="138"/>
      <c r="J2447" s="139"/>
      <c r="K2447" s="137"/>
      <c r="L2447" s="137"/>
      <c r="P2447" s="137"/>
      <c r="Q2447" s="137"/>
      <c r="R2447" s="126"/>
    </row>
    <row r="2448" spans="2:18" x14ac:dyDescent="0.3">
      <c r="B2448" s="126"/>
      <c r="G2448" s="137"/>
      <c r="H2448" s="138"/>
      <c r="I2448" s="138"/>
      <c r="J2448" s="139"/>
      <c r="K2448" s="137"/>
      <c r="L2448" s="137"/>
      <c r="P2448" s="137"/>
      <c r="Q2448" s="137"/>
      <c r="R2448" s="126"/>
    </row>
    <row r="2449" spans="2:18" x14ac:dyDescent="0.3">
      <c r="B2449" s="126"/>
      <c r="G2449" s="137"/>
      <c r="H2449" s="138"/>
      <c r="I2449" s="138"/>
      <c r="J2449" s="139"/>
      <c r="K2449" s="137"/>
      <c r="L2449" s="137"/>
      <c r="P2449" s="137"/>
      <c r="Q2449" s="137"/>
      <c r="R2449" s="126"/>
    </row>
    <row r="2450" spans="2:18" x14ac:dyDescent="0.3">
      <c r="B2450" s="126"/>
      <c r="G2450" s="137"/>
      <c r="H2450" s="138"/>
      <c r="I2450" s="138"/>
      <c r="J2450" s="139"/>
      <c r="K2450" s="137"/>
      <c r="L2450" s="137"/>
      <c r="P2450" s="137"/>
      <c r="Q2450" s="137"/>
      <c r="R2450" s="126"/>
    </row>
    <row r="2451" spans="2:18" x14ac:dyDescent="0.3">
      <c r="B2451" s="126"/>
      <c r="G2451" s="137"/>
      <c r="H2451" s="138"/>
      <c r="I2451" s="138"/>
      <c r="J2451" s="139"/>
      <c r="K2451" s="137"/>
      <c r="L2451" s="137"/>
      <c r="P2451" s="137"/>
      <c r="Q2451" s="137"/>
      <c r="R2451" s="126"/>
    </row>
    <row r="2452" spans="2:18" x14ac:dyDescent="0.3">
      <c r="B2452" s="126"/>
      <c r="G2452" s="137"/>
      <c r="H2452" s="138"/>
      <c r="I2452" s="138"/>
      <c r="J2452" s="139"/>
      <c r="K2452" s="137"/>
      <c r="L2452" s="137"/>
      <c r="P2452" s="137"/>
      <c r="Q2452" s="137"/>
      <c r="R2452" s="126"/>
    </row>
    <row r="2453" spans="2:18" x14ac:dyDescent="0.3">
      <c r="B2453" s="126"/>
      <c r="G2453" s="137"/>
      <c r="H2453" s="138"/>
      <c r="I2453" s="138"/>
      <c r="J2453" s="139"/>
      <c r="K2453" s="137"/>
      <c r="L2453" s="137"/>
      <c r="P2453" s="137"/>
      <c r="Q2453" s="137"/>
      <c r="R2453" s="126"/>
    </row>
    <row r="2454" spans="2:18" x14ac:dyDescent="0.3">
      <c r="B2454" s="126"/>
      <c r="G2454" s="137"/>
      <c r="H2454" s="138"/>
      <c r="I2454" s="138"/>
      <c r="J2454" s="139"/>
      <c r="K2454" s="137"/>
      <c r="L2454" s="137"/>
      <c r="P2454" s="137"/>
      <c r="Q2454" s="137"/>
      <c r="R2454" s="126"/>
    </row>
    <row r="2455" spans="2:18" x14ac:dyDescent="0.3">
      <c r="B2455" s="126"/>
      <c r="G2455" s="137"/>
      <c r="H2455" s="138"/>
      <c r="I2455" s="138"/>
      <c r="J2455" s="139"/>
      <c r="K2455" s="137"/>
      <c r="L2455" s="137"/>
      <c r="P2455" s="137"/>
      <c r="Q2455" s="137"/>
      <c r="R2455" s="126"/>
    </row>
    <row r="2456" spans="2:18" x14ac:dyDescent="0.3">
      <c r="B2456" s="126"/>
      <c r="G2456" s="137"/>
      <c r="H2456" s="138"/>
      <c r="I2456" s="138"/>
      <c r="J2456" s="139"/>
      <c r="K2456" s="137"/>
      <c r="L2456" s="137"/>
      <c r="P2456" s="137"/>
      <c r="Q2456" s="137"/>
      <c r="R2456" s="126"/>
    </row>
    <row r="2457" spans="2:18" x14ac:dyDescent="0.3">
      <c r="B2457" s="126"/>
      <c r="G2457" s="137"/>
      <c r="H2457" s="138"/>
      <c r="I2457" s="138"/>
      <c r="J2457" s="139"/>
      <c r="K2457" s="137"/>
      <c r="L2457" s="137"/>
      <c r="P2457" s="137"/>
      <c r="Q2457" s="137"/>
      <c r="R2457" s="126"/>
    </row>
    <row r="2458" spans="2:18" x14ac:dyDescent="0.3">
      <c r="B2458" s="126"/>
      <c r="G2458" s="137"/>
      <c r="H2458" s="138"/>
      <c r="I2458" s="138"/>
      <c r="J2458" s="139"/>
      <c r="K2458" s="137"/>
      <c r="L2458" s="137"/>
      <c r="P2458" s="137"/>
      <c r="Q2458" s="137"/>
      <c r="R2458" s="126"/>
    </row>
    <row r="2459" spans="2:18" x14ac:dyDescent="0.3">
      <c r="B2459" s="126"/>
      <c r="G2459" s="137"/>
      <c r="H2459" s="138"/>
      <c r="I2459" s="138"/>
      <c r="J2459" s="139"/>
      <c r="K2459" s="137"/>
      <c r="L2459" s="137"/>
      <c r="P2459" s="137"/>
      <c r="Q2459" s="137"/>
      <c r="R2459" s="126"/>
    </row>
    <row r="2460" spans="2:18" x14ac:dyDescent="0.3">
      <c r="B2460" s="126"/>
      <c r="G2460" s="137"/>
      <c r="H2460" s="138"/>
      <c r="I2460" s="138"/>
      <c r="J2460" s="139"/>
      <c r="K2460" s="137"/>
      <c r="L2460" s="137"/>
      <c r="P2460" s="137"/>
      <c r="Q2460" s="137"/>
      <c r="R2460" s="126"/>
    </row>
    <row r="2461" spans="2:18" x14ac:dyDescent="0.3">
      <c r="B2461" s="126"/>
      <c r="G2461" s="137"/>
      <c r="H2461" s="138"/>
      <c r="I2461" s="138"/>
      <c r="J2461" s="139"/>
      <c r="K2461" s="137"/>
      <c r="L2461" s="137"/>
      <c r="P2461" s="137"/>
      <c r="Q2461" s="137"/>
      <c r="R2461" s="126"/>
    </row>
    <row r="2462" spans="2:18" x14ac:dyDescent="0.3">
      <c r="B2462" s="126"/>
      <c r="G2462" s="137"/>
      <c r="H2462" s="138"/>
      <c r="I2462" s="138"/>
      <c r="J2462" s="139"/>
      <c r="K2462" s="137"/>
      <c r="L2462" s="137"/>
      <c r="P2462" s="137"/>
      <c r="Q2462" s="137"/>
      <c r="R2462" s="126"/>
    </row>
    <row r="2463" spans="2:18" x14ac:dyDescent="0.3">
      <c r="B2463" s="126"/>
      <c r="G2463" s="137"/>
      <c r="H2463" s="138"/>
      <c r="I2463" s="138"/>
      <c r="J2463" s="139"/>
      <c r="K2463" s="137"/>
      <c r="L2463" s="137"/>
      <c r="P2463" s="137"/>
      <c r="Q2463" s="137"/>
      <c r="R2463" s="126"/>
    </row>
    <row r="2464" spans="2:18" x14ac:dyDescent="0.3">
      <c r="B2464" s="126"/>
      <c r="G2464" s="137"/>
      <c r="H2464" s="138"/>
      <c r="I2464" s="138"/>
      <c r="J2464" s="139"/>
      <c r="K2464" s="137"/>
      <c r="L2464" s="137"/>
      <c r="P2464" s="137"/>
      <c r="Q2464" s="137"/>
      <c r="R2464" s="126"/>
    </row>
    <row r="2465" spans="2:18" x14ac:dyDescent="0.3">
      <c r="B2465" s="126"/>
      <c r="G2465" s="137"/>
      <c r="H2465" s="138"/>
      <c r="I2465" s="138"/>
      <c r="J2465" s="139"/>
      <c r="K2465" s="137"/>
      <c r="L2465" s="137"/>
      <c r="P2465" s="137"/>
      <c r="Q2465" s="137"/>
      <c r="R2465" s="126"/>
    </row>
    <row r="2466" spans="2:18" x14ac:dyDescent="0.3">
      <c r="B2466" s="126"/>
      <c r="G2466" s="137"/>
      <c r="H2466" s="138"/>
      <c r="I2466" s="138"/>
      <c r="J2466" s="139"/>
      <c r="K2466" s="137"/>
      <c r="L2466" s="137"/>
      <c r="P2466" s="137"/>
      <c r="Q2466" s="137"/>
      <c r="R2466" s="126"/>
    </row>
    <row r="2467" spans="2:18" x14ac:dyDescent="0.3">
      <c r="B2467" s="126"/>
      <c r="G2467" s="137"/>
      <c r="H2467" s="138"/>
      <c r="I2467" s="138"/>
      <c r="J2467" s="139"/>
      <c r="K2467" s="137"/>
      <c r="L2467" s="137"/>
      <c r="P2467" s="137"/>
      <c r="Q2467" s="137"/>
      <c r="R2467" s="126"/>
    </row>
    <row r="2468" spans="2:18" x14ac:dyDescent="0.3">
      <c r="B2468" s="126"/>
      <c r="G2468" s="137"/>
      <c r="H2468" s="138"/>
      <c r="I2468" s="138"/>
      <c r="J2468" s="139"/>
      <c r="K2468" s="137"/>
      <c r="L2468" s="137"/>
      <c r="P2468" s="137"/>
      <c r="Q2468" s="137"/>
      <c r="R2468" s="126"/>
    </row>
    <row r="2469" spans="2:18" x14ac:dyDescent="0.3">
      <c r="B2469" s="126"/>
      <c r="G2469" s="137"/>
      <c r="H2469" s="138"/>
      <c r="I2469" s="138"/>
      <c r="J2469" s="139"/>
      <c r="K2469" s="137"/>
      <c r="L2469" s="137"/>
      <c r="P2469" s="137"/>
      <c r="Q2469" s="137"/>
      <c r="R2469" s="126"/>
    </row>
    <row r="2470" spans="2:18" x14ac:dyDescent="0.3">
      <c r="B2470" s="126"/>
      <c r="G2470" s="137"/>
      <c r="H2470" s="138"/>
      <c r="I2470" s="138"/>
      <c r="J2470" s="139"/>
      <c r="K2470" s="137"/>
      <c r="L2470" s="137"/>
      <c r="P2470" s="137"/>
      <c r="Q2470" s="137"/>
      <c r="R2470" s="126"/>
    </row>
    <row r="2471" spans="2:18" x14ac:dyDescent="0.3">
      <c r="B2471" s="126"/>
      <c r="G2471" s="137"/>
      <c r="H2471" s="138"/>
      <c r="I2471" s="138"/>
      <c r="J2471" s="139"/>
      <c r="K2471" s="137"/>
      <c r="L2471" s="137"/>
      <c r="P2471" s="137"/>
      <c r="Q2471" s="137"/>
      <c r="R2471" s="126"/>
    </row>
    <row r="2472" spans="2:18" x14ac:dyDescent="0.3">
      <c r="B2472" s="126"/>
      <c r="G2472" s="137"/>
      <c r="H2472" s="138"/>
      <c r="I2472" s="138"/>
      <c r="J2472" s="139"/>
      <c r="K2472" s="137"/>
      <c r="L2472" s="137"/>
      <c r="P2472" s="137"/>
      <c r="Q2472" s="137"/>
      <c r="R2472" s="126"/>
    </row>
    <row r="2473" spans="2:18" x14ac:dyDescent="0.3">
      <c r="B2473" s="126"/>
      <c r="G2473" s="137"/>
      <c r="H2473" s="138"/>
      <c r="I2473" s="138"/>
      <c r="J2473" s="139"/>
      <c r="K2473" s="137"/>
      <c r="L2473" s="137"/>
      <c r="P2473" s="137"/>
      <c r="Q2473" s="137"/>
      <c r="R2473" s="126"/>
    </row>
    <row r="2474" spans="2:18" x14ac:dyDescent="0.3">
      <c r="B2474" s="126"/>
      <c r="G2474" s="137"/>
      <c r="H2474" s="138"/>
      <c r="I2474" s="138"/>
      <c r="J2474" s="139"/>
      <c r="K2474" s="137"/>
      <c r="L2474" s="137"/>
      <c r="P2474" s="137"/>
      <c r="Q2474" s="137"/>
      <c r="R2474" s="126"/>
    </row>
    <row r="2475" spans="2:18" x14ac:dyDescent="0.3">
      <c r="B2475" s="126"/>
      <c r="G2475" s="137"/>
      <c r="H2475" s="138"/>
      <c r="I2475" s="138"/>
      <c r="J2475" s="139"/>
      <c r="K2475" s="137"/>
      <c r="L2475" s="137"/>
      <c r="P2475" s="137"/>
      <c r="Q2475" s="137"/>
      <c r="R2475" s="126"/>
    </row>
    <row r="2476" spans="2:18" x14ac:dyDescent="0.3">
      <c r="B2476" s="126"/>
      <c r="G2476" s="137"/>
      <c r="H2476" s="138"/>
      <c r="I2476" s="138"/>
      <c r="J2476" s="139"/>
      <c r="K2476" s="137"/>
      <c r="L2476" s="137"/>
      <c r="P2476" s="137"/>
      <c r="Q2476" s="137"/>
      <c r="R2476" s="126"/>
    </row>
    <row r="2477" spans="2:18" x14ac:dyDescent="0.3">
      <c r="B2477" s="126"/>
      <c r="G2477" s="137"/>
      <c r="H2477" s="138"/>
      <c r="I2477" s="138"/>
      <c r="J2477" s="139"/>
      <c r="K2477" s="137"/>
      <c r="L2477" s="137"/>
      <c r="P2477" s="137"/>
      <c r="Q2477" s="137"/>
      <c r="R2477" s="126"/>
    </row>
    <row r="2478" spans="2:18" x14ac:dyDescent="0.3">
      <c r="B2478" s="126"/>
      <c r="G2478" s="137"/>
      <c r="H2478" s="138"/>
      <c r="I2478" s="138"/>
      <c r="J2478" s="139"/>
      <c r="K2478" s="137"/>
      <c r="L2478" s="137"/>
      <c r="P2478" s="137"/>
      <c r="Q2478" s="137"/>
      <c r="R2478" s="126"/>
    </row>
    <row r="2479" spans="2:18" x14ac:dyDescent="0.3">
      <c r="B2479" s="126"/>
      <c r="G2479" s="137"/>
      <c r="H2479" s="138"/>
      <c r="I2479" s="138"/>
      <c r="J2479" s="139"/>
      <c r="K2479" s="137"/>
      <c r="L2479" s="137"/>
      <c r="P2479" s="137"/>
      <c r="Q2479" s="137"/>
      <c r="R2479" s="126"/>
    </row>
    <row r="2480" spans="2:18" x14ac:dyDescent="0.3">
      <c r="B2480" s="126"/>
      <c r="G2480" s="137"/>
      <c r="H2480" s="138"/>
      <c r="I2480" s="138"/>
      <c r="J2480" s="139"/>
      <c r="K2480" s="137"/>
      <c r="L2480" s="137"/>
      <c r="P2480" s="137"/>
      <c r="Q2480" s="137"/>
      <c r="R2480" s="126"/>
    </row>
    <row r="2481" spans="2:18" x14ac:dyDescent="0.3">
      <c r="B2481" s="126"/>
      <c r="G2481" s="137"/>
      <c r="H2481" s="138"/>
      <c r="I2481" s="138"/>
      <c r="J2481" s="139"/>
      <c r="K2481" s="137"/>
      <c r="L2481" s="137"/>
      <c r="P2481" s="137"/>
      <c r="Q2481" s="137"/>
      <c r="R2481" s="126"/>
    </row>
    <row r="2482" spans="2:18" x14ac:dyDescent="0.3">
      <c r="B2482" s="126"/>
      <c r="G2482" s="137"/>
      <c r="H2482" s="138"/>
      <c r="I2482" s="138"/>
      <c r="J2482" s="139"/>
      <c r="K2482" s="137"/>
      <c r="L2482" s="137"/>
      <c r="P2482" s="137"/>
      <c r="Q2482" s="137"/>
      <c r="R2482" s="126"/>
    </row>
    <row r="2483" spans="2:18" x14ac:dyDescent="0.3">
      <c r="B2483" s="126"/>
      <c r="G2483" s="137"/>
      <c r="H2483" s="138"/>
      <c r="I2483" s="138"/>
      <c r="J2483" s="139"/>
      <c r="K2483" s="137"/>
      <c r="L2483" s="137"/>
      <c r="P2483" s="137"/>
      <c r="Q2483" s="137"/>
      <c r="R2483" s="126"/>
    </row>
    <row r="2484" spans="2:18" x14ac:dyDescent="0.3">
      <c r="B2484" s="126"/>
      <c r="G2484" s="137"/>
      <c r="H2484" s="138"/>
      <c r="I2484" s="138"/>
      <c r="J2484" s="139"/>
      <c r="K2484" s="137"/>
      <c r="L2484" s="137"/>
      <c r="P2484" s="137"/>
      <c r="Q2484" s="137"/>
      <c r="R2484" s="126"/>
    </row>
    <row r="2485" spans="2:18" x14ac:dyDescent="0.3">
      <c r="B2485" s="126"/>
      <c r="G2485" s="137"/>
      <c r="H2485" s="138"/>
      <c r="I2485" s="138"/>
      <c r="J2485" s="139"/>
      <c r="K2485" s="137"/>
      <c r="L2485" s="137"/>
      <c r="P2485" s="137"/>
      <c r="Q2485" s="137"/>
      <c r="R2485" s="126"/>
    </row>
    <row r="2486" spans="2:18" x14ac:dyDescent="0.3">
      <c r="B2486" s="126"/>
      <c r="G2486" s="137"/>
      <c r="H2486" s="138"/>
      <c r="I2486" s="138"/>
      <c r="J2486" s="139"/>
      <c r="K2486" s="137"/>
      <c r="L2486" s="137"/>
      <c r="P2486" s="137"/>
      <c r="Q2486" s="137"/>
      <c r="R2486" s="126"/>
    </row>
    <row r="2487" spans="2:18" x14ac:dyDescent="0.3">
      <c r="B2487" s="126"/>
      <c r="G2487" s="137"/>
      <c r="H2487" s="138"/>
      <c r="I2487" s="138"/>
      <c r="J2487" s="139"/>
      <c r="K2487" s="137"/>
      <c r="L2487" s="137"/>
      <c r="P2487" s="137"/>
      <c r="Q2487" s="137"/>
      <c r="R2487" s="126"/>
    </row>
    <row r="2488" spans="2:18" x14ac:dyDescent="0.3">
      <c r="B2488" s="126"/>
      <c r="G2488" s="137"/>
      <c r="H2488" s="138"/>
      <c r="I2488" s="138"/>
      <c r="J2488" s="139"/>
      <c r="K2488" s="137"/>
      <c r="L2488" s="137"/>
      <c r="P2488" s="137"/>
      <c r="Q2488" s="137"/>
      <c r="R2488" s="126"/>
    </row>
    <row r="2489" spans="2:18" x14ac:dyDescent="0.3">
      <c r="B2489" s="126"/>
      <c r="G2489" s="137"/>
      <c r="H2489" s="138"/>
      <c r="I2489" s="138"/>
      <c r="J2489" s="139"/>
      <c r="K2489" s="137"/>
      <c r="L2489" s="137"/>
      <c r="P2489" s="137"/>
      <c r="Q2489" s="137"/>
      <c r="R2489" s="126"/>
    </row>
    <row r="2490" spans="2:18" x14ac:dyDescent="0.3">
      <c r="B2490" s="126"/>
      <c r="G2490" s="137"/>
      <c r="H2490" s="138"/>
      <c r="I2490" s="138"/>
      <c r="J2490" s="139"/>
      <c r="K2490" s="137"/>
      <c r="L2490" s="137"/>
      <c r="P2490" s="137"/>
      <c r="Q2490" s="137"/>
      <c r="R2490" s="126"/>
    </row>
    <row r="2491" spans="2:18" x14ac:dyDescent="0.3">
      <c r="B2491" s="126"/>
      <c r="G2491" s="137"/>
      <c r="H2491" s="138"/>
      <c r="I2491" s="138"/>
      <c r="J2491" s="139"/>
      <c r="K2491" s="137"/>
      <c r="L2491" s="137"/>
      <c r="P2491" s="137"/>
      <c r="Q2491" s="137"/>
      <c r="R2491" s="126"/>
    </row>
    <row r="2492" spans="2:18" x14ac:dyDescent="0.3">
      <c r="B2492" s="126"/>
      <c r="G2492" s="137"/>
      <c r="H2492" s="138"/>
      <c r="I2492" s="138"/>
      <c r="J2492" s="139"/>
      <c r="K2492" s="137"/>
      <c r="L2492" s="137"/>
      <c r="P2492" s="137"/>
      <c r="Q2492" s="137"/>
      <c r="R2492" s="126"/>
    </row>
    <row r="2493" spans="2:18" x14ac:dyDescent="0.3">
      <c r="B2493" s="126"/>
      <c r="G2493" s="137"/>
      <c r="H2493" s="138"/>
      <c r="I2493" s="138"/>
      <c r="J2493" s="139"/>
      <c r="K2493" s="137"/>
      <c r="L2493" s="137"/>
      <c r="P2493" s="137"/>
      <c r="Q2493" s="137"/>
      <c r="R2493" s="126"/>
    </row>
    <row r="2494" spans="2:18" x14ac:dyDescent="0.3">
      <c r="B2494" s="126"/>
      <c r="G2494" s="137"/>
      <c r="H2494" s="138"/>
      <c r="I2494" s="138"/>
      <c r="J2494" s="139"/>
      <c r="K2494" s="137"/>
      <c r="L2494" s="137"/>
      <c r="P2494" s="137"/>
      <c r="Q2494" s="137"/>
      <c r="R2494" s="126"/>
    </row>
    <row r="2495" spans="2:18" x14ac:dyDescent="0.3">
      <c r="B2495" s="126"/>
      <c r="G2495" s="137"/>
      <c r="H2495" s="138"/>
      <c r="I2495" s="138"/>
      <c r="J2495" s="139"/>
      <c r="K2495" s="137"/>
      <c r="L2495" s="137"/>
      <c r="P2495" s="137"/>
      <c r="Q2495" s="137"/>
      <c r="R2495" s="126"/>
    </row>
    <row r="2496" spans="2:18" x14ac:dyDescent="0.3">
      <c r="B2496" s="126"/>
      <c r="G2496" s="137"/>
      <c r="H2496" s="138"/>
      <c r="I2496" s="138"/>
      <c r="J2496" s="139"/>
      <c r="K2496" s="137"/>
      <c r="L2496" s="137"/>
      <c r="P2496" s="137"/>
      <c r="Q2496" s="137"/>
      <c r="R2496" s="126"/>
    </row>
    <row r="2497" spans="2:18" x14ac:dyDescent="0.3">
      <c r="B2497" s="126"/>
      <c r="G2497" s="137"/>
      <c r="H2497" s="138"/>
      <c r="I2497" s="138"/>
      <c r="J2497" s="139"/>
      <c r="K2497" s="137"/>
      <c r="L2497" s="137"/>
      <c r="P2497" s="137"/>
      <c r="Q2497" s="137"/>
      <c r="R2497" s="126"/>
    </row>
    <row r="2498" spans="2:18" x14ac:dyDescent="0.3">
      <c r="B2498" s="126"/>
      <c r="G2498" s="137"/>
      <c r="H2498" s="138"/>
      <c r="I2498" s="138"/>
      <c r="J2498" s="139"/>
      <c r="K2498" s="137"/>
      <c r="L2498" s="137"/>
      <c r="P2498" s="137"/>
      <c r="Q2498" s="137"/>
      <c r="R2498" s="126"/>
    </row>
    <row r="2499" spans="2:18" x14ac:dyDescent="0.3">
      <c r="B2499" s="126"/>
      <c r="G2499" s="137"/>
      <c r="H2499" s="138"/>
      <c r="I2499" s="138"/>
      <c r="J2499" s="139"/>
      <c r="K2499" s="137"/>
      <c r="L2499" s="137"/>
      <c r="P2499" s="137"/>
      <c r="Q2499" s="137"/>
      <c r="R2499" s="126"/>
    </row>
    <row r="2500" spans="2:18" x14ac:dyDescent="0.3">
      <c r="B2500" s="126"/>
      <c r="G2500" s="137"/>
      <c r="H2500" s="138"/>
      <c r="I2500" s="138"/>
      <c r="J2500" s="139"/>
      <c r="K2500" s="137"/>
      <c r="L2500" s="137"/>
      <c r="P2500" s="137"/>
      <c r="Q2500" s="137"/>
      <c r="R2500" s="126"/>
    </row>
    <row r="2501" spans="2:18" x14ac:dyDescent="0.3">
      <c r="B2501" s="126"/>
      <c r="G2501" s="137"/>
      <c r="H2501" s="138"/>
      <c r="I2501" s="138"/>
      <c r="J2501" s="139"/>
      <c r="K2501" s="137"/>
      <c r="L2501" s="137"/>
      <c r="P2501" s="137"/>
      <c r="Q2501" s="137"/>
      <c r="R2501" s="126"/>
    </row>
    <row r="2502" spans="2:18" x14ac:dyDescent="0.3">
      <c r="B2502" s="126"/>
      <c r="G2502" s="137"/>
      <c r="H2502" s="138"/>
      <c r="I2502" s="138"/>
      <c r="J2502" s="139"/>
      <c r="K2502" s="137"/>
      <c r="L2502" s="137"/>
      <c r="P2502" s="137"/>
      <c r="Q2502" s="137"/>
      <c r="R2502" s="126"/>
    </row>
    <row r="2503" spans="2:18" x14ac:dyDescent="0.3">
      <c r="B2503" s="126"/>
      <c r="G2503" s="137"/>
      <c r="H2503" s="138"/>
      <c r="I2503" s="138"/>
      <c r="J2503" s="139"/>
      <c r="K2503" s="137"/>
      <c r="L2503" s="137"/>
      <c r="P2503" s="137"/>
      <c r="Q2503" s="137"/>
      <c r="R2503" s="126"/>
    </row>
    <row r="2504" spans="2:18" x14ac:dyDescent="0.3">
      <c r="B2504" s="126"/>
      <c r="G2504" s="137"/>
      <c r="H2504" s="138"/>
      <c r="I2504" s="138"/>
      <c r="J2504" s="139"/>
      <c r="K2504" s="137"/>
      <c r="L2504" s="137"/>
      <c r="P2504" s="137"/>
      <c r="Q2504" s="137"/>
      <c r="R2504" s="126"/>
    </row>
    <row r="2505" spans="2:18" x14ac:dyDescent="0.3">
      <c r="B2505" s="126"/>
      <c r="G2505" s="137"/>
      <c r="H2505" s="138"/>
      <c r="I2505" s="138"/>
      <c r="J2505" s="139"/>
      <c r="K2505" s="137"/>
      <c r="L2505" s="137"/>
      <c r="P2505" s="137"/>
      <c r="Q2505" s="137"/>
      <c r="R2505" s="126"/>
    </row>
    <row r="2506" spans="2:18" x14ac:dyDescent="0.3">
      <c r="B2506" s="126"/>
      <c r="G2506" s="137"/>
      <c r="H2506" s="138"/>
      <c r="I2506" s="138"/>
      <c r="J2506" s="139"/>
      <c r="K2506" s="137"/>
      <c r="L2506" s="137"/>
      <c r="P2506" s="137"/>
      <c r="Q2506" s="137"/>
      <c r="R2506" s="126"/>
    </row>
    <row r="2507" spans="2:18" x14ac:dyDescent="0.3">
      <c r="B2507" s="126"/>
      <c r="G2507" s="137"/>
      <c r="H2507" s="138"/>
      <c r="I2507" s="138"/>
      <c r="J2507" s="139"/>
      <c r="K2507" s="137"/>
      <c r="L2507" s="137"/>
      <c r="P2507" s="137"/>
      <c r="Q2507" s="137"/>
      <c r="R2507" s="126"/>
    </row>
    <row r="2508" spans="2:18" x14ac:dyDescent="0.3">
      <c r="B2508" s="126"/>
      <c r="G2508" s="137"/>
      <c r="H2508" s="138"/>
      <c r="I2508" s="138"/>
      <c r="J2508" s="139"/>
      <c r="K2508" s="137"/>
      <c r="L2508" s="137"/>
      <c r="P2508" s="137"/>
      <c r="Q2508" s="137"/>
      <c r="R2508" s="126"/>
    </row>
    <row r="2509" spans="2:18" x14ac:dyDescent="0.3">
      <c r="B2509" s="126"/>
      <c r="G2509" s="137"/>
      <c r="H2509" s="138"/>
      <c r="I2509" s="138"/>
      <c r="J2509" s="139"/>
      <c r="K2509" s="137"/>
      <c r="L2509" s="137"/>
      <c r="P2509" s="137"/>
      <c r="Q2509" s="137"/>
      <c r="R2509" s="126"/>
    </row>
    <row r="2510" spans="2:18" x14ac:dyDescent="0.3">
      <c r="B2510" s="126"/>
      <c r="G2510" s="137"/>
      <c r="H2510" s="138"/>
      <c r="I2510" s="138"/>
      <c r="J2510" s="139"/>
      <c r="K2510" s="137"/>
      <c r="L2510" s="137"/>
      <c r="P2510" s="137"/>
      <c r="Q2510" s="137"/>
      <c r="R2510" s="126"/>
    </row>
    <row r="2511" spans="2:18" x14ac:dyDescent="0.3">
      <c r="B2511" s="126"/>
      <c r="G2511" s="137"/>
      <c r="H2511" s="138"/>
      <c r="I2511" s="138"/>
      <c r="J2511" s="139"/>
      <c r="K2511" s="137"/>
      <c r="L2511" s="137"/>
      <c r="P2511" s="137"/>
      <c r="Q2511" s="137"/>
      <c r="R2511" s="126"/>
    </row>
    <row r="2512" spans="2:18" x14ac:dyDescent="0.3">
      <c r="B2512" s="126"/>
      <c r="G2512" s="137"/>
      <c r="H2512" s="138"/>
      <c r="I2512" s="138"/>
      <c r="J2512" s="139"/>
      <c r="K2512" s="137"/>
      <c r="L2512" s="137"/>
      <c r="P2512" s="137"/>
      <c r="Q2512" s="137"/>
      <c r="R2512" s="126"/>
    </row>
    <row r="2513" spans="2:18" x14ac:dyDescent="0.3">
      <c r="B2513" s="126"/>
      <c r="G2513" s="137"/>
      <c r="H2513" s="138"/>
      <c r="I2513" s="138"/>
      <c r="J2513" s="139"/>
      <c r="K2513" s="137"/>
      <c r="L2513" s="137"/>
      <c r="P2513" s="137"/>
      <c r="Q2513" s="137"/>
      <c r="R2513" s="126"/>
    </row>
    <row r="2514" spans="2:18" x14ac:dyDescent="0.3">
      <c r="B2514" s="126"/>
      <c r="G2514" s="137"/>
      <c r="H2514" s="138"/>
      <c r="I2514" s="138"/>
      <c r="J2514" s="139"/>
      <c r="K2514" s="137"/>
      <c r="L2514" s="137"/>
      <c r="P2514" s="137"/>
      <c r="Q2514" s="137"/>
      <c r="R2514" s="126"/>
    </row>
    <row r="2515" spans="2:18" x14ac:dyDescent="0.3">
      <c r="B2515" s="126"/>
      <c r="G2515" s="137"/>
      <c r="H2515" s="138"/>
      <c r="I2515" s="138"/>
      <c r="J2515" s="139"/>
      <c r="K2515" s="137"/>
      <c r="L2515" s="137"/>
      <c r="P2515" s="137"/>
      <c r="Q2515" s="137"/>
      <c r="R2515" s="126"/>
    </row>
    <row r="2516" spans="2:18" x14ac:dyDescent="0.3">
      <c r="B2516" s="126"/>
      <c r="G2516" s="137"/>
      <c r="H2516" s="138"/>
      <c r="I2516" s="138"/>
      <c r="J2516" s="139"/>
      <c r="K2516" s="137"/>
      <c r="L2516" s="137"/>
      <c r="P2516" s="137"/>
      <c r="Q2516" s="137"/>
      <c r="R2516" s="126"/>
    </row>
    <row r="2517" spans="2:18" x14ac:dyDescent="0.3">
      <c r="B2517" s="126"/>
      <c r="G2517" s="137"/>
      <c r="H2517" s="138"/>
      <c r="I2517" s="138"/>
      <c r="J2517" s="139"/>
      <c r="K2517" s="137"/>
      <c r="L2517" s="137"/>
      <c r="P2517" s="137"/>
      <c r="Q2517" s="137"/>
      <c r="R2517" s="126"/>
    </row>
    <row r="2518" spans="2:18" x14ac:dyDescent="0.3">
      <c r="B2518" s="126"/>
      <c r="G2518" s="137"/>
      <c r="H2518" s="138"/>
      <c r="I2518" s="138"/>
      <c r="J2518" s="139"/>
      <c r="K2518" s="137"/>
      <c r="L2518" s="137"/>
      <c r="P2518" s="137"/>
      <c r="Q2518" s="137"/>
      <c r="R2518" s="126"/>
    </row>
    <row r="2519" spans="2:18" x14ac:dyDescent="0.3">
      <c r="B2519" s="126"/>
      <c r="G2519" s="137"/>
      <c r="H2519" s="138"/>
      <c r="I2519" s="138"/>
      <c r="J2519" s="139"/>
      <c r="K2519" s="137"/>
      <c r="L2519" s="137"/>
      <c r="P2519" s="137"/>
      <c r="Q2519" s="137"/>
      <c r="R2519" s="126"/>
    </row>
    <row r="2520" spans="2:18" x14ac:dyDescent="0.3">
      <c r="B2520" s="126"/>
      <c r="G2520" s="137"/>
      <c r="H2520" s="138"/>
      <c r="I2520" s="138"/>
      <c r="J2520" s="139"/>
      <c r="K2520" s="137"/>
      <c r="L2520" s="137"/>
      <c r="P2520" s="137"/>
      <c r="Q2520" s="137"/>
      <c r="R2520" s="126"/>
    </row>
    <row r="2521" spans="2:18" x14ac:dyDescent="0.3">
      <c r="B2521" s="126"/>
      <c r="G2521" s="137"/>
      <c r="H2521" s="138"/>
      <c r="I2521" s="138"/>
      <c r="J2521" s="139"/>
      <c r="K2521" s="137"/>
      <c r="L2521" s="137"/>
      <c r="P2521" s="137"/>
      <c r="Q2521" s="137"/>
      <c r="R2521" s="126"/>
    </row>
    <row r="2522" spans="2:18" x14ac:dyDescent="0.3">
      <c r="B2522" s="126"/>
      <c r="G2522" s="137"/>
      <c r="H2522" s="138"/>
      <c r="I2522" s="138"/>
      <c r="J2522" s="139"/>
      <c r="K2522" s="137"/>
      <c r="L2522" s="137"/>
      <c r="P2522" s="137"/>
      <c r="Q2522" s="137"/>
      <c r="R2522" s="126"/>
    </row>
    <row r="2523" spans="2:18" x14ac:dyDescent="0.3">
      <c r="B2523" s="126"/>
      <c r="G2523" s="137"/>
      <c r="H2523" s="138"/>
      <c r="I2523" s="138"/>
      <c r="J2523" s="139"/>
      <c r="K2523" s="137"/>
      <c r="L2523" s="137"/>
      <c r="P2523" s="137"/>
      <c r="Q2523" s="137"/>
      <c r="R2523" s="126"/>
    </row>
    <row r="2524" spans="2:18" x14ac:dyDescent="0.3">
      <c r="B2524" s="126"/>
      <c r="G2524" s="137"/>
      <c r="H2524" s="138"/>
      <c r="I2524" s="138"/>
      <c r="J2524" s="139"/>
      <c r="K2524" s="137"/>
      <c r="L2524" s="137"/>
      <c r="P2524" s="137"/>
      <c r="Q2524" s="137"/>
      <c r="R2524" s="126"/>
    </row>
    <row r="2525" spans="2:18" x14ac:dyDescent="0.3">
      <c r="B2525" s="126"/>
      <c r="G2525" s="137"/>
      <c r="H2525" s="138"/>
      <c r="I2525" s="138"/>
      <c r="J2525" s="139"/>
      <c r="K2525" s="137"/>
      <c r="L2525" s="137"/>
      <c r="P2525" s="137"/>
      <c r="Q2525" s="137"/>
      <c r="R2525" s="126"/>
    </row>
    <row r="2526" spans="2:18" x14ac:dyDescent="0.3">
      <c r="B2526" s="126"/>
      <c r="G2526" s="137"/>
      <c r="H2526" s="138"/>
      <c r="I2526" s="138"/>
      <c r="J2526" s="139"/>
      <c r="K2526" s="137"/>
      <c r="L2526" s="137"/>
      <c r="P2526" s="137"/>
      <c r="Q2526" s="137"/>
      <c r="R2526" s="126"/>
    </row>
    <row r="2527" spans="2:18" x14ac:dyDescent="0.3">
      <c r="B2527" s="126"/>
      <c r="G2527" s="137"/>
      <c r="H2527" s="138"/>
      <c r="I2527" s="138"/>
      <c r="J2527" s="139"/>
      <c r="K2527" s="137"/>
      <c r="L2527" s="137"/>
      <c r="P2527" s="137"/>
      <c r="Q2527" s="137"/>
      <c r="R2527" s="126"/>
    </row>
    <row r="2528" spans="2:18" x14ac:dyDescent="0.3">
      <c r="B2528" s="126"/>
      <c r="G2528" s="137"/>
      <c r="H2528" s="138"/>
      <c r="I2528" s="138"/>
      <c r="J2528" s="139"/>
      <c r="K2528" s="137"/>
      <c r="L2528" s="137"/>
      <c r="P2528" s="137"/>
      <c r="Q2528" s="137"/>
      <c r="R2528" s="126"/>
    </row>
    <row r="2529" spans="2:18" x14ac:dyDescent="0.3">
      <c r="B2529" s="126"/>
      <c r="G2529" s="137"/>
      <c r="H2529" s="138"/>
      <c r="I2529" s="138"/>
      <c r="J2529" s="139"/>
      <c r="K2529" s="137"/>
      <c r="L2529" s="137"/>
      <c r="P2529" s="137"/>
      <c r="Q2529" s="137"/>
      <c r="R2529" s="126"/>
    </row>
    <row r="2530" spans="2:18" x14ac:dyDescent="0.3">
      <c r="B2530" s="126"/>
      <c r="G2530" s="137"/>
      <c r="H2530" s="138"/>
      <c r="I2530" s="138"/>
      <c r="J2530" s="139"/>
      <c r="K2530" s="137"/>
      <c r="L2530" s="137"/>
      <c r="P2530" s="137"/>
      <c r="Q2530" s="137"/>
      <c r="R2530" s="126"/>
    </row>
    <row r="2531" spans="2:18" x14ac:dyDescent="0.3">
      <c r="B2531" s="126"/>
      <c r="G2531" s="137"/>
      <c r="H2531" s="138"/>
      <c r="I2531" s="138"/>
      <c r="J2531" s="139"/>
      <c r="K2531" s="137"/>
      <c r="L2531" s="137"/>
      <c r="P2531" s="137"/>
      <c r="Q2531" s="137"/>
      <c r="R2531" s="126"/>
    </row>
    <row r="2532" spans="2:18" x14ac:dyDescent="0.3">
      <c r="B2532" s="126"/>
      <c r="G2532" s="137"/>
      <c r="H2532" s="138"/>
      <c r="I2532" s="138"/>
      <c r="J2532" s="139"/>
      <c r="K2532" s="137"/>
      <c r="L2532" s="137"/>
      <c r="P2532" s="137"/>
      <c r="Q2532" s="137"/>
      <c r="R2532" s="126"/>
    </row>
    <row r="2533" spans="2:18" x14ac:dyDescent="0.3">
      <c r="B2533" s="126"/>
      <c r="G2533" s="137"/>
      <c r="H2533" s="138"/>
      <c r="I2533" s="138"/>
      <c r="J2533" s="139"/>
      <c r="K2533" s="137"/>
      <c r="L2533" s="137"/>
      <c r="P2533" s="137"/>
      <c r="Q2533" s="137"/>
      <c r="R2533" s="126"/>
    </row>
    <row r="2534" spans="2:18" x14ac:dyDescent="0.3">
      <c r="B2534" s="126"/>
      <c r="G2534" s="137"/>
      <c r="H2534" s="138"/>
      <c r="I2534" s="138"/>
      <c r="J2534" s="139"/>
      <c r="K2534" s="137"/>
      <c r="L2534" s="137"/>
      <c r="P2534" s="137"/>
      <c r="Q2534" s="137"/>
      <c r="R2534" s="126"/>
    </row>
    <row r="2535" spans="2:18" x14ac:dyDescent="0.3">
      <c r="B2535" s="126"/>
      <c r="G2535" s="137"/>
      <c r="H2535" s="138"/>
      <c r="I2535" s="138"/>
      <c r="J2535" s="139"/>
      <c r="K2535" s="137"/>
      <c r="L2535" s="137"/>
      <c r="P2535" s="137"/>
      <c r="Q2535" s="137"/>
      <c r="R2535" s="126"/>
    </row>
    <row r="2536" spans="2:18" x14ac:dyDescent="0.3">
      <c r="B2536" s="126"/>
      <c r="G2536" s="137"/>
      <c r="H2536" s="138"/>
      <c r="I2536" s="138"/>
      <c r="J2536" s="139"/>
      <c r="K2536" s="137"/>
      <c r="L2536" s="137"/>
      <c r="P2536" s="137"/>
      <c r="Q2536" s="137"/>
      <c r="R2536" s="126"/>
    </row>
    <row r="2537" spans="2:18" x14ac:dyDescent="0.3">
      <c r="B2537" s="126"/>
      <c r="G2537" s="137"/>
      <c r="H2537" s="138"/>
      <c r="I2537" s="138"/>
      <c r="J2537" s="139"/>
      <c r="K2537" s="137"/>
      <c r="L2537" s="137"/>
      <c r="P2537" s="137"/>
      <c r="Q2537" s="137"/>
      <c r="R2537" s="126"/>
    </row>
    <row r="2538" spans="2:18" x14ac:dyDescent="0.3">
      <c r="B2538" s="126"/>
      <c r="G2538" s="137"/>
      <c r="H2538" s="138"/>
      <c r="I2538" s="138"/>
      <c r="J2538" s="139"/>
      <c r="K2538" s="137"/>
      <c r="L2538" s="137"/>
      <c r="P2538" s="137"/>
      <c r="Q2538" s="137"/>
      <c r="R2538" s="126"/>
    </row>
    <row r="2539" spans="2:18" x14ac:dyDescent="0.3">
      <c r="B2539" s="126"/>
      <c r="G2539" s="137"/>
      <c r="H2539" s="138"/>
      <c r="I2539" s="138"/>
      <c r="J2539" s="139"/>
      <c r="K2539" s="137"/>
      <c r="L2539" s="137"/>
      <c r="P2539" s="137"/>
      <c r="Q2539" s="137"/>
      <c r="R2539" s="126"/>
    </row>
    <row r="2540" spans="2:18" x14ac:dyDescent="0.3">
      <c r="B2540" s="126"/>
      <c r="G2540" s="137"/>
      <c r="H2540" s="138"/>
      <c r="I2540" s="138"/>
      <c r="J2540" s="139"/>
      <c r="K2540" s="137"/>
      <c r="L2540" s="137"/>
      <c r="P2540" s="137"/>
      <c r="Q2540" s="137"/>
      <c r="R2540" s="126"/>
    </row>
    <row r="2541" spans="2:18" x14ac:dyDescent="0.3">
      <c r="B2541" s="126"/>
      <c r="G2541" s="137"/>
      <c r="H2541" s="138"/>
      <c r="I2541" s="138"/>
      <c r="J2541" s="139"/>
      <c r="K2541" s="137"/>
      <c r="L2541" s="137"/>
      <c r="P2541" s="137"/>
      <c r="Q2541" s="137"/>
      <c r="R2541" s="126"/>
    </row>
    <row r="2542" spans="2:18" x14ac:dyDescent="0.3">
      <c r="B2542" s="126"/>
      <c r="G2542" s="137"/>
      <c r="H2542" s="138"/>
      <c r="I2542" s="138"/>
      <c r="J2542" s="139"/>
      <c r="K2542" s="137"/>
      <c r="L2542" s="137"/>
      <c r="P2542" s="137"/>
      <c r="Q2542" s="137"/>
      <c r="R2542" s="126"/>
    </row>
    <row r="2543" spans="2:18" x14ac:dyDescent="0.3">
      <c r="B2543" s="126"/>
      <c r="G2543" s="137"/>
      <c r="H2543" s="138"/>
      <c r="I2543" s="138"/>
      <c r="J2543" s="139"/>
      <c r="K2543" s="137"/>
      <c r="L2543" s="137"/>
      <c r="P2543" s="137"/>
      <c r="Q2543" s="137"/>
      <c r="R2543" s="126"/>
    </row>
    <row r="2544" spans="2:18" x14ac:dyDescent="0.3">
      <c r="B2544" s="126"/>
      <c r="G2544" s="137"/>
      <c r="H2544" s="138"/>
      <c r="I2544" s="138"/>
      <c r="J2544" s="139"/>
      <c r="K2544" s="137"/>
      <c r="L2544" s="137"/>
      <c r="P2544" s="137"/>
      <c r="Q2544" s="137"/>
      <c r="R2544" s="126"/>
    </row>
    <row r="2545" spans="2:18" x14ac:dyDescent="0.3">
      <c r="B2545" s="126"/>
      <c r="G2545" s="137"/>
      <c r="H2545" s="138"/>
      <c r="I2545" s="138"/>
      <c r="J2545" s="139"/>
      <c r="K2545" s="137"/>
      <c r="L2545" s="137"/>
      <c r="P2545" s="137"/>
      <c r="Q2545" s="137"/>
      <c r="R2545" s="126"/>
    </row>
    <row r="2546" spans="2:18" x14ac:dyDescent="0.3">
      <c r="B2546" s="126"/>
      <c r="G2546" s="137"/>
      <c r="H2546" s="138"/>
      <c r="I2546" s="138"/>
      <c r="J2546" s="139"/>
      <c r="K2546" s="137"/>
      <c r="L2546" s="137"/>
      <c r="P2546" s="137"/>
      <c r="Q2546" s="137"/>
      <c r="R2546" s="126"/>
    </row>
    <row r="2547" spans="2:18" x14ac:dyDescent="0.3">
      <c r="B2547" s="126"/>
      <c r="G2547" s="137"/>
      <c r="H2547" s="138"/>
      <c r="I2547" s="138"/>
      <c r="J2547" s="139"/>
      <c r="K2547" s="137"/>
      <c r="L2547" s="137"/>
      <c r="P2547" s="137"/>
      <c r="Q2547" s="137"/>
      <c r="R2547" s="126"/>
    </row>
    <row r="2548" spans="2:18" x14ac:dyDescent="0.3">
      <c r="B2548" s="126"/>
      <c r="G2548" s="137"/>
      <c r="H2548" s="138"/>
      <c r="I2548" s="138"/>
      <c r="J2548" s="139"/>
      <c r="K2548" s="137"/>
      <c r="L2548" s="137"/>
      <c r="P2548" s="137"/>
      <c r="Q2548" s="137"/>
      <c r="R2548" s="126"/>
    </row>
    <row r="2549" spans="2:18" x14ac:dyDescent="0.3">
      <c r="B2549" s="126"/>
      <c r="G2549" s="137"/>
      <c r="H2549" s="138"/>
      <c r="I2549" s="138"/>
      <c r="J2549" s="139"/>
      <c r="K2549" s="137"/>
      <c r="L2549" s="137"/>
      <c r="P2549" s="137"/>
      <c r="Q2549" s="137"/>
      <c r="R2549" s="126"/>
    </row>
    <row r="2550" spans="2:18" x14ac:dyDescent="0.3">
      <c r="B2550" s="126"/>
      <c r="G2550" s="137"/>
      <c r="H2550" s="138"/>
      <c r="I2550" s="138"/>
      <c r="J2550" s="139"/>
      <c r="K2550" s="137"/>
      <c r="L2550" s="137"/>
      <c r="P2550" s="137"/>
      <c r="Q2550" s="137"/>
      <c r="R2550" s="126"/>
    </row>
    <row r="2551" spans="2:18" x14ac:dyDescent="0.3">
      <c r="B2551" s="126"/>
      <c r="G2551" s="137"/>
      <c r="H2551" s="138"/>
      <c r="I2551" s="138"/>
      <c r="J2551" s="139"/>
      <c r="K2551" s="137"/>
      <c r="L2551" s="137"/>
      <c r="P2551" s="137"/>
      <c r="Q2551" s="137"/>
      <c r="R2551" s="126"/>
    </row>
    <row r="2552" spans="2:18" x14ac:dyDescent="0.3">
      <c r="B2552" s="126"/>
      <c r="G2552" s="137"/>
      <c r="H2552" s="138"/>
      <c r="I2552" s="138"/>
      <c r="J2552" s="139"/>
      <c r="K2552" s="137"/>
      <c r="L2552" s="137"/>
      <c r="P2552" s="137"/>
      <c r="Q2552" s="137"/>
      <c r="R2552" s="126"/>
    </row>
    <row r="2553" spans="2:18" x14ac:dyDescent="0.3">
      <c r="B2553" s="126"/>
      <c r="G2553" s="137"/>
      <c r="H2553" s="138"/>
      <c r="I2553" s="138"/>
      <c r="J2553" s="139"/>
      <c r="K2553" s="137"/>
      <c r="L2553" s="137"/>
      <c r="P2553" s="137"/>
      <c r="Q2553" s="137"/>
      <c r="R2553" s="126"/>
    </row>
    <row r="2554" spans="2:18" x14ac:dyDescent="0.3">
      <c r="B2554" s="126"/>
      <c r="G2554" s="137"/>
      <c r="H2554" s="138"/>
      <c r="I2554" s="138"/>
      <c r="J2554" s="139"/>
      <c r="K2554" s="137"/>
      <c r="L2554" s="137"/>
      <c r="P2554" s="137"/>
      <c r="Q2554" s="137"/>
      <c r="R2554" s="126"/>
    </row>
    <row r="2555" spans="2:18" x14ac:dyDescent="0.3">
      <c r="B2555" s="126"/>
      <c r="G2555" s="137"/>
      <c r="H2555" s="138"/>
      <c r="I2555" s="138"/>
      <c r="J2555" s="139"/>
      <c r="K2555" s="137"/>
      <c r="L2555" s="137"/>
      <c r="P2555" s="137"/>
      <c r="Q2555" s="137"/>
      <c r="R2555" s="126"/>
    </row>
    <row r="2556" spans="2:18" x14ac:dyDescent="0.3">
      <c r="B2556" s="126"/>
      <c r="G2556" s="137"/>
      <c r="H2556" s="138"/>
      <c r="I2556" s="138"/>
      <c r="J2556" s="139"/>
      <c r="K2556" s="137"/>
      <c r="L2556" s="137"/>
      <c r="P2556" s="137"/>
      <c r="Q2556" s="137"/>
      <c r="R2556" s="126"/>
    </row>
    <row r="2557" spans="2:18" x14ac:dyDescent="0.3">
      <c r="B2557" s="126"/>
      <c r="G2557" s="137"/>
      <c r="H2557" s="138"/>
      <c r="I2557" s="138"/>
      <c r="J2557" s="139"/>
      <c r="K2557" s="137"/>
      <c r="L2557" s="137"/>
      <c r="P2557" s="137"/>
      <c r="Q2557" s="137"/>
      <c r="R2557" s="126"/>
    </row>
    <row r="2558" spans="2:18" x14ac:dyDescent="0.3">
      <c r="B2558" s="126"/>
      <c r="G2558" s="137"/>
      <c r="H2558" s="138"/>
      <c r="I2558" s="138"/>
      <c r="J2558" s="139"/>
      <c r="K2558" s="137"/>
      <c r="L2558" s="137"/>
      <c r="P2558" s="137"/>
      <c r="Q2558" s="137"/>
      <c r="R2558" s="126"/>
    </row>
    <row r="2559" spans="2:18" x14ac:dyDescent="0.3">
      <c r="B2559" s="126"/>
      <c r="G2559" s="137"/>
      <c r="H2559" s="138"/>
      <c r="I2559" s="138"/>
      <c r="J2559" s="139"/>
      <c r="K2559" s="137"/>
      <c r="L2559" s="137"/>
      <c r="P2559" s="137"/>
      <c r="Q2559" s="137"/>
      <c r="R2559" s="126"/>
    </row>
    <row r="2560" spans="2:18" x14ac:dyDescent="0.3">
      <c r="B2560" s="126"/>
      <c r="G2560" s="137"/>
      <c r="H2560" s="138"/>
      <c r="I2560" s="138"/>
      <c r="J2560" s="139"/>
      <c r="K2560" s="137"/>
      <c r="L2560" s="137"/>
      <c r="P2560" s="137"/>
      <c r="Q2560" s="137"/>
      <c r="R2560" s="126"/>
    </row>
    <row r="2561" spans="2:18" x14ac:dyDescent="0.3">
      <c r="B2561" s="126"/>
      <c r="G2561" s="137"/>
      <c r="H2561" s="138"/>
      <c r="I2561" s="138"/>
      <c r="J2561" s="139"/>
      <c r="K2561" s="137"/>
      <c r="L2561" s="137"/>
      <c r="P2561" s="137"/>
      <c r="Q2561" s="137"/>
      <c r="R2561" s="126"/>
    </row>
    <row r="2562" spans="2:18" x14ac:dyDescent="0.3">
      <c r="B2562" s="126"/>
      <c r="G2562" s="137"/>
      <c r="H2562" s="138"/>
      <c r="I2562" s="138"/>
      <c r="J2562" s="139"/>
      <c r="K2562" s="137"/>
      <c r="L2562" s="137"/>
      <c r="P2562" s="137"/>
      <c r="Q2562" s="137"/>
      <c r="R2562" s="126"/>
    </row>
    <row r="2563" spans="2:18" x14ac:dyDescent="0.3">
      <c r="B2563" s="126"/>
      <c r="G2563" s="137"/>
      <c r="H2563" s="138"/>
      <c r="I2563" s="138"/>
      <c r="J2563" s="139"/>
      <c r="K2563" s="137"/>
      <c r="L2563" s="137"/>
      <c r="P2563" s="137"/>
      <c r="Q2563" s="137"/>
      <c r="R2563" s="126"/>
    </row>
    <row r="2564" spans="2:18" x14ac:dyDescent="0.3">
      <c r="B2564" s="126"/>
      <c r="G2564" s="137"/>
      <c r="H2564" s="138"/>
      <c r="I2564" s="138"/>
      <c r="J2564" s="139"/>
      <c r="K2564" s="137"/>
      <c r="L2564" s="137"/>
      <c r="P2564" s="137"/>
      <c r="Q2564" s="137"/>
      <c r="R2564" s="126"/>
    </row>
    <row r="2565" spans="2:18" x14ac:dyDescent="0.3">
      <c r="B2565" s="126"/>
      <c r="G2565" s="137"/>
      <c r="H2565" s="138"/>
      <c r="I2565" s="138"/>
      <c r="J2565" s="139"/>
      <c r="K2565" s="137"/>
      <c r="L2565" s="137"/>
      <c r="P2565" s="137"/>
      <c r="Q2565" s="137"/>
      <c r="R2565" s="126"/>
    </row>
    <row r="2566" spans="2:18" x14ac:dyDescent="0.3">
      <c r="B2566" s="126"/>
      <c r="G2566" s="137"/>
      <c r="H2566" s="138"/>
      <c r="I2566" s="138"/>
      <c r="J2566" s="139"/>
      <c r="K2566" s="137"/>
      <c r="L2566" s="137"/>
      <c r="P2566" s="137"/>
      <c r="Q2566" s="137"/>
      <c r="R2566" s="126"/>
    </row>
    <row r="2567" spans="2:18" x14ac:dyDescent="0.3">
      <c r="B2567" s="126"/>
      <c r="G2567" s="137"/>
      <c r="H2567" s="138"/>
      <c r="I2567" s="138"/>
      <c r="J2567" s="139"/>
      <c r="K2567" s="137"/>
      <c r="L2567" s="137"/>
      <c r="P2567" s="137"/>
      <c r="Q2567" s="137"/>
      <c r="R2567" s="126"/>
    </row>
    <row r="2568" spans="2:18" x14ac:dyDescent="0.3">
      <c r="B2568" s="126"/>
      <c r="G2568" s="137"/>
      <c r="H2568" s="138"/>
      <c r="I2568" s="138"/>
      <c r="J2568" s="139"/>
      <c r="K2568" s="137"/>
      <c r="L2568" s="137"/>
      <c r="P2568" s="137"/>
      <c r="Q2568" s="137"/>
      <c r="R2568" s="126"/>
    </row>
    <row r="2569" spans="2:18" x14ac:dyDescent="0.3">
      <c r="B2569" s="126"/>
      <c r="G2569" s="137"/>
      <c r="H2569" s="138"/>
      <c r="I2569" s="138"/>
      <c r="J2569" s="139"/>
      <c r="K2569" s="137"/>
      <c r="L2569" s="137"/>
      <c r="P2569" s="137"/>
      <c r="Q2569" s="137"/>
      <c r="R2569" s="126"/>
    </row>
    <row r="2570" spans="2:18" x14ac:dyDescent="0.3">
      <c r="B2570" s="126"/>
      <c r="G2570" s="137"/>
      <c r="H2570" s="138"/>
      <c r="I2570" s="138"/>
      <c r="J2570" s="139"/>
      <c r="K2570" s="137"/>
      <c r="L2570" s="137"/>
      <c r="P2570" s="137"/>
      <c r="Q2570" s="137"/>
      <c r="R2570" s="126"/>
    </row>
    <row r="2571" spans="2:18" x14ac:dyDescent="0.3">
      <c r="B2571" s="126"/>
      <c r="G2571" s="137"/>
      <c r="H2571" s="138"/>
      <c r="I2571" s="138"/>
      <c r="J2571" s="139"/>
      <c r="K2571" s="137"/>
      <c r="L2571" s="137"/>
      <c r="P2571" s="137"/>
      <c r="Q2571" s="137"/>
      <c r="R2571" s="126"/>
    </row>
    <row r="2572" spans="2:18" x14ac:dyDescent="0.3">
      <c r="B2572" s="126"/>
      <c r="G2572" s="137"/>
      <c r="H2572" s="138"/>
      <c r="I2572" s="138"/>
      <c r="J2572" s="139"/>
      <c r="K2572" s="137"/>
      <c r="L2572" s="137"/>
      <c r="P2572" s="137"/>
      <c r="Q2572" s="137"/>
      <c r="R2572" s="126"/>
    </row>
    <row r="2573" spans="2:18" x14ac:dyDescent="0.3">
      <c r="B2573" s="126"/>
      <c r="G2573" s="137"/>
      <c r="H2573" s="138"/>
      <c r="I2573" s="138"/>
      <c r="J2573" s="139"/>
      <c r="K2573" s="137"/>
      <c r="L2573" s="137"/>
      <c r="P2573" s="137"/>
      <c r="Q2573" s="137"/>
      <c r="R2573" s="126"/>
    </row>
    <row r="2574" spans="2:18" x14ac:dyDescent="0.3">
      <c r="B2574" s="126"/>
      <c r="G2574" s="137"/>
      <c r="H2574" s="138"/>
      <c r="I2574" s="138"/>
      <c r="J2574" s="139"/>
      <c r="K2574" s="137"/>
      <c r="L2574" s="137"/>
      <c r="P2574" s="137"/>
      <c r="Q2574" s="137"/>
      <c r="R2574" s="126"/>
    </row>
    <row r="2575" spans="2:18" x14ac:dyDescent="0.3">
      <c r="B2575" s="126"/>
      <c r="G2575" s="137"/>
      <c r="H2575" s="138"/>
      <c r="I2575" s="138"/>
      <c r="J2575" s="139"/>
      <c r="K2575" s="137"/>
      <c r="L2575" s="137"/>
      <c r="P2575" s="137"/>
      <c r="Q2575" s="137"/>
      <c r="R2575" s="126"/>
    </row>
    <row r="2576" spans="2:18" x14ac:dyDescent="0.3">
      <c r="B2576" s="126"/>
      <c r="G2576" s="137"/>
      <c r="H2576" s="138"/>
      <c r="I2576" s="138"/>
      <c r="J2576" s="139"/>
      <c r="K2576" s="137"/>
      <c r="L2576" s="137"/>
      <c r="P2576" s="137"/>
      <c r="Q2576" s="137"/>
      <c r="R2576" s="126"/>
    </row>
    <row r="2577" spans="2:18" x14ac:dyDescent="0.3">
      <c r="B2577" s="126"/>
      <c r="G2577" s="137"/>
      <c r="H2577" s="138"/>
      <c r="I2577" s="138"/>
      <c r="J2577" s="139"/>
      <c r="K2577" s="137"/>
      <c r="L2577" s="137"/>
      <c r="P2577" s="137"/>
      <c r="Q2577" s="137"/>
      <c r="R2577" s="126"/>
    </row>
    <row r="2578" spans="2:18" x14ac:dyDescent="0.3">
      <c r="B2578" s="126"/>
      <c r="G2578" s="137"/>
      <c r="H2578" s="138"/>
      <c r="I2578" s="138"/>
      <c r="J2578" s="139"/>
      <c r="K2578" s="137"/>
      <c r="L2578" s="137"/>
      <c r="P2578" s="137"/>
      <c r="Q2578" s="137"/>
      <c r="R2578" s="126"/>
    </row>
    <row r="2579" spans="2:18" x14ac:dyDescent="0.3">
      <c r="B2579" s="126"/>
      <c r="G2579" s="137"/>
      <c r="H2579" s="138"/>
      <c r="I2579" s="138"/>
      <c r="J2579" s="139"/>
      <c r="K2579" s="137"/>
      <c r="L2579" s="137"/>
      <c r="P2579" s="137"/>
      <c r="Q2579" s="137"/>
      <c r="R2579" s="126"/>
    </row>
    <row r="2580" spans="2:18" x14ac:dyDescent="0.3">
      <c r="B2580" s="126"/>
      <c r="G2580" s="137"/>
      <c r="H2580" s="138"/>
      <c r="I2580" s="138"/>
      <c r="J2580" s="139"/>
      <c r="K2580" s="137"/>
      <c r="L2580" s="137"/>
      <c r="P2580" s="137"/>
      <c r="Q2580" s="137"/>
      <c r="R2580" s="126"/>
    </row>
    <row r="2581" spans="2:18" x14ac:dyDescent="0.3">
      <c r="B2581" s="126"/>
      <c r="G2581" s="137"/>
      <c r="H2581" s="138"/>
      <c r="I2581" s="138"/>
      <c r="J2581" s="139"/>
      <c r="K2581" s="137"/>
      <c r="L2581" s="137"/>
      <c r="P2581" s="137"/>
      <c r="Q2581" s="137"/>
      <c r="R2581" s="126"/>
    </row>
    <row r="2582" spans="2:18" x14ac:dyDescent="0.3">
      <c r="B2582" s="126"/>
      <c r="G2582" s="137"/>
      <c r="H2582" s="138"/>
      <c r="I2582" s="138"/>
      <c r="J2582" s="139"/>
      <c r="K2582" s="137"/>
      <c r="L2582" s="137"/>
      <c r="P2582" s="137"/>
      <c r="Q2582" s="137"/>
      <c r="R2582" s="126"/>
    </row>
    <row r="2583" spans="2:18" x14ac:dyDescent="0.3">
      <c r="B2583" s="126"/>
      <c r="G2583" s="137"/>
      <c r="H2583" s="138"/>
      <c r="I2583" s="138"/>
      <c r="J2583" s="139"/>
      <c r="K2583" s="137"/>
      <c r="L2583" s="137"/>
      <c r="P2583" s="137"/>
      <c r="Q2583" s="137"/>
      <c r="R2583" s="126"/>
    </row>
    <row r="2584" spans="2:18" x14ac:dyDescent="0.3">
      <c r="B2584" s="126"/>
      <c r="G2584" s="137"/>
      <c r="H2584" s="138"/>
      <c r="I2584" s="138"/>
      <c r="J2584" s="139"/>
      <c r="K2584" s="137"/>
      <c r="L2584" s="137"/>
      <c r="P2584" s="137"/>
      <c r="Q2584" s="137"/>
      <c r="R2584" s="126"/>
    </row>
    <row r="2585" spans="2:18" x14ac:dyDescent="0.3">
      <c r="B2585" s="126"/>
      <c r="G2585" s="137"/>
      <c r="H2585" s="138"/>
      <c r="I2585" s="138"/>
      <c r="J2585" s="139"/>
      <c r="K2585" s="137"/>
      <c r="L2585" s="137"/>
      <c r="P2585" s="137"/>
      <c r="Q2585" s="137"/>
      <c r="R2585" s="126"/>
    </row>
    <row r="2586" spans="2:18" x14ac:dyDescent="0.3">
      <c r="B2586" s="126"/>
      <c r="G2586" s="137"/>
      <c r="H2586" s="138"/>
      <c r="I2586" s="138"/>
      <c r="J2586" s="139"/>
      <c r="K2586" s="137"/>
      <c r="L2586" s="137"/>
      <c r="P2586" s="137"/>
      <c r="Q2586" s="137"/>
      <c r="R2586" s="126"/>
    </row>
    <row r="2587" spans="2:18" x14ac:dyDescent="0.3">
      <c r="B2587" s="126"/>
      <c r="G2587" s="137"/>
      <c r="H2587" s="138"/>
      <c r="I2587" s="138"/>
      <c r="J2587" s="139"/>
      <c r="K2587" s="137"/>
      <c r="L2587" s="137"/>
      <c r="P2587" s="137"/>
      <c r="Q2587" s="137"/>
      <c r="R2587" s="126"/>
    </row>
    <row r="2588" spans="2:18" x14ac:dyDescent="0.3">
      <c r="B2588" s="126"/>
      <c r="G2588" s="137"/>
      <c r="H2588" s="138"/>
      <c r="I2588" s="138"/>
      <c r="J2588" s="139"/>
      <c r="K2588" s="137"/>
      <c r="L2588" s="137"/>
      <c r="P2588" s="137"/>
      <c r="Q2588" s="137"/>
      <c r="R2588" s="126"/>
    </row>
    <row r="2589" spans="2:18" x14ac:dyDescent="0.3">
      <c r="B2589" s="126"/>
      <c r="G2589" s="137"/>
      <c r="H2589" s="138"/>
      <c r="I2589" s="138"/>
      <c r="J2589" s="139"/>
      <c r="K2589" s="137"/>
      <c r="L2589" s="137"/>
      <c r="P2589" s="137"/>
      <c r="Q2589" s="137"/>
      <c r="R2589" s="126"/>
    </row>
    <row r="2590" spans="2:18" x14ac:dyDescent="0.3">
      <c r="B2590" s="126"/>
      <c r="G2590" s="137"/>
      <c r="H2590" s="138"/>
      <c r="I2590" s="138"/>
      <c r="J2590" s="139"/>
      <c r="K2590" s="137"/>
      <c r="L2590" s="137"/>
      <c r="P2590" s="137"/>
      <c r="Q2590" s="137"/>
      <c r="R2590" s="126"/>
    </row>
    <row r="2591" spans="2:18" x14ac:dyDescent="0.3">
      <c r="B2591" s="126"/>
      <c r="G2591" s="137"/>
      <c r="H2591" s="138"/>
      <c r="I2591" s="138"/>
      <c r="J2591" s="139"/>
      <c r="K2591" s="137"/>
      <c r="L2591" s="137"/>
      <c r="P2591" s="137"/>
      <c r="Q2591" s="137"/>
      <c r="R2591" s="126"/>
    </row>
    <row r="2592" spans="2:18" x14ac:dyDescent="0.3">
      <c r="B2592" s="126"/>
      <c r="G2592" s="137"/>
      <c r="H2592" s="138"/>
      <c r="I2592" s="138"/>
      <c r="J2592" s="139"/>
      <c r="K2592" s="137"/>
      <c r="L2592" s="137"/>
      <c r="P2592" s="137"/>
      <c r="Q2592" s="137"/>
      <c r="R2592" s="126"/>
    </row>
    <row r="2593" spans="2:18" x14ac:dyDescent="0.3">
      <c r="B2593" s="126"/>
      <c r="G2593" s="137"/>
      <c r="H2593" s="138"/>
      <c r="I2593" s="138"/>
      <c r="J2593" s="139"/>
      <c r="K2593" s="137"/>
      <c r="L2593" s="137"/>
      <c r="P2593" s="137"/>
      <c r="Q2593" s="137"/>
      <c r="R2593" s="126"/>
    </row>
    <row r="2594" spans="2:18" x14ac:dyDescent="0.3">
      <c r="B2594" s="126"/>
      <c r="G2594" s="137"/>
      <c r="H2594" s="138"/>
      <c r="I2594" s="138"/>
      <c r="J2594" s="139"/>
      <c r="K2594" s="137"/>
      <c r="L2594" s="137"/>
      <c r="P2594" s="137"/>
      <c r="Q2594" s="137"/>
      <c r="R2594" s="126"/>
    </row>
    <row r="2595" spans="2:18" x14ac:dyDescent="0.3">
      <c r="B2595" s="126"/>
      <c r="G2595" s="137"/>
      <c r="H2595" s="138"/>
      <c r="I2595" s="138"/>
      <c r="J2595" s="139"/>
      <c r="K2595" s="137"/>
      <c r="L2595" s="137"/>
      <c r="P2595" s="137"/>
      <c r="Q2595" s="137"/>
      <c r="R2595" s="126"/>
    </row>
    <row r="2596" spans="2:18" x14ac:dyDescent="0.3">
      <c r="B2596" s="126"/>
      <c r="G2596" s="137"/>
      <c r="H2596" s="138"/>
      <c r="I2596" s="138"/>
      <c r="J2596" s="139"/>
      <c r="K2596" s="137"/>
      <c r="L2596" s="137"/>
      <c r="P2596" s="137"/>
      <c r="Q2596" s="137"/>
      <c r="R2596" s="126"/>
    </row>
    <row r="2597" spans="2:18" x14ac:dyDescent="0.3">
      <c r="B2597" s="126"/>
      <c r="G2597" s="137"/>
      <c r="H2597" s="138"/>
      <c r="I2597" s="138"/>
      <c r="J2597" s="139"/>
      <c r="K2597" s="137"/>
      <c r="L2597" s="137"/>
      <c r="P2597" s="137"/>
      <c r="Q2597" s="137"/>
      <c r="R2597" s="126"/>
    </row>
    <row r="2598" spans="2:18" x14ac:dyDescent="0.3">
      <c r="B2598" s="126"/>
      <c r="G2598" s="137"/>
      <c r="H2598" s="138"/>
      <c r="I2598" s="138"/>
      <c r="J2598" s="139"/>
      <c r="K2598" s="137"/>
      <c r="L2598" s="137"/>
      <c r="P2598" s="137"/>
      <c r="Q2598" s="137"/>
      <c r="R2598" s="126"/>
    </row>
    <row r="2599" spans="2:18" x14ac:dyDescent="0.3">
      <c r="B2599" s="126"/>
      <c r="G2599" s="137"/>
      <c r="H2599" s="138"/>
      <c r="I2599" s="138"/>
      <c r="J2599" s="139"/>
      <c r="K2599" s="137"/>
      <c r="L2599" s="137"/>
      <c r="P2599" s="137"/>
      <c r="Q2599" s="137"/>
      <c r="R2599" s="126"/>
    </row>
    <row r="2600" spans="2:18" x14ac:dyDescent="0.3">
      <c r="B2600" s="126"/>
      <c r="G2600" s="137"/>
      <c r="H2600" s="138"/>
      <c r="I2600" s="138"/>
      <c r="J2600" s="139"/>
      <c r="K2600" s="137"/>
      <c r="L2600" s="137"/>
      <c r="P2600" s="137"/>
      <c r="Q2600" s="137"/>
      <c r="R2600" s="126"/>
    </row>
    <row r="2601" spans="2:18" x14ac:dyDescent="0.3">
      <c r="B2601" s="126"/>
      <c r="G2601" s="137"/>
      <c r="H2601" s="138"/>
      <c r="I2601" s="138"/>
      <c r="J2601" s="139"/>
      <c r="K2601" s="137"/>
      <c r="L2601" s="137"/>
      <c r="P2601" s="137"/>
      <c r="Q2601" s="137"/>
      <c r="R2601" s="126"/>
    </row>
    <row r="2602" spans="2:18" x14ac:dyDescent="0.3">
      <c r="B2602" s="126"/>
      <c r="G2602" s="137"/>
      <c r="H2602" s="138"/>
      <c r="I2602" s="138"/>
      <c r="J2602" s="139"/>
      <c r="K2602" s="137"/>
      <c r="L2602" s="137"/>
      <c r="P2602" s="137"/>
      <c r="Q2602" s="137"/>
      <c r="R2602" s="126"/>
    </row>
    <row r="2603" spans="2:18" x14ac:dyDescent="0.3">
      <c r="B2603" s="126"/>
      <c r="G2603" s="137"/>
      <c r="H2603" s="138"/>
      <c r="I2603" s="138"/>
      <c r="J2603" s="139"/>
      <c r="K2603" s="137"/>
      <c r="L2603" s="137"/>
      <c r="P2603" s="137"/>
      <c r="Q2603" s="137"/>
      <c r="R2603" s="126"/>
    </row>
    <row r="2604" spans="2:18" x14ac:dyDescent="0.3">
      <c r="B2604" s="126"/>
      <c r="G2604" s="137"/>
      <c r="H2604" s="138"/>
      <c r="I2604" s="138"/>
      <c r="J2604" s="139"/>
      <c r="K2604" s="137"/>
      <c r="L2604" s="137"/>
      <c r="P2604" s="137"/>
      <c r="Q2604" s="137"/>
      <c r="R2604" s="126"/>
    </row>
    <row r="2605" spans="2:18" x14ac:dyDescent="0.3">
      <c r="B2605" s="126"/>
      <c r="G2605" s="137"/>
      <c r="H2605" s="138"/>
      <c r="I2605" s="138"/>
      <c r="J2605" s="139"/>
      <c r="K2605" s="137"/>
      <c r="L2605" s="137"/>
      <c r="P2605" s="137"/>
      <c r="Q2605" s="137"/>
      <c r="R2605" s="126"/>
    </row>
    <row r="2606" spans="2:18" x14ac:dyDescent="0.3">
      <c r="B2606" s="126"/>
      <c r="G2606" s="137"/>
      <c r="H2606" s="138"/>
      <c r="I2606" s="138"/>
      <c r="J2606" s="139"/>
      <c r="K2606" s="137"/>
      <c r="L2606" s="137"/>
      <c r="P2606" s="137"/>
      <c r="Q2606" s="137"/>
      <c r="R2606" s="126"/>
    </row>
    <row r="2607" spans="2:18" x14ac:dyDescent="0.3">
      <c r="B2607" s="126"/>
      <c r="G2607" s="137"/>
      <c r="H2607" s="138"/>
      <c r="I2607" s="138"/>
      <c r="J2607" s="139"/>
      <c r="K2607" s="137"/>
      <c r="L2607" s="137"/>
      <c r="P2607" s="137"/>
      <c r="Q2607" s="137"/>
      <c r="R2607" s="126"/>
    </row>
    <row r="2608" spans="2:18" x14ac:dyDescent="0.3">
      <c r="B2608" s="126"/>
      <c r="G2608" s="137"/>
      <c r="H2608" s="138"/>
      <c r="I2608" s="138"/>
      <c r="J2608" s="139"/>
      <c r="K2608" s="137"/>
      <c r="L2608" s="137"/>
      <c r="P2608" s="137"/>
      <c r="Q2608" s="137"/>
      <c r="R2608" s="126"/>
    </row>
    <row r="2609" spans="2:18" x14ac:dyDescent="0.3">
      <c r="B2609" s="126"/>
      <c r="G2609" s="137"/>
      <c r="H2609" s="138"/>
      <c r="I2609" s="138"/>
      <c r="J2609" s="139"/>
      <c r="K2609" s="137"/>
      <c r="L2609" s="137"/>
      <c r="P2609" s="137"/>
      <c r="Q2609" s="137"/>
      <c r="R2609" s="126"/>
    </row>
    <row r="2610" spans="2:18" x14ac:dyDescent="0.3">
      <c r="B2610" s="126"/>
      <c r="G2610" s="137"/>
      <c r="H2610" s="138"/>
      <c r="I2610" s="138"/>
      <c r="J2610" s="139"/>
      <c r="K2610" s="137"/>
      <c r="L2610" s="137"/>
      <c r="P2610" s="137"/>
      <c r="Q2610" s="137"/>
      <c r="R2610" s="126"/>
    </row>
    <row r="2611" spans="2:18" x14ac:dyDescent="0.3">
      <c r="B2611" s="126"/>
      <c r="G2611" s="137"/>
      <c r="H2611" s="138"/>
      <c r="I2611" s="138"/>
      <c r="J2611" s="139"/>
      <c r="K2611" s="137"/>
      <c r="L2611" s="137"/>
      <c r="P2611" s="137"/>
      <c r="Q2611" s="137"/>
      <c r="R2611" s="126"/>
    </row>
    <row r="2612" spans="2:18" x14ac:dyDescent="0.3">
      <c r="B2612" s="126"/>
      <c r="G2612" s="137"/>
      <c r="H2612" s="138"/>
      <c r="I2612" s="138"/>
      <c r="J2612" s="139"/>
      <c r="K2612" s="137"/>
      <c r="L2612" s="137"/>
      <c r="P2612" s="137"/>
      <c r="Q2612" s="137"/>
      <c r="R2612" s="126"/>
    </row>
    <row r="2613" spans="2:18" x14ac:dyDescent="0.3">
      <c r="B2613" s="126"/>
      <c r="G2613" s="137"/>
      <c r="H2613" s="138"/>
      <c r="I2613" s="138"/>
      <c r="J2613" s="139"/>
      <c r="K2613" s="137"/>
      <c r="L2613" s="137"/>
      <c r="P2613" s="137"/>
      <c r="Q2613" s="137"/>
      <c r="R2613" s="126"/>
    </row>
    <row r="2614" spans="2:18" x14ac:dyDescent="0.3">
      <c r="B2614" s="126"/>
      <c r="G2614" s="137"/>
      <c r="H2614" s="138"/>
      <c r="I2614" s="138"/>
      <c r="J2614" s="139"/>
      <c r="K2614" s="137"/>
      <c r="L2614" s="137"/>
      <c r="P2614" s="137"/>
      <c r="Q2614" s="137"/>
      <c r="R2614" s="126"/>
    </row>
    <row r="2615" spans="2:18" x14ac:dyDescent="0.3">
      <c r="B2615" s="126"/>
      <c r="G2615" s="137"/>
      <c r="H2615" s="138"/>
      <c r="I2615" s="138"/>
      <c r="J2615" s="139"/>
      <c r="K2615" s="137"/>
      <c r="L2615" s="137"/>
      <c r="P2615" s="137"/>
      <c r="Q2615" s="137"/>
      <c r="R2615" s="126"/>
    </row>
    <row r="2616" spans="2:18" x14ac:dyDescent="0.3">
      <c r="B2616" s="126"/>
      <c r="G2616" s="137"/>
      <c r="H2616" s="138"/>
      <c r="I2616" s="138"/>
      <c r="J2616" s="139"/>
      <c r="K2616" s="137"/>
      <c r="L2616" s="137"/>
      <c r="P2616" s="137"/>
      <c r="Q2616" s="137"/>
      <c r="R2616" s="126"/>
    </row>
    <row r="2617" spans="2:18" x14ac:dyDescent="0.3">
      <c r="B2617" s="126"/>
      <c r="G2617" s="137"/>
      <c r="H2617" s="138"/>
      <c r="I2617" s="138"/>
      <c r="J2617" s="139"/>
      <c r="K2617" s="137"/>
      <c r="L2617" s="137"/>
      <c r="P2617" s="137"/>
      <c r="Q2617" s="137"/>
      <c r="R2617" s="126"/>
    </row>
    <row r="2618" spans="2:18" x14ac:dyDescent="0.3">
      <c r="B2618" s="126"/>
      <c r="G2618" s="137"/>
      <c r="H2618" s="138"/>
      <c r="I2618" s="138"/>
      <c r="J2618" s="139"/>
      <c r="K2618" s="137"/>
      <c r="L2618" s="137"/>
      <c r="P2618" s="137"/>
      <c r="Q2618" s="137"/>
      <c r="R2618" s="126"/>
    </row>
    <row r="2619" spans="2:18" x14ac:dyDescent="0.3">
      <c r="B2619" s="126"/>
      <c r="G2619" s="137"/>
      <c r="H2619" s="138"/>
      <c r="I2619" s="138"/>
      <c r="J2619" s="139"/>
      <c r="K2619" s="137"/>
      <c r="L2619" s="137"/>
      <c r="P2619" s="137"/>
      <c r="Q2619" s="137"/>
      <c r="R2619" s="126"/>
    </row>
    <row r="2620" spans="2:18" x14ac:dyDescent="0.3">
      <c r="B2620" s="126"/>
      <c r="G2620" s="137"/>
      <c r="H2620" s="138"/>
      <c r="I2620" s="138"/>
      <c r="J2620" s="139"/>
      <c r="K2620" s="137"/>
      <c r="L2620" s="137"/>
      <c r="P2620" s="137"/>
      <c r="Q2620" s="137"/>
      <c r="R2620" s="126"/>
    </row>
    <row r="2621" spans="2:18" x14ac:dyDescent="0.3">
      <c r="B2621" s="126"/>
      <c r="G2621" s="137"/>
      <c r="H2621" s="138"/>
      <c r="I2621" s="138"/>
      <c r="J2621" s="139"/>
      <c r="K2621" s="137"/>
      <c r="L2621" s="137"/>
      <c r="P2621" s="137"/>
      <c r="Q2621" s="137"/>
      <c r="R2621" s="126"/>
    </row>
    <row r="2622" spans="2:18" x14ac:dyDescent="0.3">
      <c r="B2622" s="126"/>
      <c r="G2622" s="137"/>
      <c r="H2622" s="138"/>
      <c r="I2622" s="138"/>
      <c r="J2622" s="139"/>
      <c r="K2622" s="137"/>
      <c r="L2622" s="137"/>
      <c r="P2622" s="137"/>
      <c r="Q2622" s="137"/>
      <c r="R2622" s="126"/>
    </row>
    <row r="2623" spans="2:18" x14ac:dyDescent="0.3">
      <c r="B2623" s="126"/>
      <c r="G2623" s="137"/>
      <c r="H2623" s="138"/>
      <c r="I2623" s="138"/>
      <c r="J2623" s="139"/>
      <c r="K2623" s="137"/>
      <c r="L2623" s="137"/>
      <c r="P2623" s="137"/>
      <c r="Q2623" s="137"/>
      <c r="R2623" s="126"/>
    </row>
    <row r="2624" spans="2:18" x14ac:dyDescent="0.3">
      <c r="B2624" s="126"/>
      <c r="G2624" s="137"/>
      <c r="H2624" s="138"/>
      <c r="I2624" s="138"/>
      <c r="J2624" s="139"/>
      <c r="K2624" s="137"/>
      <c r="L2624" s="137"/>
      <c r="P2624" s="137"/>
      <c r="Q2624" s="137"/>
      <c r="R2624" s="126"/>
    </row>
    <row r="2625" spans="2:18" x14ac:dyDescent="0.3">
      <c r="B2625" s="126"/>
      <c r="G2625" s="137"/>
      <c r="H2625" s="138"/>
      <c r="I2625" s="138"/>
      <c r="J2625" s="139"/>
      <c r="K2625" s="137"/>
      <c r="L2625" s="137"/>
      <c r="P2625" s="137"/>
      <c r="Q2625" s="137"/>
      <c r="R2625" s="126"/>
    </row>
    <row r="2626" spans="2:18" x14ac:dyDescent="0.3">
      <c r="B2626" s="126"/>
      <c r="G2626" s="137"/>
      <c r="H2626" s="138"/>
      <c r="I2626" s="138"/>
      <c r="J2626" s="139"/>
      <c r="K2626" s="137"/>
      <c r="L2626" s="137"/>
      <c r="P2626" s="137"/>
      <c r="Q2626" s="137"/>
      <c r="R2626" s="126"/>
    </row>
    <row r="2627" spans="2:18" x14ac:dyDescent="0.3">
      <c r="B2627" s="126"/>
      <c r="G2627" s="137"/>
      <c r="H2627" s="138"/>
      <c r="I2627" s="138"/>
      <c r="J2627" s="139"/>
      <c r="K2627" s="137"/>
      <c r="L2627" s="137"/>
      <c r="P2627" s="137"/>
      <c r="Q2627" s="137"/>
      <c r="R2627" s="126"/>
    </row>
    <row r="2628" spans="2:18" x14ac:dyDescent="0.3">
      <c r="B2628" s="126"/>
      <c r="G2628" s="137"/>
      <c r="H2628" s="138"/>
      <c r="I2628" s="138"/>
      <c r="J2628" s="139"/>
      <c r="K2628" s="137"/>
      <c r="L2628" s="137"/>
      <c r="P2628" s="137"/>
      <c r="Q2628" s="137"/>
      <c r="R2628" s="126"/>
    </row>
    <row r="2629" spans="2:18" x14ac:dyDescent="0.3">
      <c r="B2629" s="126"/>
      <c r="G2629" s="137"/>
      <c r="H2629" s="138"/>
      <c r="I2629" s="138"/>
      <c r="J2629" s="139"/>
      <c r="K2629" s="137"/>
      <c r="L2629" s="137"/>
      <c r="P2629" s="137"/>
      <c r="Q2629" s="137"/>
      <c r="R2629" s="126"/>
    </row>
    <row r="2630" spans="2:18" x14ac:dyDescent="0.3">
      <c r="B2630" s="126"/>
      <c r="G2630" s="137"/>
      <c r="H2630" s="138"/>
      <c r="I2630" s="138"/>
      <c r="J2630" s="139"/>
      <c r="K2630" s="137"/>
      <c r="L2630" s="137"/>
      <c r="P2630" s="137"/>
      <c r="Q2630" s="137"/>
      <c r="R2630" s="126"/>
    </row>
    <row r="2631" spans="2:18" x14ac:dyDescent="0.3">
      <c r="B2631" s="126"/>
      <c r="G2631" s="137"/>
      <c r="H2631" s="138"/>
      <c r="I2631" s="138"/>
      <c r="J2631" s="139"/>
      <c r="K2631" s="137"/>
      <c r="L2631" s="137"/>
      <c r="P2631" s="137"/>
      <c r="Q2631" s="137"/>
      <c r="R2631" s="126"/>
    </row>
    <row r="2632" spans="2:18" x14ac:dyDescent="0.3">
      <c r="B2632" s="126"/>
      <c r="G2632" s="137"/>
      <c r="H2632" s="138"/>
      <c r="I2632" s="138"/>
      <c r="J2632" s="139"/>
      <c r="K2632" s="137"/>
      <c r="L2632" s="137"/>
      <c r="P2632" s="137"/>
      <c r="Q2632" s="137"/>
      <c r="R2632" s="126"/>
    </row>
    <row r="2633" spans="2:18" x14ac:dyDescent="0.3">
      <c r="B2633" s="126"/>
      <c r="G2633" s="137"/>
      <c r="H2633" s="138"/>
      <c r="I2633" s="138"/>
      <c r="J2633" s="139"/>
      <c r="K2633" s="137"/>
      <c r="L2633" s="137"/>
      <c r="P2633" s="137"/>
      <c r="Q2633" s="137"/>
      <c r="R2633" s="126"/>
    </row>
    <row r="2634" spans="2:18" x14ac:dyDescent="0.3">
      <c r="B2634" s="126"/>
      <c r="G2634" s="137"/>
      <c r="H2634" s="138"/>
      <c r="I2634" s="138"/>
      <c r="J2634" s="139"/>
      <c r="K2634" s="137"/>
      <c r="L2634" s="137"/>
      <c r="P2634" s="137"/>
      <c r="Q2634" s="137"/>
      <c r="R2634" s="126"/>
    </row>
    <row r="2635" spans="2:18" x14ac:dyDescent="0.3">
      <c r="B2635" s="126"/>
      <c r="G2635" s="137"/>
      <c r="H2635" s="138"/>
      <c r="I2635" s="138"/>
      <c r="J2635" s="139"/>
      <c r="K2635" s="137"/>
      <c r="L2635" s="137"/>
      <c r="P2635" s="137"/>
      <c r="Q2635" s="137"/>
      <c r="R2635" s="126"/>
    </row>
    <row r="2636" spans="2:18" x14ac:dyDescent="0.3">
      <c r="B2636" s="126"/>
      <c r="G2636" s="137"/>
      <c r="H2636" s="138"/>
      <c r="I2636" s="138"/>
      <c r="J2636" s="139"/>
      <c r="K2636" s="137"/>
      <c r="L2636" s="137"/>
      <c r="P2636" s="137"/>
      <c r="Q2636" s="137"/>
      <c r="R2636" s="126"/>
    </row>
    <row r="2637" spans="2:18" x14ac:dyDescent="0.3">
      <c r="B2637" s="126"/>
      <c r="G2637" s="137"/>
      <c r="H2637" s="138"/>
      <c r="I2637" s="138"/>
      <c r="J2637" s="139"/>
      <c r="K2637" s="137"/>
      <c r="L2637" s="137"/>
      <c r="P2637" s="137"/>
      <c r="Q2637" s="137"/>
      <c r="R2637" s="126"/>
    </row>
    <row r="2638" spans="2:18" x14ac:dyDescent="0.3">
      <c r="B2638" s="126"/>
      <c r="G2638" s="137"/>
      <c r="H2638" s="138"/>
      <c r="I2638" s="138"/>
      <c r="J2638" s="139"/>
      <c r="K2638" s="137"/>
      <c r="L2638" s="137"/>
      <c r="P2638" s="137"/>
      <c r="Q2638" s="137"/>
      <c r="R2638" s="126"/>
    </row>
    <row r="2639" spans="2:18" x14ac:dyDescent="0.3">
      <c r="B2639" s="126"/>
      <c r="G2639" s="137"/>
      <c r="H2639" s="138"/>
      <c r="I2639" s="138"/>
      <c r="J2639" s="139"/>
      <c r="K2639" s="137"/>
      <c r="L2639" s="137"/>
      <c r="P2639" s="137"/>
      <c r="Q2639" s="137"/>
      <c r="R2639" s="126"/>
    </row>
    <row r="2640" spans="2:18" x14ac:dyDescent="0.3">
      <c r="B2640" s="126"/>
      <c r="G2640" s="137"/>
      <c r="H2640" s="138"/>
      <c r="I2640" s="138"/>
      <c r="J2640" s="139"/>
      <c r="K2640" s="137"/>
      <c r="L2640" s="137"/>
      <c r="P2640" s="137"/>
      <c r="Q2640" s="137"/>
      <c r="R2640" s="126"/>
    </row>
    <row r="2641" spans="2:18" x14ac:dyDescent="0.3">
      <c r="B2641" s="126"/>
      <c r="G2641" s="137"/>
      <c r="H2641" s="138"/>
      <c r="I2641" s="138"/>
      <c r="J2641" s="139"/>
      <c r="K2641" s="137"/>
      <c r="L2641" s="137"/>
      <c r="P2641" s="137"/>
      <c r="Q2641" s="137"/>
      <c r="R2641" s="126"/>
    </row>
    <row r="2642" spans="2:18" x14ac:dyDescent="0.3">
      <c r="B2642" s="126"/>
      <c r="G2642" s="137"/>
      <c r="H2642" s="138"/>
      <c r="I2642" s="138"/>
      <c r="J2642" s="139"/>
      <c r="K2642" s="137"/>
      <c r="L2642" s="137"/>
      <c r="P2642" s="137"/>
      <c r="Q2642" s="137"/>
      <c r="R2642" s="126"/>
    </row>
    <row r="2643" spans="2:18" x14ac:dyDescent="0.3">
      <c r="B2643" s="126"/>
      <c r="G2643" s="137"/>
      <c r="H2643" s="138"/>
      <c r="I2643" s="138"/>
      <c r="J2643" s="139"/>
      <c r="K2643" s="137"/>
      <c r="L2643" s="137"/>
      <c r="P2643" s="137"/>
      <c r="Q2643" s="137"/>
      <c r="R2643" s="126"/>
    </row>
    <row r="2644" spans="2:18" x14ac:dyDescent="0.3">
      <c r="B2644" s="126"/>
      <c r="G2644" s="137"/>
      <c r="H2644" s="138"/>
      <c r="I2644" s="138"/>
      <c r="J2644" s="139"/>
      <c r="K2644" s="137"/>
      <c r="L2644" s="137"/>
      <c r="P2644" s="137"/>
      <c r="Q2644" s="137"/>
      <c r="R2644" s="126"/>
    </row>
    <row r="2645" spans="2:18" x14ac:dyDescent="0.3">
      <c r="B2645" s="126"/>
      <c r="G2645" s="137"/>
      <c r="H2645" s="138"/>
      <c r="I2645" s="138"/>
      <c r="J2645" s="139"/>
      <c r="K2645" s="137"/>
      <c r="L2645" s="137"/>
      <c r="P2645" s="137"/>
      <c r="Q2645" s="137"/>
      <c r="R2645" s="126"/>
    </row>
    <row r="2646" spans="2:18" x14ac:dyDescent="0.3">
      <c r="B2646" s="126"/>
      <c r="G2646" s="137"/>
      <c r="H2646" s="138"/>
      <c r="I2646" s="138"/>
      <c r="J2646" s="139"/>
      <c r="K2646" s="137"/>
      <c r="L2646" s="137"/>
      <c r="P2646" s="137"/>
      <c r="Q2646" s="137"/>
      <c r="R2646" s="126"/>
    </row>
    <row r="2647" spans="2:18" x14ac:dyDescent="0.3">
      <c r="B2647" s="126"/>
      <c r="G2647" s="137"/>
      <c r="H2647" s="138"/>
      <c r="I2647" s="138"/>
      <c r="J2647" s="139"/>
      <c r="K2647" s="137"/>
      <c r="L2647" s="137"/>
      <c r="P2647" s="137"/>
      <c r="Q2647" s="137"/>
      <c r="R2647" s="126"/>
    </row>
    <row r="2648" spans="2:18" x14ac:dyDescent="0.3">
      <c r="B2648" s="126"/>
      <c r="G2648" s="137"/>
      <c r="H2648" s="138"/>
      <c r="I2648" s="138"/>
      <c r="J2648" s="139"/>
      <c r="K2648" s="137"/>
      <c r="L2648" s="137"/>
      <c r="P2648" s="137"/>
      <c r="Q2648" s="137"/>
      <c r="R2648" s="126"/>
    </row>
    <row r="2649" spans="2:18" x14ac:dyDescent="0.3">
      <c r="B2649" s="126"/>
      <c r="G2649" s="137"/>
      <c r="H2649" s="138"/>
      <c r="I2649" s="138"/>
      <c r="J2649" s="139"/>
      <c r="K2649" s="137"/>
      <c r="L2649" s="137"/>
      <c r="P2649" s="137"/>
      <c r="Q2649" s="137"/>
      <c r="R2649" s="126"/>
    </row>
    <row r="2650" spans="2:18" x14ac:dyDescent="0.3">
      <c r="B2650" s="126"/>
      <c r="G2650" s="137"/>
      <c r="H2650" s="138"/>
      <c r="I2650" s="138"/>
      <c r="J2650" s="139"/>
      <c r="K2650" s="137"/>
      <c r="L2650" s="137"/>
      <c r="P2650" s="137"/>
      <c r="Q2650" s="137"/>
      <c r="R2650" s="126"/>
    </row>
    <row r="2651" spans="2:18" x14ac:dyDescent="0.3">
      <c r="B2651" s="126"/>
      <c r="G2651" s="137"/>
      <c r="H2651" s="138"/>
      <c r="I2651" s="138"/>
      <c r="J2651" s="139"/>
      <c r="K2651" s="137"/>
      <c r="L2651" s="137"/>
      <c r="P2651" s="137"/>
      <c r="Q2651" s="137"/>
      <c r="R2651" s="126"/>
    </row>
    <row r="2652" spans="2:18" x14ac:dyDescent="0.3">
      <c r="B2652" s="126"/>
      <c r="G2652" s="137"/>
      <c r="H2652" s="138"/>
      <c r="I2652" s="138"/>
      <c r="J2652" s="139"/>
      <c r="K2652" s="137"/>
      <c r="L2652" s="137"/>
      <c r="P2652" s="137"/>
      <c r="Q2652" s="137"/>
      <c r="R2652" s="126"/>
    </row>
    <row r="2653" spans="2:18" x14ac:dyDescent="0.3">
      <c r="B2653" s="126"/>
      <c r="G2653" s="137"/>
      <c r="H2653" s="138"/>
      <c r="I2653" s="138"/>
      <c r="J2653" s="139"/>
      <c r="K2653" s="137"/>
      <c r="L2653" s="137"/>
      <c r="P2653" s="137"/>
      <c r="Q2653" s="137"/>
      <c r="R2653" s="126"/>
    </row>
    <row r="2654" spans="2:18" x14ac:dyDescent="0.3">
      <c r="B2654" s="126"/>
      <c r="G2654" s="137"/>
      <c r="H2654" s="138"/>
      <c r="I2654" s="138"/>
      <c r="J2654" s="139"/>
      <c r="K2654" s="137"/>
      <c r="L2654" s="137"/>
      <c r="P2654" s="137"/>
      <c r="Q2654" s="137"/>
      <c r="R2654" s="126"/>
    </row>
    <row r="2655" spans="2:18" x14ac:dyDescent="0.3">
      <c r="B2655" s="126"/>
      <c r="G2655" s="137"/>
      <c r="H2655" s="138"/>
      <c r="I2655" s="138"/>
      <c r="J2655" s="139"/>
      <c r="K2655" s="137"/>
      <c r="L2655" s="137"/>
      <c r="P2655" s="137"/>
      <c r="Q2655" s="137"/>
      <c r="R2655" s="126"/>
    </row>
    <row r="2656" spans="2:18" x14ac:dyDescent="0.3">
      <c r="B2656" s="126"/>
      <c r="G2656" s="137"/>
      <c r="H2656" s="138"/>
      <c r="I2656" s="138"/>
      <c r="J2656" s="139"/>
      <c r="K2656" s="137"/>
      <c r="L2656" s="137"/>
      <c r="P2656" s="137"/>
      <c r="Q2656" s="137"/>
      <c r="R2656" s="126"/>
    </row>
    <row r="2657" spans="2:18" x14ac:dyDescent="0.3">
      <c r="B2657" s="126"/>
      <c r="G2657" s="137"/>
      <c r="H2657" s="138"/>
      <c r="I2657" s="138"/>
      <c r="J2657" s="139"/>
      <c r="K2657" s="137"/>
      <c r="L2657" s="137"/>
      <c r="P2657" s="137"/>
      <c r="Q2657" s="137"/>
      <c r="R2657" s="126"/>
    </row>
    <row r="2658" spans="2:18" x14ac:dyDescent="0.3">
      <c r="B2658" s="126"/>
      <c r="G2658" s="137"/>
      <c r="H2658" s="138"/>
      <c r="I2658" s="138"/>
      <c r="J2658" s="139"/>
      <c r="K2658" s="137"/>
      <c r="L2658" s="137"/>
      <c r="P2658" s="137"/>
      <c r="Q2658" s="137"/>
      <c r="R2658" s="126"/>
    </row>
    <row r="2659" spans="2:18" x14ac:dyDescent="0.3">
      <c r="B2659" s="126"/>
      <c r="G2659" s="137"/>
      <c r="H2659" s="138"/>
      <c r="I2659" s="138"/>
      <c r="J2659" s="139"/>
      <c r="K2659" s="137"/>
      <c r="L2659" s="137"/>
      <c r="P2659" s="137"/>
      <c r="Q2659" s="137"/>
      <c r="R2659" s="126"/>
    </row>
    <row r="2660" spans="2:18" x14ac:dyDescent="0.3">
      <c r="B2660" s="126"/>
      <c r="G2660" s="137"/>
      <c r="H2660" s="138"/>
      <c r="I2660" s="138"/>
      <c r="J2660" s="139"/>
      <c r="K2660" s="137"/>
      <c r="L2660" s="137"/>
      <c r="P2660" s="137"/>
      <c r="Q2660" s="137"/>
      <c r="R2660" s="126"/>
    </row>
    <row r="2661" spans="2:18" x14ac:dyDescent="0.3">
      <c r="B2661" s="126"/>
      <c r="G2661" s="137"/>
      <c r="H2661" s="138"/>
      <c r="I2661" s="138"/>
      <c r="J2661" s="139"/>
      <c r="K2661" s="137"/>
      <c r="L2661" s="137"/>
      <c r="P2661" s="137"/>
      <c r="Q2661" s="137"/>
      <c r="R2661" s="126"/>
    </row>
    <row r="2662" spans="2:18" x14ac:dyDescent="0.3">
      <c r="B2662" s="126"/>
      <c r="G2662" s="137"/>
      <c r="H2662" s="138"/>
      <c r="I2662" s="138"/>
      <c r="J2662" s="139"/>
      <c r="K2662" s="137"/>
      <c r="L2662" s="137"/>
      <c r="P2662" s="137"/>
      <c r="Q2662" s="137"/>
      <c r="R2662" s="126"/>
    </row>
    <row r="2663" spans="2:18" x14ac:dyDescent="0.3">
      <c r="B2663" s="126"/>
      <c r="G2663" s="137"/>
      <c r="H2663" s="138"/>
      <c r="I2663" s="138"/>
      <c r="J2663" s="139"/>
      <c r="K2663" s="137"/>
      <c r="L2663" s="137"/>
      <c r="P2663" s="137"/>
      <c r="Q2663" s="137"/>
      <c r="R2663" s="126"/>
    </row>
    <row r="2664" spans="2:18" x14ac:dyDescent="0.3">
      <c r="B2664" s="126"/>
      <c r="G2664" s="137"/>
      <c r="H2664" s="138"/>
      <c r="I2664" s="138"/>
      <c r="J2664" s="139"/>
      <c r="K2664" s="137"/>
      <c r="L2664" s="137"/>
      <c r="P2664" s="137"/>
      <c r="Q2664" s="137"/>
      <c r="R2664" s="126"/>
    </row>
    <row r="2665" spans="2:18" x14ac:dyDescent="0.3">
      <c r="B2665" s="126"/>
      <c r="G2665" s="137"/>
      <c r="H2665" s="138"/>
      <c r="I2665" s="138"/>
      <c r="J2665" s="139"/>
      <c r="K2665" s="137"/>
      <c r="L2665" s="137"/>
      <c r="P2665" s="137"/>
      <c r="Q2665" s="137"/>
      <c r="R2665" s="126"/>
    </row>
    <row r="2666" spans="2:18" x14ac:dyDescent="0.3">
      <c r="B2666" s="126"/>
      <c r="G2666" s="137"/>
      <c r="H2666" s="138"/>
      <c r="I2666" s="138"/>
      <c r="J2666" s="139"/>
      <c r="K2666" s="137"/>
      <c r="L2666" s="137"/>
      <c r="P2666" s="137"/>
      <c r="Q2666" s="137"/>
      <c r="R2666" s="126"/>
    </row>
    <row r="2667" spans="2:18" x14ac:dyDescent="0.3">
      <c r="B2667" s="126"/>
      <c r="G2667" s="137"/>
      <c r="H2667" s="138"/>
      <c r="I2667" s="138"/>
      <c r="J2667" s="139"/>
      <c r="K2667" s="137"/>
      <c r="L2667" s="137"/>
      <c r="P2667" s="137"/>
      <c r="Q2667" s="137"/>
      <c r="R2667" s="126"/>
    </row>
    <row r="2668" spans="2:18" x14ac:dyDescent="0.3">
      <c r="B2668" s="126"/>
      <c r="G2668" s="137"/>
      <c r="H2668" s="138"/>
      <c r="I2668" s="138"/>
      <c r="J2668" s="139"/>
      <c r="K2668" s="137"/>
      <c r="L2668" s="137"/>
      <c r="P2668" s="137"/>
      <c r="Q2668" s="137"/>
      <c r="R2668" s="126"/>
    </row>
    <row r="2669" spans="2:18" x14ac:dyDescent="0.3">
      <c r="B2669" s="126"/>
      <c r="G2669" s="137"/>
      <c r="H2669" s="138"/>
      <c r="I2669" s="138"/>
      <c r="J2669" s="139"/>
      <c r="K2669" s="137"/>
      <c r="L2669" s="137"/>
      <c r="P2669" s="137"/>
      <c r="Q2669" s="137"/>
      <c r="R2669" s="126"/>
    </row>
    <row r="2670" spans="2:18" x14ac:dyDescent="0.3">
      <c r="B2670" s="126"/>
      <c r="G2670" s="137"/>
      <c r="H2670" s="138"/>
      <c r="I2670" s="138"/>
      <c r="J2670" s="139"/>
      <c r="K2670" s="137"/>
      <c r="L2670" s="137"/>
      <c r="P2670" s="137"/>
      <c r="Q2670" s="137"/>
      <c r="R2670" s="126"/>
    </row>
    <row r="2671" spans="2:18" x14ac:dyDescent="0.3">
      <c r="B2671" s="126"/>
      <c r="G2671" s="137"/>
      <c r="H2671" s="138"/>
      <c r="I2671" s="138"/>
      <c r="J2671" s="139"/>
      <c r="K2671" s="137"/>
      <c r="L2671" s="137"/>
      <c r="P2671" s="137"/>
      <c r="Q2671" s="137"/>
      <c r="R2671" s="126"/>
    </row>
    <row r="2672" spans="2:18" x14ac:dyDescent="0.3">
      <c r="B2672" s="126"/>
      <c r="G2672" s="137"/>
      <c r="H2672" s="138"/>
      <c r="I2672" s="138"/>
      <c r="J2672" s="139"/>
      <c r="K2672" s="137"/>
      <c r="L2672" s="137"/>
      <c r="P2672" s="137"/>
      <c r="Q2672" s="137"/>
      <c r="R2672" s="126"/>
    </row>
    <row r="2673" spans="2:18" x14ac:dyDescent="0.3">
      <c r="B2673" s="126"/>
      <c r="G2673" s="137"/>
      <c r="H2673" s="138"/>
      <c r="I2673" s="138"/>
      <c r="J2673" s="139"/>
      <c r="K2673" s="137"/>
      <c r="L2673" s="137"/>
      <c r="P2673" s="137"/>
      <c r="Q2673" s="137"/>
      <c r="R2673" s="126"/>
    </row>
    <row r="2674" spans="2:18" x14ac:dyDescent="0.3">
      <c r="B2674" s="126"/>
      <c r="G2674" s="137"/>
      <c r="H2674" s="138"/>
      <c r="I2674" s="138"/>
      <c r="J2674" s="139"/>
      <c r="K2674" s="137"/>
      <c r="L2674" s="137"/>
      <c r="P2674" s="137"/>
      <c r="Q2674" s="137"/>
      <c r="R2674" s="126"/>
    </row>
    <row r="2675" spans="2:18" x14ac:dyDescent="0.3">
      <c r="B2675" s="126"/>
      <c r="G2675" s="137"/>
      <c r="H2675" s="138"/>
      <c r="I2675" s="138"/>
      <c r="J2675" s="139"/>
      <c r="K2675" s="137"/>
      <c r="L2675" s="137"/>
      <c r="P2675" s="137"/>
      <c r="Q2675" s="137"/>
      <c r="R2675" s="126"/>
    </row>
    <row r="2676" spans="2:18" x14ac:dyDescent="0.3">
      <c r="B2676" s="126"/>
      <c r="G2676" s="137"/>
      <c r="H2676" s="138"/>
      <c r="I2676" s="138"/>
      <c r="J2676" s="139"/>
      <c r="K2676" s="137"/>
      <c r="L2676" s="137"/>
      <c r="P2676" s="137"/>
      <c r="Q2676" s="137"/>
      <c r="R2676" s="126"/>
    </row>
    <row r="2677" spans="2:18" x14ac:dyDescent="0.3">
      <c r="B2677" s="126"/>
      <c r="G2677" s="137"/>
      <c r="H2677" s="138"/>
      <c r="I2677" s="138"/>
      <c r="J2677" s="139"/>
      <c r="K2677" s="137"/>
      <c r="L2677" s="137"/>
      <c r="P2677" s="137"/>
      <c r="Q2677" s="137"/>
      <c r="R2677" s="126"/>
    </row>
    <row r="2678" spans="2:18" x14ac:dyDescent="0.3">
      <c r="B2678" s="126"/>
      <c r="G2678" s="137"/>
      <c r="H2678" s="138"/>
      <c r="I2678" s="138"/>
      <c r="J2678" s="139"/>
      <c r="K2678" s="137"/>
      <c r="L2678" s="137"/>
      <c r="P2678" s="137"/>
      <c r="Q2678" s="137"/>
      <c r="R2678" s="126"/>
    </row>
    <row r="2679" spans="2:18" x14ac:dyDescent="0.3">
      <c r="B2679" s="126"/>
      <c r="G2679" s="137"/>
      <c r="H2679" s="138"/>
      <c r="I2679" s="138"/>
      <c r="J2679" s="139"/>
      <c r="K2679" s="137"/>
      <c r="L2679" s="137"/>
      <c r="P2679" s="137"/>
      <c r="Q2679" s="137"/>
      <c r="R2679" s="126"/>
    </row>
    <row r="2680" spans="2:18" x14ac:dyDescent="0.3">
      <c r="B2680" s="126"/>
      <c r="G2680" s="137"/>
      <c r="H2680" s="138"/>
      <c r="I2680" s="138"/>
      <c r="J2680" s="139"/>
      <c r="K2680" s="137"/>
      <c r="L2680" s="137"/>
      <c r="P2680" s="137"/>
      <c r="Q2680" s="137"/>
      <c r="R2680" s="126"/>
    </row>
    <row r="2681" spans="2:18" x14ac:dyDescent="0.3">
      <c r="B2681" s="126"/>
      <c r="G2681" s="137"/>
      <c r="H2681" s="138"/>
      <c r="I2681" s="138"/>
      <c r="J2681" s="139"/>
      <c r="K2681" s="137"/>
      <c r="L2681" s="137"/>
      <c r="P2681" s="137"/>
      <c r="Q2681" s="137"/>
      <c r="R2681" s="126"/>
    </row>
    <row r="2682" spans="2:18" x14ac:dyDescent="0.3">
      <c r="B2682" s="126"/>
      <c r="G2682" s="137"/>
      <c r="H2682" s="138"/>
      <c r="I2682" s="138"/>
      <c r="J2682" s="139"/>
      <c r="K2682" s="137"/>
      <c r="L2682" s="137"/>
      <c r="P2682" s="137"/>
      <c r="Q2682" s="137"/>
      <c r="R2682" s="126"/>
    </row>
    <row r="2683" spans="2:18" x14ac:dyDescent="0.3">
      <c r="B2683" s="126"/>
      <c r="G2683" s="137"/>
      <c r="H2683" s="138"/>
      <c r="I2683" s="138"/>
      <c r="J2683" s="139"/>
      <c r="K2683" s="137"/>
      <c r="L2683" s="137"/>
      <c r="P2683" s="137"/>
      <c r="Q2683" s="137"/>
      <c r="R2683" s="126"/>
    </row>
    <row r="2684" spans="2:18" x14ac:dyDescent="0.3">
      <c r="B2684" s="126"/>
      <c r="G2684" s="137"/>
      <c r="H2684" s="138"/>
      <c r="I2684" s="138"/>
      <c r="J2684" s="139"/>
      <c r="K2684" s="137"/>
      <c r="L2684" s="137"/>
      <c r="P2684" s="137"/>
      <c r="Q2684" s="137"/>
      <c r="R2684" s="126"/>
    </row>
    <row r="2685" spans="2:18" x14ac:dyDescent="0.3">
      <c r="B2685" s="126"/>
      <c r="G2685" s="137"/>
      <c r="H2685" s="138"/>
      <c r="I2685" s="138"/>
      <c r="J2685" s="139"/>
      <c r="K2685" s="137"/>
      <c r="L2685" s="137"/>
      <c r="P2685" s="137"/>
      <c r="Q2685" s="137"/>
      <c r="R2685" s="126"/>
    </row>
    <row r="2686" spans="2:18" x14ac:dyDescent="0.3">
      <c r="B2686" s="126"/>
      <c r="G2686" s="137"/>
      <c r="H2686" s="138"/>
      <c r="I2686" s="138"/>
      <c r="J2686" s="139"/>
      <c r="K2686" s="137"/>
      <c r="L2686" s="137"/>
      <c r="P2686" s="137"/>
      <c r="Q2686" s="137"/>
      <c r="R2686" s="126"/>
    </row>
    <row r="2687" spans="2:18" x14ac:dyDescent="0.3">
      <c r="B2687" s="126"/>
      <c r="G2687" s="137"/>
      <c r="H2687" s="138"/>
      <c r="I2687" s="138"/>
      <c r="J2687" s="139"/>
      <c r="K2687" s="137"/>
      <c r="L2687" s="137"/>
      <c r="P2687" s="137"/>
      <c r="Q2687" s="137"/>
      <c r="R2687" s="126"/>
    </row>
    <row r="2688" spans="2:18" x14ac:dyDescent="0.3">
      <c r="B2688" s="126"/>
      <c r="G2688" s="137"/>
      <c r="H2688" s="138"/>
      <c r="I2688" s="138"/>
      <c r="J2688" s="139"/>
      <c r="K2688" s="137"/>
      <c r="L2688" s="137"/>
      <c r="P2688" s="137"/>
      <c r="Q2688" s="137"/>
      <c r="R2688" s="126"/>
    </row>
    <row r="2689" spans="2:18" x14ac:dyDescent="0.3">
      <c r="B2689" s="126"/>
      <c r="G2689" s="137"/>
      <c r="H2689" s="138"/>
      <c r="I2689" s="138"/>
      <c r="J2689" s="139"/>
      <c r="K2689" s="137"/>
      <c r="L2689" s="137"/>
      <c r="P2689" s="137"/>
      <c r="Q2689" s="137"/>
      <c r="R2689" s="126"/>
    </row>
    <row r="2690" spans="2:18" x14ac:dyDescent="0.3">
      <c r="B2690" s="126"/>
      <c r="G2690" s="137"/>
      <c r="H2690" s="138"/>
      <c r="I2690" s="138"/>
      <c r="J2690" s="139"/>
      <c r="K2690" s="137"/>
      <c r="L2690" s="137"/>
      <c r="P2690" s="137"/>
      <c r="Q2690" s="137"/>
      <c r="R2690" s="126"/>
    </row>
    <row r="2691" spans="2:18" x14ac:dyDescent="0.3">
      <c r="B2691" s="126"/>
      <c r="G2691" s="137"/>
      <c r="H2691" s="138"/>
      <c r="I2691" s="138"/>
      <c r="J2691" s="139"/>
      <c r="K2691" s="137"/>
      <c r="L2691" s="137"/>
      <c r="P2691" s="137"/>
      <c r="Q2691" s="137"/>
      <c r="R2691" s="126"/>
    </row>
    <row r="2692" spans="2:18" x14ac:dyDescent="0.3">
      <c r="B2692" s="126"/>
      <c r="G2692" s="137"/>
      <c r="H2692" s="138"/>
      <c r="I2692" s="138"/>
      <c r="J2692" s="139"/>
      <c r="K2692" s="137"/>
      <c r="L2692" s="137"/>
      <c r="P2692" s="137"/>
      <c r="Q2692" s="137"/>
      <c r="R2692" s="126"/>
    </row>
    <row r="2693" spans="2:18" x14ac:dyDescent="0.3">
      <c r="B2693" s="126"/>
      <c r="G2693" s="137"/>
      <c r="H2693" s="138"/>
      <c r="I2693" s="138"/>
      <c r="J2693" s="139"/>
      <c r="K2693" s="137"/>
      <c r="L2693" s="137"/>
      <c r="P2693" s="137"/>
      <c r="Q2693" s="137"/>
      <c r="R2693" s="126"/>
    </row>
    <row r="2694" spans="2:18" x14ac:dyDescent="0.3">
      <c r="B2694" s="126"/>
      <c r="G2694" s="137"/>
      <c r="H2694" s="138"/>
      <c r="I2694" s="138"/>
      <c r="J2694" s="139"/>
      <c r="K2694" s="137"/>
      <c r="L2694" s="137"/>
      <c r="P2694" s="137"/>
      <c r="Q2694" s="137"/>
      <c r="R2694" s="126"/>
    </row>
    <row r="2695" spans="2:18" x14ac:dyDescent="0.3">
      <c r="B2695" s="126"/>
      <c r="G2695" s="137"/>
      <c r="H2695" s="138"/>
      <c r="I2695" s="138"/>
      <c r="J2695" s="139"/>
      <c r="K2695" s="137"/>
      <c r="L2695" s="137"/>
      <c r="P2695" s="137"/>
      <c r="Q2695" s="137"/>
      <c r="R2695" s="126"/>
    </row>
    <row r="2696" spans="2:18" x14ac:dyDescent="0.3">
      <c r="B2696" s="126"/>
      <c r="G2696" s="137"/>
      <c r="H2696" s="138"/>
      <c r="I2696" s="138"/>
      <c r="J2696" s="139"/>
      <c r="K2696" s="137"/>
      <c r="L2696" s="137"/>
      <c r="P2696" s="137"/>
      <c r="Q2696" s="137"/>
      <c r="R2696" s="126"/>
    </row>
    <row r="2697" spans="2:18" x14ac:dyDescent="0.3">
      <c r="B2697" s="126"/>
      <c r="G2697" s="137"/>
      <c r="H2697" s="138"/>
      <c r="I2697" s="138"/>
      <c r="J2697" s="139"/>
      <c r="K2697" s="137"/>
      <c r="L2697" s="137"/>
      <c r="P2697" s="137"/>
      <c r="Q2697" s="137"/>
      <c r="R2697" s="126"/>
    </row>
    <row r="2698" spans="2:18" x14ac:dyDescent="0.3">
      <c r="B2698" s="126"/>
      <c r="G2698" s="137"/>
      <c r="H2698" s="138"/>
      <c r="I2698" s="138"/>
      <c r="J2698" s="139"/>
      <c r="K2698" s="137"/>
      <c r="L2698" s="137"/>
      <c r="P2698" s="137"/>
      <c r="Q2698" s="137"/>
      <c r="R2698" s="126"/>
    </row>
    <row r="2699" spans="2:18" x14ac:dyDescent="0.3">
      <c r="B2699" s="126"/>
      <c r="G2699" s="137"/>
      <c r="H2699" s="138"/>
      <c r="I2699" s="138"/>
      <c r="J2699" s="139"/>
      <c r="K2699" s="137"/>
      <c r="L2699" s="137"/>
      <c r="P2699" s="137"/>
      <c r="Q2699" s="137"/>
      <c r="R2699" s="126"/>
    </row>
    <row r="2700" spans="2:18" x14ac:dyDescent="0.3">
      <c r="B2700" s="126"/>
      <c r="G2700" s="137"/>
      <c r="H2700" s="138"/>
      <c r="I2700" s="138"/>
      <c r="J2700" s="139"/>
      <c r="K2700" s="137"/>
      <c r="L2700" s="137"/>
      <c r="P2700" s="137"/>
      <c r="Q2700" s="137"/>
      <c r="R2700" s="126"/>
    </row>
    <row r="2701" spans="2:18" x14ac:dyDescent="0.3">
      <c r="B2701" s="126"/>
      <c r="G2701" s="137"/>
      <c r="H2701" s="138"/>
      <c r="I2701" s="138"/>
      <c r="J2701" s="139"/>
      <c r="K2701" s="137"/>
      <c r="L2701" s="137"/>
      <c r="P2701" s="137"/>
      <c r="Q2701" s="137"/>
      <c r="R2701" s="126"/>
    </row>
    <row r="2702" spans="2:18" x14ac:dyDescent="0.3">
      <c r="B2702" s="126"/>
      <c r="G2702" s="137"/>
      <c r="H2702" s="138"/>
      <c r="I2702" s="138"/>
      <c r="J2702" s="139"/>
      <c r="K2702" s="137"/>
      <c r="L2702" s="137"/>
      <c r="P2702" s="137"/>
      <c r="Q2702" s="137"/>
      <c r="R2702" s="126"/>
    </row>
    <row r="2703" spans="2:18" x14ac:dyDescent="0.3">
      <c r="B2703" s="126"/>
      <c r="G2703" s="137"/>
      <c r="H2703" s="138"/>
      <c r="I2703" s="138"/>
      <c r="J2703" s="139"/>
      <c r="K2703" s="137"/>
      <c r="L2703" s="137"/>
      <c r="P2703" s="137"/>
      <c r="Q2703" s="137"/>
      <c r="R2703" s="126"/>
    </row>
    <row r="2704" spans="2:18" x14ac:dyDescent="0.3">
      <c r="B2704" s="126"/>
      <c r="G2704" s="137"/>
      <c r="H2704" s="138"/>
      <c r="I2704" s="138"/>
      <c r="J2704" s="139"/>
      <c r="K2704" s="137"/>
      <c r="L2704" s="137"/>
      <c r="P2704" s="137"/>
      <c r="Q2704" s="137"/>
      <c r="R2704" s="126"/>
    </row>
    <row r="2705" spans="2:18" x14ac:dyDescent="0.3">
      <c r="B2705" s="126"/>
      <c r="G2705" s="137"/>
      <c r="H2705" s="138"/>
      <c r="I2705" s="138"/>
      <c r="J2705" s="139"/>
      <c r="K2705" s="137"/>
      <c r="L2705" s="137"/>
      <c r="P2705" s="137"/>
      <c r="Q2705" s="137"/>
      <c r="R2705" s="126"/>
    </row>
    <row r="2706" spans="2:18" x14ac:dyDescent="0.3">
      <c r="B2706" s="126"/>
      <c r="G2706" s="137"/>
      <c r="H2706" s="138"/>
      <c r="I2706" s="138"/>
      <c r="J2706" s="139"/>
      <c r="K2706" s="137"/>
      <c r="L2706" s="137"/>
      <c r="P2706" s="137"/>
      <c r="Q2706" s="137"/>
      <c r="R2706" s="126"/>
    </row>
    <row r="2707" spans="2:18" x14ac:dyDescent="0.3">
      <c r="B2707" s="126"/>
      <c r="G2707" s="137"/>
      <c r="H2707" s="138"/>
      <c r="I2707" s="138"/>
      <c r="J2707" s="139"/>
      <c r="K2707" s="137"/>
      <c r="L2707" s="137"/>
      <c r="P2707" s="137"/>
      <c r="Q2707" s="137"/>
      <c r="R2707" s="126"/>
    </row>
    <row r="2708" spans="2:18" x14ac:dyDescent="0.3">
      <c r="B2708" s="126"/>
      <c r="G2708" s="137"/>
      <c r="H2708" s="138"/>
      <c r="I2708" s="138"/>
      <c r="J2708" s="139"/>
      <c r="K2708" s="137"/>
      <c r="L2708" s="137"/>
      <c r="P2708" s="137"/>
      <c r="Q2708" s="137"/>
      <c r="R2708" s="126"/>
    </row>
    <row r="2709" spans="2:18" x14ac:dyDescent="0.3">
      <c r="B2709" s="126"/>
      <c r="G2709" s="137"/>
      <c r="H2709" s="138"/>
      <c r="I2709" s="138"/>
      <c r="J2709" s="139"/>
      <c r="K2709" s="137"/>
      <c r="L2709" s="137"/>
      <c r="P2709" s="137"/>
      <c r="Q2709" s="137"/>
      <c r="R2709" s="126"/>
    </row>
    <row r="2710" spans="2:18" x14ac:dyDescent="0.3">
      <c r="B2710" s="126"/>
      <c r="G2710" s="137"/>
      <c r="H2710" s="138"/>
      <c r="I2710" s="138"/>
      <c r="J2710" s="139"/>
      <c r="K2710" s="137"/>
      <c r="L2710" s="137"/>
      <c r="P2710" s="137"/>
      <c r="Q2710" s="137"/>
      <c r="R2710" s="126"/>
    </row>
    <row r="2711" spans="2:18" x14ac:dyDescent="0.3">
      <c r="B2711" s="126"/>
      <c r="G2711" s="137"/>
      <c r="H2711" s="138"/>
      <c r="I2711" s="138"/>
      <c r="J2711" s="139"/>
      <c r="K2711" s="137"/>
      <c r="L2711" s="137"/>
      <c r="P2711" s="137"/>
      <c r="Q2711" s="137"/>
      <c r="R2711" s="126"/>
    </row>
    <row r="2712" spans="2:18" x14ac:dyDescent="0.3">
      <c r="B2712" s="126"/>
      <c r="G2712" s="137"/>
      <c r="H2712" s="138"/>
      <c r="I2712" s="138"/>
      <c r="J2712" s="139"/>
      <c r="K2712" s="137"/>
      <c r="L2712" s="137"/>
      <c r="P2712" s="137"/>
      <c r="Q2712" s="137"/>
      <c r="R2712" s="126"/>
    </row>
    <row r="2713" spans="2:18" x14ac:dyDescent="0.3">
      <c r="B2713" s="126"/>
      <c r="G2713" s="137"/>
      <c r="H2713" s="138"/>
      <c r="I2713" s="138"/>
      <c r="J2713" s="139"/>
      <c r="K2713" s="137"/>
      <c r="L2713" s="137"/>
      <c r="P2713" s="137"/>
      <c r="Q2713" s="137"/>
      <c r="R2713" s="126"/>
    </row>
    <row r="2714" spans="2:18" x14ac:dyDescent="0.3">
      <c r="B2714" s="126"/>
      <c r="G2714" s="137"/>
      <c r="H2714" s="138"/>
      <c r="I2714" s="138"/>
      <c r="J2714" s="139"/>
      <c r="K2714" s="137"/>
      <c r="L2714" s="137"/>
      <c r="P2714" s="137"/>
      <c r="Q2714" s="137"/>
      <c r="R2714" s="126"/>
    </row>
    <row r="2715" spans="2:18" x14ac:dyDescent="0.3">
      <c r="B2715" s="126"/>
      <c r="G2715" s="137"/>
      <c r="H2715" s="138"/>
      <c r="I2715" s="138"/>
      <c r="J2715" s="139"/>
      <c r="K2715" s="137"/>
      <c r="L2715" s="137"/>
      <c r="P2715" s="137"/>
      <c r="Q2715" s="137"/>
      <c r="R2715" s="126"/>
    </row>
    <row r="2716" spans="2:18" x14ac:dyDescent="0.3">
      <c r="B2716" s="126"/>
      <c r="G2716" s="137"/>
      <c r="H2716" s="138"/>
      <c r="I2716" s="138"/>
      <c r="J2716" s="139"/>
      <c r="K2716" s="137"/>
      <c r="L2716" s="137"/>
      <c r="P2716" s="137"/>
      <c r="Q2716" s="137"/>
      <c r="R2716" s="126"/>
    </row>
    <row r="2717" spans="2:18" x14ac:dyDescent="0.3">
      <c r="B2717" s="126"/>
      <c r="G2717" s="137"/>
      <c r="H2717" s="138"/>
      <c r="I2717" s="138"/>
      <c r="J2717" s="139"/>
      <c r="K2717" s="137"/>
      <c r="L2717" s="137"/>
      <c r="P2717" s="137"/>
      <c r="Q2717" s="137"/>
      <c r="R2717" s="126"/>
    </row>
    <row r="2718" spans="2:18" x14ac:dyDescent="0.3">
      <c r="B2718" s="126"/>
      <c r="G2718" s="137"/>
      <c r="H2718" s="138"/>
      <c r="I2718" s="138"/>
      <c r="J2718" s="139"/>
      <c r="K2718" s="137"/>
      <c r="L2718" s="137"/>
      <c r="P2718" s="137"/>
      <c r="Q2718" s="137"/>
      <c r="R2718" s="126"/>
    </row>
    <row r="2719" spans="2:18" x14ac:dyDescent="0.3">
      <c r="B2719" s="126"/>
      <c r="G2719" s="137"/>
      <c r="H2719" s="138"/>
      <c r="I2719" s="138"/>
      <c r="J2719" s="139"/>
      <c r="K2719" s="137"/>
      <c r="L2719" s="137"/>
      <c r="P2719" s="137"/>
      <c r="Q2719" s="137"/>
      <c r="R2719" s="126"/>
    </row>
    <row r="2720" spans="2:18" x14ac:dyDescent="0.3">
      <c r="B2720" s="126"/>
      <c r="G2720" s="137"/>
      <c r="H2720" s="138"/>
      <c r="I2720" s="138"/>
      <c r="J2720" s="139"/>
      <c r="K2720" s="137"/>
      <c r="L2720" s="137"/>
      <c r="P2720" s="137"/>
      <c r="Q2720" s="137"/>
      <c r="R2720" s="126"/>
    </row>
    <row r="2721" spans="2:18" x14ac:dyDescent="0.3">
      <c r="B2721" s="126"/>
      <c r="G2721" s="137"/>
      <c r="H2721" s="138"/>
      <c r="I2721" s="138"/>
      <c r="J2721" s="139"/>
      <c r="K2721" s="137"/>
      <c r="L2721" s="137"/>
      <c r="P2721" s="137"/>
      <c r="Q2721" s="137"/>
      <c r="R2721" s="126"/>
    </row>
    <row r="2722" spans="2:18" x14ac:dyDescent="0.3">
      <c r="B2722" s="126"/>
      <c r="G2722" s="137"/>
      <c r="H2722" s="138"/>
      <c r="I2722" s="138"/>
      <c r="J2722" s="139"/>
      <c r="K2722" s="137"/>
      <c r="L2722" s="137"/>
      <c r="P2722" s="137"/>
      <c r="Q2722" s="137"/>
      <c r="R2722" s="126"/>
    </row>
    <row r="2723" spans="2:18" x14ac:dyDescent="0.3">
      <c r="B2723" s="126"/>
      <c r="G2723" s="137"/>
      <c r="H2723" s="138"/>
      <c r="I2723" s="138"/>
      <c r="J2723" s="139"/>
      <c r="K2723" s="137"/>
      <c r="L2723" s="137"/>
      <c r="P2723" s="137"/>
      <c r="Q2723" s="137"/>
      <c r="R2723" s="126"/>
    </row>
    <row r="2724" spans="2:18" x14ac:dyDescent="0.3">
      <c r="B2724" s="126"/>
      <c r="G2724" s="137"/>
      <c r="H2724" s="138"/>
      <c r="I2724" s="138"/>
      <c r="J2724" s="139"/>
      <c r="K2724" s="137"/>
      <c r="L2724" s="137"/>
      <c r="P2724" s="137"/>
      <c r="Q2724" s="137"/>
      <c r="R2724" s="126"/>
    </row>
    <row r="2725" spans="2:18" x14ac:dyDescent="0.3">
      <c r="B2725" s="126"/>
      <c r="G2725" s="137"/>
      <c r="H2725" s="138"/>
      <c r="I2725" s="138"/>
      <c r="J2725" s="139"/>
      <c r="K2725" s="137"/>
      <c r="L2725" s="137"/>
      <c r="P2725" s="137"/>
      <c r="Q2725" s="137"/>
      <c r="R2725" s="126"/>
    </row>
    <row r="2726" spans="2:18" x14ac:dyDescent="0.3">
      <c r="B2726" s="126"/>
      <c r="G2726" s="137"/>
      <c r="H2726" s="138"/>
      <c r="I2726" s="138"/>
      <c r="J2726" s="139"/>
      <c r="K2726" s="137"/>
      <c r="L2726" s="137"/>
      <c r="P2726" s="137"/>
      <c r="Q2726" s="137"/>
      <c r="R2726" s="126"/>
    </row>
    <row r="2727" spans="2:18" x14ac:dyDescent="0.3">
      <c r="B2727" s="126"/>
      <c r="G2727" s="137"/>
      <c r="H2727" s="138"/>
      <c r="I2727" s="138"/>
      <c r="J2727" s="139"/>
      <c r="K2727" s="137"/>
      <c r="L2727" s="137"/>
      <c r="P2727" s="137"/>
      <c r="Q2727" s="137"/>
      <c r="R2727" s="126"/>
    </row>
    <row r="2728" spans="2:18" x14ac:dyDescent="0.3">
      <c r="B2728" s="126"/>
      <c r="G2728" s="137"/>
      <c r="H2728" s="138"/>
      <c r="I2728" s="138"/>
      <c r="J2728" s="139"/>
      <c r="K2728" s="137"/>
      <c r="L2728" s="137"/>
      <c r="P2728" s="137"/>
      <c r="Q2728" s="137"/>
      <c r="R2728" s="126"/>
    </row>
    <row r="2729" spans="2:18" x14ac:dyDescent="0.3">
      <c r="B2729" s="126"/>
      <c r="G2729" s="137"/>
      <c r="H2729" s="138"/>
      <c r="I2729" s="138"/>
      <c r="J2729" s="139"/>
      <c r="K2729" s="137"/>
      <c r="L2729" s="137"/>
      <c r="P2729" s="137"/>
      <c r="Q2729" s="137"/>
      <c r="R2729" s="126"/>
    </row>
    <row r="2730" spans="2:18" x14ac:dyDescent="0.3">
      <c r="B2730" s="126"/>
      <c r="G2730" s="137"/>
      <c r="H2730" s="138"/>
      <c r="I2730" s="138"/>
      <c r="J2730" s="139"/>
      <c r="K2730" s="137"/>
      <c r="L2730" s="137"/>
      <c r="P2730" s="137"/>
      <c r="Q2730" s="137"/>
      <c r="R2730" s="126"/>
    </row>
    <row r="2731" spans="2:18" x14ac:dyDescent="0.3">
      <c r="B2731" s="126"/>
      <c r="G2731" s="137"/>
      <c r="H2731" s="138"/>
      <c r="I2731" s="138"/>
      <c r="J2731" s="139"/>
      <c r="K2731" s="137"/>
      <c r="L2731" s="137"/>
      <c r="P2731" s="137"/>
      <c r="Q2731" s="137"/>
      <c r="R2731" s="126"/>
    </row>
    <row r="2732" spans="2:18" x14ac:dyDescent="0.3">
      <c r="B2732" s="126"/>
      <c r="G2732" s="137"/>
      <c r="H2732" s="138"/>
      <c r="I2732" s="138"/>
      <c r="J2732" s="139"/>
      <c r="K2732" s="137"/>
      <c r="L2732" s="137"/>
      <c r="P2732" s="137"/>
      <c r="Q2732" s="137"/>
      <c r="R2732" s="126"/>
    </row>
    <row r="2733" spans="2:18" x14ac:dyDescent="0.3">
      <c r="B2733" s="126"/>
      <c r="G2733" s="137"/>
      <c r="H2733" s="138"/>
      <c r="I2733" s="138"/>
      <c r="J2733" s="139"/>
      <c r="K2733" s="137"/>
      <c r="L2733" s="137"/>
      <c r="P2733" s="137"/>
      <c r="Q2733" s="137"/>
      <c r="R2733" s="126"/>
    </row>
    <row r="2734" spans="2:18" x14ac:dyDescent="0.3">
      <c r="B2734" s="126"/>
      <c r="G2734" s="137"/>
      <c r="H2734" s="138"/>
      <c r="I2734" s="138"/>
      <c r="J2734" s="139"/>
      <c r="K2734" s="137"/>
      <c r="L2734" s="137"/>
      <c r="P2734" s="137"/>
      <c r="Q2734" s="137"/>
      <c r="R2734" s="126"/>
    </row>
    <row r="2735" spans="2:18" x14ac:dyDescent="0.3">
      <c r="B2735" s="126"/>
      <c r="G2735" s="137"/>
      <c r="H2735" s="138"/>
      <c r="I2735" s="138"/>
      <c r="J2735" s="139"/>
      <c r="K2735" s="137"/>
      <c r="L2735" s="137"/>
      <c r="P2735" s="137"/>
      <c r="Q2735" s="137"/>
      <c r="R2735" s="126"/>
    </row>
    <row r="2736" spans="2:18" x14ac:dyDescent="0.3">
      <c r="B2736" s="126"/>
      <c r="G2736" s="137"/>
      <c r="H2736" s="138"/>
      <c r="I2736" s="138"/>
      <c r="J2736" s="139"/>
      <c r="K2736" s="137"/>
      <c r="L2736" s="137"/>
      <c r="P2736" s="137"/>
      <c r="Q2736" s="137"/>
      <c r="R2736" s="126"/>
    </row>
    <row r="2737" spans="2:18" x14ac:dyDescent="0.3">
      <c r="B2737" s="126"/>
      <c r="G2737" s="137"/>
      <c r="H2737" s="138"/>
      <c r="I2737" s="138"/>
      <c r="J2737" s="139"/>
      <c r="K2737" s="137"/>
      <c r="L2737" s="137"/>
      <c r="P2737" s="137"/>
      <c r="Q2737" s="137"/>
      <c r="R2737" s="126"/>
    </row>
    <row r="2738" spans="2:18" x14ac:dyDescent="0.3">
      <c r="B2738" s="126"/>
      <c r="G2738" s="137"/>
      <c r="H2738" s="138"/>
      <c r="I2738" s="138"/>
      <c r="J2738" s="139"/>
      <c r="K2738" s="137"/>
      <c r="L2738" s="137"/>
      <c r="P2738" s="137"/>
      <c r="Q2738" s="137"/>
      <c r="R2738" s="126"/>
    </row>
    <row r="2739" spans="2:18" x14ac:dyDescent="0.3">
      <c r="B2739" s="126"/>
      <c r="G2739" s="137"/>
      <c r="H2739" s="138"/>
      <c r="I2739" s="138"/>
      <c r="J2739" s="139"/>
      <c r="K2739" s="137"/>
      <c r="L2739" s="137"/>
      <c r="P2739" s="137"/>
      <c r="Q2739" s="137"/>
      <c r="R2739" s="126"/>
    </row>
    <row r="2740" spans="2:18" x14ac:dyDescent="0.3">
      <c r="B2740" s="126"/>
      <c r="G2740" s="137"/>
      <c r="H2740" s="138"/>
      <c r="I2740" s="138"/>
      <c r="J2740" s="139"/>
      <c r="K2740" s="137"/>
      <c r="L2740" s="137"/>
      <c r="P2740" s="137"/>
      <c r="Q2740" s="137"/>
      <c r="R2740" s="126"/>
    </row>
    <row r="2741" spans="2:18" x14ac:dyDescent="0.3">
      <c r="B2741" s="126"/>
      <c r="G2741" s="137"/>
      <c r="H2741" s="138"/>
      <c r="I2741" s="138"/>
      <c r="J2741" s="139"/>
      <c r="K2741" s="137"/>
      <c r="L2741" s="137"/>
      <c r="P2741" s="137"/>
      <c r="Q2741" s="137"/>
      <c r="R2741" s="126"/>
    </row>
    <row r="2742" spans="2:18" x14ac:dyDescent="0.3">
      <c r="B2742" s="126"/>
      <c r="G2742" s="137"/>
      <c r="H2742" s="138"/>
      <c r="I2742" s="138"/>
      <c r="J2742" s="139"/>
      <c r="K2742" s="137"/>
      <c r="L2742" s="137"/>
      <c r="P2742" s="137"/>
      <c r="Q2742" s="137"/>
      <c r="R2742" s="126"/>
    </row>
    <row r="2743" spans="2:18" x14ac:dyDescent="0.3">
      <c r="B2743" s="126"/>
      <c r="G2743" s="137"/>
      <c r="H2743" s="138"/>
      <c r="I2743" s="138"/>
      <c r="J2743" s="139"/>
      <c r="K2743" s="137"/>
      <c r="L2743" s="137"/>
      <c r="P2743" s="137"/>
      <c r="Q2743" s="137"/>
      <c r="R2743" s="126"/>
    </row>
    <row r="2744" spans="2:18" x14ac:dyDescent="0.3">
      <c r="B2744" s="126"/>
      <c r="G2744" s="137"/>
      <c r="H2744" s="138"/>
      <c r="I2744" s="138"/>
      <c r="J2744" s="139"/>
      <c r="K2744" s="137"/>
      <c r="L2744" s="137"/>
      <c r="P2744" s="137"/>
      <c r="Q2744" s="137"/>
      <c r="R2744" s="126"/>
    </row>
    <row r="2745" spans="2:18" x14ac:dyDescent="0.3">
      <c r="B2745" s="126"/>
      <c r="G2745" s="137"/>
      <c r="H2745" s="138"/>
      <c r="I2745" s="138"/>
      <c r="J2745" s="139"/>
      <c r="K2745" s="137"/>
      <c r="L2745" s="137"/>
      <c r="P2745" s="137"/>
      <c r="Q2745" s="137"/>
      <c r="R2745" s="126"/>
    </row>
    <row r="2746" spans="2:18" x14ac:dyDescent="0.3">
      <c r="B2746" s="126"/>
      <c r="G2746" s="137"/>
      <c r="H2746" s="138"/>
      <c r="I2746" s="138"/>
      <c r="J2746" s="139"/>
      <c r="K2746" s="137"/>
      <c r="L2746" s="137"/>
      <c r="P2746" s="137"/>
      <c r="Q2746" s="137"/>
      <c r="R2746" s="126"/>
    </row>
    <row r="2747" spans="2:18" x14ac:dyDescent="0.3">
      <c r="B2747" s="126"/>
      <c r="G2747" s="137"/>
      <c r="H2747" s="138"/>
      <c r="I2747" s="138"/>
      <c r="J2747" s="139"/>
      <c r="K2747" s="137"/>
      <c r="L2747" s="137"/>
      <c r="P2747" s="137"/>
      <c r="Q2747" s="137"/>
      <c r="R2747" s="126"/>
    </row>
    <row r="2748" spans="2:18" x14ac:dyDescent="0.3">
      <c r="B2748" s="126"/>
      <c r="G2748" s="137"/>
      <c r="H2748" s="138"/>
      <c r="I2748" s="138"/>
      <c r="J2748" s="139"/>
      <c r="K2748" s="137"/>
      <c r="L2748" s="137"/>
      <c r="P2748" s="137"/>
      <c r="Q2748" s="137"/>
      <c r="R2748" s="126"/>
    </row>
    <row r="2749" spans="2:18" x14ac:dyDescent="0.3">
      <c r="B2749" s="126"/>
      <c r="G2749" s="137"/>
      <c r="H2749" s="138"/>
      <c r="I2749" s="138"/>
      <c r="J2749" s="139"/>
      <c r="K2749" s="137"/>
      <c r="L2749" s="137"/>
      <c r="P2749" s="137"/>
      <c r="Q2749" s="137"/>
      <c r="R2749" s="126"/>
    </row>
    <row r="2750" spans="2:18" x14ac:dyDescent="0.3">
      <c r="B2750" s="126"/>
      <c r="G2750" s="137"/>
      <c r="H2750" s="138"/>
      <c r="I2750" s="138"/>
      <c r="J2750" s="139"/>
      <c r="K2750" s="137"/>
      <c r="L2750" s="137"/>
      <c r="P2750" s="137"/>
      <c r="Q2750" s="137"/>
      <c r="R2750" s="126"/>
    </row>
    <row r="2751" spans="2:18" x14ac:dyDescent="0.3">
      <c r="B2751" s="126"/>
      <c r="G2751" s="137"/>
      <c r="H2751" s="138"/>
      <c r="I2751" s="138"/>
      <c r="J2751" s="139"/>
      <c r="K2751" s="137"/>
      <c r="L2751" s="137"/>
      <c r="P2751" s="137"/>
      <c r="Q2751" s="137"/>
      <c r="R2751" s="126"/>
    </row>
    <row r="2752" spans="2:18" x14ac:dyDescent="0.3">
      <c r="B2752" s="126"/>
      <c r="G2752" s="137"/>
      <c r="H2752" s="138"/>
      <c r="I2752" s="138"/>
      <c r="J2752" s="139"/>
      <c r="K2752" s="137"/>
      <c r="L2752" s="137"/>
      <c r="P2752" s="137"/>
      <c r="Q2752" s="137"/>
      <c r="R2752" s="126"/>
    </row>
    <row r="2753" spans="2:18" x14ac:dyDescent="0.3">
      <c r="B2753" s="126"/>
      <c r="G2753" s="137"/>
      <c r="H2753" s="138"/>
      <c r="I2753" s="138"/>
      <c r="J2753" s="139"/>
      <c r="K2753" s="137"/>
      <c r="L2753" s="137"/>
      <c r="P2753" s="137"/>
      <c r="Q2753" s="137"/>
      <c r="R2753" s="126"/>
    </row>
    <row r="2754" spans="2:18" x14ac:dyDescent="0.3">
      <c r="B2754" s="126"/>
      <c r="G2754" s="137"/>
      <c r="H2754" s="138"/>
      <c r="I2754" s="138"/>
      <c r="J2754" s="139"/>
      <c r="K2754" s="137"/>
      <c r="L2754" s="137"/>
      <c r="P2754" s="137"/>
      <c r="Q2754" s="137"/>
      <c r="R2754" s="126"/>
    </row>
    <row r="2755" spans="2:18" x14ac:dyDescent="0.3">
      <c r="B2755" s="126"/>
      <c r="G2755" s="137"/>
      <c r="H2755" s="138"/>
      <c r="I2755" s="138"/>
      <c r="J2755" s="139"/>
      <c r="K2755" s="137"/>
      <c r="L2755" s="137"/>
      <c r="P2755" s="137"/>
      <c r="Q2755" s="137"/>
      <c r="R2755" s="126"/>
    </row>
    <row r="2756" spans="2:18" x14ac:dyDescent="0.3">
      <c r="B2756" s="126"/>
      <c r="G2756" s="137"/>
      <c r="H2756" s="138"/>
      <c r="I2756" s="138"/>
      <c r="J2756" s="139"/>
      <c r="K2756" s="137"/>
      <c r="L2756" s="137"/>
      <c r="P2756" s="137"/>
      <c r="Q2756" s="137"/>
      <c r="R2756" s="126"/>
    </row>
    <row r="2757" spans="2:18" x14ac:dyDescent="0.3">
      <c r="B2757" s="126"/>
      <c r="G2757" s="137"/>
      <c r="H2757" s="138"/>
      <c r="I2757" s="138"/>
      <c r="J2757" s="139"/>
      <c r="K2757" s="137"/>
      <c r="L2757" s="137"/>
      <c r="P2757" s="137"/>
      <c r="Q2757" s="137"/>
      <c r="R2757" s="126"/>
    </row>
    <row r="2758" spans="2:18" x14ac:dyDescent="0.3">
      <c r="B2758" s="126"/>
      <c r="G2758" s="137"/>
      <c r="H2758" s="138"/>
      <c r="I2758" s="138"/>
      <c r="J2758" s="139"/>
      <c r="K2758" s="137"/>
      <c r="L2758" s="137"/>
      <c r="P2758" s="137"/>
      <c r="Q2758" s="137"/>
      <c r="R2758" s="126"/>
    </row>
    <row r="2759" spans="2:18" x14ac:dyDescent="0.3">
      <c r="B2759" s="126"/>
      <c r="G2759" s="137"/>
      <c r="H2759" s="138"/>
      <c r="I2759" s="138"/>
      <c r="J2759" s="139"/>
      <c r="K2759" s="137"/>
      <c r="L2759" s="137"/>
      <c r="P2759" s="137"/>
      <c r="Q2759" s="137"/>
      <c r="R2759" s="126"/>
    </row>
    <row r="2760" spans="2:18" x14ac:dyDescent="0.3">
      <c r="B2760" s="126"/>
      <c r="G2760" s="137"/>
      <c r="H2760" s="138"/>
      <c r="I2760" s="138"/>
      <c r="J2760" s="139"/>
      <c r="K2760" s="137"/>
      <c r="L2760" s="137"/>
      <c r="P2760" s="137"/>
      <c r="Q2760" s="137"/>
      <c r="R2760" s="126"/>
    </row>
    <row r="2761" spans="2:18" x14ac:dyDescent="0.3">
      <c r="B2761" s="126"/>
      <c r="G2761" s="137"/>
      <c r="H2761" s="138"/>
      <c r="I2761" s="138"/>
      <c r="J2761" s="139"/>
      <c r="K2761" s="137"/>
      <c r="L2761" s="137"/>
      <c r="P2761" s="137"/>
      <c r="Q2761" s="137"/>
      <c r="R2761" s="126"/>
    </row>
    <row r="2762" spans="2:18" x14ac:dyDescent="0.3">
      <c r="B2762" s="126"/>
      <c r="G2762" s="137"/>
      <c r="H2762" s="138"/>
      <c r="I2762" s="138"/>
      <c r="J2762" s="139"/>
      <c r="K2762" s="137"/>
      <c r="L2762" s="137"/>
      <c r="P2762" s="137"/>
      <c r="Q2762" s="137"/>
      <c r="R2762" s="126"/>
    </row>
    <row r="2763" spans="2:18" x14ac:dyDescent="0.3">
      <c r="B2763" s="126"/>
      <c r="G2763" s="137"/>
      <c r="H2763" s="138"/>
      <c r="I2763" s="138"/>
      <c r="J2763" s="139"/>
      <c r="K2763" s="137"/>
      <c r="L2763" s="137"/>
      <c r="P2763" s="137"/>
      <c r="Q2763" s="137"/>
      <c r="R2763" s="126"/>
    </row>
    <row r="2764" spans="2:18" x14ac:dyDescent="0.3">
      <c r="B2764" s="126"/>
      <c r="G2764" s="137"/>
      <c r="H2764" s="138"/>
      <c r="I2764" s="138"/>
      <c r="J2764" s="139"/>
      <c r="K2764" s="137"/>
      <c r="L2764" s="137"/>
      <c r="P2764" s="137"/>
      <c r="Q2764" s="137"/>
      <c r="R2764" s="126"/>
    </row>
    <row r="2765" spans="2:18" x14ac:dyDescent="0.3">
      <c r="B2765" s="126"/>
      <c r="G2765" s="137"/>
      <c r="H2765" s="138"/>
      <c r="I2765" s="138"/>
      <c r="J2765" s="139"/>
      <c r="K2765" s="137"/>
      <c r="L2765" s="137"/>
      <c r="P2765" s="137"/>
      <c r="Q2765" s="137"/>
      <c r="R2765" s="126"/>
    </row>
    <row r="2766" spans="2:18" x14ac:dyDescent="0.3">
      <c r="B2766" s="126"/>
      <c r="G2766" s="137"/>
      <c r="H2766" s="138"/>
      <c r="I2766" s="138"/>
      <c r="J2766" s="139"/>
      <c r="K2766" s="137"/>
      <c r="L2766" s="137"/>
      <c r="P2766" s="137"/>
      <c r="Q2766" s="137"/>
      <c r="R2766" s="126"/>
    </row>
    <row r="2767" spans="2:18" x14ac:dyDescent="0.3">
      <c r="B2767" s="126"/>
      <c r="G2767" s="137"/>
      <c r="H2767" s="138"/>
      <c r="I2767" s="138"/>
      <c r="J2767" s="139"/>
      <c r="K2767" s="137"/>
      <c r="L2767" s="137"/>
      <c r="P2767" s="137"/>
      <c r="Q2767" s="137"/>
      <c r="R2767" s="126"/>
    </row>
    <row r="2768" spans="2:18" x14ac:dyDescent="0.3">
      <c r="B2768" s="126"/>
      <c r="G2768" s="137"/>
      <c r="H2768" s="138"/>
      <c r="I2768" s="138"/>
      <c r="J2768" s="139"/>
      <c r="K2768" s="137"/>
      <c r="L2768" s="137"/>
      <c r="P2768" s="137"/>
      <c r="Q2768" s="137"/>
      <c r="R2768" s="126"/>
    </row>
    <row r="2769" spans="2:18" x14ac:dyDescent="0.3">
      <c r="B2769" s="126"/>
      <c r="G2769" s="137"/>
      <c r="H2769" s="138"/>
      <c r="I2769" s="138"/>
      <c r="J2769" s="139"/>
      <c r="K2769" s="137"/>
      <c r="L2769" s="137"/>
      <c r="P2769" s="137"/>
      <c r="Q2769" s="137"/>
      <c r="R2769" s="126"/>
    </row>
    <row r="2770" spans="2:18" x14ac:dyDescent="0.3">
      <c r="B2770" s="126"/>
      <c r="G2770" s="137"/>
      <c r="H2770" s="138"/>
      <c r="I2770" s="138"/>
      <c r="J2770" s="139"/>
      <c r="K2770" s="137"/>
      <c r="L2770" s="137"/>
      <c r="P2770" s="137"/>
      <c r="Q2770" s="137"/>
      <c r="R2770" s="126"/>
    </row>
    <row r="2771" spans="2:18" x14ac:dyDescent="0.3">
      <c r="B2771" s="126"/>
      <c r="G2771" s="137"/>
      <c r="H2771" s="138"/>
      <c r="I2771" s="138"/>
      <c r="J2771" s="139"/>
      <c r="K2771" s="137"/>
      <c r="L2771" s="137"/>
      <c r="P2771" s="137"/>
      <c r="Q2771" s="137"/>
      <c r="R2771" s="126"/>
    </row>
    <row r="2772" spans="2:18" x14ac:dyDescent="0.3">
      <c r="B2772" s="126"/>
      <c r="G2772" s="137"/>
      <c r="H2772" s="138"/>
      <c r="I2772" s="138"/>
      <c r="J2772" s="139"/>
      <c r="K2772" s="137"/>
      <c r="L2772" s="137"/>
      <c r="P2772" s="137"/>
      <c r="Q2772" s="137"/>
      <c r="R2772" s="126"/>
    </row>
    <row r="2773" spans="2:18" x14ac:dyDescent="0.3">
      <c r="B2773" s="126"/>
      <c r="G2773" s="137"/>
      <c r="H2773" s="138"/>
      <c r="I2773" s="138"/>
      <c r="J2773" s="139"/>
      <c r="K2773" s="137"/>
      <c r="L2773" s="137"/>
      <c r="P2773" s="137"/>
      <c r="Q2773" s="137"/>
      <c r="R2773" s="126"/>
    </row>
    <row r="2774" spans="2:18" x14ac:dyDescent="0.3">
      <c r="B2774" s="126"/>
      <c r="G2774" s="137"/>
      <c r="H2774" s="138"/>
      <c r="I2774" s="138"/>
      <c r="J2774" s="139"/>
      <c r="K2774" s="137"/>
      <c r="L2774" s="137"/>
      <c r="P2774" s="137"/>
      <c r="Q2774" s="137"/>
      <c r="R2774" s="126"/>
    </row>
    <row r="2775" spans="2:18" x14ac:dyDescent="0.3">
      <c r="B2775" s="126"/>
      <c r="G2775" s="137"/>
      <c r="H2775" s="138"/>
      <c r="I2775" s="138"/>
      <c r="J2775" s="139"/>
      <c r="K2775" s="137"/>
      <c r="L2775" s="137"/>
      <c r="P2775" s="137"/>
      <c r="Q2775" s="137"/>
      <c r="R2775" s="126"/>
    </row>
    <row r="2776" spans="2:18" x14ac:dyDescent="0.3">
      <c r="B2776" s="126"/>
      <c r="G2776" s="137"/>
      <c r="H2776" s="138"/>
      <c r="I2776" s="138"/>
      <c r="J2776" s="139"/>
      <c r="K2776" s="137"/>
      <c r="L2776" s="137"/>
      <c r="P2776" s="137"/>
      <c r="Q2776" s="137"/>
      <c r="R2776" s="126"/>
    </row>
    <row r="2777" spans="2:18" x14ac:dyDescent="0.3">
      <c r="B2777" s="126"/>
      <c r="G2777" s="137"/>
      <c r="H2777" s="138"/>
      <c r="I2777" s="138"/>
      <c r="J2777" s="139"/>
      <c r="K2777" s="137"/>
      <c r="L2777" s="137"/>
      <c r="P2777" s="137"/>
      <c r="Q2777" s="137"/>
      <c r="R2777" s="126"/>
    </row>
    <row r="2778" spans="2:18" x14ac:dyDescent="0.3">
      <c r="B2778" s="126"/>
      <c r="G2778" s="137"/>
      <c r="H2778" s="138"/>
      <c r="I2778" s="138"/>
      <c r="J2778" s="139"/>
      <c r="K2778" s="137"/>
      <c r="L2778" s="137"/>
      <c r="P2778" s="137"/>
      <c r="Q2778" s="137"/>
      <c r="R2778" s="126"/>
    </row>
    <row r="2779" spans="2:18" x14ac:dyDescent="0.3">
      <c r="B2779" s="126"/>
      <c r="G2779" s="137"/>
      <c r="H2779" s="138"/>
      <c r="I2779" s="138"/>
      <c r="J2779" s="139"/>
      <c r="K2779" s="137"/>
      <c r="L2779" s="137"/>
      <c r="P2779" s="137"/>
      <c r="Q2779" s="137"/>
      <c r="R2779" s="126"/>
    </row>
    <row r="2780" spans="2:18" x14ac:dyDescent="0.3">
      <c r="B2780" s="126"/>
      <c r="G2780" s="137"/>
      <c r="H2780" s="138"/>
      <c r="I2780" s="138"/>
      <c r="J2780" s="139"/>
      <c r="K2780" s="137"/>
      <c r="L2780" s="137"/>
      <c r="P2780" s="137"/>
      <c r="Q2780" s="137"/>
      <c r="R2780" s="126"/>
    </row>
    <row r="2781" spans="2:18" x14ac:dyDescent="0.3">
      <c r="B2781" s="126"/>
      <c r="G2781" s="137"/>
      <c r="H2781" s="138"/>
      <c r="I2781" s="138"/>
      <c r="J2781" s="139"/>
      <c r="K2781" s="137"/>
      <c r="L2781" s="137"/>
      <c r="P2781" s="137"/>
      <c r="Q2781" s="137"/>
      <c r="R2781" s="126"/>
    </row>
    <row r="2782" spans="2:18" x14ac:dyDescent="0.3">
      <c r="B2782" s="126"/>
      <c r="G2782" s="137"/>
      <c r="H2782" s="138"/>
      <c r="I2782" s="138"/>
      <c r="J2782" s="139"/>
      <c r="K2782" s="137"/>
      <c r="L2782" s="137"/>
      <c r="P2782" s="137"/>
      <c r="Q2782" s="137"/>
      <c r="R2782" s="126"/>
    </row>
    <row r="2783" spans="2:18" x14ac:dyDescent="0.3">
      <c r="B2783" s="126"/>
      <c r="G2783" s="137"/>
      <c r="H2783" s="138"/>
      <c r="I2783" s="138"/>
      <c r="J2783" s="139"/>
      <c r="K2783" s="137"/>
      <c r="L2783" s="137"/>
      <c r="P2783" s="137"/>
      <c r="Q2783" s="137"/>
      <c r="R2783" s="126"/>
    </row>
    <row r="2784" spans="2:18" x14ac:dyDescent="0.3">
      <c r="B2784" s="126"/>
      <c r="G2784" s="137"/>
      <c r="H2784" s="138"/>
      <c r="I2784" s="138"/>
      <c r="J2784" s="139"/>
      <c r="K2784" s="137"/>
      <c r="L2784" s="137"/>
      <c r="P2784" s="137"/>
      <c r="Q2784" s="137"/>
      <c r="R2784" s="126"/>
    </row>
    <row r="2785" spans="2:18" x14ac:dyDescent="0.3">
      <c r="B2785" s="126"/>
      <c r="G2785" s="137"/>
      <c r="H2785" s="138"/>
      <c r="I2785" s="138"/>
      <c r="J2785" s="139"/>
      <c r="K2785" s="137"/>
      <c r="L2785" s="137"/>
      <c r="P2785" s="137"/>
      <c r="Q2785" s="137"/>
      <c r="R2785" s="126"/>
    </row>
    <row r="2786" spans="2:18" x14ac:dyDescent="0.3">
      <c r="B2786" s="126"/>
      <c r="G2786" s="137"/>
      <c r="H2786" s="138"/>
      <c r="I2786" s="138"/>
      <c r="J2786" s="139"/>
      <c r="K2786" s="137"/>
      <c r="L2786" s="137"/>
      <c r="P2786" s="137"/>
      <c r="Q2786" s="137"/>
      <c r="R2786" s="126"/>
    </row>
    <row r="2787" spans="2:18" x14ac:dyDescent="0.3">
      <c r="B2787" s="126"/>
      <c r="G2787" s="137"/>
      <c r="H2787" s="138"/>
      <c r="I2787" s="138"/>
      <c r="J2787" s="139"/>
      <c r="K2787" s="137"/>
      <c r="L2787" s="137"/>
      <c r="P2787" s="137"/>
      <c r="Q2787" s="137"/>
      <c r="R2787" s="126"/>
    </row>
    <row r="2788" spans="2:18" x14ac:dyDescent="0.3">
      <c r="B2788" s="126"/>
      <c r="G2788" s="137"/>
      <c r="H2788" s="138"/>
      <c r="I2788" s="138"/>
      <c r="J2788" s="139"/>
      <c r="K2788" s="137"/>
      <c r="L2788" s="137"/>
      <c r="P2788" s="137"/>
      <c r="Q2788" s="137"/>
      <c r="R2788" s="126"/>
    </row>
    <row r="2789" spans="2:18" x14ac:dyDescent="0.3">
      <c r="B2789" s="126"/>
      <c r="G2789" s="137"/>
      <c r="H2789" s="138"/>
      <c r="I2789" s="138"/>
      <c r="J2789" s="139"/>
      <c r="K2789" s="137"/>
      <c r="L2789" s="137"/>
      <c r="P2789" s="137"/>
      <c r="Q2789" s="137"/>
      <c r="R2789" s="126"/>
    </row>
    <row r="2790" spans="2:18" x14ac:dyDescent="0.3">
      <c r="B2790" s="126"/>
      <c r="G2790" s="137"/>
      <c r="H2790" s="138"/>
      <c r="I2790" s="138"/>
      <c r="J2790" s="139"/>
      <c r="K2790" s="137"/>
      <c r="L2790" s="137"/>
      <c r="P2790" s="137"/>
      <c r="Q2790" s="137"/>
      <c r="R2790" s="126"/>
    </row>
    <row r="2791" spans="2:18" x14ac:dyDescent="0.3">
      <c r="B2791" s="126"/>
      <c r="G2791" s="137"/>
      <c r="H2791" s="138"/>
      <c r="I2791" s="138"/>
      <c r="J2791" s="139"/>
      <c r="K2791" s="137"/>
      <c r="L2791" s="137"/>
      <c r="P2791" s="137"/>
      <c r="Q2791" s="137"/>
      <c r="R2791" s="126"/>
    </row>
    <row r="2792" spans="2:18" x14ac:dyDescent="0.3">
      <c r="B2792" s="126"/>
      <c r="G2792" s="137"/>
      <c r="H2792" s="138"/>
      <c r="I2792" s="138"/>
      <c r="J2792" s="139"/>
      <c r="K2792" s="137"/>
      <c r="L2792" s="137"/>
      <c r="P2792" s="137"/>
      <c r="Q2792" s="137"/>
      <c r="R2792" s="126"/>
    </row>
    <row r="2793" spans="2:18" x14ac:dyDescent="0.3">
      <c r="B2793" s="126"/>
      <c r="G2793" s="137"/>
      <c r="H2793" s="138"/>
      <c r="I2793" s="138"/>
      <c r="J2793" s="139"/>
      <c r="K2793" s="137"/>
      <c r="L2793" s="137"/>
      <c r="P2793" s="137"/>
      <c r="Q2793" s="137"/>
      <c r="R2793" s="126"/>
    </row>
    <row r="2794" spans="2:18" x14ac:dyDescent="0.3">
      <c r="B2794" s="126"/>
      <c r="G2794" s="137"/>
      <c r="H2794" s="138"/>
      <c r="I2794" s="138"/>
      <c r="J2794" s="139"/>
      <c r="K2794" s="137"/>
      <c r="L2794" s="137"/>
      <c r="P2794" s="137"/>
      <c r="Q2794" s="137"/>
      <c r="R2794" s="126"/>
    </row>
    <row r="2795" spans="2:18" x14ac:dyDescent="0.3">
      <c r="B2795" s="126"/>
      <c r="G2795" s="137"/>
      <c r="H2795" s="138"/>
      <c r="I2795" s="138"/>
      <c r="J2795" s="139"/>
      <c r="K2795" s="137"/>
      <c r="L2795" s="137"/>
      <c r="P2795" s="137"/>
      <c r="Q2795" s="137"/>
      <c r="R2795" s="126"/>
    </row>
    <row r="2796" spans="2:18" x14ac:dyDescent="0.3">
      <c r="B2796" s="126"/>
      <c r="G2796" s="137"/>
      <c r="H2796" s="138"/>
      <c r="I2796" s="138"/>
      <c r="J2796" s="139"/>
      <c r="K2796" s="137"/>
      <c r="L2796" s="137"/>
      <c r="P2796" s="137"/>
      <c r="Q2796" s="137"/>
      <c r="R2796" s="126"/>
    </row>
    <row r="2797" spans="2:18" x14ac:dyDescent="0.3">
      <c r="B2797" s="126"/>
      <c r="G2797" s="137"/>
      <c r="H2797" s="138"/>
      <c r="I2797" s="138"/>
      <c r="J2797" s="139"/>
      <c r="K2797" s="137"/>
      <c r="L2797" s="137"/>
      <c r="P2797" s="137"/>
      <c r="Q2797" s="137"/>
      <c r="R2797" s="126"/>
    </row>
    <row r="2798" spans="2:18" x14ac:dyDescent="0.3">
      <c r="B2798" s="126"/>
      <c r="G2798" s="137"/>
      <c r="H2798" s="138"/>
      <c r="I2798" s="138"/>
      <c r="J2798" s="139"/>
      <c r="K2798" s="137"/>
      <c r="L2798" s="137"/>
      <c r="P2798" s="137"/>
      <c r="Q2798" s="137"/>
      <c r="R2798" s="126"/>
    </row>
    <row r="2799" spans="2:18" x14ac:dyDescent="0.3">
      <c r="B2799" s="126"/>
      <c r="G2799" s="137"/>
      <c r="H2799" s="138"/>
      <c r="I2799" s="138"/>
      <c r="J2799" s="139"/>
      <c r="K2799" s="137"/>
      <c r="L2799" s="137"/>
      <c r="P2799" s="137"/>
      <c r="Q2799" s="137"/>
      <c r="R2799" s="126"/>
    </row>
    <row r="2800" spans="2:18" x14ac:dyDescent="0.3">
      <c r="B2800" s="126"/>
      <c r="G2800" s="137"/>
      <c r="H2800" s="138"/>
      <c r="I2800" s="138"/>
      <c r="J2800" s="139"/>
      <c r="K2800" s="137"/>
      <c r="L2800" s="137"/>
      <c r="P2800" s="137"/>
      <c r="Q2800" s="137"/>
      <c r="R2800" s="126"/>
    </row>
    <row r="2801" spans="2:18" x14ac:dyDescent="0.3">
      <c r="B2801" s="126"/>
      <c r="G2801" s="137"/>
      <c r="H2801" s="138"/>
      <c r="I2801" s="138"/>
      <c r="J2801" s="139"/>
      <c r="K2801" s="137"/>
      <c r="L2801" s="137"/>
      <c r="P2801" s="137"/>
      <c r="Q2801" s="137"/>
      <c r="R2801" s="126"/>
    </row>
    <row r="2802" spans="2:18" x14ac:dyDescent="0.3">
      <c r="B2802" s="126"/>
      <c r="G2802" s="137"/>
      <c r="H2802" s="138"/>
      <c r="I2802" s="138"/>
      <c r="J2802" s="139"/>
      <c r="K2802" s="137"/>
      <c r="L2802" s="137"/>
      <c r="P2802" s="137"/>
      <c r="Q2802" s="137"/>
      <c r="R2802" s="126"/>
    </row>
    <row r="2803" spans="2:18" x14ac:dyDescent="0.3">
      <c r="B2803" s="126"/>
      <c r="G2803" s="137"/>
      <c r="H2803" s="138"/>
      <c r="I2803" s="138"/>
      <c r="J2803" s="139"/>
      <c r="K2803" s="137"/>
      <c r="L2803" s="137"/>
      <c r="P2803" s="137"/>
      <c r="Q2803" s="137"/>
      <c r="R2803" s="126"/>
    </row>
    <row r="2804" spans="2:18" x14ac:dyDescent="0.3">
      <c r="B2804" s="126"/>
      <c r="G2804" s="137"/>
      <c r="H2804" s="138"/>
      <c r="I2804" s="138"/>
      <c r="J2804" s="139"/>
      <c r="K2804" s="137"/>
      <c r="L2804" s="137"/>
      <c r="P2804" s="137"/>
      <c r="Q2804" s="137"/>
      <c r="R2804" s="126"/>
    </row>
    <row r="2805" spans="2:18" x14ac:dyDescent="0.3">
      <c r="B2805" s="126"/>
      <c r="G2805" s="137"/>
      <c r="H2805" s="138"/>
      <c r="I2805" s="138"/>
      <c r="J2805" s="139"/>
      <c r="K2805" s="137"/>
      <c r="L2805" s="137"/>
      <c r="P2805" s="137"/>
      <c r="Q2805" s="137"/>
      <c r="R2805" s="126"/>
    </row>
    <row r="2806" spans="2:18" x14ac:dyDescent="0.3">
      <c r="B2806" s="126"/>
      <c r="G2806" s="137"/>
      <c r="H2806" s="138"/>
      <c r="I2806" s="138"/>
      <c r="J2806" s="139"/>
      <c r="K2806" s="137"/>
      <c r="L2806" s="137"/>
      <c r="P2806" s="137"/>
      <c r="Q2806" s="137"/>
      <c r="R2806" s="126"/>
    </row>
    <row r="2807" spans="2:18" x14ac:dyDescent="0.3">
      <c r="B2807" s="126"/>
      <c r="G2807" s="137"/>
      <c r="H2807" s="138"/>
      <c r="I2807" s="138"/>
      <c r="J2807" s="139"/>
      <c r="K2807" s="137"/>
      <c r="L2807" s="137"/>
      <c r="P2807" s="137"/>
      <c r="Q2807" s="137"/>
      <c r="R2807" s="126"/>
    </row>
    <row r="2808" spans="2:18" x14ac:dyDescent="0.3">
      <c r="B2808" s="126"/>
      <c r="G2808" s="137"/>
      <c r="H2808" s="138"/>
      <c r="I2808" s="138"/>
      <c r="J2808" s="139"/>
      <c r="K2808" s="137"/>
      <c r="L2808" s="137"/>
      <c r="P2808" s="137"/>
      <c r="Q2808" s="137"/>
      <c r="R2808" s="126"/>
    </row>
    <row r="2809" spans="2:18" x14ac:dyDescent="0.3">
      <c r="B2809" s="126"/>
      <c r="G2809" s="137"/>
      <c r="H2809" s="138"/>
      <c r="I2809" s="138"/>
      <c r="J2809" s="139"/>
      <c r="K2809" s="137"/>
      <c r="L2809" s="137"/>
      <c r="P2809" s="137"/>
      <c r="Q2809" s="137"/>
      <c r="R2809" s="126"/>
    </row>
    <row r="2810" spans="2:18" x14ac:dyDescent="0.3">
      <c r="B2810" s="126"/>
      <c r="G2810" s="137"/>
      <c r="H2810" s="138"/>
      <c r="I2810" s="138"/>
      <c r="J2810" s="139"/>
      <c r="K2810" s="137"/>
      <c r="L2810" s="137"/>
      <c r="P2810" s="137"/>
      <c r="Q2810" s="137"/>
      <c r="R2810" s="126"/>
    </row>
    <row r="2811" spans="2:18" x14ac:dyDescent="0.3">
      <c r="B2811" s="126"/>
      <c r="G2811" s="137"/>
      <c r="H2811" s="138"/>
      <c r="I2811" s="138"/>
      <c r="J2811" s="139"/>
      <c r="K2811" s="137"/>
      <c r="L2811" s="137"/>
      <c r="P2811" s="137"/>
      <c r="Q2811" s="137"/>
      <c r="R2811" s="126"/>
    </row>
    <row r="2812" spans="2:18" x14ac:dyDescent="0.3">
      <c r="B2812" s="126"/>
      <c r="G2812" s="137"/>
      <c r="H2812" s="138"/>
      <c r="I2812" s="138"/>
      <c r="J2812" s="139"/>
      <c r="K2812" s="137"/>
      <c r="L2812" s="137"/>
      <c r="P2812" s="137"/>
      <c r="Q2812" s="137"/>
      <c r="R2812" s="126"/>
    </row>
    <row r="2813" spans="2:18" x14ac:dyDescent="0.3">
      <c r="B2813" s="126"/>
      <c r="G2813" s="137"/>
      <c r="H2813" s="138"/>
      <c r="I2813" s="138"/>
      <c r="J2813" s="139"/>
      <c r="K2813" s="137"/>
      <c r="L2813" s="137"/>
      <c r="P2813" s="137"/>
      <c r="Q2813" s="137"/>
      <c r="R2813" s="126"/>
    </row>
    <row r="2814" spans="2:18" x14ac:dyDescent="0.3">
      <c r="B2814" s="126"/>
      <c r="G2814" s="137"/>
      <c r="H2814" s="138"/>
      <c r="I2814" s="138"/>
      <c r="J2814" s="139"/>
      <c r="K2814" s="137"/>
      <c r="L2814" s="137"/>
      <c r="P2814" s="137"/>
      <c r="Q2814" s="137"/>
      <c r="R2814" s="126"/>
    </row>
    <row r="2815" spans="2:18" x14ac:dyDescent="0.3">
      <c r="B2815" s="126"/>
      <c r="G2815" s="137"/>
      <c r="H2815" s="138"/>
      <c r="I2815" s="138"/>
      <c r="J2815" s="139"/>
      <c r="K2815" s="137"/>
      <c r="L2815" s="137"/>
      <c r="P2815" s="137"/>
      <c r="Q2815" s="137"/>
      <c r="R2815" s="126"/>
    </row>
    <row r="2816" spans="2:18" x14ac:dyDescent="0.3">
      <c r="B2816" s="126"/>
      <c r="G2816" s="137"/>
      <c r="H2816" s="138"/>
      <c r="I2816" s="138"/>
      <c r="J2816" s="139"/>
      <c r="K2816" s="137"/>
      <c r="L2816" s="137"/>
      <c r="P2816" s="137"/>
      <c r="Q2816" s="137"/>
      <c r="R2816" s="126"/>
    </row>
    <row r="2817" spans="2:18" x14ac:dyDescent="0.3">
      <c r="B2817" s="126"/>
      <c r="G2817" s="137"/>
      <c r="H2817" s="138"/>
      <c r="I2817" s="138"/>
      <c r="J2817" s="139"/>
      <c r="K2817" s="137"/>
      <c r="L2817" s="137"/>
      <c r="P2817" s="137"/>
      <c r="Q2817" s="137"/>
      <c r="R2817" s="126"/>
    </row>
    <row r="2818" spans="2:18" x14ac:dyDescent="0.3">
      <c r="B2818" s="126"/>
      <c r="G2818" s="137"/>
      <c r="H2818" s="138"/>
      <c r="I2818" s="138"/>
      <c r="J2818" s="139"/>
      <c r="K2818" s="137"/>
      <c r="L2818" s="137"/>
      <c r="P2818" s="137"/>
      <c r="Q2818" s="137"/>
      <c r="R2818" s="126"/>
    </row>
    <row r="2819" spans="2:18" x14ac:dyDescent="0.3">
      <c r="B2819" s="126"/>
      <c r="G2819" s="137"/>
      <c r="H2819" s="138"/>
      <c r="I2819" s="138"/>
      <c r="J2819" s="139"/>
      <c r="K2819" s="137"/>
      <c r="L2819" s="137"/>
      <c r="P2819" s="137"/>
      <c r="Q2819" s="137"/>
      <c r="R2819" s="126"/>
    </row>
    <row r="2820" spans="2:18" x14ac:dyDescent="0.3">
      <c r="B2820" s="126"/>
      <c r="G2820" s="137"/>
      <c r="H2820" s="138"/>
      <c r="I2820" s="138"/>
      <c r="J2820" s="139"/>
      <c r="K2820" s="137"/>
      <c r="L2820" s="137"/>
      <c r="P2820" s="137"/>
      <c r="Q2820" s="137"/>
      <c r="R2820" s="126"/>
    </row>
    <row r="2821" spans="2:18" x14ac:dyDescent="0.3">
      <c r="B2821" s="126"/>
      <c r="G2821" s="137"/>
      <c r="H2821" s="138"/>
      <c r="I2821" s="138"/>
      <c r="J2821" s="139"/>
      <c r="K2821" s="137"/>
      <c r="L2821" s="137"/>
      <c r="P2821" s="137"/>
      <c r="Q2821" s="137"/>
      <c r="R2821" s="126"/>
    </row>
    <row r="2822" spans="2:18" x14ac:dyDescent="0.3">
      <c r="B2822" s="126"/>
      <c r="G2822" s="137"/>
      <c r="H2822" s="138"/>
      <c r="I2822" s="138"/>
      <c r="J2822" s="139"/>
      <c r="K2822" s="137"/>
      <c r="L2822" s="137"/>
      <c r="P2822" s="137"/>
      <c r="Q2822" s="137"/>
      <c r="R2822" s="126"/>
    </row>
    <row r="2823" spans="2:18" x14ac:dyDescent="0.3">
      <c r="B2823" s="126"/>
      <c r="G2823" s="137"/>
      <c r="H2823" s="138"/>
      <c r="I2823" s="138"/>
      <c r="J2823" s="139"/>
      <c r="K2823" s="137"/>
      <c r="L2823" s="137"/>
      <c r="P2823" s="137"/>
      <c r="Q2823" s="137"/>
      <c r="R2823" s="126"/>
    </row>
    <row r="2824" spans="2:18" x14ac:dyDescent="0.3">
      <c r="B2824" s="126"/>
      <c r="G2824" s="137"/>
      <c r="H2824" s="138"/>
      <c r="I2824" s="138"/>
      <c r="J2824" s="139"/>
      <c r="K2824" s="137"/>
      <c r="L2824" s="137"/>
      <c r="P2824" s="137"/>
      <c r="Q2824" s="137"/>
      <c r="R2824" s="126"/>
    </row>
    <row r="2825" spans="2:18" x14ac:dyDescent="0.3">
      <c r="B2825" s="126"/>
      <c r="G2825" s="137"/>
      <c r="H2825" s="138"/>
      <c r="I2825" s="138"/>
      <c r="J2825" s="139"/>
      <c r="K2825" s="137"/>
      <c r="L2825" s="137"/>
      <c r="P2825" s="137"/>
      <c r="Q2825" s="137"/>
      <c r="R2825" s="126"/>
    </row>
    <row r="2826" spans="2:18" x14ac:dyDescent="0.3">
      <c r="B2826" s="126"/>
      <c r="G2826" s="137"/>
      <c r="H2826" s="138"/>
      <c r="I2826" s="138"/>
      <c r="J2826" s="139"/>
      <c r="K2826" s="137"/>
      <c r="L2826" s="137"/>
      <c r="P2826" s="137"/>
      <c r="Q2826" s="137"/>
      <c r="R2826" s="126"/>
    </row>
    <row r="2827" spans="2:18" x14ac:dyDescent="0.3">
      <c r="B2827" s="126"/>
      <c r="G2827" s="137"/>
      <c r="H2827" s="138"/>
      <c r="I2827" s="138"/>
      <c r="J2827" s="139"/>
      <c r="K2827" s="137"/>
      <c r="L2827" s="137"/>
      <c r="P2827" s="137"/>
      <c r="Q2827" s="137"/>
      <c r="R2827" s="126"/>
    </row>
    <row r="2828" spans="2:18" x14ac:dyDescent="0.3">
      <c r="B2828" s="126"/>
      <c r="G2828" s="137"/>
      <c r="H2828" s="138"/>
      <c r="I2828" s="138"/>
      <c r="J2828" s="139"/>
      <c r="K2828" s="137"/>
      <c r="L2828" s="137"/>
      <c r="P2828" s="137"/>
      <c r="Q2828" s="137"/>
      <c r="R2828" s="126"/>
    </row>
    <row r="2829" spans="2:18" x14ac:dyDescent="0.3">
      <c r="B2829" s="126"/>
      <c r="G2829" s="137"/>
      <c r="H2829" s="138"/>
      <c r="I2829" s="138"/>
      <c r="J2829" s="139"/>
      <c r="K2829" s="137"/>
      <c r="L2829" s="137"/>
      <c r="P2829" s="137"/>
      <c r="Q2829" s="137"/>
      <c r="R2829" s="126"/>
    </row>
    <row r="2830" spans="2:18" x14ac:dyDescent="0.3">
      <c r="B2830" s="126"/>
      <c r="G2830" s="137"/>
      <c r="H2830" s="138"/>
      <c r="I2830" s="138"/>
      <c r="J2830" s="139"/>
      <c r="K2830" s="137"/>
      <c r="L2830" s="137"/>
      <c r="P2830" s="137"/>
      <c r="Q2830" s="137"/>
      <c r="R2830" s="126"/>
    </row>
    <row r="2831" spans="2:18" x14ac:dyDescent="0.3">
      <c r="B2831" s="126"/>
      <c r="G2831" s="137"/>
      <c r="H2831" s="138"/>
      <c r="I2831" s="138"/>
      <c r="J2831" s="139"/>
      <c r="K2831" s="137"/>
      <c r="L2831" s="137"/>
      <c r="P2831" s="137"/>
      <c r="Q2831" s="137"/>
      <c r="R2831" s="126"/>
    </row>
    <row r="2832" spans="2:18" x14ac:dyDescent="0.3">
      <c r="B2832" s="126"/>
      <c r="G2832" s="137"/>
      <c r="H2832" s="138"/>
      <c r="I2832" s="138"/>
      <c r="J2832" s="139"/>
      <c r="K2832" s="137"/>
      <c r="L2832" s="137"/>
      <c r="P2832" s="137"/>
      <c r="Q2832" s="137"/>
      <c r="R2832" s="126"/>
    </row>
    <row r="2833" spans="2:18" x14ac:dyDescent="0.3">
      <c r="B2833" s="126"/>
      <c r="G2833" s="137"/>
      <c r="H2833" s="138"/>
      <c r="I2833" s="138"/>
      <c r="J2833" s="139"/>
      <c r="K2833" s="137"/>
      <c r="L2833" s="137"/>
      <c r="P2833" s="137"/>
      <c r="Q2833" s="137"/>
      <c r="R2833" s="126"/>
    </row>
    <row r="2834" spans="2:18" x14ac:dyDescent="0.3">
      <c r="B2834" s="126"/>
      <c r="G2834" s="137"/>
      <c r="H2834" s="138"/>
      <c r="I2834" s="138"/>
      <c r="J2834" s="139"/>
      <c r="K2834" s="137"/>
      <c r="L2834" s="137"/>
      <c r="P2834" s="137"/>
      <c r="Q2834" s="137"/>
      <c r="R2834" s="126"/>
    </row>
    <row r="2835" spans="2:18" x14ac:dyDescent="0.3">
      <c r="B2835" s="126"/>
      <c r="G2835" s="137"/>
      <c r="H2835" s="138"/>
      <c r="I2835" s="138"/>
      <c r="J2835" s="139"/>
      <c r="K2835" s="137"/>
      <c r="L2835" s="137"/>
      <c r="P2835" s="137"/>
      <c r="Q2835" s="137"/>
      <c r="R2835" s="126"/>
    </row>
    <row r="2836" spans="2:18" x14ac:dyDescent="0.3">
      <c r="B2836" s="126"/>
      <c r="G2836" s="137"/>
      <c r="H2836" s="138"/>
      <c r="I2836" s="138"/>
      <c r="J2836" s="139"/>
      <c r="K2836" s="137"/>
      <c r="L2836" s="137"/>
      <c r="P2836" s="137"/>
      <c r="Q2836" s="137"/>
      <c r="R2836" s="126"/>
    </row>
    <row r="2837" spans="2:18" x14ac:dyDescent="0.3">
      <c r="B2837" s="126"/>
      <c r="G2837" s="137"/>
      <c r="H2837" s="138"/>
      <c r="I2837" s="138"/>
      <c r="J2837" s="139"/>
      <c r="K2837" s="137"/>
      <c r="L2837" s="137"/>
      <c r="P2837" s="137"/>
      <c r="Q2837" s="137"/>
      <c r="R2837" s="126"/>
    </row>
    <row r="2838" spans="2:18" x14ac:dyDescent="0.3">
      <c r="B2838" s="126"/>
      <c r="G2838" s="137"/>
      <c r="H2838" s="138"/>
      <c r="I2838" s="138"/>
      <c r="J2838" s="139"/>
      <c r="K2838" s="137"/>
      <c r="L2838" s="137"/>
      <c r="P2838" s="137"/>
      <c r="Q2838" s="137"/>
      <c r="R2838" s="126"/>
    </row>
    <row r="2839" spans="2:18" x14ac:dyDescent="0.3">
      <c r="B2839" s="126"/>
      <c r="G2839" s="137"/>
      <c r="H2839" s="138"/>
      <c r="I2839" s="138"/>
      <c r="J2839" s="139"/>
      <c r="K2839" s="137"/>
      <c r="L2839" s="137"/>
      <c r="P2839" s="137"/>
      <c r="Q2839" s="137"/>
      <c r="R2839" s="126"/>
    </row>
    <row r="2840" spans="2:18" x14ac:dyDescent="0.3">
      <c r="B2840" s="126"/>
      <c r="G2840" s="137"/>
      <c r="H2840" s="138"/>
      <c r="I2840" s="138"/>
      <c r="J2840" s="139"/>
      <c r="K2840" s="137"/>
      <c r="L2840" s="137"/>
      <c r="P2840" s="137"/>
      <c r="Q2840" s="137"/>
      <c r="R2840" s="126"/>
    </row>
    <row r="2841" spans="2:18" x14ac:dyDescent="0.3">
      <c r="B2841" s="126"/>
      <c r="G2841" s="137"/>
      <c r="H2841" s="138"/>
      <c r="I2841" s="138"/>
      <c r="J2841" s="139"/>
      <c r="K2841" s="137"/>
      <c r="L2841" s="137"/>
      <c r="P2841" s="137"/>
      <c r="Q2841" s="137"/>
      <c r="R2841" s="126"/>
    </row>
    <row r="2842" spans="2:18" x14ac:dyDescent="0.3">
      <c r="B2842" s="126"/>
      <c r="G2842" s="137"/>
      <c r="H2842" s="138"/>
      <c r="I2842" s="138"/>
      <c r="J2842" s="139"/>
      <c r="K2842" s="137"/>
      <c r="L2842" s="137"/>
      <c r="P2842" s="137"/>
      <c r="Q2842" s="137"/>
      <c r="R2842" s="126"/>
    </row>
    <row r="2843" spans="2:18" x14ac:dyDescent="0.3">
      <c r="B2843" s="126"/>
      <c r="G2843" s="137"/>
      <c r="H2843" s="138"/>
      <c r="I2843" s="138"/>
      <c r="J2843" s="139"/>
      <c r="K2843" s="137"/>
      <c r="L2843" s="137"/>
      <c r="P2843" s="137"/>
      <c r="Q2843" s="137"/>
      <c r="R2843" s="126"/>
    </row>
    <row r="2844" spans="2:18" x14ac:dyDescent="0.3">
      <c r="B2844" s="126"/>
      <c r="G2844" s="137"/>
      <c r="H2844" s="138"/>
      <c r="I2844" s="138"/>
      <c r="J2844" s="139"/>
      <c r="K2844" s="137"/>
      <c r="L2844" s="137"/>
      <c r="P2844" s="137"/>
      <c r="Q2844" s="137"/>
      <c r="R2844" s="126"/>
    </row>
    <row r="2845" spans="2:18" x14ac:dyDescent="0.3">
      <c r="B2845" s="126"/>
      <c r="G2845" s="137"/>
      <c r="H2845" s="138"/>
      <c r="I2845" s="138"/>
      <c r="J2845" s="139"/>
      <c r="K2845" s="137"/>
      <c r="L2845" s="137"/>
      <c r="P2845" s="137"/>
      <c r="Q2845" s="137"/>
      <c r="R2845" s="126"/>
    </row>
    <row r="2846" spans="2:18" x14ac:dyDescent="0.3">
      <c r="B2846" s="126"/>
      <c r="G2846" s="137"/>
      <c r="H2846" s="138"/>
      <c r="I2846" s="138"/>
      <c r="J2846" s="139"/>
      <c r="K2846" s="137"/>
      <c r="L2846" s="137"/>
      <c r="P2846" s="137"/>
      <c r="Q2846" s="137"/>
      <c r="R2846" s="126"/>
    </row>
    <row r="2847" spans="2:18" x14ac:dyDescent="0.3">
      <c r="B2847" s="126"/>
      <c r="G2847" s="137"/>
      <c r="H2847" s="138"/>
      <c r="I2847" s="138"/>
      <c r="J2847" s="139"/>
      <c r="K2847" s="137"/>
      <c r="L2847" s="137"/>
      <c r="P2847" s="137"/>
      <c r="Q2847" s="137"/>
      <c r="R2847" s="126"/>
    </row>
    <row r="2848" spans="2:18" x14ac:dyDescent="0.3">
      <c r="B2848" s="126"/>
      <c r="G2848" s="137"/>
      <c r="H2848" s="138"/>
      <c r="I2848" s="138"/>
      <c r="J2848" s="139"/>
      <c r="K2848" s="137"/>
      <c r="L2848" s="137"/>
      <c r="P2848" s="137"/>
      <c r="Q2848" s="137"/>
      <c r="R2848" s="126"/>
    </row>
    <row r="2849" spans="2:18" x14ac:dyDescent="0.3">
      <c r="B2849" s="126"/>
      <c r="G2849" s="137"/>
      <c r="H2849" s="138"/>
      <c r="I2849" s="138"/>
      <c r="J2849" s="139"/>
      <c r="K2849" s="137"/>
      <c r="L2849" s="137"/>
      <c r="P2849" s="137"/>
      <c r="Q2849" s="137"/>
      <c r="R2849" s="126"/>
    </row>
    <row r="2850" spans="2:18" x14ac:dyDescent="0.3">
      <c r="B2850" s="126"/>
      <c r="G2850" s="137"/>
      <c r="H2850" s="138"/>
      <c r="I2850" s="138"/>
      <c r="J2850" s="139"/>
      <c r="K2850" s="137"/>
      <c r="L2850" s="137"/>
      <c r="P2850" s="137"/>
      <c r="Q2850" s="137"/>
      <c r="R2850" s="126"/>
    </row>
    <row r="2851" spans="2:18" x14ac:dyDescent="0.3">
      <c r="B2851" s="126"/>
      <c r="G2851" s="137"/>
      <c r="H2851" s="138"/>
      <c r="I2851" s="138"/>
      <c r="J2851" s="139"/>
      <c r="K2851" s="137"/>
      <c r="L2851" s="137"/>
      <c r="P2851" s="137"/>
      <c r="Q2851" s="137"/>
      <c r="R2851" s="126"/>
    </row>
    <row r="2852" spans="2:18" x14ac:dyDescent="0.3">
      <c r="B2852" s="126"/>
      <c r="G2852" s="137"/>
      <c r="H2852" s="138"/>
      <c r="I2852" s="138"/>
      <c r="J2852" s="139"/>
      <c r="K2852" s="137"/>
      <c r="L2852" s="137"/>
      <c r="P2852" s="137"/>
      <c r="Q2852" s="137"/>
      <c r="R2852" s="126"/>
    </row>
    <row r="2853" spans="2:18" x14ac:dyDescent="0.3">
      <c r="B2853" s="126"/>
      <c r="G2853" s="137"/>
      <c r="H2853" s="138"/>
      <c r="I2853" s="138"/>
      <c r="J2853" s="139"/>
      <c r="K2853" s="137"/>
      <c r="L2853" s="137"/>
      <c r="P2853" s="137"/>
      <c r="Q2853" s="137"/>
      <c r="R2853" s="126"/>
    </row>
    <row r="2854" spans="2:18" x14ac:dyDescent="0.3">
      <c r="B2854" s="126"/>
      <c r="G2854" s="137"/>
      <c r="H2854" s="138"/>
      <c r="I2854" s="138"/>
      <c r="J2854" s="139"/>
      <c r="K2854" s="137"/>
      <c r="L2854" s="137"/>
      <c r="P2854" s="137"/>
      <c r="Q2854" s="137"/>
      <c r="R2854" s="126"/>
    </row>
    <row r="2855" spans="2:18" x14ac:dyDescent="0.3">
      <c r="B2855" s="126"/>
      <c r="G2855" s="137"/>
      <c r="H2855" s="138"/>
      <c r="I2855" s="138"/>
      <c r="J2855" s="139"/>
      <c r="K2855" s="137"/>
      <c r="L2855" s="137"/>
      <c r="P2855" s="137"/>
      <c r="Q2855" s="137"/>
      <c r="R2855" s="126"/>
    </row>
    <row r="2856" spans="2:18" x14ac:dyDescent="0.3">
      <c r="B2856" s="126"/>
      <c r="G2856" s="137"/>
      <c r="H2856" s="138"/>
      <c r="I2856" s="138"/>
      <c r="J2856" s="139"/>
      <c r="K2856" s="137"/>
      <c r="L2856" s="137"/>
      <c r="P2856" s="137"/>
      <c r="Q2856" s="137"/>
      <c r="R2856" s="126"/>
    </row>
    <row r="2857" spans="2:18" x14ac:dyDescent="0.3">
      <c r="B2857" s="126"/>
      <c r="G2857" s="137"/>
      <c r="H2857" s="138"/>
      <c r="I2857" s="138"/>
      <c r="J2857" s="139"/>
      <c r="K2857" s="137"/>
      <c r="L2857" s="137"/>
      <c r="P2857" s="137"/>
      <c r="Q2857" s="137"/>
      <c r="R2857" s="126"/>
    </row>
    <row r="2858" spans="2:18" x14ac:dyDescent="0.3">
      <c r="B2858" s="126"/>
      <c r="G2858" s="137"/>
      <c r="H2858" s="138"/>
      <c r="I2858" s="138"/>
      <c r="J2858" s="139"/>
      <c r="K2858" s="137"/>
      <c r="L2858" s="137"/>
      <c r="P2858" s="137"/>
      <c r="Q2858" s="137"/>
      <c r="R2858" s="126"/>
    </row>
    <row r="2859" spans="2:18" x14ac:dyDescent="0.3">
      <c r="B2859" s="126"/>
      <c r="G2859" s="137"/>
      <c r="H2859" s="138"/>
      <c r="I2859" s="138"/>
      <c r="J2859" s="139"/>
      <c r="K2859" s="137"/>
      <c r="L2859" s="137"/>
      <c r="P2859" s="137"/>
      <c r="Q2859" s="137"/>
      <c r="R2859" s="126"/>
    </row>
    <row r="2860" spans="2:18" x14ac:dyDescent="0.3">
      <c r="B2860" s="126"/>
      <c r="G2860" s="137"/>
      <c r="H2860" s="138"/>
      <c r="I2860" s="138"/>
      <c r="J2860" s="139"/>
      <c r="K2860" s="137"/>
      <c r="L2860" s="137"/>
      <c r="P2860" s="137"/>
      <c r="Q2860" s="137"/>
      <c r="R2860" s="126"/>
    </row>
    <row r="2861" spans="2:18" x14ac:dyDescent="0.3">
      <c r="B2861" s="126"/>
      <c r="G2861" s="137"/>
      <c r="H2861" s="138"/>
      <c r="I2861" s="138"/>
      <c r="J2861" s="139"/>
      <c r="K2861" s="137"/>
      <c r="L2861" s="137"/>
      <c r="P2861" s="137"/>
      <c r="Q2861" s="137"/>
      <c r="R2861" s="126"/>
    </row>
    <row r="2862" spans="2:18" x14ac:dyDescent="0.3">
      <c r="B2862" s="126"/>
      <c r="G2862" s="137"/>
      <c r="H2862" s="138"/>
      <c r="I2862" s="138"/>
      <c r="J2862" s="139"/>
      <c r="K2862" s="137"/>
      <c r="L2862" s="137"/>
      <c r="P2862" s="137"/>
      <c r="Q2862" s="137"/>
      <c r="R2862" s="126"/>
    </row>
    <row r="2863" spans="2:18" x14ac:dyDescent="0.3">
      <c r="B2863" s="126"/>
      <c r="G2863" s="137"/>
      <c r="H2863" s="138"/>
      <c r="I2863" s="138"/>
      <c r="J2863" s="139"/>
      <c r="K2863" s="137"/>
      <c r="L2863" s="137"/>
      <c r="P2863" s="137"/>
      <c r="Q2863" s="137"/>
      <c r="R2863" s="126"/>
    </row>
    <row r="2864" spans="2:18" x14ac:dyDescent="0.3">
      <c r="B2864" s="126"/>
      <c r="G2864" s="137"/>
      <c r="H2864" s="138"/>
      <c r="I2864" s="138"/>
      <c r="J2864" s="139"/>
      <c r="K2864" s="137"/>
      <c r="L2864" s="137"/>
      <c r="P2864" s="137"/>
      <c r="Q2864" s="137"/>
      <c r="R2864" s="126"/>
    </row>
    <row r="2865" spans="2:18" x14ac:dyDescent="0.3">
      <c r="B2865" s="126"/>
      <c r="G2865" s="137"/>
      <c r="H2865" s="138"/>
      <c r="I2865" s="138"/>
      <c r="J2865" s="139"/>
      <c r="K2865" s="137"/>
      <c r="L2865" s="137"/>
      <c r="P2865" s="137"/>
      <c r="Q2865" s="137"/>
      <c r="R2865" s="126"/>
    </row>
    <row r="2866" spans="2:18" x14ac:dyDescent="0.3">
      <c r="B2866" s="126"/>
      <c r="G2866" s="137"/>
      <c r="H2866" s="138"/>
      <c r="I2866" s="138"/>
      <c r="J2866" s="139"/>
      <c r="K2866" s="137"/>
      <c r="L2866" s="137"/>
      <c r="P2866" s="137"/>
      <c r="Q2866" s="137"/>
      <c r="R2866" s="126"/>
    </row>
    <row r="2867" spans="2:18" x14ac:dyDescent="0.3">
      <c r="B2867" s="126"/>
      <c r="G2867" s="137"/>
      <c r="H2867" s="138"/>
      <c r="I2867" s="138"/>
      <c r="J2867" s="139"/>
      <c r="K2867" s="137"/>
      <c r="L2867" s="137"/>
      <c r="P2867" s="137"/>
      <c r="Q2867" s="137"/>
      <c r="R2867" s="126"/>
    </row>
    <row r="2868" spans="2:18" x14ac:dyDescent="0.3">
      <c r="B2868" s="126"/>
      <c r="G2868" s="137"/>
      <c r="H2868" s="138"/>
      <c r="I2868" s="138"/>
      <c r="J2868" s="139"/>
      <c r="K2868" s="137"/>
      <c r="L2868" s="137"/>
      <c r="P2868" s="137"/>
      <c r="Q2868" s="137"/>
      <c r="R2868" s="126"/>
    </row>
    <row r="2869" spans="2:18" x14ac:dyDescent="0.3">
      <c r="B2869" s="126"/>
      <c r="G2869" s="137"/>
      <c r="H2869" s="138"/>
      <c r="I2869" s="138"/>
      <c r="J2869" s="139"/>
      <c r="K2869" s="137"/>
      <c r="L2869" s="137"/>
      <c r="P2869" s="137"/>
      <c r="Q2869" s="137"/>
      <c r="R2869" s="126"/>
    </row>
    <row r="2870" spans="2:18" x14ac:dyDescent="0.3">
      <c r="B2870" s="126"/>
      <c r="G2870" s="137"/>
      <c r="H2870" s="138"/>
      <c r="I2870" s="138"/>
      <c r="J2870" s="139"/>
      <c r="K2870" s="137"/>
      <c r="L2870" s="137"/>
      <c r="P2870" s="137"/>
      <c r="Q2870" s="137"/>
      <c r="R2870" s="126"/>
    </row>
    <row r="2871" spans="2:18" x14ac:dyDescent="0.3">
      <c r="B2871" s="126"/>
      <c r="G2871" s="137"/>
      <c r="H2871" s="138"/>
      <c r="I2871" s="138"/>
      <c r="J2871" s="139"/>
      <c r="K2871" s="137"/>
      <c r="L2871" s="137"/>
      <c r="P2871" s="137"/>
      <c r="Q2871" s="137"/>
      <c r="R2871" s="126"/>
    </row>
    <row r="2872" spans="2:18" x14ac:dyDescent="0.3">
      <c r="B2872" s="126"/>
      <c r="G2872" s="137"/>
      <c r="H2872" s="138"/>
      <c r="I2872" s="138"/>
      <c r="J2872" s="139"/>
      <c r="K2872" s="137"/>
      <c r="L2872" s="137"/>
      <c r="P2872" s="137"/>
      <c r="Q2872" s="137"/>
      <c r="R2872" s="126"/>
    </row>
    <row r="2873" spans="2:18" x14ac:dyDescent="0.3">
      <c r="B2873" s="126"/>
      <c r="G2873" s="137"/>
      <c r="H2873" s="138"/>
      <c r="I2873" s="138"/>
      <c r="J2873" s="139"/>
      <c r="K2873" s="137"/>
      <c r="L2873" s="137"/>
      <c r="P2873" s="137"/>
      <c r="Q2873" s="137"/>
      <c r="R2873" s="126"/>
    </row>
    <row r="2874" spans="2:18" x14ac:dyDescent="0.3">
      <c r="B2874" s="126"/>
      <c r="G2874" s="137"/>
      <c r="H2874" s="138"/>
      <c r="I2874" s="138"/>
      <c r="J2874" s="139"/>
      <c r="K2874" s="137"/>
      <c r="L2874" s="137"/>
      <c r="P2874" s="137"/>
      <c r="Q2874" s="137"/>
      <c r="R2874" s="126"/>
    </row>
    <row r="2875" spans="2:18" x14ac:dyDescent="0.3">
      <c r="B2875" s="126"/>
      <c r="G2875" s="137"/>
      <c r="H2875" s="138"/>
      <c r="I2875" s="138"/>
      <c r="J2875" s="139"/>
      <c r="K2875" s="137"/>
      <c r="L2875" s="137"/>
      <c r="P2875" s="137"/>
      <c r="Q2875" s="137"/>
      <c r="R2875" s="126"/>
    </row>
    <row r="2876" spans="2:18" x14ac:dyDescent="0.3">
      <c r="B2876" s="126"/>
      <c r="G2876" s="137"/>
      <c r="H2876" s="138"/>
      <c r="I2876" s="138"/>
      <c r="J2876" s="139"/>
      <c r="K2876" s="137"/>
      <c r="L2876" s="137"/>
      <c r="P2876" s="137"/>
      <c r="Q2876" s="137"/>
      <c r="R2876" s="126"/>
    </row>
    <row r="2877" spans="2:18" x14ac:dyDescent="0.3">
      <c r="B2877" s="126"/>
      <c r="G2877" s="137"/>
      <c r="H2877" s="138"/>
      <c r="I2877" s="138"/>
      <c r="J2877" s="139"/>
      <c r="K2877" s="137"/>
      <c r="L2877" s="137"/>
      <c r="P2877" s="137"/>
      <c r="Q2877" s="137"/>
      <c r="R2877" s="126"/>
    </row>
    <row r="2878" spans="2:18" x14ac:dyDescent="0.3">
      <c r="B2878" s="126"/>
      <c r="G2878" s="137"/>
      <c r="H2878" s="138"/>
      <c r="I2878" s="138"/>
      <c r="J2878" s="139"/>
      <c r="K2878" s="137"/>
      <c r="L2878" s="137"/>
      <c r="P2878" s="137"/>
      <c r="Q2878" s="137"/>
      <c r="R2878" s="126"/>
    </row>
    <row r="2879" spans="2:18" x14ac:dyDescent="0.3">
      <c r="B2879" s="126"/>
      <c r="G2879" s="137"/>
      <c r="H2879" s="138"/>
      <c r="I2879" s="138"/>
      <c r="J2879" s="139"/>
      <c r="K2879" s="137"/>
      <c r="L2879" s="137"/>
      <c r="P2879" s="137"/>
      <c r="Q2879" s="137"/>
      <c r="R2879" s="126"/>
    </row>
    <row r="2880" spans="2:18" x14ac:dyDescent="0.3">
      <c r="B2880" s="126"/>
      <c r="G2880" s="137"/>
      <c r="H2880" s="138"/>
      <c r="I2880" s="138"/>
      <c r="J2880" s="139"/>
      <c r="K2880" s="137"/>
      <c r="L2880" s="137"/>
      <c r="P2880" s="137"/>
      <c r="Q2880" s="137"/>
      <c r="R2880" s="126"/>
    </row>
    <row r="2881" spans="2:18" x14ac:dyDescent="0.3">
      <c r="B2881" s="126"/>
      <c r="G2881" s="137"/>
      <c r="H2881" s="138"/>
      <c r="I2881" s="138"/>
      <c r="J2881" s="139"/>
      <c r="K2881" s="137"/>
      <c r="L2881" s="137"/>
      <c r="P2881" s="137"/>
      <c r="Q2881" s="137"/>
      <c r="R2881" s="126"/>
    </row>
    <row r="2882" spans="2:18" x14ac:dyDescent="0.3">
      <c r="B2882" s="126"/>
      <c r="G2882" s="137"/>
      <c r="H2882" s="138"/>
      <c r="I2882" s="138"/>
      <c r="J2882" s="139"/>
      <c r="K2882" s="137"/>
      <c r="L2882" s="137"/>
      <c r="P2882" s="137"/>
      <c r="Q2882" s="137"/>
      <c r="R2882" s="126"/>
    </row>
    <row r="2883" spans="2:18" x14ac:dyDescent="0.3">
      <c r="B2883" s="126"/>
      <c r="G2883" s="137"/>
      <c r="H2883" s="138"/>
      <c r="I2883" s="138"/>
      <c r="J2883" s="139"/>
      <c r="K2883" s="137"/>
      <c r="L2883" s="137"/>
      <c r="P2883" s="137"/>
      <c r="Q2883" s="137"/>
      <c r="R2883" s="126"/>
    </row>
    <row r="2884" spans="2:18" x14ac:dyDescent="0.3">
      <c r="B2884" s="126"/>
      <c r="G2884" s="137"/>
      <c r="H2884" s="138"/>
      <c r="I2884" s="138"/>
      <c r="J2884" s="139"/>
      <c r="K2884" s="137"/>
      <c r="L2884" s="137"/>
      <c r="P2884" s="137"/>
      <c r="Q2884" s="137"/>
      <c r="R2884" s="126"/>
    </row>
    <row r="2885" spans="2:18" x14ac:dyDescent="0.3">
      <c r="B2885" s="126"/>
      <c r="G2885" s="137"/>
      <c r="H2885" s="138"/>
      <c r="I2885" s="138"/>
      <c r="J2885" s="139"/>
      <c r="K2885" s="137"/>
      <c r="L2885" s="137"/>
      <c r="P2885" s="137"/>
      <c r="Q2885" s="137"/>
      <c r="R2885" s="126"/>
    </row>
    <row r="2886" spans="2:18" x14ac:dyDescent="0.3">
      <c r="B2886" s="126"/>
      <c r="G2886" s="137"/>
      <c r="H2886" s="138"/>
      <c r="I2886" s="138"/>
      <c r="J2886" s="139"/>
      <c r="K2886" s="137"/>
      <c r="L2886" s="137"/>
      <c r="P2886" s="137"/>
      <c r="Q2886" s="137"/>
      <c r="R2886" s="126"/>
    </row>
    <row r="2887" spans="2:18" x14ac:dyDescent="0.3">
      <c r="B2887" s="126"/>
      <c r="G2887" s="137"/>
      <c r="H2887" s="138"/>
      <c r="I2887" s="138"/>
      <c r="J2887" s="139"/>
      <c r="K2887" s="137"/>
      <c r="L2887" s="137"/>
      <c r="P2887" s="137"/>
      <c r="Q2887" s="137"/>
      <c r="R2887" s="126"/>
    </row>
    <row r="2888" spans="2:18" x14ac:dyDescent="0.3">
      <c r="B2888" s="126"/>
      <c r="G2888" s="137"/>
      <c r="H2888" s="138"/>
      <c r="I2888" s="138"/>
      <c r="J2888" s="139"/>
      <c r="K2888" s="137"/>
      <c r="L2888" s="137"/>
      <c r="P2888" s="137"/>
      <c r="Q2888" s="137"/>
      <c r="R2888" s="126"/>
    </row>
    <row r="2889" spans="2:18" x14ac:dyDescent="0.3">
      <c r="B2889" s="126"/>
      <c r="G2889" s="137"/>
      <c r="H2889" s="138"/>
      <c r="I2889" s="138"/>
      <c r="J2889" s="139"/>
      <c r="K2889" s="137"/>
      <c r="L2889" s="137"/>
      <c r="P2889" s="137"/>
      <c r="Q2889" s="137"/>
      <c r="R2889" s="126"/>
    </row>
    <row r="2890" spans="2:18" x14ac:dyDescent="0.3">
      <c r="B2890" s="126"/>
      <c r="G2890" s="137"/>
      <c r="H2890" s="138"/>
      <c r="I2890" s="138"/>
      <c r="J2890" s="139"/>
      <c r="K2890" s="137"/>
      <c r="L2890" s="137"/>
      <c r="P2890" s="137"/>
      <c r="Q2890" s="137"/>
      <c r="R2890" s="126"/>
    </row>
    <row r="2891" spans="2:18" x14ac:dyDescent="0.3">
      <c r="B2891" s="126"/>
      <c r="G2891" s="137"/>
      <c r="H2891" s="138"/>
      <c r="I2891" s="138"/>
      <c r="J2891" s="139"/>
      <c r="K2891" s="137"/>
      <c r="L2891" s="137"/>
      <c r="P2891" s="137"/>
      <c r="Q2891" s="137"/>
      <c r="R2891" s="126"/>
    </row>
    <row r="2892" spans="2:18" x14ac:dyDescent="0.3">
      <c r="B2892" s="126"/>
      <c r="G2892" s="137"/>
      <c r="H2892" s="138"/>
      <c r="I2892" s="138"/>
      <c r="J2892" s="139"/>
      <c r="K2892" s="137"/>
      <c r="L2892" s="137"/>
      <c r="P2892" s="137"/>
      <c r="Q2892" s="137"/>
      <c r="R2892" s="126"/>
    </row>
    <row r="2893" spans="2:18" x14ac:dyDescent="0.3">
      <c r="B2893" s="126"/>
      <c r="G2893" s="137"/>
      <c r="H2893" s="138"/>
      <c r="I2893" s="138"/>
      <c r="J2893" s="139"/>
      <c r="K2893" s="137"/>
      <c r="L2893" s="137"/>
      <c r="P2893" s="137"/>
      <c r="Q2893" s="137"/>
      <c r="R2893" s="126"/>
    </row>
    <row r="2894" spans="2:18" x14ac:dyDescent="0.3">
      <c r="B2894" s="126"/>
      <c r="G2894" s="137"/>
      <c r="H2894" s="138"/>
      <c r="I2894" s="138"/>
      <c r="J2894" s="139"/>
      <c r="K2894" s="137"/>
      <c r="L2894" s="137"/>
      <c r="P2894" s="137"/>
      <c r="Q2894" s="137"/>
      <c r="R2894" s="126"/>
    </row>
    <row r="2895" spans="2:18" x14ac:dyDescent="0.3">
      <c r="B2895" s="126"/>
      <c r="G2895" s="137"/>
      <c r="H2895" s="138"/>
      <c r="I2895" s="138"/>
      <c r="J2895" s="139"/>
      <c r="K2895" s="137"/>
      <c r="L2895" s="137"/>
      <c r="P2895" s="137"/>
      <c r="Q2895" s="137"/>
      <c r="R2895" s="126"/>
    </row>
    <row r="2896" spans="2:18" x14ac:dyDescent="0.3">
      <c r="B2896" s="126"/>
      <c r="G2896" s="137"/>
      <c r="H2896" s="138"/>
      <c r="I2896" s="138"/>
      <c r="J2896" s="139"/>
      <c r="K2896" s="137"/>
      <c r="L2896" s="137"/>
      <c r="P2896" s="137"/>
      <c r="Q2896" s="137"/>
      <c r="R2896" s="126"/>
    </row>
    <row r="2897" spans="2:18" x14ac:dyDescent="0.3">
      <c r="B2897" s="126"/>
      <c r="G2897" s="137"/>
      <c r="H2897" s="138"/>
      <c r="I2897" s="138"/>
      <c r="J2897" s="139"/>
      <c r="K2897" s="137"/>
      <c r="L2897" s="137"/>
      <c r="P2897" s="137"/>
      <c r="Q2897" s="137"/>
      <c r="R2897" s="126"/>
    </row>
    <row r="2898" spans="2:18" x14ac:dyDescent="0.3">
      <c r="B2898" s="126"/>
      <c r="G2898" s="137"/>
      <c r="H2898" s="138"/>
      <c r="I2898" s="138"/>
      <c r="J2898" s="139"/>
      <c r="K2898" s="137"/>
      <c r="L2898" s="137"/>
      <c r="P2898" s="137"/>
      <c r="Q2898" s="137"/>
      <c r="R2898" s="126"/>
    </row>
    <row r="2899" spans="2:18" x14ac:dyDescent="0.3">
      <c r="B2899" s="126"/>
      <c r="G2899" s="137"/>
      <c r="H2899" s="138"/>
      <c r="I2899" s="138"/>
      <c r="J2899" s="139"/>
      <c r="K2899" s="137"/>
      <c r="L2899" s="137"/>
      <c r="P2899" s="137"/>
      <c r="Q2899" s="137"/>
      <c r="R2899" s="126"/>
    </row>
    <row r="2900" spans="2:18" x14ac:dyDescent="0.3">
      <c r="B2900" s="126"/>
      <c r="G2900" s="137"/>
      <c r="H2900" s="138"/>
      <c r="I2900" s="138"/>
      <c r="J2900" s="139"/>
      <c r="K2900" s="137"/>
      <c r="L2900" s="137"/>
      <c r="P2900" s="137"/>
      <c r="Q2900" s="137"/>
      <c r="R2900" s="126"/>
    </row>
    <row r="2901" spans="2:18" x14ac:dyDescent="0.3">
      <c r="B2901" s="126"/>
      <c r="G2901" s="137"/>
      <c r="H2901" s="138"/>
      <c r="I2901" s="138"/>
      <c r="J2901" s="139"/>
      <c r="K2901" s="137"/>
      <c r="L2901" s="137"/>
      <c r="P2901" s="137"/>
      <c r="Q2901" s="137"/>
      <c r="R2901" s="126"/>
    </row>
    <row r="2902" spans="2:18" x14ac:dyDescent="0.3">
      <c r="B2902" s="126"/>
      <c r="G2902" s="137"/>
      <c r="H2902" s="138"/>
      <c r="I2902" s="138"/>
      <c r="J2902" s="139"/>
      <c r="K2902" s="137"/>
      <c r="L2902" s="137"/>
      <c r="P2902" s="137"/>
      <c r="Q2902" s="137"/>
      <c r="R2902" s="126"/>
    </row>
    <row r="2903" spans="2:18" x14ac:dyDescent="0.3">
      <c r="B2903" s="126"/>
      <c r="G2903" s="137"/>
      <c r="H2903" s="138"/>
      <c r="I2903" s="138"/>
      <c r="J2903" s="139"/>
      <c r="K2903" s="137"/>
      <c r="L2903" s="137"/>
      <c r="P2903" s="137"/>
      <c r="Q2903" s="137"/>
      <c r="R2903" s="126"/>
    </row>
    <row r="2904" spans="2:18" x14ac:dyDescent="0.3">
      <c r="B2904" s="126"/>
      <c r="G2904" s="137"/>
      <c r="H2904" s="138"/>
      <c r="I2904" s="138"/>
      <c r="J2904" s="139"/>
      <c r="K2904" s="137"/>
      <c r="L2904" s="137"/>
      <c r="P2904" s="137"/>
      <c r="Q2904" s="137"/>
      <c r="R2904" s="126"/>
    </row>
    <row r="2905" spans="2:18" x14ac:dyDescent="0.3">
      <c r="B2905" s="126"/>
      <c r="G2905" s="137"/>
      <c r="H2905" s="138"/>
      <c r="I2905" s="138"/>
      <c r="J2905" s="139"/>
      <c r="K2905" s="137"/>
      <c r="L2905" s="137"/>
      <c r="P2905" s="137"/>
      <c r="Q2905" s="137"/>
      <c r="R2905" s="126"/>
    </row>
    <row r="2906" spans="2:18" x14ac:dyDescent="0.3">
      <c r="B2906" s="126"/>
      <c r="G2906" s="137"/>
      <c r="H2906" s="138"/>
      <c r="I2906" s="138"/>
      <c r="J2906" s="139"/>
      <c r="K2906" s="137"/>
      <c r="L2906" s="137"/>
      <c r="P2906" s="137"/>
      <c r="Q2906" s="137"/>
      <c r="R2906" s="126"/>
    </row>
    <row r="2907" spans="2:18" x14ac:dyDescent="0.3">
      <c r="B2907" s="126"/>
      <c r="G2907" s="137"/>
      <c r="H2907" s="138"/>
      <c r="I2907" s="138"/>
      <c r="J2907" s="139"/>
      <c r="K2907" s="137"/>
      <c r="L2907" s="137"/>
      <c r="P2907" s="137"/>
      <c r="Q2907" s="137"/>
      <c r="R2907" s="126"/>
    </row>
    <row r="2908" spans="2:18" x14ac:dyDescent="0.3">
      <c r="B2908" s="126"/>
      <c r="G2908" s="137"/>
      <c r="H2908" s="138"/>
      <c r="I2908" s="138"/>
      <c r="J2908" s="139"/>
      <c r="K2908" s="137"/>
      <c r="L2908" s="137"/>
      <c r="P2908" s="137"/>
      <c r="Q2908" s="137"/>
      <c r="R2908" s="126"/>
    </row>
    <row r="2909" spans="2:18" x14ac:dyDescent="0.3">
      <c r="B2909" s="126"/>
      <c r="G2909" s="137"/>
      <c r="H2909" s="138"/>
      <c r="I2909" s="138"/>
      <c r="J2909" s="139"/>
      <c r="K2909" s="137"/>
      <c r="L2909" s="137"/>
      <c r="P2909" s="137"/>
      <c r="Q2909" s="137"/>
      <c r="R2909" s="126"/>
    </row>
    <row r="2910" spans="2:18" x14ac:dyDescent="0.3">
      <c r="B2910" s="126"/>
      <c r="G2910" s="137"/>
      <c r="H2910" s="138"/>
      <c r="I2910" s="138"/>
      <c r="J2910" s="139"/>
      <c r="K2910" s="137"/>
      <c r="L2910" s="137"/>
      <c r="P2910" s="137"/>
      <c r="Q2910" s="137"/>
      <c r="R2910" s="126"/>
    </row>
    <row r="2911" spans="2:18" x14ac:dyDescent="0.3">
      <c r="B2911" s="126"/>
      <c r="G2911" s="137"/>
      <c r="H2911" s="138"/>
      <c r="I2911" s="138"/>
      <c r="J2911" s="139"/>
      <c r="K2911" s="137"/>
      <c r="L2911" s="137"/>
      <c r="P2911" s="137"/>
      <c r="Q2911" s="137"/>
      <c r="R2911" s="126"/>
    </row>
    <row r="2912" spans="2:18" x14ac:dyDescent="0.3">
      <c r="B2912" s="126"/>
      <c r="G2912" s="137"/>
      <c r="H2912" s="138"/>
      <c r="I2912" s="138"/>
      <c r="J2912" s="139"/>
      <c r="K2912" s="137"/>
      <c r="L2912" s="137"/>
      <c r="P2912" s="137"/>
      <c r="Q2912" s="137"/>
      <c r="R2912" s="126"/>
    </row>
    <row r="2913" spans="2:18" x14ac:dyDescent="0.3">
      <c r="B2913" s="126"/>
      <c r="G2913" s="137"/>
      <c r="H2913" s="138"/>
      <c r="I2913" s="138"/>
      <c r="J2913" s="139"/>
      <c r="K2913" s="137"/>
      <c r="L2913" s="137"/>
      <c r="P2913" s="137"/>
      <c r="Q2913" s="137"/>
      <c r="R2913" s="126"/>
    </row>
    <row r="2914" spans="2:18" x14ac:dyDescent="0.3">
      <c r="B2914" s="126"/>
      <c r="G2914" s="137"/>
      <c r="H2914" s="138"/>
      <c r="I2914" s="138"/>
      <c r="J2914" s="139"/>
      <c r="K2914" s="137"/>
      <c r="L2914" s="137"/>
      <c r="P2914" s="137"/>
      <c r="Q2914" s="137"/>
      <c r="R2914" s="126"/>
    </row>
    <row r="2915" spans="2:18" x14ac:dyDescent="0.3">
      <c r="B2915" s="126"/>
      <c r="G2915" s="137"/>
      <c r="H2915" s="138"/>
      <c r="I2915" s="138"/>
      <c r="J2915" s="139"/>
      <c r="K2915" s="137"/>
      <c r="L2915" s="137"/>
      <c r="P2915" s="137"/>
      <c r="Q2915" s="137"/>
      <c r="R2915" s="126"/>
    </row>
    <row r="2916" spans="2:18" x14ac:dyDescent="0.3">
      <c r="B2916" s="126"/>
      <c r="G2916" s="137"/>
      <c r="H2916" s="138"/>
      <c r="I2916" s="138"/>
      <c r="J2916" s="139"/>
      <c r="K2916" s="137"/>
      <c r="L2916" s="137"/>
      <c r="P2916" s="137"/>
      <c r="Q2916" s="137"/>
      <c r="R2916" s="126"/>
    </row>
    <row r="2917" spans="2:18" x14ac:dyDescent="0.3">
      <c r="B2917" s="126"/>
      <c r="G2917" s="137"/>
      <c r="H2917" s="138"/>
      <c r="I2917" s="138"/>
      <c r="J2917" s="139"/>
      <c r="K2917" s="137"/>
      <c r="L2917" s="137"/>
      <c r="P2917" s="137"/>
      <c r="Q2917" s="137"/>
      <c r="R2917" s="126"/>
    </row>
    <row r="2918" spans="2:18" x14ac:dyDescent="0.3">
      <c r="B2918" s="126"/>
      <c r="G2918" s="137"/>
      <c r="H2918" s="138"/>
      <c r="I2918" s="138"/>
      <c r="J2918" s="139"/>
      <c r="K2918" s="137"/>
      <c r="L2918" s="137"/>
      <c r="P2918" s="137"/>
      <c r="Q2918" s="137"/>
      <c r="R2918" s="126"/>
    </row>
    <row r="2919" spans="2:18" x14ac:dyDescent="0.3">
      <c r="B2919" s="126"/>
      <c r="G2919" s="137"/>
      <c r="H2919" s="138"/>
      <c r="I2919" s="138"/>
      <c r="J2919" s="139"/>
      <c r="K2919" s="137"/>
      <c r="L2919" s="137"/>
      <c r="P2919" s="137"/>
      <c r="Q2919" s="137"/>
      <c r="R2919" s="126"/>
    </row>
    <row r="2920" spans="2:18" x14ac:dyDescent="0.3">
      <c r="B2920" s="126"/>
      <c r="G2920" s="137"/>
      <c r="H2920" s="138"/>
      <c r="I2920" s="138"/>
      <c r="J2920" s="139"/>
      <c r="K2920" s="137"/>
      <c r="L2920" s="137"/>
      <c r="P2920" s="137"/>
      <c r="Q2920" s="137"/>
      <c r="R2920" s="126"/>
    </row>
    <row r="2921" spans="2:18" x14ac:dyDescent="0.3">
      <c r="B2921" s="126"/>
      <c r="G2921" s="137"/>
      <c r="H2921" s="138"/>
      <c r="I2921" s="138"/>
      <c r="J2921" s="139"/>
      <c r="K2921" s="137"/>
      <c r="L2921" s="137"/>
      <c r="P2921" s="137"/>
      <c r="Q2921" s="137"/>
      <c r="R2921" s="126"/>
    </row>
    <row r="2922" spans="2:18" x14ac:dyDescent="0.3">
      <c r="B2922" s="126"/>
      <c r="G2922" s="137"/>
      <c r="H2922" s="138"/>
      <c r="I2922" s="138"/>
      <c r="J2922" s="139"/>
      <c r="K2922" s="137"/>
      <c r="L2922" s="137"/>
      <c r="P2922" s="137"/>
      <c r="Q2922" s="137"/>
      <c r="R2922" s="126"/>
    </row>
    <row r="2923" spans="2:18" x14ac:dyDescent="0.3">
      <c r="B2923" s="126"/>
      <c r="G2923" s="137"/>
      <c r="H2923" s="138"/>
      <c r="I2923" s="138"/>
      <c r="J2923" s="139"/>
      <c r="K2923" s="137"/>
      <c r="L2923" s="137"/>
      <c r="P2923" s="137"/>
      <c r="Q2923" s="137"/>
      <c r="R2923" s="126"/>
    </row>
    <row r="2924" spans="2:18" x14ac:dyDescent="0.3">
      <c r="B2924" s="126"/>
      <c r="G2924" s="137"/>
      <c r="H2924" s="138"/>
      <c r="I2924" s="138"/>
      <c r="J2924" s="139"/>
      <c r="K2924" s="137"/>
      <c r="L2924" s="137"/>
      <c r="P2924" s="137"/>
      <c r="Q2924" s="137"/>
      <c r="R2924" s="126"/>
    </row>
    <row r="2925" spans="2:18" x14ac:dyDescent="0.3">
      <c r="B2925" s="126"/>
      <c r="G2925" s="137"/>
      <c r="H2925" s="138"/>
      <c r="I2925" s="138"/>
      <c r="J2925" s="139"/>
      <c r="K2925" s="137"/>
      <c r="L2925" s="137"/>
      <c r="P2925" s="137"/>
      <c r="Q2925" s="137"/>
      <c r="R2925" s="126"/>
    </row>
    <row r="2926" spans="2:18" x14ac:dyDescent="0.3">
      <c r="B2926" s="126"/>
      <c r="G2926" s="137"/>
      <c r="H2926" s="138"/>
      <c r="I2926" s="138"/>
      <c r="J2926" s="139"/>
      <c r="K2926" s="137"/>
      <c r="L2926" s="137"/>
      <c r="P2926" s="137"/>
      <c r="Q2926" s="137"/>
      <c r="R2926" s="126"/>
    </row>
    <row r="2927" spans="2:18" x14ac:dyDescent="0.3">
      <c r="B2927" s="126"/>
      <c r="G2927" s="137"/>
      <c r="H2927" s="138"/>
      <c r="I2927" s="138"/>
      <c r="J2927" s="139"/>
      <c r="K2927" s="137"/>
      <c r="L2927" s="137"/>
      <c r="P2927" s="137"/>
      <c r="Q2927" s="137"/>
      <c r="R2927" s="126"/>
    </row>
    <row r="2928" spans="2:18" x14ac:dyDescent="0.3">
      <c r="B2928" s="126"/>
      <c r="G2928" s="137"/>
      <c r="H2928" s="138"/>
      <c r="I2928" s="138"/>
      <c r="J2928" s="139"/>
      <c r="K2928" s="137"/>
      <c r="L2928" s="137"/>
      <c r="P2928" s="137"/>
      <c r="Q2928" s="137"/>
      <c r="R2928" s="126"/>
    </row>
    <row r="2929" spans="2:18" x14ac:dyDescent="0.3">
      <c r="B2929" s="126"/>
      <c r="G2929" s="137"/>
      <c r="H2929" s="138"/>
      <c r="I2929" s="138"/>
      <c r="J2929" s="139"/>
      <c r="K2929" s="137"/>
      <c r="L2929" s="137"/>
      <c r="P2929" s="137"/>
      <c r="Q2929" s="137"/>
      <c r="R2929" s="126"/>
    </row>
    <row r="2930" spans="2:18" x14ac:dyDescent="0.3">
      <c r="B2930" s="126"/>
      <c r="G2930" s="137"/>
      <c r="H2930" s="138"/>
      <c r="I2930" s="138"/>
      <c r="J2930" s="139"/>
      <c r="K2930" s="137"/>
      <c r="L2930" s="137"/>
      <c r="P2930" s="137"/>
      <c r="Q2930" s="137"/>
      <c r="R2930" s="126"/>
    </row>
    <row r="2931" spans="2:18" x14ac:dyDescent="0.3">
      <c r="B2931" s="126"/>
      <c r="G2931" s="137"/>
      <c r="H2931" s="138"/>
      <c r="I2931" s="138"/>
      <c r="J2931" s="139"/>
      <c r="K2931" s="137"/>
      <c r="L2931" s="137"/>
      <c r="P2931" s="137"/>
      <c r="Q2931" s="137"/>
      <c r="R2931" s="126"/>
    </row>
    <row r="2932" spans="2:18" x14ac:dyDescent="0.3">
      <c r="B2932" s="126"/>
      <c r="G2932" s="137"/>
      <c r="H2932" s="138"/>
      <c r="I2932" s="138"/>
      <c r="J2932" s="139"/>
      <c r="K2932" s="137"/>
      <c r="L2932" s="137"/>
      <c r="P2932" s="137"/>
      <c r="Q2932" s="137"/>
      <c r="R2932" s="126"/>
    </row>
    <row r="2933" spans="2:18" x14ac:dyDescent="0.3">
      <c r="B2933" s="126"/>
      <c r="G2933" s="137"/>
      <c r="H2933" s="138"/>
      <c r="I2933" s="138"/>
      <c r="J2933" s="139"/>
      <c r="K2933" s="137"/>
      <c r="L2933" s="137"/>
      <c r="P2933" s="137"/>
      <c r="Q2933" s="137"/>
      <c r="R2933" s="126"/>
    </row>
    <row r="2934" spans="2:18" x14ac:dyDescent="0.3">
      <c r="B2934" s="126"/>
      <c r="G2934" s="137"/>
      <c r="H2934" s="138"/>
      <c r="I2934" s="138"/>
      <c r="J2934" s="139"/>
      <c r="K2934" s="137"/>
      <c r="L2934" s="137"/>
      <c r="P2934" s="137"/>
      <c r="Q2934" s="137"/>
      <c r="R2934" s="126"/>
    </row>
    <row r="2935" spans="2:18" x14ac:dyDescent="0.3">
      <c r="B2935" s="126"/>
      <c r="G2935" s="137"/>
      <c r="H2935" s="138"/>
      <c r="I2935" s="138"/>
      <c r="J2935" s="139"/>
      <c r="K2935" s="137"/>
      <c r="L2935" s="137"/>
      <c r="P2935" s="137"/>
      <c r="Q2935" s="137"/>
      <c r="R2935" s="126"/>
    </row>
    <row r="2936" spans="2:18" x14ac:dyDescent="0.3">
      <c r="B2936" s="126"/>
      <c r="G2936" s="137"/>
      <c r="H2936" s="138"/>
      <c r="I2936" s="138"/>
      <c r="J2936" s="139"/>
      <c r="K2936" s="137"/>
      <c r="L2936" s="137"/>
      <c r="P2936" s="137"/>
      <c r="Q2936" s="137"/>
      <c r="R2936" s="126"/>
    </row>
    <row r="2937" spans="2:18" x14ac:dyDescent="0.3">
      <c r="B2937" s="126"/>
      <c r="G2937" s="137"/>
      <c r="H2937" s="138"/>
      <c r="I2937" s="138"/>
      <c r="J2937" s="139"/>
      <c r="K2937" s="137"/>
      <c r="L2937" s="137"/>
      <c r="P2937" s="137"/>
      <c r="Q2937" s="137"/>
      <c r="R2937" s="126"/>
    </row>
    <row r="2938" spans="2:18" x14ac:dyDescent="0.3">
      <c r="B2938" s="126"/>
      <c r="G2938" s="137"/>
      <c r="H2938" s="138"/>
      <c r="I2938" s="138"/>
      <c r="J2938" s="139"/>
      <c r="K2938" s="137"/>
      <c r="L2938" s="137"/>
      <c r="P2938" s="137"/>
      <c r="Q2938" s="137"/>
      <c r="R2938" s="126"/>
    </row>
    <row r="2939" spans="2:18" x14ac:dyDescent="0.3">
      <c r="B2939" s="126"/>
      <c r="G2939" s="137"/>
      <c r="H2939" s="138"/>
      <c r="I2939" s="138"/>
      <c r="J2939" s="139"/>
      <c r="K2939" s="137"/>
      <c r="L2939" s="137"/>
      <c r="P2939" s="137"/>
      <c r="Q2939" s="137"/>
      <c r="R2939" s="126"/>
    </row>
    <row r="2940" spans="2:18" x14ac:dyDescent="0.3">
      <c r="B2940" s="126"/>
      <c r="G2940" s="137"/>
      <c r="H2940" s="138"/>
      <c r="I2940" s="138"/>
      <c r="J2940" s="139"/>
      <c r="K2940" s="137"/>
      <c r="L2940" s="137"/>
      <c r="P2940" s="137"/>
      <c r="Q2940" s="137"/>
      <c r="R2940" s="126"/>
    </row>
    <row r="2941" spans="2:18" x14ac:dyDescent="0.3">
      <c r="B2941" s="126"/>
      <c r="G2941" s="137"/>
      <c r="H2941" s="138"/>
      <c r="I2941" s="138"/>
      <c r="J2941" s="139"/>
      <c r="K2941" s="137"/>
      <c r="L2941" s="137"/>
      <c r="P2941" s="137"/>
      <c r="Q2941" s="137"/>
      <c r="R2941" s="126"/>
    </row>
    <row r="2942" spans="2:18" x14ac:dyDescent="0.3">
      <c r="B2942" s="126"/>
      <c r="G2942" s="137"/>
      <c r="H2942" s="138"/>
      <c r="I2942" s="138"/>
      <c r="J2942" s="139"/>
      <c r="K2942" s="137"/>
      <c r="L2942" s="137"/>
      <c r="P2942" s="137"/>
      <c r="Q2942" s="137"/>
      <c r="R2942" s="126"/>
    </row>
    <row r="2943" spans="2:18" x14ac:dyDescent="0.3">
      <c r="B2943" s="126"/>
      <c r="G2943" s="137"/>
      <c r="H2943" s="138"/>
      <c r="I2943" s="138"/>
      <c r="J2943" s="139"/>
      <c r="K2943" s="137"/>
      <c r="L2943" s="137"/>
      <c r="P2943" s="137"/>
      <c r="Q2943" s="137"/>
      <c r="R2943" s="126"/>
    </row>
    <row r="2944" spans="2:18" x14ac:dyDescent="0.3">
      <c r="B2944" s="126"/>
      <c r="G2944" s="137"/>
      <c r="H2944" s="138"/>
      <c r="I2944" s="138"/>
      <c r="J2944" s="139"/>
      <c r="K2944" s="137"/>
      <c r="L2944" s="137"/>
      <c r="P2944" s="137"/>
      <c r="Q2944" s="137"/>
      <c r="R2944" s="126"/>
    </row>
    <row r="2945" spans="2:18" x14ac:dyDescent="0.3">
      <c r="B2945" s="126"/>
      <c r="G2945" s="137"/>
      <c r="H2945" s="138"/>
      <c r="I2945" s="138"/>
      <c r="J2945" s="139"/>
      <c r="K2945" s="137"/>
      <c r="L2945" s="137"/>
      <c r="P2945" s="137"/>
      <c r="Q2945" s="137"/>
      <c r="R2945" s="126"/>
    </row>
    <row r="2946" spans="2:18" x14ac:dyDescent="0.3">
      <c r="B2946" s="126"/>
      <c r="G2946" s="137"/>
      <c r="H2946" s="138"/>
      <c r="I2946" s="138"/>
      <c r="J2946" s="139"/>
      <c r="K2946" s="137"/>
      <c r="L2946" s="137"/>
      <c r="P2946" s="137"/>
      <c r="Q2946" s="137"/>
      <c r="R2946" s="126"/>
    </row>
    <row r="2947" spans="2:18" x14ac:dyDescent="0.3">
      <c r="B2947" s="126"/>
      <c r="G2947" s="137"/>
      <c r="H2947" s="138"/>
      <c r="I2947" s="138"/>
      <c r="J2947" s="139"/>
      <c r="K2947" s="137"/>
      <c r="L2947" s="137"/>
      <c r="P2947" s="137"/>
      <c r="Q2947" s="137"/>
      <c r="R2947" s="126"/>
    </row>
    <row r="2948" spans="2:18" x14ac:dyDescent="0.3">
      <c r="B2948" s="126"/>
      <c r="G2948" s="137"/>
      <c r="H2948" s="138"/>
      <c r="I2948" s="138"/>
      <c r="J2948" s="139"/>
      <c r="K2948" s="137"/>
      <c r="L2948" s="137"/>
      <c r="P2948" s="137"/>
      <c r="Q2948" s="137"/>
      <c r="R2948" s="126"/>
    </row>
    <row r="2949" spans="2:18" x14ac:dyDescent="0.3">
      <c r="B2949" s="126"/>
      <c r="G2949" s="137"/>
      <c r="H2949" s="138"/>
      <c r="I2949" s="138"/>
      <c r="J2949" s="139"/>
      <c r="K2949" s="137"/>
      <c r="L2949" s="137"/>
      <c r="P2949" s="137"/>
      <c r="Q2949" s="137"/>
      <c r="R2949" s="126"/>
    </row>
    <row r="2950" spans="2:18" x14ac:dyDescent="0.3">
      <c r="B2950" s="126"/>
      <c r="G2950" s="137"/>
      <c r="H2950" s="138"/>
      <c r="I2950" s="138"/>
      <c r="J2950" s="139"/>
      <c r="K2950" s="137"/>
      <c r="L2950" s="137"/>
      <c r="P2950" s="137"/>
      <c r="Q2950" s="137"/>
      <c r="R2950" s="126"/>
    </row>
    <row r="2951" spans="2:18" x14ac:dyDescent="0.3">
      <c r="B2951" s="126"/>
      <c r="G2951" s="137"/>
      <c r="H2951" s="138"/>
      <c r="I2951" s="138"/>
      <c r="J2951" s="139"/>
      <c r="K2951" s="137"/>
      <c r="L2951" s="137"/>
      <c r="P2951" s="137"/>
      <c r="Q2951" s="137"/>
      <c r="R2951" s="126"/>
    </row>
    <row r="2952" spans="2:18" x14ac:dyDescent="0.3">
      <c r="B2952" s="126"/>
      <c r="G2952" s="137"/>
      <c r="H2952" s="138"/>
      <c r="I2952" s="138"/>
      <c r="J2952" s="139"/>
      <c r="K2952" s="137"/>
      <c r="L2952" s="137"/>
      <c r="P2952" s="137"/>
      <c r="Q2952" s="137"/>
      <c r="R2952" s="126"/>
    </row>
    <row r="2953" spans="2:18" x14ac:dyDescent="0.3">
      <c r="B2953" s="126"/>
      <c r="G2953" s="137"/>
      <c r="H2953" s="138"/>
      <c r="I2953" s="138"/>
      <c r="J2953" s="139"/>
      <c r="K2953" s="137"/>
      <c r="L2953" s="137"/>
      <c r="P2953" s="137"/>
      <c r="Q2953" s="137"/>
      <c r="R2953" s="126"/>
    </row>
    <row r="2954" spans="2:18" x14ac:dyDescent="0.3">
      <c r="B2954" s="126"/>
      <c r="G2954" s="137"/>
      <c r="H2954" s="138"/>
      <c r="I2954" s="138"/>
      <c r="J2954" s="139"/>
      <c r="K2954" s="137"/>
      <c r="L2954" s="137"/>
      <c r="P2954" s="137"/>
      <c r="Q2954" s="137"/>
      <c r="R2954" s="126"/>
    </row>
    <row r="2955" spans="2:18" x14ac:dyDescent="0.3">
      <c r="B2955" s="126"/>
      <c r="G2955" s="137"/>
      <c r="H2955" s="138"/>
      <c r="I2955" s="138"/>
      <c r="J2955" s="139"/>
      <c r="K2955" s="137"/>
      <c r="L2955" s="137"/>
      <c r="P2955" s="137"/>
      <c r="Q2955" s="137"/>
      <c r="R2955" s="126"/>
    </row>
    <row r="2956" spans="2:18" x14ac:dyDescent="0.3">
      <c r="B2956" s="126"/>
      <c r="G2956" s="137"/>
      <c r="H2956" s="138"/>
      <c r="I2956" s="138"/>
      <c r="J2956" s="139"/>
      <c r="K2956" s="137"/>
      <c r="L2956" s="137"/>
      <c r="P2956" s="137"/>
      <c r="Q2956" s="137"/>
      <c r="R2956" s="126"/>
    </row>
    <row r="2957" spans="2:18" x14ac:dyDescent="0.3">
      <c r="B2957" s="126"/>
      <c r="G2957" s="137"/>
      <c r="H2957" s="138"/>
      <c r="I2957" s="138"/>
      <c r="J2957" s="139"/>
      <c r="K2957" s="137"/>
      <c r="L2957" s="137"/>
      <c r="P2957" s="137"/>
      <c r="Q2957" s="137"/>
      <c r="R2957" s="126"/>
    </row>
    <row r="2958" spans="2:18" x14ac:dyDescent="0.3">
      <c r="B2958" s="126"/>
      <c r="G2958" s="137"/>
      <c r="H2958" s="138"/>
      <c r="I2958" s="138"/>
      <c r="J2958" s="139"/>
      <c r="K2958" s="137"/>
      <c r="L2958" s="137"/>
      <c r="P2958" s="137"/>
      <c r="Q2958" s="137"/>
      <c r="R2958" s="126"/>
    </row>
    <row r="2959" spans="2:18" x14ac:dyDescent="0.3">
      <c r="B2959" s="126"/>
      <c r="G2959" s="137"/>
      <c r="H2959" s="138"/>
      <c r="I2959" s="138"/>
      <c r="J2959" s="139"/>
      <c r="K2959" s="137"/>
      <c r="L2959" s="137"/>
      <c r="P2959" s="137"/>
      <c r="Q2959" s="137"/>
      <c r="R2959" s="126"/>
    </row>
    <row r="2960" spans="2:18" x14ac:dyDescent="0.3">
      <c r="B2960" s="126"/>
      <c r="G2960" s="137"/>
      <c r="H2960" s="138"/>
      <c r="I2960" s="138"/>
      <c r="J2960" s="139"/>
      <c r="K2960" s="137"/>
      <c r="L2960" s="137"/>
      <c r="P2960" s="137"/>
      <c r="Q2960" s="137"/>
      <c r="R2960" s="126"/>
    </row>
    <row r="2961" spans="2:18" x14ac:dyDescent="0.3">
      <c r="B2961" s="126"/>
      <c r="G2961" s="137"/>
      <c r="H2961" s="138"/>
      <c r="I2961" s="138"/>
      <c r="J2961" s="139"/>
      <c r="K2961" s="137"/>
      <c r="L2961" s="137"/>
      <c r="P2961" s="137"/>
      <c r="Q2961" s="137"/>
      <c r="R2961" s="126"/>
    </row>
    <row r="2962" spans="2:18" x14ac:dyDescent="0.3">
      <c r="B2962" s="126"/>
      <c r="G2962" s="137"/>
      <c r="H2962" s="138"/>
      <c r="I2962" s="138"/>
      <c r="J2962" s="139"/>
      <c r="K2962" s="137"/>
      <c r="L2962" s="137"/>
      <c r="P2962" s="137"/>
      <c r="Q2962" s="137"/>
      <c r="R2962" s="126"/>
    </row>
    <row r="2963" spans="2:18" x14ac:dyDescent="0.3">
      <c r="B2963" s="126"/>
      <c r="G2963" s="137"/>
      <c r="H2963" s="138"/>
      <c r="I2963" s="138"/>
      <c r="J2963" s="139"/>
      <c r="K2963" s="137"/>
      <c r="L2963" s="137"/>
      <c r="P2963" s="137"/>
      <c r="Q2963" s="137"/>
      <c r="R2963" s="126"/>
    </row>
    <row r="2964" spans="2:18" x14ac:dyDescent="0.3">
      <c r="B2964" s="126"/>
      <c r="G2964" s="137"/>
      <c r="H2964" s="138"/>
      <c r="I2964" s="138"/>
      <c r="J2964" s="139"/>
      <c r="K2964" s="137"/>
      <c r="L2964" s="137"/>
      <c r="P2964" s="137"/>
      <c r="Q2964" s="137"/>
      <c r="R2964" s="126"/>
    </row>
    <row r="2965" spans="2:18" x14ac:dyDescent="0.3">
      <c r="B2965" s="126"/>
      <c r="G2965" s="137"/>
      <c r="H2965" s="138"/>
      <c r="I2965" s="138"/>
      <c r="J2965" s="139"/>
      <c r="K2965" s="137"/>
      <c r="L2965" s="137"/>
      <c r="P2965" s="137"/>
      <c r="Q2965" s="137"/>
      <c r="R2965" s="126"/>
    </row>
    <row r="2966" spans="2:18" x14ac:dyDescent="0.3">
      <c r="B2966" s="126"/>
      <c r="G2966" s="137"/>
      <c r="H2966" s="138"/>
      <c r="I2966" s="138"/>
      <c r="J2966" s="139"/>
      <c r="K2966" s="137"/>
      <c r="L2966" s="137"/>
      <c r="P2966" s="137"/>
      <c r="Q2966" s="137"/>
      <c r="R2966" s="126"/>
    </row>
    <row r="2967" spans="2:18" x14ac:dyDescent="0.3">
      <c r="B2967" s="126"/>
      <c r="G2967" s="137"/>
      <c r="H2967" s="138"/>
      <c r="I2967" s="138"/>
      <c r="J2967" s="139"/>
      <c r="K2967" s="137"/>
      <c r="L2967" s="137"/>
      <c r="P2967" s="137"/>
      <c r="Q2967" s="137"/>
      <c r="R2967" s="126"/>
    </row>
    <row r="2968" spans="2:18" x14ac:dyDescent="0.3">
      <c r="B2968" s="126"/>
      <c r="G2968" s="137"/>
      <c r="H2968" s="138"/>
      <c r="I2968" s="138"/>
      <c r="J2968" s="139"/>
      <c r="K2968" s="137"/>
      <c r="L2968" s="137"/>
      <c r="P2968" s="137"/>
      <c r="Q2968" s="137"/>
      <c r="R2968" s="126"/>
    </row>
    <row r="2969" spans="2:18" x14ac:dyDescent="0.3">
      <c r="B2969" s="126"/>
      <c r="G2969" s="137"/>
      <c r="H2969" s="138"/>
      <c r="I2969" s="138"/>
      <c r="J2969" s="139"/>
      <c r="K2969" s="137"/>
      <c r="L2969" s="137"/>
      <c r="P2969" s="137"/>
      <c r="Q2969" s="137"/>
      <c r="R2969" s="126"/>
    </row>
    <row r="2970" spans="2:18" x14ac:dyDescent="0.3">
      <c r="B2970" s="126"/>
      <c r="G2970" s="137"/>
      <c r="H2970" s="138"/>
      <c r="I2970" s="138"/>
      <c r="J2970" s="139"/>
      <c r="K2970" s="137"/>
      <c r="L2970" s="137"/>
      <c r="P2970" s="137"/>
      <c r="Q2970" s="137"/>
      <c r="R2970" s="126"/>
    </row>
    <row r="2971" spans="2:18" x14ac:dyDescent="0.3">
      <c r="B2971" s="126"/>
      <c r="G2971" s="137"/>
      <c r="H2971" s="138"/>
      <c r="I2971" s="138"/>
      <c r="J2971" s="139"/>
      <c r="K2971" s="137"/>
      <c r="L2971" s="137"/>
      <c r="P2971" s="137"/>
      <c r="Q2971" s="137"/>
      <c r="R2971" s="126"/>
    </row>
    <row r="2972" spans="2:18" x14ac:dyDescent="0.3">
      <c r="B2972" s="126"/>
      <c r="G2972" s="137"/>
      <c r="H2972" s="138"/>
      <c r="I2972" s="138"/>
      <c r="J2972" s="139"/>
      <c r="K2972" s="137"/>
      <c r="L2972" s="137"/>
      <c r="P2972" s="137"/>
      <c r="Q2972" s="137"/>
      <c r="R2972" s="126"/>
    </row>
    <row r="2973" spans="2:18" x14ac:dyDescent="0.3">
      <c r="B2973" s="126"/>
      <c r="G2973" s="137"/>
      <c r="H2973" s="138"/>
      <c r="I2973" s="138"/>
      <c r="J2973" s="139"/>
      <c r="K2973" s="137"/>
      <c r="L2973" s="137"/>
      <c r="P2973" s="137"/>
      <c r="Q2973" s="137"/>
      <c r="R2973" s="126"/>
    </row>
    <row r="2974" spans="2:18" x14ac:dyDescent="0.3">
      <c r="B2974" s="126"/>
      <c r="G2974" s="137"/>
      <c r="H2974" s="138"/>
      <c r="I2974" s="138"/>
      <c r="J2974" s="139"/>
      <c r="K2974" s="137"/>
      <c r="L2974" s="137"/>
      <c r="P2974" s="137"/>
      <c r="Q2974" s="137"/>
      <c r="R2974" s="126"/>
    </row>
    <row r="2975" spans="2:18" x14ac:dyDescent="0.3">
      <c r="B2975" s="126"/>
      <c r="G2975" s="137"/>
      <c r="H2975" s="138"/>
      <c r="I2975" s="138"/>
      <c r="J2975" s="139"/>
      <c r="K2975" s="137"/>
      <c r="L2975" s="137"/>
      <c r="P2975" s="137"/>
      <c r="Q2975" s="137"/>
      <c r="R2975" s="126"/>
    </row>
    <row r="2976" spans="2:18" x14ac:dyDescent="0.3">
      <c r="B2976" s="126"/>
      <c r="G2976" s="137"/>
      <c r="H2976" s="138"/>
      <c r="I2976" s="138"/>
      <c r="J2976" s="139"/>
      <c r="K2976" s="137"/>
      <c r="L2976" s="137"/>
      <c r="P2976" s="137"/>
      <c r="Q2976" s="137"/>
      <c r="R2976" s="126"/>
    </row>
    <row r="2977" spans="2:18" x14ac:dyDescent="0.3">
      <c r="B2977" s="126"/>
      <c r="G2977" s="137"/>
      <c r="H2977" s="138"/>
      <c r="I2977" s="138"/>
      <c r="J2977" s="139"/>
      <c r="K2977" s="137"/>
      <c r="L2977" s="137"/>
      <c r="P2977" s="137"/>
      <c r="Q2977" s="137"/>
      <c r="R2977" s="126"/>
    </row>
    <row r="2978" spans="2:18" x14ac:dyDescent="0.3">
      <c r="B2978" s="126"/>
      <c r="G2978" s="137"/>
      <c r="H2978" s="138"/>
      <c r="I2978" s="138"/>
      <c r="J2978" s="139"/>
      <c r="K2978" s="137"/>
      <c r="L2978" s="137"/>
      <c r="P2978" s="137"/>
      <c r="Q2978" s="137"/>
      <c r="R2978" s="126"/>
    </row>
    <row r="2979" spans="2:18" x14ac:dyDescent="0.3">
      <c r="B2979" s="126"/>
      <c r="G2979" s="137"/>
      <c r="H2979" s="138"/>
      <c r="I2979" s="138"/>
      <c r="J2979" s="139"/>
      <c r="K2979" s="137"/>
      <c r="L2979" s="137"/>
      <c r="P2979" s="137"/>
      <c r="Q2979" s="137"/>
      <c r="R2979" s="126"/>
    </row>
    <row r="2980" spans="2:18" x14ac:dyDescent="0.3">
      <c r="B2980" s="126"/>
      <c r="G2980" s="137"/>
      <c r="H2980" s="138"/>
      <c r="I2980" s="138"/>
      <c r="J2980" s="139"/>
      <c r="K2980" s="137"/>
      <c r="L2980" s="137"/>
      <c r="P2980" s="137"/>
      <c r="Q2980" s="137"/>
      <c r="R2980" s="126"/>
    </row>
    <row r="2981" spans="2:18" x14ac:dyDescent="0.3">
      <c r="B2981" s="126"/>
      <c r="G2981" s="137"/>
      <c r="H2981" s="138"/>
      <c r="I2981" s="138"/>
      <c r="J2981" s="139"/>
      <c r="K2981" s="137"/>
      <c r="L2981" s="137"/>
      <c r="P2981" s="137"/>
      <c r="Q2981" s="137"/>
      <c r="R2981" s="126"/>
    </row>
    <row r="2982" spans="2:18" x14ac:dyDescent="0.3">
      <c r="B2982" s="126"/>
      <c r="G2982" s="137"/>
      <c r="H2982" s="138"/>
      <c r="I2982" s="138"/>
      <c r="J2982" s="139"/>
      <c r="K2982" s="137"/>
      <c r="L2982" s="137"/>
      <c r="P2982" s="137"/>
      <c r="Q2982" s="137"/>
      <c r="R2982" s="126"/>
    </row>
    <row r="2983" spans="2:18" x14ac:dyDescent="0.3">
      <c r="B2983" s="126"/>
      <c r="G2983" s="137"/>
      <c r="H2983" s="138"/>
      <c r="I2983" s="138"/>
      <c r="J2983" s="139"/>
      <c r="K2983" s="137"/>
      <c r="L2983" s="137"/>
      <c r="P2983" s="137"/>
      <c r="Q2983" s="137"/>
      <c r="R2983" s="126"/>
    </row>
    <row r="2984" spans="2:18" x14ac:dyDescent="0.3">
      <c r="B2984" s="126"/>
      <c r="G2984" s="137"/>
      <c r="H2984" s="138"/>
      <c r="I2984" s="138"/>
      <c r="J2984" s="139"/>
      <c r="K2984" s="137"/>
      <c r="L2984" s="137"/>
      <c r="P2984" s="137"/>
      <c r="Q2984" s="137"/>
      <c r="R2984" s="126"/>
    </row>
    <row r="2985" spans="2:18" x14ac:dyDescent="0.3">
      <c r="B2985" s="126"/>
      <c r="G2985" s="137"/>
      <c r="H2985" s="138"/>
      <c r="I2985" s="138"/>
      <c r="J2985" s="139"/>
      <c r="K2985" s="137"/>
      <c r="L2985" s="137"/>
      <c r="P2985" s="137"/>
      <c r="Q2985" s="137"/>
      <c r="R2985" s="126"/>
    </row>
    <row r="2986" spans="2:18" x14ac:dyDescent="0.3">
      <c r="B2986" s="126"/>
      <c r="G2986" s="137"/>
      <c r="H2986" s="138"/>
      <c r="I2986" s="138"/>
      <c r="J2986" s="139"/>
      <c r="K2986" s="137"/>
      <c r="L2986" s="137"/>
      <c r="P2986" s="137"/>
      <c r="Q2986" s="137"/>
      <c r="R2986" s="126"/>
    </row>
    <row r="2987" spans="2:18" x14ac:dyDescent="0.3">
      <c r="B2987" s="126"/>
      <c r="G2987" s="137"/>
      <c r="H2987" s="138"/>
      <c r="I2987" s="138"/>
      <c r="J2987" s="139"/>
      <c r="K2987" s="137"/>
      <c r="L2987" s="137"/>
      <c r="P2987" s="137"/>
      <c r="Q2987" s="137"/>
      <c r="R2987" s="126"/>
    </row>
    <row r="2988" spans="2:18" x14ac:dyDescent="0.3">
      <c r="B2988" s="126"/>
      <c r="G2988" s="137"/>
      <c r="H2988" s="138"/>
      <c r="I2988" s="138"/>
      <c r="J2988" s="139"/>
      <c r="K2988" s="137"/>
      <c r="L2988" s="137"/>
      <c r="P2988" s="137"/>
      <c r="Q2988" s="137"/>
      <c r="R2988" s="126"/>
    </row>
    <row r="2989" spans="2:18" x14ac:dyDescent="0.3">
      <c r="B2989" s="126"/>
      <c r="G2989" s="137"/>
      <c r="H2989" s="138"/>
      <c r="I2989" s="138"/>
      <c r="J2989" s="139"/>
      <c r="K2989" s="137"/>
      <c r="L2989" s="137"/>
      <c r="P2989" s="137"/>
      <c r="Q2989" s="137"/>
      <c r="R2989" s="126"/>
    </row>
    <row r="2990" spans="2:18" x14ac:dyDescent="0.3">
      <c r="B2990" s="126"/>
      <c r="G2990" s="137"/>
      <c r="H2990" s="138"/>
      <c r="I2990" s="138"/>
      <c r="J2990" s="139"/>
      <c r="K2990" s="137"/>
      <c r="L2990" s="137"/>
      <c r="P2990" s="137"/>
      <c r="Q2990" s="137"/>
      <c r="R2990" s="126"/>
    </row>
    <row r="2991" spans="2:18" x14ac:dyDescent="0.3">
      <c r="B2991" s="126"/>
      <c r="G2991" s="137"/>
      <c r="H2991" s="138"/>
      <c r="I2991" s="138"/>
      <c r="J2991" s="139"/>
      <c r="K2991" s="137"/>
      <c r="L2991" s="137"/>
      <c r="P2991" s="137"/>
      <c r="Q2991" s="137"/>
      <c r="R2991" s="126"/>
    </row>
    <row r="2992" spans="2:18" x14ac:dyDescent="0.3">
      <c r="B2992" s="126"/>
      <c r="G2992" s="137"/>
      <c r="H2992" s="138"/>
      <c r="I2992" s="138"/>
      <c r="J2992" s="139"/>
      <c r="K2992" s="137"/>
      <c r="L2992" s="137"/>
      <c r="P2992" s="137"/>
      <c r="Q2992" s="137"/>
      <c r="R2992" s="126"/>
    </row>
    <row r="2993" spans="2:18" x14ac:dyDescent="0.3">
      <c r="B2993" s="126"/>
      <c r="G2993" s="137"/>
      <c r="H2993" s="138"/>
      <c r="I2993" s="138"/>
      <c r="J2993" s="139"/>
      <c r="K2993" s="137"/>
      <c r="L2993" s="137"/>
      <c r="P2993" s="137"/>
      <c r="Q2993" s="137"/>
      <c r="R2993" s="126"/>
    </row>
    <row r="2994" spans="2:18" x14ac:dyDescent="0.3">
      <c r="B2994" s="126"/>
      <c r="G2994" s="137"/>
      <c r="H2994" s="138"/>
      <c r="I2994" s="138"/>
      <c r="J2994" s="139"/>
      <c r="K2994" s="137"/>
      <c r="L2994" s="137"/>
      <c r="P2994" s="137"/>
      <c r="Q2994" s="137"/>
      <c r="R2994" s="126"/>
    </row>
    <row r="2995" spans="2:18" x14ac:dyDescent="0.3">
      <c r="B2995" s="126"/>
      <c r="G2995" s="137"/>
      <c r="H2995" s="138"/>
      <c r="I2995" s="138"/>
      <c r="J2995" s="139"/>
      <c r="K2995" s="137"/>
      <c r="L2995" s="137"/>
      <c r="P2995" s="137"/>
      <c r="Q2995" s="137"/>
      <c r="R2995" s="126"/>
    </row>
    <row r="2996" spans="2:18" x14ac:dyDescent="0.3">
      <c r="B2996" s="126"/>
      <c r="G2996" s="137"/>
      <c r="H2996" s="138"/>
      <c r="I2996" s="138"/>
      <c r="J2996" s="139"/>
      <c r="K2996" s="137"/>
      <c r="L2996" s="137"/>
      <c r="P2996" s="137"/>
      <c r="Q2996" s="137"/>
      <c r="R2996" s="126"/>
    </row>
    <row r="2997" spans="2:18" x14ac:dyDescent="0.3">
      <c r="B2997" s="126"/>
      <c r="G2997" s="137"/>
      <c r="H2997" s="138"/>
      <c r="I2997" s="138"/>
      <c r="J2997" s="139"/>
      <c r="K2997" s="137"/>
      <c r="L2997" s="137"/>
      <c r="P2997" s="137"/>
      <c r="Q2997" s="137"/>
      <c r="R2997" s="126"/>
    </row>
    <row r="2998" spans="2:18" x14ac:dyDescent="0.3">
      <c r="B2998" s="126"/>
      <c r="G2998" s="137"/>
      <c r="H2998" s="138"/>
      <c r="I2998" s="138"/>
      <c r="J2998" s="139"/>
      <c r="K2998" s="137"/>
      <c r="L2998" s="137"/>
      <c r="P2998" s="137"/>
      <c r="Q2998" s="137"/>
      <c r="R2998" s="126"/>
    </row>
    <row r="2999" spans="2:18" x14ac:dyDescent="0.3">
      <c r="B2999" s="126"/>
      <c r="G2999" s="137"/>
      <c r="H2999" s="138"/>
      <c r="I2999" s="138"/>
      <c r="J2999" s="139"/>
      <c r="K2999" s="137"/>
      <c r="L2999" s="137"/>
      <c r="P2999" s="137"/>
      <c r="Q2999" s="137"/>
      <c r="R2999" s="126"/>
    </row>
    <row r="3000" spans="2:18" x14ac:dyDescent="0.3">
      <c r="B3000" s="126"/>
      <c r="G3000" s="137"/>
      <c r="H3000" s="138"/>
      <c r="I3000" s="138"/>
      <c r="J3000" s="139"/>
      <c r="K3000" s="137"/>
      <c r="L3000" s="137"/>
      <c r="P3000" s="137"/>
      <c r="Q3000" s="137"/>
      <c r="R3000" s="126"/>
    </row>
    <row r="3001" spans="2:18" x14ac:dyDescent="0.3">
      <c r="B3001" s="126"/>
      <c r="G3001" s="137"/>
      <c r="H3001" s="138"/>
      <c r="I3001" s="138"/>
      <c r="J3001" s="139"/>
      <c r="K3001" s="137"/>
      <c r="L3001" s="137"/>
      <c r="P3001" s="137"/>
      <c r="Q3001" s="137"/>
      <c r="R3001" s="126"/>
    </row>
    <row r="3002" spans="2:18" x14ac:dyDescent="0.3">
      <c r="B3002" s="126"/>
      <c r="G3002" s="137"/>
      <c r="H3002" s="138"/>
      <c r="I3002" s="138"/>
      <c r="J3002" s="139"/>
      <c r="K3002" s="137"/>
      <c r="L3002" s="137"/>
      <c r="P3002" s="137"/>
      <c r="Q3002" s="137"/>
      <c r="R3002" s="126"/>
    </row>
    <row r="3003" spans="2:18" x14ac:dyDescent="0.3">
      <c r="B3003" s="126"/>
      <c r="G3003" s="137"/>
      <c r="H3003" s="138"/>
      <c r="I3003" s="138"/>
      <c r="J3003" s="139"/>
      <c r="K3003" s="137"/>
      <c r="L3003" s="137"/>
      <c r="P3003" s="137"/>
      <c r="Q3003" s="137"/>
      <c r="R3003" s="126"/>
    </row>
    <row r="3004" spans="2:18" x14ac:dyDescent="0.3">
      <c r="B3004" s="126"/>
      <c r="G3004" s="137"/>
      <c r="H3004" s="138"/>
      <c r="I3004" s="138"/>
      <c r="J3004" s="139"/>
      <c r="K3004" s="137"/>
      <c r="L3004" s="137"/>
      <c r="P3004" s="137"/>
      <c r="Q3004" s="137"/>
      <c r="R3004" s="126"/>
    </row>
    <row r="3005" spans="2:18" x14ac:dyDescent="0.3">
      <c r="B3005" s="126"/>
      <c r="G3005" s="137"/>
      <c r="H3005" s="138"/>
      <c r="I3005" s="138"/>
      <c r="J3005" s="139"/>
      <c r="K3005" s="137"/>
      <c r="L3005" s="137"/>
      <c r="P3005" s="137"/>
      <c r="Q3005" s="137"/>
      <c r="R3005" s="126"/>
    </row>
    <row r="3006" spans="2:18" x14ac:dyDescent="0.3">
      <c r="B3006" s="126"/>
      <c r="G3006" s="137"/>
      <c r="H3006" s="138"/>
      <c r="I3006" s="138"/>
      <c r="J3006" s="139"/>
      <c r="K3006" s="137"/>
      <c r="L3006" s="137"/>
      <c r="P3006" s="137"/>
      <c r="Q3006" s="137"/>
      <c r="R3006" s="126"/>
    </row>
    <row r="3007" spans="2:18" x14ac:dyDescent="0.3">
      <c r="B3007" s="126"/>
      <c r="G3007" s="137"/>
      <c r="H3007" s="138"/>
      <c r="I3007" s="138"/>
      <c r="J3007" s="139"/>
      <c r="K3007" s="137"/>
      <c r="L3007" s="137"/>
      <c r="P3007" s="137"/>
      <c r="Q3007" s="137"/>
      <c r="R3007" s="126"/>
    </row>
    <row r="3008" spans="2:18" x14ac:dyDescent="0.3">
      <c r="B3008" s="126"/>
      <c r="G3008" s="137"/>
      <c r="H3008" s="138"/>
      <c r="I3008" s="138"/>
      <c r="J3008" s="139"/>
      <c r="K3008" s="137"/>
      <c r="L3008" s="137"/>
      <c r="P3008" s="137"/>
      <c r="Q3008" s="137"/>
      <c r="R3008" s="126"/>
    </row>
    <row r="3009" spans="2:18" x14ac:dyDescent="0.3">
      <c r="B3009" s="126"/>
      <c r="G3009" s="137"/>
      <c r="H3009" s="138"/>
      <c r="I3009" s="138"/>
      <c r="J3009" s="139"/>
      <c r="K3009" s="137"/>
      <c r="L3009" s="137"/>
      <c r="P3009" s="137"/>
      <c r="Q3009" s="137"/>
      <c r="R3009" s="126"/>
    </row>
    <row r="3010" spans="2:18" x14ac:dyDescent="0.3">
      <c r="B3010" s="126"/>
      <c r="G3010" s="137"/>
      <c r="H3010" s="138"/>
      <c r="I3010" s="138"/>
      <c r="J3010" s="139"/>
      <c r="K3010" s="137"/>
      <c r="L3010" s="137"/>
      <c r="P3010" s="137"/>
      <c r="Q3010" s="137"/>
      <c r="R3010" s="126"/>
    </row>
    <row r="3011" spans="2:18" x14ac:dyDescent="0.3">
      <c r="B3011" s="126"/>
      <c r="G3011" s="137"/>
      <c r="H3011" s="138"/>
      <c r="I3011" s="138"/>
      <c r="J3011" s="139"/>
      <c r="K3011" s="137"/>
      <c r="L3011" s="137"/>
      <c r="P3011" s="137"/>
      <c r="Q3011" s="137"/>
      <c r="R3011" s="126"/>
    </row>
    <row r="3012" spans="2:18" x14ac:dyDescent="0.3">
      <c r="B3012" s="126"/>
      <c r="G3012" s="137"/>
      <c r="H3012" s="138"/>
      <c r="I3012" s="138"/>
      <c r="J3012" s="139"/>
      <c r="K3012" s="137"/>
      <c r="L3012" s="137"/>
      <c r="P3012" s="137"/>
      <c r="Q3012" s="137"/>
      <c r="R3012" s="126"/>
    </row>
    <row r="3013" spans="2:18" x14ac:dyDescent="0.3">
      <c r="B3013" s="126"/>
      <c r="G3013" s="137"/>
      <c r="H3013" s="138"/>
      <c r="I3013" s="138"/>
      <c r="J3013" s="139"/>
      <c r="K3013" s="137"/>
      <c r="L3013" s="137"/>
      <c r="P3013" s="137"/>
      <c r="Q3013" s="137"/>
      <c r="R3013" s="126"/>
    </row>
    <row r="3014" spans="2:18" x14ac:dyDescent="0.3">
      <c r="B3014" s="126"/>
      <c r="G3014" s="137"/>
      <c r="H3014" s="138"/>
      <c r="I3014" s="138"/>
      <c r="J3014" s="139"/>
      <c r="K3014" s="137"/>
      <c r="L3014" s="137"/>
      <c r="P3014" s="137"/>
      <c r="Q3014" s="137"/>
      <c r="R3014" s="126"/>
    </row>
    <row r="3015" spans="2:18" x14ac:dyDescent="0.3">
      <c r="B3015" s="126"/>
      <c r="G3015" s="137"/>
      <c r="H3015" s="138"/>
      <c r="I3015" s="138"/>
      <c r="J3015" s="139"/>
      <c r="K3015" s="137"/>
      <c r="L3015" s="137"/>
      <c r="P3015" s="137"/>
      <c r="Q3015" s="137"/>
      <c r="R3015" s="126"/>
    </row>
    <row r="3016" spans="2:18" x14ac:dyDescent="0.3">
      <c r="B3016" s="126"/>
      <c r="G3016" s="137"/>
      <c r="H3016" s="138"/>
      <c r="I3016" s="138"/>
      <c r="J3016" s="139"/>
      <c r="K3016" s="137"/>
      <c r="L3016" s="137"/>
      <c r="P3016" s="137"/>
      <c r="Q3016" s="137"/>
      <c r="R3016" s="126"/>
    </row>
    <row r="3017" spans="2:18" x14ac:dyDescent="0.3">
      <c r="B3017" s="126"/>
      <c r="G3017" s="137"/>
      <c r="H3017" s="138"/>
      <c r="I3017" s="138"/>
      <c r="J3017" s="139"/>
      <c r="K3017" s="137"/>
      <c r="L3017" s="137"/>
      <c r="P3017" s="137"/>
      <c r="Q3017" s="137"/>
      <c r="R3017" s="126"/>
    </row>
    <row r="3018" spans="2:18" x14ac:dyDescent="0.3">
      <c r="B3018" s="126"/>
      <c r="G3018" s="137"/>
      <c r="H3018" s="138"/>
      <c r="I3018" s="138"/>
      <c r="J3018" s="139"/>
      <c r="K3018" s="137"/>
      <c r="L3018" s="137"/>
      <c r="P3018" s="137"/>
      <c r="Q3018" s="137"/>
      <c r="R3018" s="126"/>
    </row>
    <row r="3019" spans="2:18" x14ac:dyDescent="0.3">
      <c r="B3019" s="126"/>
      <c r="G3019" s="137"/>
      <c r="H3019" s="138"/>
      <c r="I3019" s="138"/>
      <c r="J3019" s="139"/>
      <c r="K3019" s="137"/>
      <c r="L3019" s="137"/>
      <c r="P3019" s="137"/>
      <c r="Q3019" s="137"/>
      <c r="R3019" s="126"/>
    </row>
    <row r="3020" spans="2:18" x14ac:dyDescent="0.3">
      <c r="B3020" s="126"/>
      <c r="G3020" s="137"/>
      <c r="H3020" s="138"/>
      <c r="I3020" s="138"/>
      <c r="J3020" s="139"/>
      <c r="K3020" s="137"/>
      <c r="L3020" s="137"/>
      <c r="P3020" s="137"/>
      <c r="Q3020" s="137"/>
      <c r="R3020" s="126"/>
    </row>
    <row r="3021" spans="2:18" x14ac:dyDescent="0.3">
      <c r="B3021" s="126"/>
      <c r="G3021" s="137"/>
      <c r="H3021" s="138"/>
      <c r="I3021" s="138"/>
      <c r="J3021" s="139"/>
      <c r="K3021" s="137"/>
      <c r="L3021" s="137"/>
      <c r="P3021" s="137"/>
      <c r="Q3021" s="137"/>
      <c r="R3021" s="126"/>
    </row>
    <row r="3022" spans="2:18" x14ac:dyDescent="0.3">
      <c r="B3022" s="126"/>
      <c r="G3022" s="137"/>
      <c r="H3022" s="138"/>
      <c r="I3022" s="138"/>
      <c r="J3022" s="139"/>
      <c r="K3022" s="137"/>
      <c r="L3022" s="137"/>
      <c r="P3022" s="137"/>
      <c r="Q3022" s="137"/>
      <c r="R3022" s="126"/>
    </row>
    <row r="3023" spans="2:18" x14ac:dyDescent="0.3">
      <c r="B3023" s="126"/>
      <c r="G3023" s="137"/>
      <c r="H3023" s="138"/>
      <c r="I3023" s="138"/>
      <c r="J3023" s="139"/>
      <c r="K3023" s="137"/>
      <c r="L3023" s="137"/>
      <c r="P3023" s="137"/>
      <c r="Q3023" s="137"/>
      <c r="R3023" s="126"/>
    </row>
    <row r="3024" spans="2:18" x14ac:dyDescent="0.3">
      <c r="B3024" s="126"/>
      <c r="G3024" s="137"/>
      <c r="H3024" s="138"/>
      <c r="I3024" s="138"/>
      <c r="J3024" s="139"/>
      <c r="K3024" s="137"/>
      <c r="L3024" s="137"/>
      <c r="P3024" s="137"/>
      <c r="Q3024" s="137"/>
      <c r="R3024" s="126"/>
    </row>
    <row r="3025" spans="2:18" x14ac:dyDescent="0.3">
      <c r="B3025" s="126"/>
      <c r="G3025" s="137"/>
      <c r="H3025" s="138"/>
      <c r="I3025" s="138"/>
      <c r="J3025" s="139"/>
      <c r="K3025" s="137"/>
      <c r="L3025" s="137"/>
      <c r="P3025" s="137"/>
      <c r="Q3025" s="137"/>
      <c r="R3025" s="126"/>
    </row>
    <row r="3026" spans="2:18" x14ac:dyDescent="0.3">
      <c r="B3026" s="126"/>
      <c r="G3026" s="137"/>
      <c r="H3026" s="138"/>
      <c r="I3026" s="138"/>
      <c r="J3026" s="139"/>
      <c r="K3026" s="137"/>
      <c r="L3026" s="137"/>
      <c r="P3026" s="137"/>
      <c r="Q3026" s="137"/>
      <c r="R3026" s="126"/>
    </row>
    <row r="3027" spans="2:18" x14ac:dyDescent="0.3">
      <c r="B3027" s="126"/>
      <c r="G3027" s="137"/>
      <c r="H3027" s="138"/>
      <c r="I3027" s="138"/>
      <c r="J3027" s="139"/>
      <c r="K3027" s="137"/>
      <c r="L3027" s="137"/>
      <c r="P3027" s="137"/>
      <c r="Q3027" s="137"/>
      <c r="R3027" s="126"/>
    </row>
    <row r="3028" spans="2:18" x14ac:dyDescent="0.3">
      <c r="B3028" s="126"/>
      <c r="G3028" s="137"/>
      <c r="H3028" s="138"/>
      <c r="I3028" s="138"/>
      <c r="J3028" s="139"/>
      <c r="K3028" s="137"/>
      <c r="L3028" s="137"/>
      <c r="P3028" s="137"/>
      <c r="Q3028" s="137"/>
      <c r="R3028" s="126"/>
    </row>
    <row r="3029" spans="2:18" x14ac:dyDescent="0.3">
      <c r="B3029" s="126"/>
      <c r="G3029" s="137"/>
      <c r="H3029" s="138"/>
      <c r="I3029" s="138"/>
      <c r="J3029" s="139"/>
      <c r="K3029" s="137"/>
      <c r="L3029" s="137"/>
      <c r="P3029" s="137"/>
      <c r="Q3029" s="137"/>
      <c r="R3029" s="126"/>
    </row>
    <row r="3030" spans="2:18" x14ac:dyDescent="0.3">
      <c r="B3030" s="126"/>
      <c r="G3030" s="137"/>
      <c r="H3030" s="138"/>
      <c r="I3030" s="138"/>
      <c r="J3030" s="139"/>
      <c r="K3030" s="137"/>
      <c r="L3030" s="137"/>
      <c r="P3030" s="137"/>
      <c r="Q3030" s="137"/>
      <c r="R3030" s="126"/>
    </row>
    <row r="3031" spans="2:18" x14ac:dyDescent="0.3">
      <c r="B3031" s="126"/>
      <c r="G3031" s="137"/>
      <c r="H3031" s="138"/>
      <c r="I3031" s="138"/>
      <c r="J3031" s="139"/>
      <c r="K3031" s="137"/>
      <c r="L3031" s="137"/>
      <c r="P3031" s="137"/>
      <c r="Q3031" s="137"/>
      <c r="R3031" s="126"/>
    </row>
    <row r="3032" spans="2:18" x14ac:dyDescent="0.3">
      <c r="B3032" s="126"/>
      <c r="G3032" s="137"/>
      <c r="H3032" s="138"/>
      <c r="I3032" s="138"/>
      <c r="J3032" s="139"/>
      <c r="K3032" s="137"/>
      <c r="L3032" s="137"/>
      <c r="P3032" s="137"/>
      <c r="Q3032" s="137"/>
      <c r="R3032" s="126"/>
    </row>
    <row r="3033" spans="2:18" x14ac:dyDescent="0.3">
      <c r="B3033" s="126"/>
      <c r="G3033" s="137"/>
      <c r="H3033" s="138"/>
      <c r="I3033" s="138"/>
      <c r="J3033" s="139"/>
      <c r="K3033" s="137"/>
      <c r="L3033" s="137"/>
      <c r="P3033" s="137"/>
      <c r="Q3033" s="137"/>
      <c r="R3033" s="126"/>
    </row>
    <row r="3034" spans="2:18" x14ac:dyDescent="0.3">
      <c r="B3034" s="126"/>
      <c r="G3034" s="137"/>
      <c r="H3034" s="138"/>
      <c r="I3034" s="138"/>
      <c r="J3034" s="139"/>
      <c r="K3034" s="137"/>
      <c r="L3034" s="137"/>
      <c r="P3034" s="137"/>
      <c r="Q3034" s="137"/>
      <c r="R3034" s="126"/>
    </row>
    <row r="3035" spans="2:18" x14ac:dyDescent="0.3">
      <c r="B3035" s="126"/>
      <c r="G3035" s="137"/>
      <c r="H3035" s="138"/>
      <c r="I3035" s="138"/>
      <c r="J3035" s="139"/>
      <c r="K3035" s="137"/>
      <c r="L3035" s="137"/>
      <c r="P3035" s="137"/>
      <c r="Q3035" s="137"/>
      <c r="R3035" s="126"/>
    </row>
    <row r="3036" spans="2:18" x14ac:dyDescent="0.3">
      <c r="B3036" s="126"/>
      <c r="G3036" s="137"/>
      <c r="H3036" s="138"/>
      <c r="I3036" s="138"/>
      <c r="J3036" s="139"/>
      <c r="K3036" s="137"/>
      <c r="L3036" s="137"/>
      <c r="P3036" s="137"/>
      <c r="Q3036" s="137"/>
      <c r="R3036" s="126"/>
    </row>
    <row r="3037" spans="2:18" x14ac:dyDescent="0.3">
      <c r="B3037" s="126"/>
      <c r="G3037" s="137"/>
      <c r="H3037" s="138"/>
      <c r="I3037" s="138"/>
      <c r="J3037" s="139"/>
      <c r="K3037" s="137"/>
      <c r="L3037" s="137"/>
      <c r="P3037" s="137"/>
      <c r="Q3037" s="137"/>
      <c r="R3037" s="126"/>
    </row>
    <row r="3038" spans="2:18" x14ac:dyDescent="0.3">
      <c r="B3038" s="126"/>
      <c r="G3038" s="137"/>
      <c r="H3038" s="138"/>
      <c r="I3038" s="138"/>
      <c r="J3038" s="139"/>
      <c r="K3038" s="137"/>
      <c r="L3038" s="137"/>
      <c r="P3038" s="137"/>
      <c r="Q3038" s="137"/>
      <c r="R3038" s="126"/>
    </row>
    <row r="3039" spans="2:18" x14ac:dyDescent="0.3">
      <c r="B3039" s="126"/>
      <c r="G3039" s="137"/>
      <c r="H3039" s="138"/>
      <c r="I3039" s="138"/>
      <c r="J3039" s="139"/>
      <c r="K3039" s="137"/>
      <c r="L3039" s="137"/>
      <c r="P3039" s="137"/>
      <c r="Q3039" s="137"/>
      <c r="R3039" s="126"/>
    </row>
    <row r="3040" spans="2:18" x14ac:dyDescent="0.3">
      <c r="B3040" s="126"/>
      <c r="G3040" s="137"/>
      <c r="H3040" s="138"/>
      <c r="I3040" s="138"/>
      <c r="J3040" s="139"/>
      <c r="K3040" s="137"/>
      <c r="L3040" s="137"/>
      <c r="P3040" s="137"/>
      <c r="Q3040" s="137"/>
      <c r="R3040" s="126"/>
    </row>
    <row r="3041" spans="2:18" x14ac:dyDescent="0.3">
      <c r="B3041" s="126"/>
      <c r="G3041" s="137"/>
      <c r="H3041" s="138"/>
      <c r="I3041" s="138"/>
      <c r="J3041" s="139"/>
      <c r="K3041" s="137"/>
      <c r="L3041" s="137"/>
      <c r="P3041" s="137"/>
      <c r="Q3041" s="137"/>
      <c r="R3041" s="126"/>
    </row>
    <row r="3042" spans="2:18" x14ac:dyDescent="0.3">
      <c r="B3042" s="126"/>
      <c r="G3042" s="137"/>
      <c r="H3042" s="138"/>
      <c r="I3042" s="138"/>
      <c r="J3042" s="139"/>
      <c r="K3042" s="137"/>
      <c r="L3042" s="137"/>
      <c r="P3042" s="137"/>
      <c r="Q3042" s="137"/>
      <c r="R3042" s="126"/>
    </row>
    <row r="3043" spans="2:18" x14ac:dyDescent="0.3">
      <c r="B3043" s="126"/>
      <c r="G3043" s="137"/>
      <c r="H3043" s="138"/>
      <c r="I3043" s="138"/>
      <c r="J3043" s="139"/>
      <c r="K3043" s="137"/>
      <c r="L3043" s="137"/>
      <c r="P3043" s="137"/>
      <c r="Q3043" s="137"/>
      <c r="R3043" s="126"/>
    </row>
    <row r="3044" spans="2:18" x14ac:dyDescent="0.3">
      <c r="B3044" s="126"/>
      <c r="G3044" s="137"/>
      <c r="H3044" s="138"/>
      <c r="I3044" s="138"/>
      <c r="J3044" s="139"/>
      <c r="K3044" s="137"/>
      <c r="L3044" s="137"/>
      <c r="P3044" s="137"/>
      <c r="Q3044" s="137"/>
      <c r="R3044" s="126"/>
    </row>
    <row r="3045" spans="2:18" x14ac:dyDescent="0.3">
      <c r="B3045" s="126"/>
      <c r="G3045" s="137"/>
      <c r="H3045" s="138"/>
      <c r="I3045" s="138"/>
      <c r="J3045" s="139"/>
      <c r="K3045" s="137"/>
      <c r="L3045" s="137"/>
      <c r="P3045" s="137"/>
      <c r="Q3045" s="137"/>
      <c r="R3045" s="126"/>
    </row>
    <row r="3046" spans="2:18" x14ac:dyDescent="0.3">
      <c r="B3046" s="126"/>
      <c r="G3046" s="137"/>
      <c r="H3046" s="138"/>
      <c r="I3046" s="138"/>
      <c r="J3046" s="139"/>
      <c r="K3046" s="137"/>
      <c r="L3046" s="137"/>
      <c r="P3046" s="137"/>
      <c r="Q3046" s="137"/>
      <c r="R3046" s="126"/>
    </row>
    <row r="3047" spans="2:18" x14ac:dyDescent="0.3">
      <c r="B3047" s="126"/>
      <c r="G3047" s="137"/>
      <c r="H3047" s="138"/>
      <c r="I3047" s="138"/>
      <c r="J3047" s="139"/>
      <c r="K3047" s="137"/>
      <c r="L3047" s="137"/>
      <c r="P3047" s="137"/>
      <c r="Q3047" s="137"/>
      <c r="R3047" s="126"/>
    </row>
    <row r="3048" spans="2:18" x14ac:dyDescent="0.3">
      <c r="B3048" s="126"/>
      <c r="G3048" s="137"/>
      <c r="H3048" s="138"/>
      <c r="I3048" s="138"/>
      <c r="J3048" s="139"/>
      <c r="K3048" s="137"/>
      <c r="L3048" s="137"/>
      <c r="P3048" s="137"/>
      <c r="Q3048" s="137"/>
      <c r="R3048" s="126"/>
    </row>
    <row r="3049" spans="2:18" x14ac:dyDescent="0.3">
      <c r="B3049" s="126"/>
      <c r="G3049" s="137"/>
      <c r="H3049" s="138"/>
      <c r="I3049" s="138"/>
      <c r="J3049" s="139"/>
      <c r="K3049" s="137"/>
      <c r="L3049" s="137"/>
      <c r="P3049" s="137"/>
      <c r="Q3049" s="137"/>
      <c r="R3049" s="126"/>
    </row>
    <row r="3050" spans="2:18" x14ac:dyDescent="0.3">
      <c r="B3050" s="126"/>
      <c r="G3050" s="137"/>
      <c r="H3050" s="138"/>
      <c r="I3050" s="138"/>
      <c r="J3050" s="139"/>
      <c r="K3050" s="137"/>
      <c r="L3050" s="137"/>
      <c r="P3050" s="137"/>
      <c r="Q3050" s="137"/>
      <c r="R3050" s="126"/>
    </row>
    <row r="3051" spans="2:18" x14ac:dyDescent="0.3">
      <c r="B3051" s="126"/>
      <c r="G3051" s="137"/>
      <c r="H3051" s="138"/>
      <c r="I3051" s="138"/>
      <c r="J3051" s="139"/>
      <c r="K3051" s="137"/>
      <c r="L3051" s="137"/>
      <c r="P3051" s="137"/>
      <c r="Q3051" s="137"/>
      <c r="R3051" s="126"/>
    </row>
    <row r="3052" spans="2:18" x14ac:dyDescent="0.3">
      <c r="B3052" s="126"/>
      <c r="G3052" s="137"/>
      <c r="H3052" s="138"/>
      <c r="I3052" s="138"/>
      <c r="J3052" s="139"/>
      <c r="K3052" s="137"/>
      <c r="L3052" s="137"/>
      <c r="P3052" s="137"/>
      <c r="Q3052" s="137"/>
      <c r="R3052" s="126"/>
    </row>
    <row r="3053" spans="2:18" x14ac:dyDescent="0.3">
      <c r="B3053" s="126"/>
      <c r="G3053" s="137"/>
      <c r="H3053" s="138"/>
      <c r="I3053" s="138"/>
      <c r="J3053" s="139"/>
      <c r="K3053" s="137"/>
      <c r="L3053" s="137"/>
      <c r="P3053" s="137"/>
      <c r="Q3053" s="137"/>
      <c r="R3053" s="126"/>
    </row>
    <row r="3054" spans="2:18" x14ac:dyDescent="0.3">
      <c r="B3054" s="126"/>
      <c r="G3054" s="137"/>
      <c r="H3054" s="138"/>
      <c r="I3054" s="138"/>
      <c r="J3054" s="139"/>
      <c r="K3054" s="137"/>
      <c r="L3054" s="137"/>
      <c r="P3054" s="137"/>
      <c r="Q3054" s="137"/>
      <c r="R3054" s="126"/>
    </row>
    <row r="3055" spans="2:18" x14ac:dyDescent="0.3">
      <c r="B3055" s="126"/>
      <c r="G3055" s="137"/>
      <c r="H3055" s="138"/>
      <c r="I3055" s="138"/>
      <c r="J3055" s="139"/>
      <c r="K3055" s="137"/>
      <c r="L3055" s="137"/>
      <c r="P3055" s="137"/>
      <c r="Q3055" s="137"/>
      <c r="R3055" s="126"/>
    </row>
    <row r="3056" spans="2:18" x14ac:dyDescent="0.3">
      <c r="B3056" s="126"/>
      <c r="G3056" s="137"/>
      <c r="H3056" s="138"/>
      <c r="I3056" s="138"/>
      <c r="J3056" s="139"/>
      <c r="K3056" s="137"/>
      <c r="L3056" s="137"/>
      <c r="P3056" s="137"/>
      <c r="Q3056" s="137"/>
      <c r="R3056" s="126"/>
    </row>
    <row r="3057" spans="2:18" x14ac:dyDescent="0.3">
      <c r="B3057" s="126"/>
      <c r="G3057" s="137"/>
      <c r="H3057" s="138"/>
      <c r="I3057" s="138"/>
      <c r="J3057" s="139"/>
      <c r="K3057" s="137"/>
      <c r="L3057" s="137"/>
      <c r="P3057" s="137"/>
      <c r="Q3057" s="137"/>
      <c r="R3057" s="126"/>
    </row>
    <row r="3058" spans="2:18" x14ac:dyDescent="0.3">
      <c r="B3058" s="126"/>
      <c r="G3058" s="137"/>
      <c r="H3058" s="138"/>
      <c r="I3058" s="138"/>
      <c r="J3058" s="139"/>
      <c r="K3058" s="137"/>
      <c r="L3058" s="137"/>
      <c r="P3058" s="137"/>
      <c r="Q3058" s="137"/>
      <c r="R3058" s="126"/>
    </row>
    <row r="3059" spans="2:18" x14ac:dyDescent="0.3">
      <c r="B3059" s="126"/>
      <c r="G3059" s="137"/>
      <c r="H3059" s="138"/>
      <c r="I3059" s="138"/>
      <c r="J3059" s="139"/>
      <c r="K3059" s="137"/>
      <c r="L3059" s="137"/>
      <c r="P3059" s="137"/>
      <c r="Q3059" s="137"/>
      <c r="R3059" s="126"/>
    </row>
    <row r="3060" spans="2:18" x14ac:dyDescent="0.3">
      <c r="B3060" s="126"/>
      <c r="G3060" s="137"/>
      <c r="H3060" s="138"/>
      <c r="I3060" s="138"/>
      <c r="J3060" s="139"/>
      <c r="K3060" s="137"/>
      <c r="L3060" s="137"/>
      <c r="P3060" s="137"/>
      <c r="Q3060" s="137"/>
      <c r="R3060" s="126"/>
    </row>
    <row r="3061" spans="2:18" x14ac:dyDescent="0.3">
      <c r="B3061" s="126"/>
      <c r="G3061" s="137"/>
      <c r="H3061" s="138"/>
      <c r="I3061" s="138"/>
      <c r="J3061" s="139"/>
      <c r="K3061" s="137"/>
      <c r="L3061" s="137"/>
      <c r="P3061" s="137"/>
      <c r="Q3061" s="137"/>
      <c r="R3061" s="126"/>
    </row>
    <row r="3062" spans="2:18" x14ac:dyDescent="0.3">
      <c r="B3062" s="126"/>
      <c r="G3062" s="137"/>
      <c r="H3062" s="138"/>
      <c r="I3062" s="138"/>
      <c r="J3062" s="139"/>
      <c r="K3062" s="137"/>
      <c r="L3062" s="137"/>
      <c r="P3062" s="137"/>
      <c r="Q3062" s="137"/>
      <c r="R3062" s="126"/>
    </row>
    <row r="3063" spans="2:18" x14ac:dyDescent="0.3">
      <c r="B3063" s="126"/>
      <c r="G3063" s="137"/>
      <c r="H3063" s="138"/>
      <c r="I3063" s="138"/>
      <c r="J3063" s="139"/>
      <c r="K3063" s="137"/>
      <c r="L3063" s="137"/>
      <c r="P3063" s="137"/>
      <c r="Q3063" s="137"/>
      <c r="R3063" s="126"/>
    </row>
    <row r="3064" spans="2:18" x14ac:dyDescent="0.3">
      <c r="B3064" s="126"/>
      <c r="G3064" s="137"/>
      <c r="H3064" s="138"/>
      <c r="I3064" s="138"/>
      <c r="J3064" s="139"/>
      <c r="K3064" s="137"/>
      <c r="L3064" s="137"/>
      <c r="P3064" s="137"/>
      <c r="Q3064" s="137"/>
      <c r="R3064" s="126"/>
    </row>
    <row r="3065" spans="2:18" x14ac:dyDescent="0.3">
      <c r="B3065" s="126"/>
      <c r="G3065" s="137"/>
      <c r="H3065" s="138"/>
      <c r="I3065" s="138"/>
      <c r="J3065" s="139"/>
      <c r="K3065" s="137"/>
      <c r="L3065" s="137"/>
      <c r="P3065" s="137"/>
      <c r="Q3065" s="137"/>
      <c r="R3065" s="126"/>
    </row>
    <row r="3066" spans="2:18" x14ac:dyDescent="0.3">
      <c r="B3066" s="126"/>
      <c r="G3066" s="137"/>
      <c r="H3066" s="138"/>
      <c r="I3066" s="138"/>
      <c r="J3066" s="139"/>
      <c r="K3066" s="137"/>
      <c r="L3066" s="137"/>
      <c r="P3066" s="137"/>
      <c r="Q3066" s="137"/>
      <c r="R3066" s="126"/>
    </row>
    <row r="3067" spans="2:18" x14ac:dyDescent="0.3">
      <c r="B3067" s="126"/>
      <c r="G3067" s="137"/>
      <c r="H3067" s="138"/>
      <c r="I3067" s="138"/>
      <c r="J3067" s="139"/>
      <c r="K3067" s="137"/>
      <c r="L3067" s="137"/>
      <c r="P3067" s="137"/>
      <c r="Q3067" s="137"/>
      <c r="R3067" s="126"/>
    </row>
    <row r="3068" spans="2:18" x14ac:dyDescent="0.3">
      <c r="B3068" s="126"/>
      <c r="G3068" s="137"/>
      <c r="H3068" s="138"/>
      <c r="I3068" s="138"/>
      <c r="J3068" s="139"/>
      <c r="K3068" s="137"/>
      <c r="L3068" s="137"/>
      <c r="P3068" s="137"/>
      <c r="Q3068" s="137"/>
      <c r="R3068" s="126"/>
    </row>
    <row r="3069" spans="2:18" x14ac:dyDescent="0.3">
      <c r="B3069" s="126"/>
      <c r="G3069" s="137"/>
      <c r="H3069" s="138"/>
      <c r="I3069" s="138"/>
      <c r="J3069" s="139"/>
      <c r="K3069" s="137"/>
      <c r="L3069" s="137"/>
      <c r="P3069" s="137"/>
      <c r="Q3069" s="137"/>
      <c r="R3069" s="126"/>
    </row>
    <row r="3070" spans="2:18" x14ac:dyDescent="0.3">
      <c r="B3070" s="126"/>
      <c r="G3070" s="137"/>
      <c r="H3070" s="138"/>
      <c r="I3070" s="138"/>
      <c r="J3070" s="139"/>
      <c r="K3070" s="137"/>
      <c r="L3070" s="137"/>
      <c r="P3070" s="137"/>
      <c r="Q3070" s="137"/>
      <c r="R3070" s="126"/>
    </row>
    <row r="3071" spans="2:18" x14ac:dyDescent="0.3">
      <c r="B3071" s="126"/>
      <c r="G3071" s="137"/>
      <c r="H3071" s="138"/>
      <c r="I3071" s="138"/>
      <c r="J3071" s="139"/>
      <c r="K3071" s="137"/>
      <c r="L3071" s="137"/>
      <c r="P3071" s="137"/>
      <c r="Q3071" s="137"/>
      <c r="R3071" s="126"/>
    </row>
    <row r="3072" spans="2:18" x14ac:dyDescent="0.3">
      <c r="B3072" s="126"/>
      <c r="G3072" s="137"/>
      <c r="H3072" s="138"/>
      <c r="I3072" s="138"/>
      <c r="J3072" s="139"/>
      <c r="K3072" s="137"/>
      <c r="L3072" s="137"/>
      <c r="P3072" s="137"/>
      <c r="Q3072" s="137"/>
      <c r="R3072" s="126"/>
    </row>
    <row r="3073" spans="2:18" x14ac:dyDescent="0.3">
      <c r="B3073" s="126"/>
      <c r="G3073" s="137"/>
      <c r="H3073" s="138"/>
      <c r="I3073" s="138"/>
      <c r="J3073" s="139"/>
      <c r="K3073" s="137"/>
      <c r="L3073" s="137"/>
      <c r="P3073" s="137"/>
      <c r="Q3073" s="137"/>
      <c r="R3073" s="126"/>
    </row>
    <row r="3074" spans="2:18" x14ac:dyDescent="0.3">
      <c r="B3074" s="126"/>
      <c r="G3074" s="137"/>
      <c r="H3074" s="138"/>
      <c r="I3074" s="138"/>
      <c r="J3074" s="139"/>
      <c r="K3074" s="137"/>
      <c r="L3074" s="137"/>
      <c r="P3074" s="137"/>
      <c r="Q3074" s="137"/>
      <c r="R3074" s="126"/>
    </row>
    <row r="3075" spans="2:18" x14ac:dyDescent="0.3">
      <c r="B3075" s="126"/>
      <c r="G3075" s="137"/>
      <c r="H3075" s="138"/>
      <c r="I3075" s="138"/>
      <c r="J3075" s="139"/>
      <c r="K3075" s="137"/>
      <c r="L3075" s="137"/>
      <c r="P3075" s="137"/>
      <c r="Q3075" s="137"/>
      <c r="R3075" s="126"/>
    </row>
    <row r="3076" spans="2:18" x14ac:dyDescent="0.3">
      <c r="B3076" s="126"/>
      <c r="G3076" s="137"/>
      <c r="H3076" s="138"/>
      <c r="I3076" s="138"/>
      <c r="J3076" s="139"/>
      <c r="K3076" s="137"/>
      <c r="L3076" s="137"/>
      <c r="P3076" s="137"/>
      <c r="Q3076" s="137"/>
      <c r="R3076" s="126"/>
    </row>
    <row r="3077" spans="2:18" x14ac:dyDescent="0.3">
      <c r="B3077" s="126"/>
      <c r="G3077" s="137"/>
      <c r="H3077" s="138"/>
      <c r="I3077" s="138"/>
      <c r="J3077" s="139"/>
      <c r="K3077" s="137"/>
      <c r="L3077" s="137"/>
      <c r="P3077" s="137"/>
      <c r="Q3077" s="137"/>
      <c r="R3077" s="126"/>
    </row>
    <row r="3078" spans="2:18" x14ac:dyDescent="0.3">
      <c r="B3078" s="126"/>
      <c r="G3078" s="137"/>
      <c r="H3078" s="138"/>
      <c r="I3078" s="138"/>
      <c r="J3078" s="139"/>
      <c r="K3078" s="137"/>
      <c r="L3078" s="137"/>
      <c r="P3078" s="137"/>
      <c r="Q3078" s="137"/>
      <c r="R3078" s="126"/>
    </row>
    <row r="3079" spans="2:18" x14ac:dyDescent="0.3">
      <c r="B3079" s="126"/>
      <c r="G3079" s="137"/>
      <c r="H3079" s="138"/>
      <c r="I3079" s="138"/>
      <c r="J3079" s="139"/>
      <c r="K3079" s="137"/>
      <c r="L3079" s="137"/>
      <c r="P3079" s="137"/>
      <c r="Q3079" s="137"/>
      <c r="R3079" s="126"/>
    </row>
    <row r="3080" spans="2:18" x14ac:dyDescent="0.3">
      <c r="B3080" s="126"/>
      <c r="G3080" s="137"/>
      <c r="H3080" s="138"/>
      <c r="I3080" s="138"/>
      <c r="J3080" s="139"/>
      <c r="K3080" s="137"/>
      <c r="L3080" s="137"/>
      <c r="P3080" s="137"/>
      <c r="Q3080" s="137"/>
      <c r="R3080" s="126"/>
    </row>
    <row r="3081" spans="2:18" x14ac:dyDescent="0.3">
      <c r="B3081" s="126"/>
      <c r="G3081" s="137"/>
      <c r="H3081" s="138"/>
      <c r="I3081" s="138"/>
      <c r="J3081" s="139"/>
      <c r="K3081" s="137"/>
      <c r="L3081" s="137"/>
      <c r="P3081" s="137"/>
      <c r="Q3081" s="137"/>
      <c r="R3081" s="126"/>
    </row>
    <row r="3082" spans="2:18" x14ac:dyDescent="0.3">
      <c r="B3082" s="126"/>
      <c r="G3082" s="137"/>
      <c r="H3082" s="138"/>
      <c r="I3082" s="138"/>
      <c r="J3082" s="139"/>
      <c r="K3082" s="137"/>
      <c r="L3082" s="137"/>
      <c r="P3082" s="137"/>
      <c r="Q3082" s="137"/>
      <c r="R3082" s="126"/>
    </row>
    <row r="3083" spans="2:18" x14ac:dyDescent="0.3">
      <c r="B3083" s="126"/>
      <c r="G3083" s="137"/>
      <c r="H3083" s="138"/>
      <c r="I3083" s="138"/>
      <c r="J3083" s="139"/>
      <c r="K3083" s="137"/>
      <c r="L3083" s="137"/>
      <c r="P3083" s="137"/>
      <c r="Q3083" s="137"/>
      <c r="R3083" s="126"/>
    </row>
    <row r="3084" spans="2:18" x14ac:dyDescent="0.3">
      <c r="B3084" s="126"/>
      <c r="G3084" s="137"/>
      <c r="H3084" s="138"/>
      <c r="I3084" s="138"/>
      <c r="J3084" s="139"/>
      <c r="K3084" s="137"/>
      <c r="L3084" s="137"/>
      <c r="P3084" s="137"/>
      <c r="Q3084" s="137"/>
      <c r="R3084" s="126"/>
    </row>
    <row r="3085" spans="2:18" x14ac:dyDescent="0.3">
      <c r="B3085" s="126"/>
      <c r="G3085" s="137"/>
      <c r="H3085" s="138"/>
      <c r="I3085" s="138"/>
      <c r="J3085" s="139"/>
      <c r="K3085" s="137"/>
      <c r="L3085" s="137"/>
      <c r="P3085" s="137"/>
      <c r="Q3085" s="137"/>
      <c r="R3085" s="126"/>
    </row>
    <row r="3086" spans="2:18" x14ac:dyDescent="0.3">
      <c r="B3086" s="126"/>
      <c r="G3086" s="137"/>
      <c r="H3086" s="138"/>
      <c r="I3086" s="138"/>
      <c r="J3086" s="139"/>
      <c r="K3086" s="137"/>
      <c r="L3086" s="137"/>
      <c r="P3086" s="137"/>
      <c r="Q3086" s="137"/>
      <c r="R3086" s="126"/>
    </row>
    <row r="3087" spans="2:18" x14ac:dyDescent="0.3">
      <c r="B3087" s="126"/>
      <c r="G3087" s="137"/>
      <c r="H3087" s="138"/>
      <c r="I3087" s="138"/>
      <c r="J3087" s="139"/>
      <c r="K3087" s="137"/>
      <c r="L3087" s="137"/>
      <c r="P3087" s="137"/>
      <c r="Q3087" s="137"/>
      <c r="R3087" s="126"/>
    </row>
    <row r="3088" spans="2:18" x14ac:dyDescent="0.3">
      <c r="B3088" s="126"/>
      <c r="G3088" s="137"/>
      <c r="H3088" s="138"/>
      <c r="I3088" s="138"/>
      <c r="J3088" s="139"/>
      <c r="K3088" s="137"/>
      <c r="L3088" s="137"/>
      <c r="P3088" s="137"/>
      <c r="Q3088" s="137"/>
      <c r="R3088" s="126"/>
    </row>
    <row r="3089" spans="2:18" x14ac:dyDescent="0.3">
      <c r="B3089" s="126"/>
      <c r="G3089" s="137"/>
      <c r="H3089" s="138"/>
      <c r="I3089" s="138"/>
      <c r="J3089" s="139"/>
      <c r="K3089" s="137"/>
      <c r="L3089" s="137"/>
      <c r="P3089" s="137"/>
      <c r="Q3089" s="137"/>
      <c r="R3089" s="126"/>
    </row>
    <row r="3090" spans="2:18" x14ac:dyDescent="0.3">
      <c r="B3090" s="126"/>
      <c r="G3090" s="137"/>
      <c r="H3090" s="138"/>
      <c r="I3090" s="138"/>
      <c r="J3090" s="139"/>
      <c r="K3090" s="137"/>
      <c r="L3090" s="137"/>
      <c r="P3090" s="137"/>
      <c r="Q3090" s="137"/>
      <c r="R3090" s="126"/>
    </row>
    <row r="3091" spans="2:18" x14ac:dyDescent="0.3">
      <c r="B3091" s="126"/>
      <c r="G3091" s="137"/>
      <c r="H3091" s="138"/>
      <c r="I3091" s="138"/>
      <c r="J3091" s="139"/>
      <c r="K3091" s="137"/>
      <c r="L3091" s="137"/>
      <c r="P3091" s="137"/>
      <c r="Q3091" s="137"/>
      <c r="R3091" s="126"/>
    </row>
    <row r="3092" spans="2:18" x14ac:dyDescent="0.3">
      <c r="B3092" s="126"/>
      <c r="G3092" s="137"/>
      <c r="H3092" s="138"/>
      <c r="I3092" s="138"/>
      <c r="J3092" s="139"/>
      <c r="K3092" s="137"/>
      <c r="L3092" s="137"/>
      <c r="P3092" s="137"/>
      <c r="Q3092" s="137"/>
      <c r="R3092" s="126"/>
    </row>
    <row r="3093" spans="2:18" x14ac:dyDescent="0.3">
      <c r="B3093" s="126"/>
      <c r="G3093" s="137"/>
      <c r="H3093" s="138"/>
      <c r="I3093" s="138"/>
      <c r="J3093" s="139"/>
      <c r="K3093" s="137"/>
      <c r="L3093" s="137"/>
      <c r="P3093" s="137"/>
      <c r="Q3093" s="137"/>
      <c r="R3093" s="126"/>
    </row>
    <row r="3094" spans="2:18" x14ac:dyDescent="0.3">
      <c r="B3094" s="126"/>
      <c r="G3094" s="137"/>
      <c r="H3094" s="138"/>
      <c r="I3094" s="138"/>
      <c r="J3094" s="139"/>
      <c r="K3094" s="137"/>
      <c r="L3094" s="137"/>
      <c r="P3094" s="137"/>
      <c r="Q3094" s="137"/>
      <c r="R3094" s="126"/>
    </row>
    <row r="3095" spans="2:18" x14ac:dyDescent="0.3">
      <c r="B3095" s="126"/>
      <c r="G3095" s="137"/>
      <c r="H3095" s="138"/>
      <c r="I3095" s="138"/>
      <c r="J3095" s="139"/>
      <c r="K3095" s="137"/>
      <c r="L3095" s="137"/>
      <c r="P3095" s="137"/>
      <c r="Q3095" s="137"/>
      <c r="R3095" s="126"/>
    </row>
    <row r="3096" spans="2:18" x14ac:dyDescent="0.3">
      <c r="B3096" s="126"/>
      <c r="G3096" s="137"/>
      <c r="H3096" s="138"/>
      <c r="I3096" s="138"/>
      <c r="J3096" s="139"/>
      <c r="K3096" s="137"/>
      <c r="L3096" s="137"/>
      <c r="P3096" s="137"/>
      <c r="Q3096" s="137"/>
      <c r="R3096" s="126"/>
    </row>
    <row r="3097" spans="2:18" x14ac:dyDescent="0.3">
      <c r="B3097" s="126"/>
      <c r="G3097" s="137"/>
      <c r="H3097" s="138"/>
      <c r="I3097" s="138"/>
      <c r="J3097" s="139"/>
      <c r="K3097" s="137"/>
      <c r="L3097" s="137"/>
      <c r="P3097" s="137"/>
      <c r="Q3097" s="137"/>
      <c r="R3097" s="126"/>
    </row>
    <row r="3098" spans="2:18" x14ac:dyDescent="0.3">
      <c r="B3098" s="126"/>
      <c r="G3098" s="137"/>
      <c r="H3098" s="138"/>
      <c r="I3098" s="138"/>
      <c r="J3098" s="139"/>
      <c r="K3098" s="137"/>
      <c r="L3098" s="137"/>
      <c r="P3098" s="137"/>
      <c r="Q3098" s="137"/>
      <c r="R3098" s="126"/>
    </row>
    <row r="3099" spans="2:18" x14ac:dyDescent="0.3">
      <c r="B3099" s="126"/>
      <c r="G3099" s="137"/>
      <c r="H3099" s="138"/>
      <c r="I3099" s="138"/>
      <c r="J3099" s="139"/>
      <c r="K3099" s="137"/>
      <c r="L3099" s="137"/>
      <c r="P3099" s="137"/>
      <c r="Q3099" s="137"/>
      <c r="R3099" s="126"/>
    </row>
    <row r="3100" spans="2:18" x14ac:dyDescent="0.3">
      <c r="B3100" s="126"/>
      <c r="G3100" s="137"/>
      <c r="H3100" s="138"/>
      <c r="I3100" s="138"/>
      <c r="J3100" s="139"/>
      <c r="K3100" s="137"/>
      <c r="L3100" s="137"/>
      <c r="P3100" s="137"/>
      <c r="Q3100" s="137"/>
      <c r="R3100" s="126"/>
    </row>
    <row r="3101" spans="2:18" x14ac:dyDescent="0.3">
      <c r="B3101" s="126"/>
      <c r="G3101" s="137"/>
      <c r="H3101" s="138"/>
      <c r="I3101" s="138"/>
      <c r="J3101" s="139"/>
      <c r="K3101" s="137"/>
      <c r="L3101" s="137"/>
      <c r="P3101" s="137"/>
      <c r="Q3101" s="137"/>
      <c r="R3101" s="126"/>
    </row>
    <row r="3102" spans="2:18" x14ac:dyDescent="0.3">
      <c r="B3102" s="126"/>
      <c r="G3102" s="137"/>
      <c r="H3102" s="138"/>
      <c r="I3102" s="138"/>
      <c r="J3102" s="139"/>
      <c r="K3102" s="137"/>
      <c r="L3102" s="137"/>
      <c r="P3102" s="137"/>
      <c r="Q3102" s="137"/>
      <c r="R3102" s="126"/>
    </row>
    <row r="3103" spans="2:18" x14ac:dyDescent="0.3">
      <c r="B3103" s="126"/>
      <c r="G3103" s="137"/>
      <c r="H3103" s="138"/>
      <c r="I3103" s="138"/>
      <c r="J3103" s="139"/>
      <c r="K3103" s="137"/>
      <c r="L3103" s="137"/>
      <c r="P3103" s="137"/>
      <c r="Q3103" s="137"/>
      <c r="R3103" s="126"/>
    </row>
    <row r="3104" spans="2:18" x14ac:dyDescent="0.3">
      <c r="B3104" s="126"/>
      <c r="G3104" s="137"/>
      <c r="H3104" s="138"/>
      <c r="I3104" s="138"/>
      <c r="J3104" s="139"/>
      <c r="K3104" s="137"/>
      <c r="L3104" s="137"/>
      <c r="P3104" s="137"/>
      <c r="Q3104" s="137"/>
      <c r="R3104" s="126"/>
    </row>
    <row r="3105" spans="2:18" x14ac:dyDescent="0.3">
      <c r="B3105" s="126"/>
      <c r="G3105" s="137"/>
      <c r="H3105" s="138"/>
      <c r="I3105" s="138"/>
      <c r="J3105" s="139"/>
      <c r="K3105" s="137"/>
      <c r="L3105" s="137"/>
      <c r="P3105" s="137"/>
      <c r="Q3105" s="137"/>
      <c r="R3105" s="126"/>
    </row>
    <row r="3106" spans="2:18" x14ac:dyDescent="0.3">
      <c r="B3106" s="126"/>
      <c r="G3106" s="137"/>
      <c r="H3106" s="138"/>
      <c r="I3106" s="138"/>
      <c r="J3106" s="139"/>
      <c r="K3106" s="137"/>
      <c r="L3106" s="137"/>
      <c r="P3106" s="137"/>
      <c r="Q3106" s="137"/>
      <c r="R3106" s="126"/>
    </row>
    <row r="3107" spans="2:18" x14ac:dyDescent="0.3">
      <c r="B3107" s="126"/>
      <c r="G3107" s="137"/>
      <c r="H3107" s="138"/>
      <c r="I3107" s="138"/>
      <c r="J3107" s="139"/>
      <c r="K3107" s="137"/>
      <c r="L3107" s="137"/>
      <c r="P3107" s="137"/>
      <c r="Q3107" s="137"/>
      <c r="R3107" s="126"/>
    </row>
    <row r="3108" spans="2:18" x14ac:dyDescent="0.3">
      <c r="B3108" s="126"/>
      <c r="G3108" s="137"/>
      <c r="H3108" s="138"/>
      <c r="I3108" s="138"/>
      <c r="J3108" s="139"/>
      <c r="K3108" s="137"/>
      <c r="L3108" s="137"/>
      <c r="P3108" s="137"/>
      <c r="Q3108" s="137"/>
      <c r="R3108" s="126"/>
    </row>
    <row r="3109" spans="2:18" x14ac:dyDescent="0.3">
      <c r="B3109" s="126"/>
      <c r="G3109" s="137"/>
      <c r="H3109" s="138"/>
      <c r="I3109" s="138"/>
      <c r="J3109" s="139"/>
      <c r="K3109" s="137"/>
      <c r="L3109" s="137"/>
      <c r="P3109" s="137"/>
      <c r="Q3109" s="137"/>
      <c r="R3109" s="126"/>
    </row>
    <row r="3110" spans="2:18" x14ac:dyDescent="0.3">
      <c r="B3110" s="126"/>
      <c r="G3110" s="137"/>
      <c r="H3110" s="138"/>
      <c r="I3110" s="138"/>
      <c r="J3110" s="139"/>
      <c r="K3110" s="137"/>
      <c r="L3110" s="137"/>
      <c r="P3110" s="137"/>
      <c r="Q3110" s="137"/>
      <c r="R3110" s="126"/>
    </row>
    <row r="3111" spans="2:18" x14ac:dyDescent="0.3">
      <c r="B3111" s="126"/>
      <c r="G3111" s="137"/>
      <c r="H3111" s="138"/>
      <c r="I3111" s="138"/>
      <c r="J3111" s="139"/>
      <c r="K3111" s="137"/>
      <c r="L3111" s="137"/>
      <c r="P3111" s="137"/>
      <c r="Q3111" s="137"/>
      <c r="R3111" s="126"/>
    </row>
    <row r="3112" spans="2:18" x14ac:dyDescent="0.3">
      <c r="B3112" s="126"/>
      <c r="G3112" s="137"/>
      <c r="H3112" s="138"/>
      <c r="I3112" s="138"/>
      <c r="J3112" s="139"/>
      <c r="K3112" s="137"/>
      <c r="L3112" s="137"/>
      <c r="P3112" s="137"/>
      <c r="Q3112" s="137"/>
      <c r="R3112" s="126"/>
    </row>
    <row r="3113" spans="2:18" x14ac:dyDescent="0.3">
      <c r="B3113" s="126"/>
      <c r="G3113" s="137"/>
      <c r="H3113" s="138"/>
      <c r="I3113" s="138"/>
      <c r="J3113" s="139"/>
      <c r="K3113" s="137"/>
      <c r="L3113" s="137"/>
      <c r="P3113" s="137"/>
      <c r="Q3113" s="137"/>
      <c r="R3113" s="126"/>
    </row>
    <row r="3114" spans="2:18" x14ac:dyDescent="0.3">
      <c r="B3114" s="126"/>
      <c r="G3114" s="137"/>
      <c r="H3114" s="138"/>
      <c r="I3114" s="138"/>
      <c r="J3114" s="139"/>
      <c r="K3114" s="137"/>
      <c r="L3114" s="137"/>
      <c r="P3114" s="137"/>
      <c r="Q3114" s="137"/>
      <c r="R3114" s="126"/>
    </row>
    <row r="3115" spans="2:18" x14ac:dyDescent="0.3">
      <c r="B3115" s="126"/>
      <c r="G3115" s="137"/>
      <c r="H3115" s="138"/>
      <c r="I3115" s="138"/>
      <c r="J3115" s="139"/>
      <c r="K3115" s="137"/>
      <c r="L3115" s="137"/>
      <c r="P3115" s="137"/>
      <c r="Q3115" s="137"/>
      <c r="R3115" s="126"/>
    </row>
    <row r="3116" spans="2:18" x14ac:dyDescent="0.3">
      <c r="B3116" s="126"/>
      <c r="G3116" s="137"/>
      <c r="H3116" s="138"/>
      <c r="I3116" s="138"/>
      <c r="J3116" s="139"/>
      <c r="K3116" s="137"/>
      <c r="L3116" s="137"/>
      <c r="P3116" s="137"/>
      <c r="Q3116" s="137"/>
      <c r="R3116" s="126"/>
    </row>
    <row r="3117" spans="2:18" x14ac:dyDescent="0.3">
      <c r="B3117" s="126"/>
      <c r="G3117" s="137"/>
      <c r="H3117" s="138"/>
      <c r="I3117" s="138"/>
      <c r="J3117" s="139"/>
      <c r="K3117" s="137"/>
      <c r="L3117" s="137"/>
      <c r="P3117" s="137"/>
      <c r="Q3117" s="137"/>
      <c r="R3117" s="126"/>
    </row>
    <row r="3118" spans="2:18" x14ac:dyDescent="0.3">
      <c r="B3118" s="126"/>
      <c r="G3118" s="137"/>
      <c r="H3118" s="138"/>
      <c r="I3118" s="138"/>
      <c r="J3118" s="139"/>
      <c r="K3118" s="137"/>
      <c r="L3118" s="137"/>
      <c r="P3118" s="137"/>
      <c r="Q3118" s="137"/>
      <c r="R3118" s="126"/>
    </row>
    <row r="3119" spans="2:18" x14ac:dyDescent="0.3">
      <c r="B3119" s="126"/>
      <c r="G3119" s="137"/>
      <c r="H3119" s="138"/>
      <c r="I3119" s="138"/>
      <c r="J3119" s="139"/>
      <c r="K3119" s="137"/>
      <c r="L3119" s="137"/>
      <c r="P3119" s="137"/>
      <c r="Q3119" s="137"/>
      <c r="R3119" s="126"/>
    </row>
    <row r="3120" spans="2:18" x14ac:dyDescent="0.3">
      <c r="B3120" s="126"/>
      <c r="G3120" s="137"/>
      <c r="H3120" s="138"/>
      <c r="I3120" s="138"/>
      <c r="J3120" s="139"/>
      <c r="K3120" s="137"/>
      <c r="L3120" s="137"/>
      <c r="P3120" s="137"/>
      <c r="Q3120" s="137"/>
      <c r="R3120" s="126"/>
    </row>
    <row r="3121" spans="2:18" x14ac:dyDescent="0.3">
      <c r="B3121" s="126"/>
      <c r="G3121" s="137"/>
      <c r="H3121" s="138"/>
      <c r="I3121" s="138"/>
      <c r="J3121" s="139"/>
      <c r="K3121" s="137"/>
      <c r="L3121" s="137"/>
      <c r="P3121" s="137"/>
      <c r="Q3121" s="137"/>
      <c r="R3121" s="126"/>
    </row>
    <row r="3122" spans="2:18" x14ac:dyDescent="0.3">
      <c r="B3122" s="126"/>
      <c r="G3122" s="137"/>
      <c r="H3122" s="138"/>
      <c r="I3122" s="138"/>
      <c r="J3122" s="139"/>
      <c r="K3122" s="137"/>
      <c r="L3122" s="137"/>
      <c r="P3122" s="137"/>
      <c r="Q3122" s="137"/>
      <c r="R3122" s="126"/>
    </row>
    <row r="3123" spans="2:18" x14ac:dyDescent="0.3">
      <c r="B3123" s="126"/>
      <c r="G3123" s="137"/>
      <c r="H3123" s="138"/>
      <c r="I3123" s="138"/>
      <c r="J3123" s="139"/>
      <c r="K3123" s="137"/>
      <c r="L3123" s="137"/>
      <c r="P3123" s="137"/>
      <c r="Q3123" s="137"/>
      <c r="R3123" s="126"/>
    </row>
    <row r="3124" spans="2:18" x14ac:dyDescent="0.3">
      <c r="B3124" s="126"/>
      <c r="G3124" s="137"/>
      <c r="H3124" s="138"/>
      <c r="I3124" s="138"/>
      <c r="J3124" s="139"/>
      <c r="K3124" s="137"/>
      <c r="L3124" s="137"/>
      <c r="P3124" s="137"/>
      <c r="Q3124" s="137"/>
      <c r="R3124" s="126"/>
    </row>
    <row r="3125" spans="2:18" x14ac:dyDescent="0.3">
      <c r="B3125" s="126"/>
      <c r="G3125" s="137"/>
      <c r="H3125" s="138"/>
      <c r="I3125" s="138"/>
      <c r="J3125" s="139"/>
      <c r="K3125" s="137"/>
      <c r="L3125" s="137"/>
      <c r="P3125" s="137"/>
      <c r="Q3125" s="137"/>
      <c r="R3125" s="126"/>
    </row>
    <row r="3126" spans="2:18" x14ac:dyDescent="0.3">
      <c r="B3126" s="126"/>
      <c r="G3126" s="137"/>
      <c r="H3126" s="138"/>
      <c r="I3126" s="138"/>
      <c r="J3126" s="139"/>
      <c r="K3126" s="137"/>
      <c r="L3126" s="137"/>
      <c r="P3126" s="137"/>
      <c r="Q3126" s="137"/>
      <c r="R3126" s="126"/>
    </row>
    <row r="3127" spans="2:18" x14ac:dyDescent="0.3">
      <c r="B3127" s="126"/>
      <c r="G3127" s="137"/>
      <c r="H3127" s="138"/>
      <c r="I3127" s="138"/>
      <c r="J3127" s="139"/>
      <c r="K3127" s="137"/>
      <c r="L3127" s="137"/>
      <c r="P3127" s="137"/>
      <c r="Q3127" s="137"/>
      <c r="R3127" s="126"/>
    </row>
    <row r="3128" spans="2:18" x14ac:dyDescent="0.3">
      <c r="B3128" s="126"/>
      <c r="G3128" s="137"/>
      <c r="H3128" s="138"/>
      <c r="I3128" s="138"/>
      <c r="J3128" s="139"/>
      <c r="K3128" s="137"/>
      <c r="L3128" s="137"/>
      <c r="P3128" s="137"/>
      <c r="Q3128" s="137"/>
      <c r="R3128" s="126"/>
    </row>
    <row r="3129" spans="2:18" x14ac:dyDescent="0.3">
      <c r="B3129" s="126"/>
      <c r="G3129" s="137"/>
      <c r="H3129" s="138"/>
      <c r="I3129" s="138"/>
      <c r="J3129" s="139"/>
      <c r="K3129" s="137"/>
      <c r="L3129" s="137"/>
      <c r="P3129" s="137"/>
      <c r="Q3129" s="137"/>
      <c r="R3129" s="126"/>
    </row>
    <row r="3130" spans="2:18" x14ac:dyDescent="0.3">
      <c r="B3130" s="126"/>
      <c r="G3130" s="137"/>
      <c r="H3130" s="138"/>
      <c r="I3130" s="138"/>
      <c r="J3130" s="139"/>
      <c r="K3130" s="137"/>
      <c r="L3130" s="137"/>
      <c r="P3130" s="137"/>
      <c r="Q3130" s="137"/>
      <c r="R3130" s="126"/>
    </row>
    <row r="3131" spans="2:18" x14ac:dyDescent="0.3">
      <c r="B3131" s="126"/>
      <c r="G3131" s="137"/>
      <c r="H3131" s="138"/>
      <c r="I3131" s="138"/>
      <c r="J3131" s="139"/>
      <c r="K3131" s="137"/>
      <c r="L3131" s="137"/>
      <c r="P3131" s="137"/>
      <c r="Q3131" s="137"/>
      <c r="R3131" s="126"/>
    </row>
    <row r="3132" spans="2:18" x14ac:dyDescent="0.3">
      <c r="B3132" s="126"/>
      <c r="G3132" s="137"/>
      <c r="H3132" s="138"/>
      <c r="I3132" s="138"/>
      <c r="J3132" s="139"/>
      <c r="K3132" s="137"/>
      <c r="L3132" s="137"/>
      <c r="P3132" s="137"/>
      <c r="Q3132" s="137"/>
      <c r="R3132" s="126"/>
    </row>
    <row r="3133" spans="2:18" x14ac:dyDescent="0.3">
      <c r="B3133" s="126"/>
      <c r="G3133" s="137"/>
      <c r="H3133" s="138"/>
      <c r="I3133" s="138"/>
      <c r="J3133" s="139"/>
      <c r="K3133" s="137"/>
      <c r="L3133" s="137"/>
      <c r="P3133" s="137"/>
      <c r="Q3133" s="137"/>
      <c r="R3133" s="126"/>
    </row>
    <row r="3134" spans="2:18" x14ac:dyDescent="0.3">
      <c r="B3134" s="126"/>
      <c r="G3134" s="137"/>
      <c r="H3134" s="138"/>
      <c r="I3134" s="138"/>
      <c r="J3134" s="139"/>
      <c r="K3134" s="137"/>
      <c r="L3134" s="137"/>
      <c r="P3134" s="137"/>
      <c r="Q3134" s="137"/>
      <c r="R3134" s="126"/>
    </row>
    <row r="3135" spans="2:18" x14ac:dyDescent="0.3">
      <c r="B3135" s="126"/>
      <c r="G3135" s="137"/>
      <c r="H3135" s="138"/>
      <c r="I3135" s="138"/>
      <c r="J3135" s="139"/>
      <c r="K3135" s="137"/>
      <c r="L3135" s="137"/>
      <c r="P3135" s="137"/>
      <c r="Q3135" s="137"/>
      <c r="R3135" s="126"/>
    </row>
    <row r="3136" spans="2:18" x14ac:dyDescent="0.3">
      <c r="B3136" s="126"/>
      <c r="G3136" s="137"/>
      <c r="H3136" s="138"/>
      <c r="I3136" s="138"/>
      <c r="J3136" s="139"/>
      <c r="K3136" s="137"/>
      <c r="L3136" s="137"/>
      <c r="P3136" s="137"/>
      <c r="Q3136" s="137"/>
      <c r="R3136" s="126"/>
    </row>
    <row r="3137" spans="2:18" x14ac:dyDescent="0.3">
      <c r="B3137" s="126"/>
      <c r="G3137" s="137"/>
      <c r="H3137" s="138"/>
      <c r="I3137" s="138"/>
      <c r="J3137" s="139"/>
      <c r="K3137" s="137"/>
      <c r="L3137" s="137"/>
      <c r="P3137" s="137"/>
      <c r="Q3137" s="137"/>
      <c r="R3137" s="126"/>
    </row>
    <row r="3138" spans="2:18" x14ac:dyDescent="0.3">
      <c r="B3138" s="126"/>
      <c r="G3138" s="137"/>
      <c r="H3138" s="138"/>
      <c r="I3138" s="138"/>
      <c r="J3138" s="139"/>
      <c r="K3138" s="137"/>
      <c r="L3138" s="137"/>
      <c r="P3138" s="137"/>
      <c r="Q3138" s="137"/>
      <c r="R3138" s="126"/>
    </row>
    <row r="3139" spans="2:18" x14ac:dyDescent="0.3">
      <c r="B3139" s="126"/>
      <c r="G3139" s="137"/>
      <c r="H3139" s="138"/>
      <c r="I3139" s="138"/>
      <c r="J3139" s="139"/>
      <c r="K3139" s="137"/>
      <c r="L3139" s="137"/>
      <c r="P3139" s="137"/>
      <c r="Q3139" s="137"/>
      <c r="R3139" s="126"/>
    </row>
    <row r="3140" spans="2:18" x14ac:dyDescent="0.3">
      <c r="B3140" s="126"/>
      <c r="G3140" s="137"/>
      <c r="H3140" s="138"/>
      <c r="I3140" s="138"/>
      <c r="J3140" s="139"/>
      <c r="K3140" s="137"/>
      <c r="L3140" s="137"/>
      <c r="P3140" s="137"/>
      <c r="Q3140" s="137"/>
      <c r="R3140" s="126"/>
    </row>
    <row r="3141" spans="2:18" x14ac:dyDescent="0.3">
      <c r="B3141" s="126"/>
      <c r="G3141" s="137"/>
      <c r="H3141" s="138"/>
      <c r="I3141" s="138"/>
      <c r="J3141" s="139"/>
      <c r="K3141" s="137"/>
      <c r="L3141" s="137"/>
      <c r="P3141" s="137"/>
      <c r="Q3141" s="137"/>
      <c r="R3141" s="126"/>
    </row>
    <row r="3142" spans="2:18" x14ac:dyDescent="0.3">
      <c r="B3142" s="126"/>
      <c r="G3142" s="137"/>
      <c r="H3142" s="138"/>
      <c r="I3142" s="138"/>
      <c r="J3142" s="139"/>
      <c r="K3142" s="137"/>
      <c r="L3142" s="137"/>
      <c r="P3142" s="137"/>
      <c r="Q3142" s="137"/>
      <c r="R3142" s="126"/>
    </row>
    <row r="3143" spans="2:18" x14ac:dyDescent="0.3">
      <c r="B3143" s="126"/>
      <c r="G3143" s="137"/>
      <c r="H3143" s="138"/>
      <c r="I3143" s="138"/>
      <c r="J3143" s="139"/>
      <c r="K3143" s="137"/>
      <c r="L3143" s="137"/>
      <c r="P3143" s="137"/>
      <c r="Q3143" s="137"/>
      <c r="R3143" s="126"/>
    </row>
    <row r="3144" spans="2:18" x14ac:dyDescent="0.3">
      <c r="B3144" s="126"/>
      <c r="G3144" s="137"/>
      <c r="H3144" s="138"/>
      <c r="I3144" s="138"/>
      <c r="J3144" s="139"/>
      <c r="K3144" s="137"/>
      <c r="L3144" s="137"/>
      <c r="P3144" s="137"/>
      <c r="Q3144" s="137"/>
      <c r="R3144" s="126"/>
    </row>
    <row r="3145" spans="2:18" x14ac:dyDescent="0.3">
      <c r="B3145" s="126"/>
      <c r="G3145" s="137"/>
      <c r="H3145" s="138"/>
      <c r="I3145" s="138"/>
      <c r="J3145" s="139"/>
      <c r="K3145" s="137"/>
      <c r="L3145" s="137"/>
      <c r="P3145" s="137"/>
      <c r="Q3145" s="137"/>
      <c r="R3145" s="126"/>
    </row>
    <row r="3146" spans="2:18" x14ac:dyDescent="0.3">
      <c r="B3146" s="126"/>
      <c r="G3146" s="137"/>
      <c r="H3146" s="138"/>
      <c r="I3146" s="138"/>
      <c r="J3146" s="139"/>
      <c r="K3146" s="137"/>
      <c r="L3146" s="137"/>
      <c r="P3146" s="137"/>
      <c r="Q3146" s="137"/>
      <c r="R3146" s="126"/>
    </row>
    <row r="3147" spans="2:18" x14ac:dyDescent="0.3">
      <c r="B3147" s="126"/>
      <c r="G3147" s="137"/>
      <c r="H3147" s="138"/>
      <c r="I3147" s="138"/>
      <c r="J3147" s="139"/>
      <c r="K3147" s="137"/>
      <c r="L3147" s="137"/>
      <c r="P3147" s="137"/>
      <c r="Q3147" s="137"/>
      <c r="R3147" s="126"/>
    </row>
    <row r="3148" spans="2:18" x14ac:dyDescent="0.3">
      <c r="B3148" s="126"/>
      <c r="G3148" s="137"/>
      <c r="H3148" s="138"/>
      <c r="I3148" s="138"/>
      <c r="J3148" s="139"/>
      <c r="K3148" s="137"/>
      <c r="L3148" s="137"/>
      <c r="P3148" s="137"/>
      <c r="Q3148" s="137"/>
      <c r="R3148" s="126"/>
    </row>
    <row r="3149" spans="2:18" x14ac:dyDescent="0.3">
      <c r="B3149" s="126"/>
      <c r="G3149" s="137"/>
      <c r="H3149" s="138"/>
      <c r="I3149" s="138"/>
      <c r="J3149" s="139"/>
      <c r="K3149" s="137"/>
      <c r="L3149" s="137"/>
      <c r="P3149" s="137"/>
      <c r="Q3149" s="137"/>
      <c r="R3149" s="126"/>
    </row>
    <row r="3150" spans="2:18" x14ac:dyDescent="0.3">
      <c r="B3150" s="126"/>
      <c r="G3150" s="137"/>
      <c r="H3150" s="138"/>
      <c r="I3150" s="138"/>
      <c r="J3150" s="139"/>
      <c r="K3150" s="137"/>
      <c r="L3150" s="137"/>
      <c r="P3150" s="137"/>
      <c r="Q3150" s="137"/>
      <c r="R3150" s="126"/>
    </row>
    <row r="3151" spans="2:18" x14ac:dyDescent="0.3">
      <c r="B3151" s="126"/>
      <c r="G3151" s="137"/>
      <c r="H3151" s="138"/>
      <c r="I3151" s="138"/>
      <c r="J3151" s="139"/>
      <c r="K3151" s="137"/>
      <c r="L3151" s="137"/>
      <c r="P3151" s="137"/>
      <c r="Q3151" s="137"/>
      <c r="R3151" s="126"/>
    </row>
    <row r="3152" spans="2:18" x14ac:dyDescent="0.3">
      <c r="B3152" s="126"/>
      <c r="G3152" s="137"/>
      <c r="H3152" s="138"/>
      <c r="I3152" s="138"/>
      <c r="J3152" s="139"/>
      <c r="K3152" s="137"/>
      <c r="L3152" s="137"/>
      <c r="P3152" s="137"/>
      <c r="Q3152" s="137"/>
      <c r="R3152" s="126"/>
    </row>
    <row r="3153" spans="2:18" x14ac:dyDescent="0.3">
      <c r="B3153" s="126"/>
      <c r="G3153" s="137"/>
      <c r="H3153" s="138"/>
      <c r="I3153" s="138"/>
      <c r="J3153" s="139"/>
      <c r="K3153" s="137"/>
      <c r="L3153" s="137"/>
      <c r="P3153" s="137"/>
      <c r="Q3153" s="137"/>
      <c r="R3153" s="126"/>
    </row>
    <row r="3154" spans="2:18" x14ac:dyDescent="0.3">
      <c r="B3154" s="126"/>
      <c r="G3154" s="137"/>
      <c r="H3154" s="138"/>
      <c r="I3154" s="138"/>
      <c r="J3154" s="139"/>
      <c r="K3154" s="137"/>
      <c r="L3154" s="137"/>
      <c r="P3154" s="137"/>
      <c r="Q3154" s="137"/>
      <c r="R3154" s="126"/>
    </row>
    <row r="3155" spans="2:18" x14ac:dyDescent="0.3">
      <c r="B3155" s="126"/>
      <c r="G3155" s="137"/>
      <c r="H3155" s="138"/>
      <c r="I3155" s="138"/>
      <c r="J3155" s="139"/>
      <c r="K3155" s="137"/>
      <c r="L3155" s="137"/>
      <c r="P3155" s="137"/>
      <c r="Q3155" s="137"/>
      <c r="R3155" s="126"/>
    </row>
    <row r="3156" spans="2:18" x14ac:dyDescent="0.3">
      <c r="B3156" s="126"/>
      <c r="G3156" s="137"/>
      <c r="H3156" s="138"/>
      <c r="I3156" s="138"/>
      <c r="J3156" s="139"/>
      <c r="K3156" s="137"/>
      <c r="L3156" s="137"/>
      <c r="P3156" s="137"/>
      <c r="Q3156" s="137"/>
      <c r="R3156" s="126"/>
    </row>
    <row r="3157" spans="2:18" x14ac:dyDescent="0.3">
      <c r="B3157" s="126"/>
      <c r="G3157" s="137"/>
      <c r="H3157" s="138"/>
      <c r="I3157" s="138"/>
      <c r="J3157" s="139"/>
      <c r="K3157" s="137"/>
      <c r="L3157" s="137"/>
      <c r="P3157" s="137"/>
      <c r="Q3157" s="137"/>
      <c r="R3157" s="126"/>
    </row>
    <row r="3158" spans="2:18" x14ac:dyDescent="0.3">
      <c r="B3158" s="126"/>
      <c r="G3158" s="137"/>
      <c r="H3158" s="138"/>
      <c r="I3158" s="138"/>
      <c r="J3158" s="139"/>
      <c r="K3158" s="137"/>
      <c r="L3158" s="137"/>
      <c r="P3158" s="137"/>
      <c r="Q3158" s="137"/>
      <c r="R3158" s="126"/>
    </row>
    <row r="3159" spans="2:18" x14ac:dyDescent="0.3">
      <c r="B3159" s="126"/>
      <c r="G3159" s="137"/>
      <c r="H3159" s="138"/>
      <c r="I3159" s="138"/>
      <c r="J3159" s="139"/>
      <c r="K3159" s="137"/>
      <c r="L3159" s="137"/>
      <c r="P3159" s="137"/>
      <c r="Q3159" s="137"/>
      <c r="R3159" s="126"/>
    </row>
    <row r="3160" spans="2:18" x14ac:dyDescent="0.3">
      <c r="B3160" s="126"/>
      <c r="G3160" s="137"/>
      <c r="H3160" s="138"/>
      <c r="I3160" s="138"/>
      <c r="J3160" s="139"/>
      <c r="K3160" s="137"/>
      <c r="L3160" s="137"/>
      <c r="P3160" s="137"/>
      <c r="Q3160" s="137"/>
      <c r="R3160" s="126"/>
    </row>
    <row r="3161" spans="2:18" x14ac:dyDescent="0.3">
      <c r="B3161" s="126"/>
      <c r="G3161" s="137"/>
      <c r="H3161" s="138"/>
      <c r="I3161" s="138"/>
      <c r="J3161" s="139"/>
      <c r="K3161" s="137"/>
      <c r="L3161" s="137"/>
      <c r="P3161" s="137"/>
      <c r="Q3161" s="137"/>
      <c r="R3161" s="126"/>
    </row>
    <row r="3162" spans="2:18" x14ac:dyDescent="0.3">
      <c r="B3162" s="126"/>
      <c r="G3162" s="137"/>
      <c r="H3162" s="138"/>
      <c r="I3162" s="138"/>
      <c r="J3162" s="139"/>
      <c r="K3162" s="137"/>
      <c r="L3162" s="137"/>
      <c r="P3162" s="137"/>
      <c r="Q3162" s="137"/>
      <c r="R3162" s="126"/>
    </row>
    <row r="3163" spans="2:18" x14ac:dyDescent="0.3">
      <c r="B3163" s="126"/>
      <c r="G3163" s="137"/>
      <c r="H3163" s="138"/>
      <c r="I3163" s="138"/>
      <c r="J3163" s="139"/>
      <c r="K3163" s="137"/>
      <c r="L3163" s="137"/>
      <c r="P3163" s="137"/>
      <c r="Q3163" s="137"/>
      <c r="R3163" s="126"/>
    </row>
    <row r="3164" spans="2:18" x14ac:dyDescent="0.3">
      <c r="B3164" s="126"/>
      <c r="G3164" s="137"/>
      <c r="H3164" s="138"/>
      <c r="I3164" s="138"/>
      <c r="J3164" s="139"/>
      <c r="K3164" s="137"/>
      <c r="L3164" s="137"/>
      <c r="P3164" s="137"/>
      <c r="Q3164" s="137"/>
      <c r="R3164" s="126"/>
    </row>
    <row r="3165" spans="2:18" x14ac:dyDescent="0.3">
      <c r="B3165" s="126"/>
      <c r="G3165" s="137"/>
      <c r="H3165" s="138"/>
      <c r="I3165" s="138"/>
      <c r="J3165" s="139"/>
      <c r="K3165" s="137"/>
      <c r="L3165" s="137"/>
      <c r="P3165" s="137"/>
      <c r="Q3165" s="137"/>
      <c r="R3165" s="126"/>
    </row>
    <row r="3166" spans="2:18" x14ac:dyDescent="0.3">
      <c r="B3166" s="126"/>
      <c r="G3166" s="137"/>
      <c r="H3166" s="138"/>
      <c r="I3166" s="138"/>
      <c r="J3166" s="139"/>
      <c r="K3166" s="137"/>
      <c r="L3166" s="137"/>
      <c r="P3166" s="137"/>
      <c r="Q3166" s="137"/>
      <c r="R3166" s="126"/>
    </row>
    <row r="3167" spans="2:18" x14ac:dyDescent="0.3">
      <c r="B3167" s="126"/>
      <c r="G3167" s="137"/>
      <c r="H3167" s="138"/>
      <c r="I3167" s="138"/>
      <c r="J3167" s="139"/>
      <c r="K3167" s="137"/>
      <c r="L3167" s="137"/>
      <c r="P3167" s="137"/>
      <c r="Q3167" s="137"/>
      <c r="R3167" s="126"/>
    </row>
    <row r="3168" spans="2:18" x14ac:dyDescent="0.3">
      <c r="B3168" s="126"/>
      <c r="G3168" s="137"/>
      <c r="H3168" s="138"/>
      <c r="I3168" s="138"/>
      <c r="J3168" s="139"/>
      <c r="K3168" s="137"/>
      <c r="L3168" s="137"/>
      <c r="P3168" s="137"/>
      <c r="Q3168" s="137"/>
      <c r="R3168" s="126"/>
    </row>
    <row r="3169" spans="2:18" x14ac:dyDescent="0.3">
      <c r="B3169" s="126"/>
      <c r="G3169" s="137"/>
      <c r="H3169" s="138"/>
      <c r="I3169" s="138"/>
      <c r="J3169" s="139"/>
      <c r="K3169" s="137"/>
      <c r="L3169" s="137"/>
      <c r="P3169" s="137"/>
      <c r="Q3169" s="137"/>
      <c r="R3169" s="126"/>
    </row>
    <row r="3170" spans="2:18" x14ac:dyDescent="0.3">
      <c r="B3170" s="126"/>
      <c r="G3170" s="137"/>
      <c r="H3170" s="138"/>
      <c r="I3170" s="138"/>
      <c r="J3170" s="139"/>
      <c r="K3170" s="137"/>
      <c r="L3170" s="137"/>
      <c r="P3170" s="137"/>
      <c r="Q3170" s="137"/>
      <c r="R3170" s="126"/>
    </row>
    <row r="3171" spans="2:18" x14ac:dyDescent="0.3">
      <c r="B3171" s="126"/>
      <c r="G3171" s="137"/>
      <c r="H3171" s="138"/>
      <c r="I3171" s="138"/>
      <c r="J3171" s="139"/>
      <c r="K3171" s="137"/>
      <c r="L3171" s="137"/>
      <c r="P3171" s="137"/>
      <c r="Q3171" s="137"/>
      <c r="R3171" s="126"/>
    </row>
    <row r="3172" spans="2:18" x14ac:dyDescent="0.3">
      <c r="B3172" s="126"/>
      <c r="G3172" s="137"/>
      <c r="H3172" s="138"/>
      <c r="I3172" s="138"/>
      <c r="J3172" s="139"/>
      <c r="K3172" s="137"/>
      <c r="L3172" s="137"/>
      <c r="P3172" s="137"/>
      <c r="Q3172" s="137"/>
      <c r="R3172" s="126"/>
    </row>
    <row r="3173" spans="2:18" x14ac:dyDescent="0.3">
      <c r="B3173" s="126"/>
      <c r="G3173" s="137"/>
      <c r="H3173" s="138"/>
      <c r="I3173" s="138"/>
      <c r="J3173" s="139"/>
      <c r="K3173" s="137"/>
      <c r="L3173" s="137"/>
      <c r="P3173" s="137"/>
      <c r="Q3173" s="137"/>
      <c r="R3173" s="126"/>
    </row>
    <row r="3174" spans="2:18" x14ac:dyDescent="0.3">
      <c r="B3174" s="126"/>
      <c r="G3174" s="137"/>
      <c r="H3174" s="138"/>
      <c r="I3174" s="138"/>
      <c r="J3174" s="139"/>
      <c r="K3174" s="137"/>
      <c r="L3174" s="137"/>
      <c r="P3174" s="137"/>
      <c r="Q3174" s="137"/>
      <c r="R3174" s="126"/>
    </row>
    <row r="3175" spans="2:18" x14ac:dyDescent="0.3">
      <c r="B3175" s="126"/>
      <c r="G3175" s="137"/>
      <c r="H3175" s="138"/>
      <c r="I3175" s="138"/>
      <c r="J3175" s="139"/>
      <c r="K3175" s="137"/>
      <c r="L3175" s="137"/>
      <c r="P3175" s="137"/>
      <c r="Q3175" s="137"/>
      <c r="R3175" s="126"/>
    </row>
    <row r="3176" spans="2:18" x14ac:dyDescent="0.3">
      <c r="B3176" s="126"/>
      <c r="G3176" s="137"/>
      <c r="H3176" s="138"/>
      <c r="I3176" s="138"/>
      <c r="J3176" s="139"/>
      <c r="K3176" s="137"/>
      <c r="L3176" s="137"/>
      <c r="P3176" s="137"/>
      <c r="Q3176" s="137"/>
      <c r="R3176" s="126"/>
    </row>
    <row r="3177" spans="2:18" x14ac:dyDescent="0.3">
      <c r="B3177" s="126"/>
      <c r="G3177" s="137"/>
      <c r="H3177" s="138"/>
      <c r="I3177" s="138"/>
      <c r="J3177" s="139"/>
      <c r="K3177" s="137"/>
      <c r="L3177" s="137"/>
      <c r="P3177" s="137"/>
      <c r="Q3177" s="137"/>
      <c r="R3177" s="126"/>
    </row>
    <row r="3178" spans="2:18" x14ac:dyDescent="0.3">
      <c r="B3178" s="126"/>
      <c r="G3178" s="137"/>
      <c r="H3178" s="138"/>
      <c r="I3178" s="138"/>
      <c r="J3178" s="139"/>
      <c r="K3178" s="137"/>
      <c r="L3178" s="137"/>
      <c r="P3178" s="137"/>
      <c r="Q3178" s="137"/>
      <c r="R3178" s="126"/>
    </row>
    <row r="3179" spans="2:18" x14ac:dyDescent="0.3">
      <c r="B3179" s="126"/>
      <c r="G3179" s="137"/>
      <c r="H3179" s="138"/>
      <c r="I3179" s="138"/>
      <c r="J3179" s="139"/>
      <c r="K3179" s="137"/>
      <c r="L3179" s="137"/>
      <c r="P3179" s="137"/>
      <c r="Q3179" s="137"/>
      <c r="R3179" s="126"/>
    </row>
    <row r="3180" spans="2:18" x14ac:dyDescent="0.3">
      <c r="B3180" s="126"/>
      <c r="G3180" s="137"/>
      <c r="H3180" s="138"/>
      <c r="I3180" s="138"/>
      <c r="J3180" s="139"/>
      <c r="K3180" s="137"/>
      <c r="L3180" s="137"/>
      <c r="P3180" s="137"/>
      <c r="Q3180" s="137"/>
      <c r="R3180" s="126"/>
    </row>
    <row r="3181" spans="2:18" x14ac:dyDescent="0.3">
      <c r="B3181" s="126"/>
      <c r="G3181" s="137"/>
      <c r="H3181" s="138"/>
      <c r="I3181" s="138"/>
      <c r="J3181" s="139"/>
      <c r="K3181" s="137"/>
      <c r="L3181" s="137"/>
      <c r="P3181" s="137"/>
      <c r="Q3181" s="137"/>
      <c r="R3181" s="126"/>
    </row>
    <row r="3182" spans="2:18" x14ac:dyDescent="0.3">
      <c r="B3182" s="126"/>
      <c r="G3182" s="137"/>
      <c r="H3182" s="138"/>
      <c r="I3182" s="138"/>
      <c r="J3182" s="139"/>
      <c r="K3182" s="137"/>
      <c r="L3182" s="137"/>
      <c r="P3182" s="137"/>
      <c r="Q3182" s="137"/>
      <c r="R3182" s="126"/>
    </row>
    <row r="3183" spans="2:18" x14ac:dyDescent="0.3">
      <c r="B3183" s="126"/>
      <c r="G3183" s="137"/>
      <c r="H3183" s="138"/>
      <c r="I3183" s="138"/>
      <c r="J3183" s="139"/>
      <c r="K3183" s="137"/>
      <c r="L3183" s="137"/>
      <c r="P3183" s="137"/>
      <c r="Q3183" s="137"/>
      <c r="R3183" s="126"/>
    </row>
    <row r="3184" spans="2:18" x14ac:dyDescent="0.3">
      <c r="B3184" s="126"/>
      <c r="G3184" s="137"/>
      <c r="H3184" s="138"/>
      <c r="I3184" s="138"/>
      <c r="J3184" s="139"/>
      <c r="K3184" s="137"/>
      <c r="L3184" s="137"/>
      <c r="P3184" s="137"/>
      <c r="Q3184" s="137"/>
      <c r="R3184" s="126"/>
    </row>
    <row r="3185" spans="2:18" x14ac:dyDescent="0.3">
      <c r="B3185" s="126"/>
      <c r="G3185" s="137"/>
      <c r="H3185" s="138"/>
      <c r="I3185" s="138"/>
      <c r="J3185" s="139"/>
      <c r="K3185" s="137"/>
      <c r="L3185" s="137"/>
      <c r="P3185" s="137"/>
      <c r="Q3185" s="137"/>
      <c r="R3185" s="126"/>
    </row>
    <row r="3186" spans="2:18" x14ac:dyDescent="0.3">
      <c r="B3186" s="126"/>
      <c r="G3186" s="137"/>
      <c r="H3186" s="138"/>
      <c r="I3186" s="138"/>
      <c r="J3186" s="139"/>
      <c r="K3186" s="137"/>
      <c r="L3186" s="137"/>
      <c r="P3186" s="137"/>
      <c r="Q3186" s="137"/>
      <c r="R3186" s="126"/>
    </row>
    <row r="3187" spans="2:18" x14ac:dyDescent="0.3">
      <c r="B3187" s="126"/>
      <c r="G3187" s="137"/>
      <c r="H3187" s="138"/>
      <c r="I3187" s="138"/>
      <c r="J3187" s="139"/>
      <c r="K3187" s="137"/>
      <c r="L3187" s="137"/>
      <c r="P3187" s="137"/>
      <c r="Q3187" s="137"/>
      <c r="R3187" s="126"/>
    </row>
    <row r="3188" spans="2:18" x14ac:dyDescent="0.3">
      <c r="B3188" s="126"/>
      <c r="G3188" s="137"/>
      <c r="H3188" s="138"/>
      <c r="I3188" s="138"/>
      <c r="J3188" s="139"/>
      <c r="K3188" s="137"/>
      <c r="L3188" s="137"/>
      <c r="P3188" s="137"/>
      <c r="Q3188" s="137"/>
      <c r="R3188" s="126"/>
    </row>
    <row r="3189" spans="2:18" x14ac:dyDescent="0.3">
      <c r="B3189" s="126"/>
      <c r="G3189" s="137"/>
      <c r="H3189" s="138"/>
      <c r="I3189" s="138"/>
      <c r="J3189" s="139"/>
      <c r="K3189" s="137"/>
      <c r="L3189" s="137"/>
      <c r="P3189" s="137"/>
      <c r="Q3189" s="137"/>
      <c r="R3189" s="126"/>
    </row>
    <row r="3190" spans="2:18" x14ac:dyDescent="0.3">
      <c r="B3190" s="126"/>
      <c r="G3190" s="137"/>
      <c r="H3190" s="138"/>
      <c r="I3190" s="138"/>
      <c r="J3190" s="139"/>
      <c r="K3190" s="137"/>
      <c r="L3190" s="137"/>
      <c r="P3190" s="137"/>
      <c r="Q3190" s="137"/>
      <c r="R3190" s="126"/>
    </row>
    <row r="3191" spans="2:18" x14ac:dyDescent="0.3">
      <c r="B3191" s="126"/>
      <c r="G3191" s="137"/>
      <c r="H3191" s="138"/>
      <c r="I3191" s="138"/>
      <c r="J3191" s="139"/>
      <c r="K3191" s="137"/>
      <c r="L3191" s="137"/>
      <c r="P3191" s="137"/>
      <c r="Q3191" s="137"/>
      <c r="R3191" s="126"/>
    </row>
    <row r="3192" spans="2:18" x14ac:dyDescent="0.3">
      <c r="B3192" s="126"/>
      <c r="G3192" s="137"/>
      <c r="H3192" s="138"/>
      <c r="I3192" s="138"/>
      <c r="J3192" s="139"/>
      <c r="K3192" s="137"/>
      <c r="L3192" s="137"/>
      <c r="P3192" s="137"/>
      <c r="Q3192" s="137"/>
      <c r="R3192" s="126"/>
    </row>
    <row r="3193" spans="2:18" x14ac:dyDescent="0.3">
      <c r="B3193" s="126"/>
      <c r="G3193" s="137"/>
      <c r="H3193" s="138"/>
      <c r="I3193" s="138"/>
      <c r="J3193" s="139"/>
      <c r="K3193" s="137"/>
      <c r="L3193" s="137"/>
      <c r="P3193" s="137"/>
      <c r="Q3193" s="137"/>
      <c r="R3193" s="126"/>
    </row>
    <row r="3194" spans="2:18" x14ac:dyDescent="0.3">
      <c r="B3194" s="126"/>
      <c r="G3194" s="137"/>
      <c r="H3194" s="138"/>
      <c r="I3194" s="138"/>
      <c r="J3194" s="139"/>
      <c r="K3194" s="137"/>
      <c r="L3194" s="137"/>
      <c r="P3194" s="137"/>
      <c r="Q3194" s="137"/>
      <c r="R3194" s="126"/>
    </row>
    <row r="3195" spans="2:18" x14ac:dyDescent="0.3">
      <c r="B3195" s="126"/>
      <c r="G3195" s="137"/>
      <c r="H3195" s="138"/>
      <c r="I3195" s="138"/>
      <c r="J3195" s="139"/>
      <c r="K3195" s="137"/>
      <c r="L3195" s="137"/>
      <c r="P3195" s="137"/>
      <c r="Q3195" s="137"/>
      <c r="R3195" s="126"/>
    </row>
    <row r="3196" spans="2:18" x14ac:dyDescent="0.3">
      <c r="B3196" s="126"/>
      <c r="G3196" s="137"/>
      <c r="H3196" s="138"/>
      <c r="I3196" s="138"/>
      <c r="J3196" s="139"/>
      <c r="K3196" s="137"/>
      <c r="L3196" s="137"/>
      <c r="P3196" s="137"/>
      <c r="Q3196" s="137"/>
      <c r="R3196" s="126"/>
    </row>
    <row r="3197" spans="2:18" x14ac:dyDescent="0.3">
      <c r="B3197" s="126"/>
      <c r="G3197" s="137"/>
      <c r="H3197" s="138"/>
      <c r="I3197" s="138"/>
      <c r="J3197" s="139"/>
      <c r="K3197" s="137"/>
      <c r="L3197" s="137"/>
      <c r="P3197" s="137"/>
      <c r="Q3197" s="137"/>
      <c r="R3197" s="126"/>
    </row>
    <row r="3198" spans="2:18" x14ac:dyDescent="0.3">
      <c r="B3198" s="126"/>
      <c r="G3198" s="137"/>
      <c r="H3198" s="138"/>
      <c r="I3198" s="138"/>
      <c r="J3198" s="139"/>
      <c r="K3198" s="137"/>
      <c r="L3198" s="137"/>
      <c r="P3198" s="137"/>
      <c r="Q3198" s="137"/>
      <c r="R3198" s="126"/>
    </row>
    <row r="3199" spans="2:18" x14ac:dyDescent="0.3">
      <c r="B3199" s="126"/>
      <c r="G3199" s="137"/>
      <c r="H3199" s="138"/>
      <c r="I3199" s="138"/>
      <c r="J3199" s="139"/>
      <c r="K3199" s="137"/>
      <c r="L3199" s="137"/>
      <c r="P3199" s="137"/>
      <c r="Q3199" s="137"/>
      <c r="R3199" s="126"/>
    </row>
    <row r="3200" spans="2:18" x14ac:dyDescent="0.3">
      <c r="B3200" s="126"/>
      <c r="G3200" s="137"/>
      <c r="H3200" s="138"/>
      <c r="I3200" s="138"/>
      <c r="J3200" s="139"/>
      <c r="K3200" s="137"/>
      <c r="L3200" s="137"/>
      <c r="P3200" s="137"/>
      <c r="Q3200" s="137"/>
      <c r="R3200" s="126"/>
    </row>
    <row r="3201" spans="2:18" x14ac:dyDescent="0.3">
      <c r="B3201" s="126"/>
      <c r="G3201" s="137"/>
      <c r="H3201" s="138"/>
      <c r="I3201" s="138"/>
      <c r="J3201" s="139"/>
      <c r="K3201" s="137"/>
      <c r="L3201" s="137"/>
      <c r="P3201" s="137"/>
      <c r="Q3201" s="137"/>
      <c r="R3201" s="126"/>
    </row>
    <row r="3202" spans="2:18" x14ac:dyDescent="0.3">
      <c r="B3202" s="126"/>
      <c r="G3202" s="137"/>
      <c r="H3202" s="138"/>
      <c r="I3202" s="138"/>
      <c r="J3202" s="139"/>
      <c r="K3202" s="137"/>
      <c r="L3202" s="137"/>
      <c r="P3202" s="137"/>
      <c r="Q3202" s="137"/>
      <c r="R3202" s="126"/>
    </row>
    <row r="3203" spans="2:18" x14ac:dyDescent="0.3">
      <c r="B3203" s="126"/>
      <c r="G3203" s="137"/>
      <c r="H3203" s="138"/>
      <c r="I3203" s="138"/>
      <c r="J3203" s="139"/>
      <c r="K3203" s="137"/>
      <c r="L3203" s="137"/>
      <c r="P3203" s="137"/>
      <c r="Q3203" s="137"/>
      <c r="R3203" s="126"/>
    </row>
    <row r="3204" spans="2:18" x14ac:dyDescent="0.3">
      <c r="B3204" s="126"/>
      <c r="G3204" s="137"/>
      <c r="H3204" s="138"/>
      <c r="I3204" s="138"/>
      <c r="J3204" s="139"/>
      <c r="K3204" s="137"/>
      <c r="L3204" s="137"/>
      <c r="P3204" s="137"/>
      <c r="Q3204" s="137"/>
      <c r="R3204" s="126"/>
    </row>
    <row r="3205" spans="2:18" x14ac:dyDescent="0.3">
      <c r="B3205" s="126"/>
      <c r="G3205" s="137"/>
      <c r="H3205" s="138"/>
      <c r="I3205" s="138"/>
      <c r="J3205" s="139"/>
      <c r="K3205" s="137"/>
      <c r="L3205" s="137"/>
      <c r="P3205" s="137"/>
      <c r="Q3205" s="137"/>
      <c r="R3205" s="126"/>
    </row>
    <row r="3206" spans="2:18" x14ac:dyDescent="0.3">
      <c r="B3206" s="126"/>
      <c r="G3206" s="137"/>
      <c r="H3206" s="138"/>
      <c r="I3206" s="138"/>
      <c r="J3206" s="139"/>
      <c r="K3206" s="137"/>
      <c r="L3206" s="137"/>
      <c r="P3206" s="137"/>
      <c r="Q3206" s="137"/>
      <c r="R3206" s="126"/>
    </row>
    <row r="3207" spans="2:18" x14ac:dyDescent="0.3">
      <c r="B3207" s="126"/>
      <c r="G3207" s="137"/>
      <c r="H3207" s="138"/>
      <c r="I3207" s="138"/>
      <c r="J3207" s="139"/>
      <c r="K3207" s="137"/>
      <c r="L3207" s="137"/>
      <c r="P3207" s="137"/>
      <c r="Q3207" s="137"/>
      <c r="R3207" s="126"/>
    </row>
    <row r="3208" spans="2:18" x14ac:dyDescent="0.3">
      <c r="B3208" s="126"/>
      <c r="G3208" s="137"/>
      <c r="H3208" s="138"/>
      <c r="I3208" s="138"/>
      <c r="J3208" s="139"/>
      <c r="K3208" s="137"/>
      <c r="L3208" s="137"/>
      <c r="P3208" s="137"/>
      <c r="Q3208" s="137"/>
      <c r="R3208" s="126"/>
    </row>
    <row r="3209" spans="2:18" x14ac:dyDescent="0.3">
      <c r="B3209" s="126"/>
      <c r="G3209" s="137"/>
      <c r="H3209" s="138"/>
      <c r="I3209" s="138"/>
      <c r="J3209" s="139"/>
      <c r="K3209" s="137"/>
      <c r="L3209" s="137"/>
      <c r="P3209" s="137"/>
      <c r="Q3209" s="137"/>
      <c r="R3209" s="126"/>
    </row>
    <row r="3210" spans="2:18" x14ac:dyDescent="0.3">
      <c r="B3210" s="126"/>
      <c r="G3210" s="137"/>
      <c r="H3210" s="138"/>
      <c r="I3210" s="138"/>
      <c r="J3210" s="139"/>
      <c r="K3210" s="137"/>
      <c r="L3210" s="137"/>
      <c r="P3210" s="137"/>
      <c r="Q3210" s="137"/>
      <c r="R3210" s="126"/>
    </row>
    <row r="3211" spans="2:18" x14ac:dyDescent="0.3">
      <c r="B3211" s="126"/>
      <c r="G3211" s="137"/>
      <c r="H3211" s="138"/>
      <c r="I3211" s="138"/>
      <c r="J3211" s="139"/>
      <c r="K3211" s="137"/>
      <c r="L3211" s="137"/>
      <c r="P3211" s="137"/>
      <c r="Q3211" s="137"/>
      <c r="R3211" s="126"/>
    </row>
    <row r="3212" spans="2:18" x14ac:dyDescent="0.3">
      <c r="B3212" s="126"/>
      <c r="G3212" s="137"/>
      <c r="H3212" s="138"/>
      <c r="I3212" s="138"/>
      <c r="J3212" s="139"/>
      <c r="K3212" s="137"/>
      <c r="L3212" s="137"/>
      <c r="P3212" s="137"/>
      <c r="Q3212" s="137"/>
      <c r="R3212" s="126"/>
    </row>
    <row r="3213" spans="2:18" x14ac:dyDescent="0.3">
      <c r="B3213" s="126"/>
      <c r="G3213" s="137"/>
      <c r="H3213" s="138"/>
      <c r="I3213" s="138"/>
      <c r="J3213" s="139"/>
      <c r="K3213" s="137"/>
      <c r="L3213" s="137"/>
      <c r="P3213" s="137"/>
      <c r="Q3213" s="137"/>
      <c r="R3213" s="126"/>
    </row>
    <row r="3214" spans="2:18" x14ac:dyDescent="0.3">
      <c r="B3214" s="126"/>
      <c r="G3214" s="137"/>
      <c r="H3214" s="138"/>
      <c r="I3214" s="138"/>
      <c r="J3214" s="139"/>
      <c r="K3214" s="137"/>
      <c r="L3214" s="137"/>
      <c r="P3214" s="137"/>
      <c r="Q3214" s="137"/>
      <c r="R3214" s="126"/>
    </row>
    <row r="3215" spans="2:18" x14ac:dyDescent="0.3">
      <c r="B3215" s="126"/>
      <c r="G3215" s="137"/>
      <c r="H3215" s="138"/>
      <c r="I3215" s="138"/>
      <c r="J3215" s="139"/>
      <c r="K3215" s="137"/>
      <c r="L3215" s="137"/>
      <c r="P3215" s="137"/>
      <c r="Q3215" s="137"/>
      <c r="R3215" s="126"/>
    </row>
    <row r="3216" spans="2:18" x14ac:dyDescent="0.3">
      <c r="B3216" s="126"/>
      <c r="G3216" s="137"/>
      <c r="H3216" s="138"/>
      <c r="I3216" s="138"/>
      <c r="J3216" s="139"/>
      <c r="K3216" s="137"/>
      <c r="L3216" s="137"/>
      <c r="P3216" s="137"/>
      <c r="Q3216" s="137"/>
      <c r="R3216" s="126"/>
    </row>
    <row r="3217" spans="2:18" x14ac:dyDescent="0.3">
      <c r="B3217" s="126"/>
      <c r="G3217" s="137"/>
      <c r="H3217" s="138"/>
      <c r="I3217" s="138"/>
      <c r="J3217" s="139"/>
      <c r="K3217" s="137"/>
      <c r="L3217" s="137"/>
      <c r="P3217" s="137"/>
      <c r="Q3217" s="137"/>
      <c r="R3217" s="126"/>
    </row>
    <row r="3218" spans="2:18" x14ac:dyDescent="0.3">
      <c r="B3218" s="126"/>
      <c r="G3218" s="137"/>
      <c r="H3218" s="138"/>
      <c r="I3218" s="138"/>
      <c r="J3218" s="139"/>
      <c r="K3218" s="137"/>
      <c r="L3218" s="137"/>
      <c r="P3218" s="137"/>
      <c r="Q3218" s="137"/>
      <c r="R3218" s="126"/>
    </row>
    <row r="3219" spans="2:18" x14ac:dyDescent="0.3">
      <c r="B3219" s="126"/>
      <c r="G3219" s="137"/>
      <c r="H3219" s="138"/>
      <c r="I3219" s="138"/>
      <c r="J3219" s="139"/>
      <c r="K3219" s="137"/>
      <c r="L3219" s="137"/>
      <c r="P3219" s="137"/>
      <c r="Q3219" s="137"/>
      <c r="R3219" s="126"/>
    </row>
    <row r="3220" spans="2:18" x14ac:dyDescent="0.3">
      <c r="B3220" s="126"/>
      <c r="G3220" s="137"/>
      <c r="H3220" s="138"/>
      <c r="I3220" s="138"/>
      <c r="J3220" s="139"/>
      <c r="K3220" s="137"/>
      <c r="L3220" s="137"/>
      <c r="P3220" s="137"/>
      <c r="Q3220" s="137"/>
      <c r="R3220" s="126"/>
    </row>
    <row r="3221" spans="2:18" x14ac:dyDescent="0.3">
      <c r="B3221" s="126"/>
      <c r="G3221" s="137"/>
      <c r="H3221" s="138"/>
      <c r="I3221" s="138"/>
      <c r="J3221" s="139"/>
      <c r="K3221" s="137"/>
      <c r="L3221" s="137"/>
      <c r="P3221" s="137"/>
      <c r="Q3221" s="137"/>
      <c r="R3221" s="126"/>
    </row>
    <row r="3222" spans="2:18" x14ac:dyDescent="0.3">
      <c r="B3222" s="126"/>
      <c r="G3222" s="137"/>
      <c r="H3222" s="138"/>
      <c r="I3222" s="138"/>
      <c r="J3222" s="139"/>
      <c r="K3222" s="137"/>
      <c r="L3222" s="137"/>
      <c r="P3222" s="137"/>
      <c r="Q3222" s="137"/>
      <c r="R3222" s="126"/>
    </row>
    <row r="3223" spans="2:18" x14ac:dyDescent="0.3">
      <c r="B3223" s="126"/>
      <c r="G3223" s="137"/>
      <c r="H3223" s="138"/>
      <c r="I3223" s="138"/>
      <c r="J3223" s="139"/>
      <c r="K3223" s="137"/>
      <c r="L3223" s="137"/>
      <c r="P3223" s="137"/>
      <c r="Q3223" s="137"/>
      <c r="R3223" s="126"/>
    </row>
    <row r="3224" spans="2:18" x14ac:dyDescent="0.3">
      <c r="B3224" s="126"/>
      <c r="G3224" s="137"/>
      <c r="H3224" s="138"/>
      <c r="I3224" s="138"/>
      <c r="J3224" s="139"/>
      <c r="K3224" s="137"/>
      <c r="L3224" s="137"/>
      <c r="P3224" s="137"/>
      <c r="Q3224" s="137"/>
      <c r="R3224" s="126"/>
    </row>
    <row r="3225" spans="2:18" x14ac:dyDescent="0.3">
      <c r="B3225" s="126"/>
      <c r="G3225" s="137"/>
      <c r="H3225" s="138"/>
      <c r="I3225" s="138"/>
      <c r="J3225" s="139"/>
      <c r="K3225" s="137"/>
      <c r="L3225" s="137"/>
      <c r="P3225" s="137"/>
      <c r="Q3225" s="137"/>
      <c r="R3225" s="126"/>
    </row>
    <row r="3226" spans="2:18" x14ac:dyDescent="0.3">
      <c r="B3226" s="126"/>
      <c r="G3226" s="137"/>
      <c r="H3226" s="138"/>
      <c r="I3226" s="138"/>
      <c r="J3226" s="139"/>
      <c r="K3226" s="137"/>
      <c r="L3226" s="137"/>
      <c r="P3226" s="137"/>
      <c r="Q3226" s="137"/>
      <c r="R3226" s="126"/>
    </row>
    <row r="3227" spans="2:18" x14ac:dyDescent="0.3">
      <c r="B3227" s="126"/>
      <c r="G3227" s="137"/>
      <c r="H3227" s="138"/>
      <c r="I3227" s="138"/>
      <c r="J3227" s="139"/>
      <c r="K3227" s="137"/>
      <c r="L3227" s="137"/>
      <c r="P3227" s="137"/>
      <c r="Q3227" s="137"/>
      <c r="R3227" s="126"/>
    </row>
    <row r="3228" spans="2:18" x14ac:dyDescent="0.3">
      <c r="B3228" s="126"/>
      <c r="G3228" s="137"/>
      <c r="H3228" s="138"/>
      <c r="I3228" s="138"/>
      <c r="J3228" s="139"/>
      <c r="K3228" s="137"/>
      <c r="L3228" s="137"/>
      <c r="P3228" s="137"/>
      <c r="Q3228" s="137"/>
      <c r="R3228" s="126"/>
    </row>
    <row r="3229" spans="2:18" x14ac:dyDescent="0.3">
      <c r="B3229" s="126"/>
      <c r="G3229" s="137"/>
      <c r="H3229" s="138"/>
      <c r="I3229" s="138"/>
      <c r="J3229" s="139"/>
      <c r="K3229" s="137"/>
      <c r="L3229" s="137"/>
      <c r="P3229" s="137"/>
      <c r="Q3229" s="137"/>
      <c r="R3229" s="126"/>
    </row>
    <row r="3230" spans="2:18" x14ac:dyDescent="0.3">
      <c r="B3230" s="126"/>
      <c r="G3230" s="137"/>
      <c r="H3230" s="138"/>
      <c r="I3230" s="138"/>
      <c r="J3230" s="139"/>
      <c r="K3230" s="137"/>
      <c r="L3230" s="137"/>
      <c r="P3230" s="137"/>
      <c r="Q3230" s="137"/>
      <c r="R3230" s="126"/>
    </row>
    <row r="3231" spans="2:18" x14ac:dyDescent="0.3">
      <c r="B3231" s="126"/>
      <c r="G3231" s="137"/>
      <c r="H3231" s="138"/>
      <c r="I3231" s="138"/>
      <c r="J3231" s="139"/>
      <c r="K3231" s="137"/>
      <c r="L3231" s="137"/>
      <c r="P3231" s="137"/>
      <c r="Q3231" s="137"/>
      <c r="R3231" s="126"/>
    </row>
    <row r="3232" spans="2:18" x14ac:dyDescent="0.3">
      <c r="B3232" s="126"/>
      <c r="G3232" s="137"/>
      <c r="H3232" s="138"/>
      <c r="I3232" s="138"/>
      <c r="J3232" s="139"/>
      <c r="K3232" s="137"/>
      <c r="L3232" s="137"/>
      <c r="P3232" s="137"/>
      <c r="Q3232" s="137"/>
      <c r="R3232" s="126"/>
    </row>
    <row r="3233" spans="2:18" x14ac:dyDescent="0.3">
      <c r="B3233" s="126"/>
      <c r="G3233" s="137"/>
      <c r="H3233" s="138"/>
      <c r="I3233" s="138"/>
      <c r="J3233" s="139"/>
      <c r="K3233" s="137"/>
      <c r="L3233" s="137"/>
      <c r="P3233" s="137"/>
      <c r="Q3233" s="137"/>
      <c r="R3233" s="126"/>
    </row>
    <row r="3234" spans="2:18" x14ac:dyDescent="0.3">
      <c r="B3234" s="126"/>
      <c r="G3234" s="137"/>
      <c r="H3234" s="138"/>
      <c r="I3234" s="138"/>
      <c r="J3234" s="139"/>
      <c r="K3234" s="137"/>
      <c r="L3234" s="137"/>
      <c r="P3234" s="137"/>
      <c r="Q3234" s="137"/>
      <c r="R3234" s="126"/>
    </row>
    <row r="3235" spans="2:18" x14ac:dyDescent="0.3">
      <c r="B3235" s="126"/>
      <c r="G3235" s="137"/>
      <c r="H3235" s="138"/>
      <c r="I3235" s="138"/>
      <c r="J3235" s="139"/>
      <c r="K3235" s="137"/>
      <c r="L3235" s="137"/>
      <c r="P3235" s="137"/>
      <c r="Q3235" s="137"/>
      <c r="R3235" s="126"/>
    </row>
    <row r="3236" spans="2:18" x14ac:dyDescent="0.3">
      <c r="B3236" s="126"/>
      <c r="G3236" s="137"/>
      <c r="H3236" s="138"/>
      <c r="I3236" s="138"/>
      <c r="J3236" s="139"/>
      <c r="K3236" s="137"/>
      <c r="L3236" s="137"/>
      <c r="P3236" s="137"/>
      <c r="Q3236" s="137"/>
      <c r="R3236" s="126"/>
    </row>
    <row r="3237" spans="2:18" x14ac:dyDescent="0.3">
      <c r="B3237" s="126"/>
      <c r="G3237" s="137"/>
      <c r="H3237" s="138"/>
      <c r="I3237" s="138"/>
      <c r="J3237" s="139"/>
      <c r="K3237" s="137"/>
      <c r="L3237" s="137"/>
      <c r="P3237" s="137"/>
      <c r="Q3237" s="137"/>
      <c r="R3237" s="126"/>
    </row>
    <row r="3238" spans="2:18" x14ac:dyDescent="0.3">
      <c r="B3238" s="126"/>
      <c r="G3238" s="137"/>
      <c r="H3238" s="138"/>
      <c r="I3238" s="138"/>
      <c r="J3238" s="139"/>
      <c r="K3238" s="137"/>
      <c r="L3238" s="137"/>
      <c r="P3238" s="137"/>
      <c r="Q3238" s="137"/>
      <c r="R3238" s="126"/>
    </row>
    <row r="3239" spans="2:18" x14ac:dyDescent="0.3">
      <c r="B3239" s="126"/>
      <c r="G3239" s="137"/>
      <c r="H3239" s="138"/>
      <c r="I3239" s="138"/>
      <c r="J3239" s="139"/>
      <c r="K3239" s="137"/>
      <c r="L3239" s="137"/>
      <c r="P3239" s="137"/>
      <c r="Q3239" s="137"/>
      <c r="R3239" s="126"/>
    </row>
    <row r="3240" spans="2:18" x14ac:dyDescent="0.3">
      <c r="B3240" s="126"/>
      <c r="G3240" s="137"/>
      <c r="H3240" s="138"/>
      <c r="I3240" s="138"/>
      <c r="J3240" s="139"/>
      <c r="K3240" s="137"/>
      <c r="L3240" s="137"/>
      <c r="P3240" s="137"/>
      <c r="Q3240" s="137"/>
      <c r="R3240" s="126"/>
    </row>
    <row r="3241" spans="2:18" x14ac:dyDescent="0.3">
      <c r="B3241" s="126"/>
      <c r="G3241" s="137"/>
      <c r="H3241" s="138"/>
      <c r="I3241" s="138"/>
      <c r="J3241" s="139"/>
      <c r="K3241" s="137"/>
      <c r="L3241" s="137"/>
      <c r="P3241" s="137"/>
      <c r="Q3241" s="137"/>
      <c r="R3241" s="126"/>
    </row>
    <row r="3242" spans="2:18" x14ac:dyDescent="0.3">
      <c r="B3242" s="126"/>
      <c r="G3242" s="137"/>
      <c r="H3242" s="138"/>
      <c r="I3242" s="138"/>
      <c r="J3242" s="139"/>
      <c r="K3242" s="137"/>
      <c r="L3242" s="137"/>
      <c r="P3242" s="137"/>
      <c r="Q3242" s="137"/>
      <c r="R3242" s="126"/>
    </row>
    <row r="3243" spans="2:18" x14ac:dyDescent="0.3">
      <c r="B3243" s="126"/>
      <c r="G3243" s="137"/>
      <c r="H3243" s="138"/>
      <c r="I3243" s="138"/>
      <c r="J3243" s="139"/>
      <c r="K3243" s="137"/>
      <c r="L3243" s="137"/>
      <c r="P3243" s="137"/>
      <c r="Q3243" s="137"/>
      <c r="R3243" s="126"/>
    </row>
    <row r="3244" spans="2:18" x14ac:dyDescent="0.3">
      <c r="B3244" s="126"/>
      <c r="G3244" s="137"/>
      <c r="H3244" s="138"/>
      <c r="I3244" s="138"/>
      <c r="J3244" s="139"/>
      <c r="K3244" s="137"/>
      <c r="L3244" s="137"/>
      <c r="P3244" s="137"/>
      <c r="Q3244" s="137"/>
      <c r="R3244" s="126"/>
    </row>
    <row r="3245" spans="2:18" x14ac:dyDescent="0.3">
      <c r="B3245" s="126"/>
      <c r="G3245" s="137"/>
      <c r="H3245" s="138"/>
      <c r="I3245" s="138"/>
      <c r="J3245" s="139"/>
      <c r="K3245" s="137"/>
      <c r="L3245" s="137"/>
      <c r="P3245" s="137"/>
      <c r="Q3245" s="137"/>
      <c r="R3245" s="126"/>
    </row>
    <row r="3246" spans="2:18" x14ac:dyDescent="0.3">
      <c r="B3246" s="126"/>
      <c r="G3246" s="137"/>
      <c r="H3246" s="138"/>
      <c r="I3246" s="138"/>
      <c r="J3246" s="139"/>
      <c r="K3246" s="137"/>
      <c r="L3246" s="137"/>
      <c r="P3246" s="137"/>
      <c r="Q3246" s="137"/>
      <c r="R3246" s="126"/>
    </row>
    <row r="3247" spans="2:18" x14ac:dyDescent="0.3">
      <c r="B3247" s="126"/>
      <c r="G3247" s="137"/>
      <c r="H3247" s="138"/>
      <c r="I3247" s="138"/>
      <c r="J3247" s="139"/>
      <c r="K3247" s="137"/>
      <c r="L3247" s="137"/>
      <c r="P3247" s="137"/>
      <c r="Q3247" s="137"/>
      <c r="R3247" s="126"/>
    </row>
    <row r="3248" spans="2:18" x14ac:dyDescent="0.3">
      <c r="B3248" s="126"/>
      <c r="G3248" s="137"/>
      <c r="H3248" s="138"/>
      <c r="I3248" s="138"/>
      <c r="J3248" s="139"/>
      <c r="K3248" s="137"/>
      <c r="L3248" s="137"/>
      <c r="P3248" s="137"/>
      <c r="Q3248" s="137"/>
      <c r="R3248" s="126"/>
    </row>
    <row r="3249" spans="2:18" x14ac:dyDescent="0.3">
      <c r="B3249" s="126"/>
      <c r="G3249" s="137"/>
      <c r="H3249" s="138"/>
      <c r="I3249" s="138"/>
      <c r="J3249" s="139"/>
      <c r="K3249" s="137"/>
      <c r="L3249" s="137"/>
      <c r="P3249" s="137"/>
      <c r="Q3249" s="137"/>
      <c r="R3249" s="126"/>
    </row>
    <row r="3250" spans="2:18" x14ac:dyDescent="0.3">
      <c r="B3250" s="126"/>
      <c r="G3250" s="137"/>
      <c r="H3250" s="138"/>
      <c r="I3250" s="138"/>
      <c r="J3250" s="139"/>
      <c r="K3250" s="137"/>
      <c r="L3250" s="137"/>
      <c r="P3250" s="137"/>
      <c r="Q3250" s="137"/>
      <c r="R3250" s="126"/>
    </row>
    <row r="3251" spans="2:18" x14ac:dyDescent="0.3">
      <c r="B3251" s="126"/>
      <c r="G3251" s="137"/>
      <c r="H3251" s="138"/>
      <c r="I3251" s="138"/>
      <c r="J3251" s="139"/>
      <c r="K3251" s="137"/>
      <c r="L3251" s="137"/>
      <c r="P3251" s="137"/>
      <c r="Q3251" s="137"/>
      <c r="R3251" s="126"/>
    </row>
    <row r="3252" spans="2:18" x14ac:dyDescent="0.3">
      <c r="B3252" s="126"/>
      <c r="G3252" s="137"/>
      <c r="H3252" s="138"/>
      <c r="I3252" s="138"/>
      <c r="J3252" s="139"/>
      <c r="K3252" s="137"/>
      <c r="L3252" s="137"/>
      <c r="P3252" s="137"/>
      <c r="Q3252" s="137"/>
      <c r="R3252" s="126"/>
    </row>
    <row r="3253" spans="2:18" x14ac:dyDescent="0.3">
      <c r="B3253" s="126"/>
      <c r="G3253" s="137"/>
      <c r="H3253" s="138"/>
      <c r="I3253" s="138"/>
      <c r="J3253" s="139"/>
      <c r="K3253" s="137"/>
      <c r="L3253" s="137"/>
      <c r="P3253" s="137"/>
      <c r="Q3253" s="137"/>
      <c r="R3253" s="126"/>
    </row>
    <row r="3254" spans="2:18" x14ac:dyDescent="0.3">
      <c r="B3254" s="126"/>
      <c r="G3254" s="137"/>
      <c r="H3254" s="138"/>
      <c r="I3254" s="138"/>
      <c r="J3254" s="139"/>
      <c r="K3254" s="137"/>
      <c r="L3254" s="137"/>
      <c r="P3254" s="137"/>
      <c r="Q3254" s="137"/>
      <c r="R3254" s="126"/>
    </row>
    <row r="3255" spans="2:18" x14ac:dyDescent="0.3">
      <c r="B3255" s="126"/>
      <c r="G3255" s="137"/>
      <c r="H3255" s="138"/>
      <c r="I3255" s="138"/>
      <c r="J3255" s="139"/>
      <c r="K3255" s="137"/>
      <c r="L3255" s="137"/>
      <c r="P3255" s="137"/>
      <c r="Q3255" s="137"/>
      <c r="R3255" s="126"/>
    </row>
    <row r="3256" spans="2:18" x14ac:dyDescent="0.3">
      <c r="B3256" s="126"/>
      <c r="G3256" s="137"/>
      <c r="H3256" s="138"/>
      <c r="I3256" s="138"/>
      <c r="J3256" s="139"/>
      <c r="K3256" s="137"/>
      <c r="L3256" s="137"/>
      <c r="P3256" s="137"/>
      <c r="Q3256" s="137"/>
      <c r="R3256" s="126"/>
    </row>
    <row r="3257" spans="2:18" x14ac:dyDescent="0.3">
      <c r="B3257" s="126"/>
      <c r="G3257" s="137"/>
      <c r="H3257" s="138"/>
      <c r="I3257" s="138"/>
      <c r="J3257" s="139"/>
      <c r="K3257" s="137"/>
      <c r="L3257" s="137"/>
      <c r="P3257" s="137"/>
      <c r="Q3257" s="137"/>
      <c r="R3257" s="126"/>
    </row>
    <row r="3258" spans="2:18" x14ac:dyDescent="0.3">
      <c r="B3258" s="126"/>
      <c r="G3258" s="137"/>
      <c r="H3258" s="138"/>
      <c r="I3258" s="138"/>
      <c r="J3258" s="139"/>
      <c r="K3258" s="137"/>
      <c r="L3258" s="137"/>
      <c r="P3258" s="137"/>
      <c r="Q3258" s="137"/>
      <c r="R3258" s="126"/>
    </row>
    <row r="3259" spans="2:18" x14ac:dyDescent="0.3">
      <c r="B3259" s="126"/>
      <c r="G3259" s="137"/>
      <c r="H3259" s="138"/>
      <c r="I3259" s="138"/>
      <c r="J3259" s="139"/>
      <c r="K3259" s="137"/>
      <c r="L3259" s="137"/>
      <c r="P3259" s="137"/>
      <c r="Q3259" s="137"/>
      <c r="R3259" s="126"/>
    </row>
    <row r="3260" spans="2:18" x14ac:dyDescent="0.3">
      <c r="B3260" s="126"/>
      <c r="G3260" s="137"/>
      <c r="H3260" s="138"/>
      <c r="I3260" s="138"/>
      <c r="J3260" s="139"/>
      <c r="K3260" s="137"/>
      <c r="L3260" s="137"/>
      <c r="P3260" s="137"/>
      <c r="Q3260" s="137"/>
      <c r="R3260" s="126"/>
    </row>
    <row r="3261" spans="2:18" x14ac:dyDescent="0.3">
      <c r="B3261" s="126"/>
      <c r="G3261" s="137"/>
      <c r="H3261" s="138"/>
      <c r="I3261" s="138"/>
      <c r="J3261" s="139"/>
      <c r="K3261" s="137"/>
      <c r="L3261" s="137"/>
      <c r="P3261" s="137"/>
      <c r="Q3261" s="137"/>
      <c r="R3261" s="126"/>
    </row>
    <row r="3262" spans="2:18" x14ac:dyDescent="0.3">
      <c r="B3262" s="126"/>
      <c r="G3262" s="137"/>
      <c r="H3262" s="138"/>
      <c r="I3262" s="138"/>
      <c r="J3262" s="139"/>
      <c r="K3262" s="137"/>
      <c r="L3262" s="137"/>
      <c r="P3262" s="137"/>
      <c r="Q3262" s="137"/>
      <c r="R3262" s="126"/>
    </row>
    <row r="3263" spans="2:18" x14ac:dyDescent="0.3">
      <c r="B3263" s="126"/>
      <c r="G3263" s="137"/>
      <c r="H3263" s="138"/>
      <c r="I3263" s="138"/>
      <c r="J3263" s="139"/>
      <c r="K3263" s="137"/>
      <c r="L3263" s="137"/>
      <c r="P3263" s="137"/>
      <c r="Q3263" s="137"/>
      <c r="R3263" s="126"/>
    </row>
    <row r="3264" spans="2:18" x14ac:dyDescent="0.3">
      <c r="B3264" s="126"/>
      <c r="G3264" s="137"/>
      <c r="H3264" s="138"/>
      <c r="I3264" s="138"/>
      <c r="J3264" s="139"/>
      <c r="K3264" s="137"/>
      <c r="L3264" s="137"/>
      <c r="P3264" s="137"/>
      <c r="Q3264" s="137"/>
      <c r="R3264" s="126"/>
    </row>
    <row r="3265" spans="2:18" x14ac:dyDescent="0.3">
      <c r="B3265" s="126"/>
      <c r="G3265" s="137"/>
      <c r="H3265" s="138"/>
      <c r="I3265" s="138"/>
      <c r="J3265" s="139"/>
      <c r="K3265" s="137"/>
      <c r="L3265" s="137"/>
      <c r="P3265" s="137"/>
      <c r="Q3265" s="137"/>
      <c r="R3265" s="126"/>
    </row>
    <row r="3266" spans="2:18" x14ac:dyDescent="0.3">
      <c r="B3266" s="126"/>
      <c r="G3266" s="137"/>
      <c r="H3266" s="138"/>
      <c r="I3266" s="138"/>
      <c r="J3266" s="139"/>
      <c r="K3266" s="137"/>
      <c r="L3266" s="137"/>
      <c r="P3266" s="137"/>
      <c r="Q3266" s="137"/>
      <c r="R3266" s="126"/>
    </row>
    <row r="3267" spans="2:18" x14ac:dyDescent="0.3">
      <c r="B3267" s="126"/>
      <c r="G3267" s="137"/>
      <c r="H3267" s="138"/>
      <c r="I3267" s="138"/>
      <c r="J3267" s="139"/>
      <c r="K3267" s="137"/>
      <c r="L3267" s="137"/>
      <c r="P3267" s="137"/>
      <c r="Q3267" s="137"/>
      <c r="R3267" s="126"/>
    </row>
    <row r="3268" spans="2:18" x14ac:dyDescent="0.3">
      <c r="B3268" s="126"/>
      <c r="G3268" s="137"/>
      <c r="H3268" s="138"/>
      <c r="I3268" s="138"/>
      <c r="J3268" s="139"/>
      <c r="K3268" s="137"/>
      <c r="L3268" s="137"/>
      <c r="P3268" s="137"/>
      <c r="Q3268" s="137"/>
      <c r="R3268" s="126"/>
    </row>
    <row r="3269" spans="2:18" x14ac:dyDescent="0.3">
      <c r="B3269" s="126"/>
      <c r="G3269" s="137"/>
      <c r="H3269" s="138"/>
      <c r="I3269" s="138"/>
      <c r="J3269" s="139"/>
      <c r="K3269" s="137"/>
      <c r="L3269" s="137"/>
      <c r="P3269" s="137"/>
      <c r="Q3269" s="137"/>
      <c r="R3269" s="126"/>
    </row>
    <row r="3270" spans="2:18" x14ac:dyDescent="0.3">
      <c r="B3270" s="126"/>
      <c r="G3270" s="137"/>
      <c r="H3270" s="138"/>
      <c r="I3270" s="138"/>
      <c r="J3270" s="139"/>
      <c r="K3270" s="137"/>
      <c r="L3270" s="137"/>
      <c r="P3270" s="137"/>
      <c r="Q3270" s="137"/>
      <c r="R3270" s="126"/>
    </row>
    <row r="3271" spans="2:18" x14ac:dyDescent="0.3">
      <c r="B3271" s="126"/>
      <c r="G3271" s="137"/>
      <c r="H3271" s="138"/>
      <c r="I3271" s="138"/>
      <c r="J3271" s="139"/>
      <c r="K3271" s="137"/>
      <c r="L3271" s="137"/>
      <c r="P3271" s="137"/>
      <c r="Q3271" s="137"/>
      <c r="R3271" s="126"/>
    </row>
    <row r="3272" spans="2:18" x14ac:dyDescent="0.3">
      <c r="B3272" s="126"/>
      <c r="G3272" s="137"/>
      <c r="H3272" s="138"/>
      <c r="I3272" s="138"/>
      <c r="J3272" s="139"/>
      <c r="K3272" s="137"/>
      <c r="L3272" s="137"/>
      <c r="P3272" s="137"/>
      <c r="Q3272" s="137"/>
      <c r="R3272" s="126"/>
    </row>
    <row r="3273" spans="2:18" x14ac:dyDescent="0.3">
      <c r="B3273" s="126"/>
      <c r="G3273" s="137"/>
      <c r="H3273" s="138"/>
      <c r="I3273" s="138"/>
      <c r="J3273" s="139"/>
      <c r="K3273" s="137"/>
      <c r="L3273" s="137"/>
      <c r="P3273" s="137"/>
      <c r="Q3273" s="137"/>
      <c r="R3273" s="126"/>
    </row>
    <row r="3274" spans="2:18" x14ac:dyDescent="0.3">
      <c r="B3274" s="126"/>
      <c r="G3274" s="137"/>
      <c r="H3274" s="138"/>
      <c r="I3274" s="138"/>
      <c r="J3274" s="139"/>
      <c r="K3274" s="137"/>
      <c r="L3274" s="137"/>
      <c r="P3274" s="137"/>
      <c r="Q3274" s="137"/>
      <c r="R3274" s="126"/>
    </row>
    <row r="3275" spans="2:18" x14ac:dyDescent="0.3">
      <c r="B3275" s="126"/>
      <c r="G3275" s="137"/>
      <c r="H3275" s="138"/>
      <c r="I3275" s="138"/>
      <c r="J3275" s="139"/>
      <c r="K3275" s="137"/>
      <c r="L3275" s="137"/>
      <c r="P3275" s="137"/>
      <c r="Q3275" s="137"/>
      <c r="R3275" s="126"/>
    </row>
    <row r="3276" spans="2:18" x14ac:dyDescent="0.3">
      <c r="B3276" s="126"/>
      <c r="G3276" s="137"/>
      <c r="H3276" s="138"/>
      <c r="I3276" s="138"/>
      <c r="J3276" s="139"/>
      <c r="K3276" s="137"/>
      <c r="L3276" s="137"/>
      <c r="P3276" s="137"/>
      <c r="Q3276" s="137"/>
      <c r="R3276" s="126"/>
    </row>
    <row r="3277" spans="2:18" x14ac:dyDescent="0.3">
      <c r="B3277" s="126"/>
      <c r="G3277" s="137"/>
      <c r="H3277" s="138"/>
      <c r="I3277" s="138"/>
      <c r="J3277" s="139"/>
      <c r="K3277" s="137"/>
      <c r="L3277" s="137"/>
      <c r="P3277" s="137"/>
      <c r="Q3277" s="137"/>
      <c r="R3277" s="126"/>
    </row>
    <row r="3278" spans="2:18" x14ac:dyDescent="0.3">
      <c r="B3278" s="126"/>
      <c r="G3278" s="137"/>
      <c r="H3278" s="138"/>
      <c r="I3278" s="138"/>
      <c r="J3278" s="139"/>
      <c r="K3278" s="137"/>
      <c r="L3278" s="137"/>
      <c r="P3278" s="137"/>
      <c r="Q3278" s="137"/>
      <c r="R3278" s="126"/>
    </row>
    <row r="3279" spans="2:18" x14ac:dyDescent="0.3">
      <c r="B3279" s="126"/>
      <c r="G3279" s="137"/>
      <c r="H3279" s="138"/>
      <c r="I3279" s="138"/>
      <c r="J3279" s="139"/>
      <c r="K3279" s="137"/>
      <c r="L3279" s="137"/>
      <c r="P3279" s="137"/>
      <c r="Q3279" s="137"/>
      <c r="R3279" s="126"/>
    </row>
    <row r="3280" spans="2:18" x14ac:dyDescent="0.3">
      <c r="B3280" s="126"/>
      <c r="G3280" s="137"/>
      <c r="H3280" s="138"/>
      <c r="I3280" s="138"/>
      <c r="J3280" s="139"/>
      <c r="K3280" s="137"/>
      <c r="L3280" s="137"/>
      <c r="P3280" s="137"/>
      <c r="Q3280" s="137"/>
      <c r="R3280" s="126"/>
    </row>
    <row r="3281" spans="2:18" x14ac:dyDescent="0.3">
      <c r="B3281" s="126"/>
      <c r="G3281" s="137"/>
      <c r="H3281" s="138"/>
      <c r="I3281" s="138"/>
      <c r="J3281" s="139"/>
      <c r="K3281" s="137"/>
      <c r="L3281" s="137"/>
      <c r="P3281" s="137"/>
      <c r="Q3281" s="137"/>
      <c r="R3281" s="126"/>
    </row>
    <row r="3282" spans="2:18" x14ac:dyDescent="0.3">
      <c r="B3282" s="126"/>
      <c r="G3282" s="137"/>
      <c r="H3282" s="138"/>
      <c r="I3282" s="138"/>
      <c r="J3282" s="139"/>
      <c r="K3282" s="137"/>
      <c r="L3282" s="137"/>
      <c r="P3282" s="137"/>
      <c r="Q3282" s="137"/>
      <c r="R3282" s="126"/>
    </row>
    <row r="3283" spans="2:18" x14ac:dyDescent="0.3">
      <c r="B3283" s="126"/>
      <c r="G3283" s="137"/>
      <c r="H3283" s="138"/>
      <c r="I3283" s="138"/>
      <c r="J3283" s="139"/>
      <c r="K3283" s="137"/>
      <c r="L3283" s="137"/>
      <c r="P3283" s="137"/>
      <c r="Q3283" s="137"/>
      <c r="R3283" s="126"/>
    </row>
    <row r="3284" spans="2:18" x14ac:dyDescent="0.3">
      <c r="B3284" s="126"/>
      <c r="G3284" s="137"/>
      <c r="H3284" s="138"/>
      <c r="I3284" s="138"/>
      <c r="J3284" s="139"/>
      <c r="K3284" s="137"/>
      <c r="L3284" s="137"/>
      <c r="P3284" s="137"/>
      <c r="Q3284" s="137"/>
      <c r="R3284" s="126"/>
    </row>
    <row r="3285" spans="2:18" x14ac:dyDescent="0.3">
      <c r="B3285" s="126"/>
      <c r="G3285" s="137"/>
      <c r="H3285" s="138"/>
      <c r="I3285" s="138"/>
      <c r="J3285" s="139"/>
      <c r="K3285" s="137"/>
      <c r="L3285" s="137"/>
      <c r="P3285" s="137"/>
      <c r="Q3285" s="137"/>
      <c r="R3285" s="126"/>
    </row>
    <row r="3286" spans="2:18" x14ac:dyDescent="0.3">
      <c r="B3286" s="126"/>
      <c r="G3286" s="137"/>
      <c r="H3286" s="138"/>
      <c r="I3286" s="138"/>
      <c r="J3286" s="139"/>
      <c r="K3286" s="137"/>
      <c r="L3286" s="137"/>
      <c r="P3286" s="137"/>
      <c r="Q3286" s="137"/>
      <c r="R3286" s="126"/>
    </row>
    <row r="3287" spans="2:18" x14ac:dyDescent="0.3">
      <c r="B3287" s="126"/>
      <c r="G3287" s="137"/>
      <c r="H3287" s="138"/>
      <c r="I3287" s="138"/>
      <c r="J3287" s="139"/>
      <c r="K3287" s="137"/>
      <c r="L3287" s="137"/>
      <c r="P3287" s="137"/>
      <c r="Q3287" s="137"/>
      <c r="R3287" s="126"/>
    </row>
    <row r="3288" spans="2:18" x14ac:dyDescent="0.3">
      <c r="B3288" s="126"/>
      <c r="G3288" s="137"/>
      <c r="H3288" s="138"/>
      <c r="I3288" s="138"/>
      <c r="J3288" s="139"/>
      <c r="K3288" s="137"/>
      <c r="L3288" s="137"/>
      <c r="P3288" s="137"/>
      <c r="Q3288" s="137"/>
      <c r="R3288" s="126"/>
    </row>
    <row r="3289" spans="2:18" x14ac:dyDescent="0.3">
      <c r="B3289" s="126"/>
      <c r="G3289" s="137"/>
      <c r="H3289" s="138"/>
      <c r="I3289" s="138"/>
      <c r="J3289" s="139"/>
      <c r="K3289" s="137"/>
      <c r="L3289" s="137"/>
      <c r="P3289" s="137"/>
      <c r="Q3289" s="137"/>
      <c r="R3289" s="126"/>
    </row>
    <row r="3290" spans="2:18" x14ac:dyDescent="0.3">
      <c r="B3290" s="126"/>
      <c r="G3290" s="137"/>
      <c r="H3290" s="138"/>
      <c r="I3290" s="138"/>
      <c r="J3290" s="139"/>
      <c r="K3290" s="137"/>
      <c r="L3290" s="137"/>
      <c r="P3290" s="137"/>
      <c r="Q3290" s="137"/>
      <c r="R3290" s="126"/>
    </row>
    <row r="3291" spans="2:18" x14ac:dyDescent="0.3">
      <c r="B3291" s="126"/>
      <c r="G3291" s="137"/>
      <c r="H3291" s="138"/>
      <c r="I3291" s="138"/>
      <c r="J3291" s="139"/>
      <c r="K3291" s="137"/>
      <c r="L3291" s="137"/>
      <c r="P3291" s="137"/>
      <c r="Q3291" s="137"/>
      <c r="R3291" s="126"/>
    </row>
    <row r="3292" spans="2:18" x14ac:dyDescent="0.3">
      <c r="B3292" s="126"/>
      <c r="G3292" s="137"/>
      <c r="H3292" s="138"/>
      <c r="I3292" s="138"/>
      <c r="J3292" s="139"/>
      <c r="K3292" s="137"/>
      <c r="L3292" s="137"/>
      <c r="P3292" s="137"/>
      <c r="Q3292" s="137"/>
      <c r="R3292" s="126"/>
    </row>
    <row r="3293" spans="2:18" x14ac:dyDescent="0.3">
      <c r="B3293" s="126"/>
      <c r="G3293" s="137"/>
      <c r="H3293" s="138"/>
      <c r="I3293" s="138"/>
      <c r="J3293" s="139"/>
      <c r="K3293" s="137"/>
      <c r="L3293" s="137"/>
      <c r="P3293" s="137"/>
      <c r="Q3293" s="137"/>
      <c r="R3293" s="126"/>
    </row>
    <row r="3294" spans="2:18" x14ac:dyDescent="0.3">
      <c r="B3294" s="126"/>
      <c r="G3294" s="137"/>
      <c r="H3294" s="138"/>
      <c r="I3294" s="138"/>
      <c r="J3294" s="139"/>
      <c r="K3294" s="137"/>
      <c r="L3294" s="137"/>
      <c r="P3294" s="137"/>
      <c r="Q3294" s="137"/>
      <c r="R3294" s="126"/>
    </row>
    <row r="3295" spans="2:18" x14ac:dyDescent="0.3">
      <c r="B3295" s="126"/>
      <c r="G3295" s="137"/>
      <c r="H3295" s="138"/>
      <c r="I3295" s="138"/>
      <c r="J3295" s="139"/>
      <c r="K3295" s="137"/>
      <c r="L3295" s="137"/>
      <c r="P3295" s="137"/>
      <c r="Q3295" s="137"/>
      <c r="R3295" s="126"/>
    </row>
    <row r="3296" spans="2:18" x14ac:dyDescent="0.3">
      <c r="B3296" s="126"/>
      <c r="G3296" s="137"/>
      <c r="H3296" s="138"/>
      <c r="I3296" s="138"/>
      <c r="J3296" s="139"/>
      <c r="K3296" s="137"/>
      <c r="L3296" s="137"/>
      <c r="P3296" s="137"/>
      <c r="Q3296" s="137"/>
      <c r="R3296" s="126"/>
    </row>
    <row r="3297" spans="2:18" x14ac:dyDescent="0.3">
      <c r="B3297" s="126"/>
      <c r="G3297" s="137"/>
      <c r="H3297" s="138"/>
      <c r="I3297" s="138"/>
      <c r="J3297" s="139"/>
      <c r="K3297" s="137"/>
      <c r="L3297" s="137"/>
      <c r="P3297" s="137"/>
      <c r="Q3297" s="137"/>
      <c r="R3297" s="126"/>
    </row>
    <row r="3298" spans="2:18" x14ac:dyDescent="0.3">
      <c r="B3298" s="126"/>
      <c r="G3298" s="137"/>
      <c r="H3298" s="138"/>
      <c r="I3298" s="138"/>
      <c r="J3298" s="139"/>
      <c r="K3298" s="137"/>
      <c r="L3298" s="137"/>
      <c r="P3298" s="137"/>
      <c r="Q3298" s="137"/>
      <c r="R3298" s="126"/>
    </row>
    <row r="3299" spans="2:18" x14ac:dyDescent="0.3">
      <c r="B3299" s="126"/>
      <c r="G3299" s="137"/>
      <c r="H3299" s="138"/>
      <c r="I3299" s="138"/>
      <c r="J3299" s="139"/>
      <c r="K3299" s="137"/>
      <c r="L3299" s="137"/>
      <c r="P3299" s="137"/>
      <c r="Q3299" s="137"/>
      <c r="R3299" s="126"/>
    </row>
    <row r="3300" spans="2:18" x14ac:dyDescent="0.3">
      <c r="B3300" s="126"/>
      <c r="G3300" s="137"/>
      <c r="H3300" s="138"/>
      <c r="I3300" s="138"/>
      <c r="J3300" s="139"/>
      <c r="K3300" s="137"/>
      <c r="L3300" s="137"/>
      <c r="P3300" s="137"/>
      <c r="Q3300" s="137"/>
      <c r="R3300" s="126"/>
    </row>
    <row r="3301" spans="2:18" x14ac:dyDescent="0.3">
      <c r="B3301" s="126"/>
      <c r="G3301" s="137"/>
      <c r="H3301" s="138"/>
      <c r="I3301" s="138"/>
      <c r="J3301" s="139"/>
      <c r="K3301" s="137"/>
      <c r="L3301" s="137"/>
      <c r="P3301" s="137"/>
      <c r="Q3301" s="137"/>
      <c r="R3301" s="126"/>
    </row>
    <row r="3302" spans="2:18" x14ac:dyDescent="0.3">
      <c r="B3302" s="126"/>
      <c r="G3302" s="137"/>
      <c r="H3302" s="138"/>
      <c r="I3302" s="138"/>
      <c r="J3302" s="139"/>
      <c r="K3302" s="137"/>
      <c r="L3302" s="137"/>
      <c r="P3302" s="137"/>
      <c r="Q3302" s="137"/>
      <c r="R3302" s="126"/>
    </row>
    <row r="3303" spans="2:18" x14ac:dyDescent="0.3">
      <c r="B3303" s="126"/>
      <c r="G3303" s="137"/>
      <c r="H3303" s="138"/>
      <c r="I3303" s="138"/>
      <c r="J3303" s="139"/>
      <c r="K3303" s="137"/>
      <c r="L3303" s="137"/>
      <c r="P3303" s="137"/>
      <c r="Q3303" s="137"/>
      <c r="R3303" s="126"/>
    </row>
    <row r="3304" spans="2:18" x14ac:dyDescent="0.3">
      <c r="B3304" s="126"/>
      <c r="G3304" s="137"/>
      <c r="H3304" s="138"/>
      <c r="I3304" s="138"/>
      <c r="J3304" s="139"/>
      <c r="K3304" s="137"/>
      <c r="L3304" s="137"/>
      <c r="P3304" s="137"/>
      <c r="Q3304" s="137"/>
      <c r="R3304" s="126"/>
    </row>
    <row r="3305" spans="2:18" x14ac:dyDescent="0.3">
      <c r="B3305" s="126"/>
      <c r="G3305" s="137"/>
      <c r="H3305" s="138"/>
      <c r="I3305" s="138"/>
      <c r="J3305" s="139"/>
      <c r="K3305" s="137"/>
      <c r="L3305" s="137"/>
      <c r="P3305" s="137"/>
      <c r="Q3305" s="137"/>
      <c r="R3305" s="126"/>
    </row>
    <row r="3306" spans="2:18" x14ac:dyDescent="0.3">
      <c r="B3306" s="126"/>
      <c r="G3306" s="137"/>
      <c r="H3306" s="138"/>
      <c r="I3306" s="138"/>
      <c r="J3306" s="139"/>
      <c r="K3306" s="137"/>
      <c r="L3306" s="137"/>
      <c r="P3306" s="137"/>
      <c r="Q3306" s="137"/>
      <c r="R3306" s="126"/>
    </row>
    <row r="3307" spans="2:18" x14ac:dyDescent="0.3">
      <c r="B3307" s="126"/>
      <c r="G3307" s="137"/>
      <c r="H3307" s="138"/>
      <c r="I3307" s="138"/>
      <c r="J3307" s="139"/>
      <c r="K3307" s="137"/>
      <c r="L3307" s="137"/>
      <c r="P3307" s="137"/>
      <c r="Q3307" s="137"/>
      <c r="R3307" s="126"/>
    </row>
    <row r="3308" spans="2:18" x14ac:dyDescent="0.3">
      <c r="B3308" s="126"/>
      <c r="G3308" s="137"/>
      <c r="H3308" s="138"/>
      <c r="I3308" s="138"/>
      <c r="J3308" s="139"/>
      <c r="K3308" s="137"/>
      <c r="L3308" s="137"/>
      <c r="P3308" s="137"/>
      <c r="Q3308" s="137"/>
      <c r="R3308" s="126"/>
    </row>
    <row r="3309" spans="2:18" x14ac:dyDescent="0.3">
      <c r="B3309" s="126"/>
      <c r="G3309" s="137"/>
      <c r="H3309" s="138"/>
      <c r="I3309" s="138"/>
      <c r="J3309" s="139"/>
      <c r="K3309" s="137"/>
      <c r="L3309" s="137"/>
      <c r="P3309" s="137"/>
      <c r="Q3309" s="137"/>
      <c r="R3309" s="126"/>
    </row>
    <row r="3310" spans="2:18" x14ac:dyDescent="0.3">
      <c r="B3310" s="126"/>
      <c r="G3310" s="137"/>
      <c r="H3310" s="138"/>
      <c r="I3310" s="138"/>
      <c r="J3310" s="139"/>
      <c r="K3310" s="137"/>
      <c r="L3310" s="137"/>
      <c r="P3310" s="137"/>
      <c r="Q3310" s="137"/>
      <c r="R3310" s="126"/>
    </row>
    <row r="3311" spans="2:18" x14ac:dyDescent="0.3">
      <c r="B3311" s="126"/>
      <c r="G3311" s="137"/>
      <c r="H3311" s="138"/>
      <c r="I3311" s="138"/>
      <c r="J3311" s="139"/>
      <c r="K3311" s="137"/>
      <c r="L3311" s="137"/>
      <c r="P3311" s="137"/>
      <c r="Q3311" s="137"/>
      <c r="R3311" s="126"/>
    </row>
    <row r="3312" spans="2:18" x14ac:dyDescent="0.3">
      <c r="B3312" s="126"/>
      <c r="G3312" s="137"/>
      <c r="H3312" s="138"/>
      <c r="I3312" s="138"/>
      <c r="J3312" s="139"/>
      <c r="K3312" s="137"/>
      <c r="L3312" s="137"/>
      <c r="P3312" s="137"/>
      <c r="Q3312" s="137"/>
      <c r="R3312" s="126"/>
    </row>
    <row r="3313" spans="2:18" x14ac:dyDescent="0.3">
      <c r="B3313" s="126"/>
      <c r="G3313" s="137"/>
      <c r="H3313" s="138"/>
      <c r="I3313" s="138"/>
      <c r="J3313" s="139"/>
      <c r="K3313" s="137"/>
      <c r="L3313" s="137"/>
      <c r="P3313" s="137"/>
      <c r="Q3313" s="137"/>
      <c r="R3313" s="126"/>
    </row>
    <row r="3314" spans="2:18" x14ac:dyDescent="0.3">
      <c r="B3314" s="126"/>
      <c r="G3314" s="137"/>
      <c r="H3314" s="138"/>
      <c r="I3314" s="138"/>
      <c r="J3314" s="139"/>
      <c r="K3314" s="137"/>
      <c r="L3314" s="137"/>
      <c r="P3314" s="137"/>
      <c r="Q3314" s="137"/>
      <c r="R3314" s="126"/>
    </row>
    <row r="3315" spans="2:18" x14ac:dyDescent="0.3">
      <c r="B3315" s="126"/>
      <c r="G3315" s="137"/>
      <c r="H3315" s="138"/>
      <c r="I3315" s="138"/>
      <c r="J3315" s="139"/>
      <c r="K3315" s="137"/>
      <c r="L3315" s="137"/>
      <c r="P3315" s="137"/>
      <c r="Q3315" s="137"/>
      <c r="R3315" s="126"/>
    </row>
    <row r="3316" spans="2:18" x14ac:dyDescent="0.3">
      <c r="B3316" s="126"/>
      <c r="G3316" s="137"/>
      <c r="H3316" s="138"/>
      <c r="I3316" s="138"/>
      <c r="J3316" s="139"/>
      <c r="K3316" s="137"/>
      <c r="L3316" s="137"/>
      <c r="P3316" s="137"/>
      <c r="Q3316" s="137"/>
      <c r="R3316" s="126"/>
    </row>
    <row r="3317" spans="2:18" x14ac:dyDescent="0.3">
      <c r="B3317" s="126"/>
      <c r="G3317" s="137"/>
      <c r="H3317" s="138"/>
      <c r="I3317" s="138"/>
      <c r="J3317" s="139"/>
      <c r="K3317" s="137"/>
      <c r="L3317" s="137"/>
      <c r="P3317" s="137"/>
      <c r="Q3317" s="137"/>
      <c r="R3317" s="126"/>
    </row>
    <row r="3318" spans="2:18" x14ac:dyDescent="0.3">
      <c r="B3318" s="126"/>
      <c r="G3318" s="137"/>
      <c r="H3318" s="138"/>
      <c r="I3318" s="138"/>
      <c r="J3318" s="139"/>
      <c r="K3318" s="137"/>
      <c r="L3318" s="137"/>
      <c r="P3318" s="137"/>
      <c r="Q3318" s="137"/>
      <c r="R3318" s="126"/>
    </row>
    <row r="3319" spans="2:18" x14ac:dyDescent="0.3">
      <c r="B3319" s="126"/>
      <c r="G3319" s="137"/>
      <c r="H3319" s="138"/>
      <c r="I3319" s="138"/>
      <c r="J3319" s="139"/>
      <c r="K3319" s="137"/>
      <c r="L3319" s="137"/>
      <c r="P3319" s="137"/>
      <c r="Q3319" s="137"/>
      <c r="R3319" s="126"/>
    </row>
    <row r="3320" spans="2:18" x14ac:dyDescent="0.3">
      <c r="B3320" s="126"/>
      <c r="G3320" s="137"/>
      <c r="H3320" s="138"/>
      <c r="I3320" s="138"/>
      <c r="J3320" s="139"/>
      <c r="K3320" s="137"/>
      <c r="L3320" s="137"/>
      <c r="P3320" s="137"/>
      <c r="Q3320" s="137"/>
      <c r="R3320" s="126"/>
    </row>
    <row r="3321" spans="2:18" x14ac:dyDescent="0.3">
      <c r="B3321" s="126"/>
      <c r="G3321" s="137"/>
      <c r="H3321" s="138"/>
      <c r="I3321" s="138"/>
      <c r="J3321" s="139"/>
      <c r="K3321" s="137"/>
      <c r="L3321" s="137"/>
      <c r="P3321" s="137"/>
      <c r="Q3321" s="137"/>
      <c r="R3321" s="126"/>
    </row>
    <row r="3322" spans="2:18" x14ac:dyDescent="0.3">
      <c r="B3322" s="126"/>
      <c r="G3322" s="137"/>
      <c r="H3322" s="138"/>
      <c r="I3322" s="138"/>
      <c r="J3322" s="139"/>
      <c r="K3322" s="137"/>
      <c r="L3322" s="137"/>
      <c r="P3322" s="137"/>
      <c r="Q3322" s="137"/>
      <c r="R3322" s="126"/>
    </row>
    <row r="3323" spans="2:18" x14ac:dyDescent="0.3">
      <c r="B3323" s="126"/>
      <c r="G3323" s="137"/>
      <c r="H3323" s="138"/>
      <c r="I3323" s="138"/>
      <c r="J3323" s="139"/>
      <c r="K3323" s="137"/>
      <c r="L3323" s="137"/>
      <c r="P3323" s="137"/>
      <c r="Q3323" s="137"/>
      <c r="R3323" s="126"/>
    </row>
    <row r="3324" spans="2:18" x14ac:dyDescent="0.3">
      <c r="B3324" s="126"/>
      <c r="G3324" s="137"/>
      <c r="H3324" s="138"/>
      <c r="I3324" s="138"/>
      <c r="J3324" s="139"/>
      <c r="K3324" s="137"/>
      <c r="L3324" s="137"/>
      <c r="P3324" s="137"/>
      <c r="Q3324" s="137"/>
      <c r="R3324" s="126"/>
    </row>
    <row r="3325" spans="2:18" x14ac:dyDescent="0.3">
      <c r="B3325" s="126"/>
      <c r="G3325" s="137"/>
      <c r="H3325" s="138"/>
      <c r="I3325" s="138"/>
      <c r="J3325" s="139"/>
      <c r="K3325" s="137"/>
      <c r="L3325" s="137"/>
      <c r="P3325" s="137"/>
      <c r="Q3325" s="137"/>
      <c r="R3325" s="126"/>
    </row>
    <row r="3326" spans="2:18" x14ac:dyDescent="0.3">
      <c r="B3326" s="126"/>
      <c r="G3326" s="137"/>
      <c r="H3326" s="138"/>
      <c r="I3326" s="138"/>
      <c r="J3326" s="139"/>
      <c r="K3326" s="137"/>
      <c r="L3326" s="137"/>
      <c r="P3326" s="137"/>
      <c r="Q3326" s="137"/>
      <c r="R3326" s="126"/>
    </row>
    <row r="3327" spans="2:18" x14ac:dyDescent="0.3">
      <c r="B3327" s="126"/>
      <c r="G3327" s="137"/>
      <c r="H3327" s="138"/>
      <c r="I3327" s="138"/>
      <c r="J3327" s="139"/>
      <c r="K3327" s="137"/>
      <c r="L3327" s="137"/>
      <c r="P3327" s="137"/>
      <c r="Q3327" s="137"/>
      <c r="R3327" s="126"/>
    </row>
    <row r="3328" spans="2:18" x14ac:dyDescent="0.3">
      <c r="B3328" s="126"/>
      <c r="G3328" s="137"/>
      <c r="H3328" s="138"/>
      <c r="I3328" s="138"/>
      <c r="J3328" s="139"/>
      <c r="K3328" s="137"/>
      <c r="L3328" s="137"/>
      <c r="P3328" s="137"/>
      <c r="Q3328" s="137"/>
      <c r="R3328" s="126"/>
    </row>
    <row r="3329" spans="2:18" x14ac:dyDescent="0.3">
      <c r="B3329" s="126"/>
      <c r="G3329" s="137"/>
      <c r="H3329" s="138"/>
      <c r="I3329" s="138"/>
      <c r="J3329" s="139"/>
      <c r="K3329" s="137"/>
      <c r="L3329" s="137"/>
      <c r="P3329" s="137"/>
      <c r="Q3329" s="137"/>
      <c r="R3329" s="126"/>
    </row>
    <row r="3330" spans="2:18" x14ac:dyDescent="0.3">
      <c r="B3330" s="126"/>
      <c r="G3330" s="137"/>
      <c r="H3330" s="138"/>
      <c r="I3330" s="138"/>
      <c r="J3330" s="139"/>
      <c r="K3330" s="137"/>
      <c r="L3330" s="137"/>
      <c r="P3330" s="137"/>
      <c r="Q3330" s="137"/>
      <c r="R3330" s="126"/>
    </row>
    <row r="3331" spans="2:18" x14ac:dyDescent="0.3">
      <c r="B3331" s="126"/>
      <c r="G3331" s="137"/>
      <c r="H3331" s="138"/>
      <c r="I3331" s="138"/>
      <c r="J3331" s="139"/>
      <c r="K3331" s="137"/>
      <c r="L3331" s="137"/>
      <c r="P3331" s="137"/>
      <c r="Q3331" s="137"/>
      <c r="R3331" s="126"/>
    </row>
    <row r="3332" spans="2:18" x14ac:dyDescent="0.3">
      <c r="B3332" s="126"/>
      <c r="G3332" s="137"/>
      <c r="H3332" s="138"/>
      <c r="I3332" s="138"/>
      <c r="J3332" s="139"/>
      <c r="K3332" s="137"/>
      <c r="L3332" s="137"/>
      <c r="P3332" s="137"/>
      <c r="Q3332" s="137"/>
      <c r="R3332" s="126"/>
    </row>
    <row r="3333" spans="2:18" x14ac:dyDescent="0.3">
      <c r="B3333" s="126"/>
      <c r="G3333" s="137"/>
      <c r="H3333" s="138"/>
      <c r="I3333" s="138"/>
      <c r="J3333" s="139"/>
      <c r="K3333" s="137"/>
      <c r="L3333" s="137"/>
      <c r="P3333" s="137"/>
      <c r="Q3333" s="137"/>
      <c r="R3333" s="126"/>
    </row>
    <row r="3334" spans="2:18" x14ac:dyDescent="0.3">
      <c r="B3334" s="126"/>
      <c r="G3334" s="137"/>
      <c r="H3334" s="138"/>
      <c r="I3334" s="138"/>
      <c r="J3334" s="139"/>
      <c r="K3334" s="137"/>
      <c r="L3334" s="137"/>
      <c r="P3334" s="137"/>
      <c r="Q3334" s="137"/>
      <c r="R3334" s="126"/>
    </row>
    <row r="3335" spans="2:18" x14ac:dyDescent="0.3">
      <c r="B3335" s="126"/>
      <c r="G3335" s="137"/>
      <c r="H3335" s="138"/>
      <c r="I3335" s="138"/>
      <c r="J3335" s="139"/>
      <c r="K3335" s="137"/>
      <c r="L3335" s="137"/>
      <c r="P3335" s="137"/>
      <c r="Q3335" s="137"/>
      <c r="R3335" s="126"/>
    </row>
    <row r="3336" spans="2:18" x14ac:dyDescent="0.3">
      <c r="B3336" s="126"/>
      <c r="G3336" s="137"/>
      <c r="H3336" s="138"/>
      <c r="I3336" s="138"/>
      <c r="J3336" s="139"/>
      <c r="K3336" s="137"/>
      <c r="L3336" s="137"/>
      <c r="P3336" s="137"/>
      <c r="Q3336" s="137"/>
      <c r="R3336" s="126"/>
    </row>
    <row r="3337" spans="2:18" x14ac:dyDescent="0.3">
      <c r="B3337" s="126"/>
      <c r="G3337" s="137"/>
      <c r="H3337" s="138"/>
      <c r="I3337" s="138"/>
      <c r="J3337" s="139"/>
      <c r="K3337" s="137"/>
      <c r="L3337" s="137"/>
      <c r="P3337" s="137"/>
      <c r="Q3337" s="137"/>
      <c r="R3337" s="126"/>
    </row>
    <row r="3338" spans="2:18" x14ac:dyDescent="0.3">
      <c r="B3338" s="126"/>
      <c r="G3338" s="137"/>
      <c r="H3338" s="138"/>
      <c r="I3338" s="138"/>
      <c r="J3338" s="139"/>
      <c r="K3338" s="137"/>
      <c r="L3338" s="137"/>
      <c r="P3338" s="137"/>
      <c r="Q3338" s="137"/>
      <c r="R3338" s="126"/>
    </row>
    <row r="3339" spans="2:18" x14ac:dyDescent="0.3">
      <c r="B3339" s="126"/>
      <c r="G3339" s="137"/>
      <c r="H3339" s="138"/>
      <c r="I3339" s="138"/>
      <c r="J3339" s="139"/>
      <c r="K3339" s="137"/>
      <c r="L3339" s="137"/>
      <c r="P3339" s="137"/>
      <c r="Q3339" s="137"/>
      <c r="R3339" s="126"/>
    </row>
    <row r="3340" spans="2:18" x14ac:dyDescent="0.3">
      <c r="B3340" s="126"/>
      <c r="G3340" s="137"/>
      <c r="H3340" s="138"/>
      <c r="I3340" s="138"/>
      <c r="J3340" s="139"/>
      <c r="K3340" s="137"/>
      <c r="L3340" s="137"/>
      <c r="P3340" s="137"/>
      <c r="Q3340" s="137"/>
      <c r="R3340" s="126"/>
    </row>
    <row r="3341" spans="2:18" x14ac:dyDescent="0.3">
      <c r="B3341" s="126"/>
      <c r="G3341" s="137"/>
      <c r="H3341" s="138"/>
      <c r="I3341" s="138"/>
      <c r="J3341" s="139"/>
      <c r="K3341" s="137"/>
      <c r="L3341" s="137"/>
      <c r="P3341" s="137"/>
      <c r="Q3341" s="137"/>
      <c r="R3341" s="126"/>
    </row>
    <row r="3342" spans="2:18" x14ac:dyDescent="0.3">
      <c r="B3342" s="126"/>
      <c r="G3342" s="137"/>
      <c r="H3342" s="138"/>
      <c r="I3342" s="138"/>
      <c r="J3342" s="139"/>
      <c r="K3342" s="137"/>
      <c r="L3342" s="137"/>
      <c r="P3342" s="137"/>
      <c r="Q3342" s="137"/>
      <c r="R3342" s="126"/>
    </row>
    <row r="3343" spans="2:18" x14ac:dyDescent="0.3">
      <c r="B3343" s="126"/>
      <c r="G3343" s="137"/>
      <c r="H3343" s="138"/>
      <c r="I3343" s="138"/>
      <c r="J3343" s="139"/>
      <c r="K3343" s="137"/>
      <c r="L3343" s="137"/>
      <c r="P3343" s="137"/>
      <c r="Q3343" s="137"/>
      <c r="R3343" s="126"/>
    </row>
    <row r="3344" spans="2:18" x14ac:dyDescent="0.3">
      <c r="B3344" s="126"/>
      <c r="G3344" s="137"/>
      <c r="H3344" s="138"/>
      <c r="I3344" s="138"/>
      <c r="J3344" s="139"/>
      <c r="K3344" s="137"/>
      <c r="L3344" s="137"/>
      <c r="P3344" s="137"/>
      <c r="Q3344" s="137"/>
      <c r="R3344" s="126"/>
    </row>
    <row r="3345" spans="2:18" x14ac:dyDescent="0.3">
      <c r="B3345" s="126"/>
      <c r="G3345" s="137"/>
      <c r="H3345" s="138"/>
      <c r="I3345" s="138"/>
      <c r="J3345" s="139"/>
      <c r="K3345" s="137"/>
      <c r="L3345" s="137"/>
      <c r="P3345" s="137"/>
      <c r="Q3345" s="137"/>
      <c r="R3345" s="126"/>
    </row>
    <row r="3346" spans="2:18" x14ac:dyDescent="0.3">
      <c r="B3346" s="126"/>
      <c r="G3346" s="137"/>
      <c r="H3346" s="138"/>
      <c r="I3346" s="138"/>
      <c r="J3346" s="139"/>
      <c r="K3346" s="137"/>
      <c r="L3346" s="137"/>
      <c r="P3346" s="137"/>
      <c r="Q3346" s="137"/>
      <c r="R3346" s="126"/>
    </row>
    <row r="3347" spans="2:18" x14ac:dyDescent="0.3">
      <c r="B3347" s="126"/>
      <c r="G3347" s="137"/>
      <c r="H3347" s="138"/>
      <c r="I3347" s="138"/>
      <c r="J3347" s="139"/>
      <c r="K3347" s="137"/>
      <c r="L3347" s="137"/>
      <c r="P3347" s="137"/>
      <c r="Q3347" s="137"/>
      <c r="R3347" s="126"/>
    </row>
    <row r="3348" spans="2:18" x14ac:dyDescent="0.3">
      <c r="B3348" s="126"/>
      <c r="G3348" s="137"/>
      <c r="H3348" s="138"/>
      <c r="I3348" s="138"/>
      <c r="J3348" s="139"/>
      <c r="K3348" s="137"/>
      <c r="L3348" s="137"/>
      <c r="P3348" s="137"/>
      <c r="Q3348" s="137"/>
      <c r="R3348" s="126"/>
    </row>
    <row r="3349" spans="2:18" x14ac:dyDescent="0.3">
      <c r="B3349" s="126"/>
      <c r="G3349" s="137"/>
      <c r="H3349" s="138"/>
      <c r="I3349" s="138"/>
      <c r="J3349" s="139"/>
      <c r="K3349" s="137"/>
      <c r="L3349" s="137"/>
      <c r="P3349" s="137"/>
      <c r="Q3349" s="137"/>
      <c r="R3349" s="126"/>
    </row>
    <row r="3350" spans="2:18" x14ac:dyDescent="0.3">
      <c r="B3350" s="126"/>
      <c r="G3350" s="137"/>
      <c r="H3350" s="138"/>
      <c r="I3350" s="138"/>
      <c r="J3350" s="139"/>
      <c r="K3350" s="137"/>
      <c r="L3350" s="137"/>
      <c r="P3350" s="137"/>
      <c r="Q3350" s="137"/>
      <c r="R3350" s="126"/>
    </row>
    <row r="3351" spans="2:18" x14ac:dyDescent="0.3">
      <c r="B3351" s="126"/>
      <c r="G3351" s="137"/>
      <c r="H3351" s="138"/>
      <c r="I3351" s="138"/>
      <c r="J3351" s="139"/>
      <c r="K3351" s="137"/>
      <c r="L3351" s="137"/>
      <c r="P3351" s="137"/>
      <c r="Q3351" s="137"/>
      <c r="R3351" s="126"/>
    </row>
    <row r="3352" spans="2:18" x14ac:dyDescent="0.3">
      <c r="B3352" s="126"/>
      <c r="G3352" s="137"/>
      <c r="H3352" s="138"/>
      <c r="I3352" s="138"/>
      <c r="J3352" s="139"/>
      <c r="K3352" s="137"/>
      <c r="L3352" s="137"/>
      <c r="P3352" s="137"/>
      <c r="Q3352" s="137"/>
      <c r="R3352" s="126"/>
    </row>
    <row r="3353" spans="2:18" x14ac:dyDescent="0.3">
      <c r="B3353" s="126"/>
      <c r="G3353" s="137"/>
      <c r="H3353" s="138"/>
      <c r="I3353" s="138"/>
      <c r="J3353" s="139"/>
      <c r="K3353" s="137"/>
      <c r="L3353" s="137"/>
      <c r="P3353" s="137"/>
      <c r="Q3353" s="137"/>
      <c r="R3353" s="126"/>
    </row>
    <row r="3354" spans="2:18" x14ac:dyDescent="0.3">
      <c r="B3354" s="126"/>
      <c r="G3354" s="137"/>
      <c r="H3354" s="138"/>
      <c r="I3354" s="138"/>
      <c r="J3354" s="139"/>
      <c r="K3354" s="137"/>
      <c r="L3354" s="137"/>
      <c r="P3354" s="137"/>
      <c r="Q3354" s="137"/>
      <c r="R3354" s="126"/>
    </row>
    <row r="3355" spans="2:18" x14ac:dyDescent="0.3">
      <c r="B3355" s="126"/>
      <c r="G3355" s="137"/>
      <c r="H3355" s="138"/>
      <c r="I3355" s="138"/>
      <c r="J3355" s="139"/>
      <c r="K3355" s="137"/>
      <c r="L3355" s="137"/>
      <c r="P3355" s="137"/>
      <c r="Q3355" s="137"/>
      <c r="R3355" s="126"/>
    </row>
    <row r="3356" spans="2:18" x14ac:dyDescent="0.3">
      <c r="B3356" s="126"/>
      <c r="G3356" s="137"/>
      <c r="H3356" s="138"/>
      <c r="I3356" s="138"/>
      <c r="J3356" s="139"/>
      <c r="K3356" s="137"/>
      <c r="L3356" s="137"/>
      <c r="P3356" s="137"/>
      <c r="Q3356" s="137"/>
      <c r="R3356" s="126"/>
    </row>
    <row r="3357" spans="2:18" x14ac:dyDescent="0.3">
      <c r="B3357" s="126"/>
      <c r="G3357" s="137"/>
      <c r="H3357" s="138"/>
      <c r="I3357" s="138"/>
      <c r="J3357" s="139"/>
      <c r="K3357" s="137"/>
      <c r="L3357" s="137"/>
      <c r="P3357" s="137"/>
      <c r="Q3357" s="137"/>
      <c r="R3357" s="126"/>
    </row>
    <row r="3358" spans="2:18" x14ac:dyDescent="0.3">
      <c r="B3358" s="126"/>
      <c r="G3358" s="137"/>
      <c r="H3358" s="138"/>
      <c r="I3358" s="138"/>
      <c r="J3358" s="139"/>
      <c r="K3358" s="137"/>
      <c r="L3358" s="137"/>
      <c r="P3358" s="137"/>
      <c r="Q3358" s="137"/>
      <c r="R3358" s="126"/>
    </row>
    <row r="3359" spans="2:18" x14ac:dyDescent="0.3">
      <c r="B3359" s="126"/>
      <c r="G3359" s="137"/>
      <c r="H3359" s="138"/>
      <c r="I3359" s="138"/>
      <c r="J3359" s="139"/>
      <c r="K3359" s="137"/>
      <c r="L3359" s="137"/>
      <c r="P3359" s="137"/>
      <c r="Q3359" s="137"/>
      <c r="R3359" s="126"/>
    </row>
    <row r="3360" spans="2:18" x14ac:dyDescent="0.3">
      <c r="B3360" s="126"/>
      <c r="G3360" s="137"/>
      <c r="H3360" s="138"/>
      <c r="I3360" s="138"/>
      <c r="J3360" s="139"/>
      <c r="K3360" s="137"/>
      <c r="L3360" s="137"/>
      <c r="P3360" s="137"/>
      <c r="Q3360" s="137"/>
      <c r="R3360" s="126"/>
    </row>
    <row r="3361" spans="2:18" x14ac:dyDescent="0.3">
      <c r="B3361" s="126"/>
      <c r="G3361" s="137"/>
      <c r="H3361" s="138"/>
      <c r="I3361" s="138"/>
      <c r="J3361" s="139"/>
      <c r="K3361" s="137"/>
      <c r="L3361" s="137"/>
      <c r="P3361" s="137"/>
      <c r="Q3361" s="137"/>
      <c r="R3361" s="126"/>
    </row>
    <row r="3362" spans="2:18" x14ac:dyDescent="0.3">
      <c r="B3362" s="126"/>
      <c r="G3362" s="137"/>
      <c r="H3362" s="138"/>
      <c r="I3362" s="138"/>
      <c r="J3362" s="139"/>
      <c r="K3362" s="137"/>
      <c r="L3362" s="137"/>
      <c r="P3362" s="137"/>
      <c r="Q3362" s="137"/>
      <c r="R3362" s="126"/>
    </row>
    <row r="3363" spans="2:18" x14ac:dyDescent="0.3">
      <c r="B3363" s="126"/>
      <c r="G3363" s="137"/>
      <c r="H3363" s="138"/>
      <c r="I3363" s="138"/>
      <c r="J3363" s="139"/>
      <c r="K3363" s="137"/>
      <c r="L3363" s="137"/>
      <c r="P3363" s="137"/>
      <c r="Q3363" s="137"/>
      <c r="R3363" s="126"/>
    </row>
    <row r="3364" spans="2:18" x14ac:dyDescent="0.3">
      <c r="B3364" s="126"/>
      <c r="G3364" s="137"/>
      <c r="H3364" s="138"/>
      <c r="I3364" s="138"/>
      <c r="J3364" s="139"/>
      <c r="K3364" s="137"/>
      <c r="L3364" s="137"/>
      <c r="P3364" s="137"/>
      <c r="Q3364" s="137"/>
      <c r="R3364" s="126"/>
    </row>
    <row r="3365" spans="2:18" x14ac:dyDescent="0.3">
      <c r="B3365" s="126"/>
      <c r="G3365" s="137"/>
      <c r="H3365" s="138"/>
      <c r="I3365" s="138"/>
      <c r="J3365" s="139"/>
      <c r="K3365" s="137"/>
      <c r="L3365" s="137"/>
      <c r="P3365" s="137"/>
      <c r="Q3365" s="137"/>
      <c r="R3365" s="126"/>
    </row>
    <row r="3366" spans="2:18" x14ac:dyDescent="0.3">
      <c r="B3366" s="126"/>
      <c r="G3366" s="137"/>
      <c r="H3366" s="138"/>
      <c r="I3366" s="138"/>
      <c r="J3366" s="139"/>
      <c r="K3366" s="137"/>
      <c r="L3366" s="137"/>
      <c r="P3366" s="137"/>
      <c r="Q3366" s="137"/>
      <c r="R3366" s="126"/>
    </row>
    <row r="3367" spans="2:18" x14ac:dyDescent="0.3">
      <c r="B3367" s="126"/>
      <c r="G3367" s="137"/>
      <c r="H3367" s="138"/>
      <c r="I3367" s="138"/>
      <c r="J3367" s="139"/>
      <c r="K3367" s="137"/>
      <c r="L3367" s="137"/>
      <c r="P3367" s="137"/>
      <c r="Q3367" s="137"/>
      <c r="R3367" s="126"/>
    </row>
    <row r="3368" spans="2:18" x14ac:dyDescent="0.3">
      <c r="B3368" s="126"/>
      <c r="G3368" s="137"/>
      <c r="H3368" s="138"/>
      <c r="I3368" s="138"/>
      <c r="J3368" s="139"/>
      <c r="K3368" s="137"/>
      <c r="L3368" s="137"/>
      <c r="P3368" s="137"/>
      <c r="Q3368" s="137"/>
      <c r="R3368" s="126"/>
    </row>
    <row r="3369" spans="2:18" x14ac:dyDescent="0.3">
      <c r="B3369" s="126"/>
      <c r="G3369" s="137"/>
      <c r="H3369" s="138"/>
      <c r="I3369" s="138"/>
      <c r="J3369" s="139"/>
      <c r="K3369" s="137"/>
      <c r="L3369" s="137"/>
      <c r="P3369" s="137"/>
      <c r="Q3369" s="137"/>
      <c r="R3369" s="126"/>
    </row>
    <row r="3370" spans="2:18" x14ac:dyDescent="0.3">
      <c r="B3370" s="126"/>
      <c r="G3370" s="137"/>
      <c r="H3370" s="138"/>
      <c r="I3370" s="138"/>
      <c r="J3370" s="139"/>
      <c r="K3370" s="137"/>
      <c r="L3370" s="137"/>
      <c r="P3370" s="137"/>
      <c r="Q3370" s="137"/>
      <c r="R3370" s="126"/>
    </row>
    <row r="3371" spans="2:18" x14ac:dyDescent="0.3">
      <c r="B3371" s="126"/>
      <c r="G3371" s="137"/>
      <c r="H3371" s="138"/>
      <c r="I3371" s="138"/>
      <c r="J3371" s="139"/>
      <c r="K3371" s="137"/>
      <c r="L3371" s="137"/>
      <c r="P3371" s="137"/>
      <c r="Q3371" s="137"/>
      <c r="R3371" s="126"/>
    </row>
    <row r="3372" spans="2:18" x14ac:dyDescent="0.3">
      <c r="B3372" s="126"/>
      <c r="G3372" s="137"/>
      <c r="H3372" s="138"/>
      <c r="I3372" s="138"/>
      <c r="J3372" s="139"/>
      <c r="K3372" s="137"/>
      <c r="L3372" s="137"/>
      <c r="P3372" s="137"/>
      <c r="Q3372" s="137"/>
      <c r="R3372" s="126"/>
    </row>
    <row r="3373" spans="2:18" x14ac:dyDescent="0.3">
      <c r="B3373" s="126"/>
      <c r="G3373" s="137"/>
      <c r="H3373" s="138"/>
      <c r="I3373" s="138"/>
      <c r="J3373" s="139"/>
      <c r="K3373" s="137"/>
      <c r="L3373" s="137"/>
      <c r="P3373" s="137"/>
      <c r="Q3373" s="137"/>
      <c r="R3373" s="126"/>
    </row>
    <row r="3374" spans="2:18" x14ac:dyDescent="0.3">
      <c r="B3374" s="126"/>
      <c r="G3374" s="137"/>
      <c r="H3374" s="138"/>
      <c r="I3374" s="138"/>
      <c r="J3374" s="139"/>
      <c r="K3374" s="137"/>
      <c r="L3374" s="137"/>
      <c r="P3374" s="137"/>
      <c r="Q3374" s="137"/>
      <c r="R3374" s="126"/>
    </row>
    <row r="3375" spans="2:18" x14ac:dyDescent="0.3">
      <c r="B3375" s="126"/>
      <c r="G3375" s="137"/>
      <c r="H3375" s="138"/>
      <c r="I3375" s="138"/>
      <c r="J3375" s="139"/>
      <c r="K3375" s="137"/>
      <c r="L3375" s="137"/>
      <c r="P3375" s="137"/>
      <c r="Q3375" s="137"/>
      <c r="R3375" s="126"/>
    </row>
    <row r="3376" spans="2:18" x14ac:dyDescent="0.3">
      <c r="B3376" s="126"/>
      <c r="G3376" s="137"/>
      <c r="H3376" s="138"/>
      <c r="I3376" s="138"/>
      <c r="J3376" s="139"/>
      <c r="K3376" s="137"/>
      <c r="L3376" s="137"/>
      <c r="P3376" s="137"/>
      <c r="Q3376" s="137"/>
      <c r="R3376" s="126"/>
    </row>
    <row r="3377" spans="2:18" x14ac:dyDescent="0.3">
      <c r="B3377" s="126"/>
      <c r="G3377" s="137"/>
      <c r="H3377" s="138"/>
      <c r="I3377" s="138"/>
      <c r="J3377" s="139"/>
      <c r="K3377" s="137"/>
      <c r="L3377" s="137"/>
      <c r="P3377" s="137"/>
      <c r="Q3377" s="137"/>
      <c r="R3377" s="126"/>
    </row>
    <row r="3378" spans="2:18" x14ac:dyDescent="0.3">
      <c r="B3378" s="126"/>
      <c r="G3378" s="137"/>
      <c r="H3378" s="138"/>
      <c r="I3378" s="138"/>
      <c r="J3378" s="139"/>
      <c r="K3378" s="137"/>
      <c r="L3378" s="137"/>
      <c r="P3378" s="137"/>
      <c r="Q3378" s="137"/>
      <c r="R3378" s="126"/>
    </row>
    <row r="3379" spans="2:18" x14ac:dyDescent="0.3">
      <c r="B3379" s="126"/>
      <c r="G3379" s="137"/>
      <c r="H3379" s="138"/>
      <c r="I3379" s="138"/>
      <c r="J3379" s="139"/>
      <c r="K3379" s="137"/>
      <c r="L3379" s="137"/>
      <c r="P3379" s="137"/>
      <c r="Q3379" s="137"/>
      <c r="R3379" s="126"/>
    </row>
    <row r="3380" spans="2:18" x14ac:dyDescent="0.3">
      <c r="B3380" s="126"/>
      <c r="G3380" s="137"/>
      <c r="H3380" s="138"/>
      <c r="I3380" s="138"/>
      <c r="J3380" s="139"/>
      <c r="K3380" s="137"/>
      <c r="L3380" s="137"/>
      <c r="P3380" s="137"/>
      <c r="Q3380" s="137"/>
      <c r="R3380" s="126"/>
    </row>
    <row r="3381" spans="2:18" x14ac:dyDescent="0.3">
      <c r="B3381" s="126"/>
      <c r="G3381" s="137"/>
      <c r="H3381" s="138"/>
      <c r="I3381" s="138"/>
      <c r="J3381" s="139"/>
      <c r="K3381" s="137"/>
      <c r="L3381" s="137"/>
      <c r="P3381" s="137"/>
      <c r="Q3381" s="137"/>
      <c r="R3381" s="126"/>
    </row>
    <row r="3382" spans="2:18" x14ac:dyDescent="0.3">
      <c r="B3382" s="126"/>
      <c r="G3382" s="137"/>
      <c r="H3382" s="138"/>
      <c r="I3382" s="138"/>
      <c r="J3382" s="139"/>
      <c r="K3382" s="137"/>
      <c r="L3382" s="137"/>
      <c r="P3382" s="137"/>
      <c r="Q3382" s="137"/>
      <c r="R3382" s="126"/>
    </row>
    <row r="3383" spans="2:18" x14ac:dyDescent="0.3">
      <c r="B3383" s="126"/>
      <c r="G3383" s="137"/>
      <c r="H3383" s="138"/>
      <c r="I3383" s="138"/>
      <c r="J3383" s="139"/>
      <c r="K3383" s="137"/>
      <c r="L3383" s="137"/>
      <c r="P3383" s="137"/>
      <c r="Q3383" s="137"/>
      <c r="R3383" s="126"/>
    </row>
    <row r="3384" spans="2:18" x14ac:dyDescent="0.3">
      <c r="B3384" s="126"/>
      <c r="G3384" s="137"/>
      <c r="H3384" s="138"/>
      <c r="I3384" s="138"/>
      <c r="J3384" s="139"/>
      <c r="K3384" s="137"/>
      <c r="L3384" s="137"/>
      <c r="P3384" s="137"/>
      <c r="Q3384" s="137"/>
      <c r="R3384" s="126"/>
    </row>
    <row r="3385" spans="2:18" x14ac:dyDescent="0.3">
      <c r="B3385" s="126"/>
      <c r="G3385" s="137"/>
      <c r="H3385" s="138"/>
      <c r="I3385" s="138"/>
      <c r="J3385" s="139"/>
      <c r="K3385" s="137"/>
      <c r="L3385" s="137"/>
      <c r="P3385" s="137"/>
      <c r="Q3385" s="137"/>
      <c r="R3385" s="126"/>
    </row>
    <row r="3386" spans="2:18" x14ac:dyDescent="0.3">
      <c r="B3386" s="126"/>
      <c r="G3386" s="137"/>
      <c r="H3386" s="138"/>
      <c r="I3386" s="138"/>
      <c r="J3386" s="139"/>
      <c r="K3386" s="137"/>
      <c r="L3386" s="137"/>
      <c r="P3386" s="137"/>
      <c r="Q3386" s="137"/>
      <c r="R3386" s="126"/>
    </row>
    <row r="3387" spans="2:18" x14ac:dyDescent="0.3">
      <c r="B3387" s="126"/>
      <c r="G3387" s="137"/>
      <c r="H3387" s="138"/>
      <c r="I3387" s="138"/>
      <c r="J3387" s="139"/>
      <c r="K3387" s="137"/>
      <c r="L3387" s="137"/>
      <c r="P3387" s="137"/>
      <c r="Q3387" s="137"/>
      <c r="R3387" s="126"/>
    </row>
    <row r="3388" spans="2:18" x14ac:dyDescent="0.3">
      <c r="B3388" s="126"/>
      <c r="G3388" s="137"/>
      <c r="H3388" s="138"/>
      <c r="I3388" s="138"/>
      <c r="J3388" s="139"/>
      <c r="K3388" s="137"/>
      <c r="L3388" s="137"/>
      <c r="P3388" s="137"/>
      <c r="Q3388" s="137"/>
      <c r="R3388" s="126"/>
    </row>
    <row r="3389" spans="2:18" x14ac:dyDescent="0.3">
      <c r="B3389" s="126"/>
      <c r="G3389" s="137"/>
      <c r="H3389" s="138"/>
      <c r="I3389" s="138"/>
      <c r="J3389" s="139"/>
      <c r="K3389" s="137"/>
      <c r="L3389" s="137"/>
      <c r="P3389" s="137"/>
      <c r="Q3389" s="137"/>
      <c r="R3389" s="126"/>
    </row>
    <row r="3390" spans="2:18" x14ac:dyDescent="0.3">
      <c r="B3390" s="126"/>
      <c r="G3390" s="137"/>
      <c r="H3390" s="138"/>
      <c r="I3390" s="138"/>
      <c r="J3390" s="139"/>
      <c r="K3390" s="137"/>
      <c r="L3390" s="137"/>
      <c r="P3390" s="137"/>
      <c r="Q3390" s="137"/>
      <c r="R3390" s="126"/>
    </row>
    <row r="3391" spans="2:18" x14ac:dyDescent="0.3">
      <c r="B3391" s="126"/>
      <c r="G3391" s="137"/>
      <c r="H3391" s="138"/>
      <c r="I3391" s="138"/>
      <c r="J3391" s="139"/>
      <c r="K3391" s="137"/>
      <c r="L3391" s="137"/>
      <c r="P3391" s="137"/>
      <c r="Q3391" s="137"/>
      <c r="R3391" s="126"/>
    </row>
    <row r="3392" spans="2:18" x14ac:dyDescent="0.3">
      <c r="B3392" s="126"/>
      <c r="G3392" s="137"/>
      <c r="H3392" s="138"/>
      <c r="I3392" s="138"/>
      <c r="J3392" s="139"/>
      <c r="K3392" s="137"/>
      <c r="L3392" s="137"/>
      <c r="P3392" s="137"/>
      <c r="Q3392" s="137"/>
      <c r="R3392" s="126"/>
    </row>
    <row r="3393" spans="2:18" x14ac:dyDescent="0.3">
      <c r="B3393" s="126"/>
      <c r="G3393" s="137"/>
      <c r="H3393" s="138"/>
      <c r="I3393" s="138"/>
      <c r="J3393" s="139"/>
      <c r="K3393" s="137"/>
      <c r="L3393" s="137"/>
      <c r="P3393" s="137"/>
      <c r="Q3393" s="137"/>
      <c r="R3393" s="126"/>
    </row>
    <row r="3394" spans="2:18" x14ac:dyDescent="0.3">
      <c r="B3394" s="126"/>
      <c r="G3394" s="137"/>
      <c r="H3394" s="138"/>
      <c r="I3394" s="138"/>
      <c r="J3394" s="139"/>
      <c r="K3394" s="137"/>
      <c r="L3394" s="137"/>
      <c r="P3394" s="137"/>
      <c r="Q3394" s="137"/>
      <c r="R3394" s="126"/>
    </row>
    <row r="3395" spans="2:18" x14ac:dyDescent="0.3">
      <c r="B3395" s="126"/>
      <c r="G3395" s="137"/>
      <c r="H3395" s="138"/>
      <c r="I3395" s="138"/>
      <c r="J3395" s="139"/>
      <c r="K3395" s="137"/>
      <c r="L3395" s="137"/>
      <c r="P3395" s="137"/>
      <c r="Q3395" s="137"/>
      <c r="R3395" s="126"/>
    </row>
    <row r="3396" spans="2:18" x14ac:dyDescent="0.3">
      <c r="B3396" s="126"/>
      <c r="G3396" s="137"/>
      <c r="H3396" s="138"/>
      <c r="I3396" s="138"/>
      <c r="J3396" s="139"/>
      <c r="K3396" s="137"/>
      <c r="L3396" s="137"/>
      <c r="P3396" s="137"/>
      <c r="Q3396" s="137"/>
      <c r="R3396" s="126"/>
    </row>
    <row r="3397" spans="2:18" x14ac:dyDescent="0.3">
      <c r="B3397" s="126"/>
      <c r="G3397" s="137"/>
      <c r="H3397" s="138"/>
      <c r="I3397" s="138"/>
      <c r="J3397" s="139"/>
      <c r="K3397" s="137"/>
      <c r="L3397" s="137"/>
      <c r="P3397" s="137"/>
      <c r="Q3397" s="137"/>
      <c r="R3397" s="126"/>
    </row>
    <row r="3398" spans="2:18" x14ac:dyDescent="0.3">
      <c r="B3398" s="126"/>
      <c r="G3398" s="137"/>
      <c r="H3398" s="138"/>
      <c r="I3398" s="138"/>
      <c r="J3398" s="139"/>
      <c r="K3398" s="137"/>
      <c r="L3398" s="137"/>
      <c r="P3398" s="137"/>
      <c r="Q3398" s="137"/>
      <c r="R3398" s="126"/>
    </row>
    <row r="3399" spans="2:18" x14ac:dyDescent="0.3">
      <c r="B3399" s="126"/>
      <c r="G3399" s="137"/>
      <c r="H3399" s="138"/>
      <c r="I3399" s="138"/>
      <c r="J3399" s="139"/>
      <c r="K3399" s="137"/>
      <c r="L3399" s="137"/>
      <c r="P3399" s="137"/>
      <c r="Q3399" s="137"/>
      <c r="R3399" s="126"/>
    </row>
    <row r="3400" spans="2:18" x14ac:dyDescent="0.3">
      <c r="B3400" s="126"/>
      <c r="G3400" s="137"/>
      <c r="H3400" s="138"/>
      <c r="I3400" s="138"/>
      <c r="J3400" s="139"/>
      <c r="K3400" s="137"/>
      <c r="L3400" s="137"/>
      <c r="P3400" s="137"/>
      <c r="Q3400" s="137"/>
      <c r="R3400" s="126"/>
    </row>
    <row r="3401" spans="2:18" x14ac:dyDescent="0.3">
      <c r="B3401" s="126"/>
      <c r="G3401" s="137"/>
      <c r="H3401" s="138"/>
      <c r="I3401" s="138"/>
      <c r="J3401" s="139"/>
      <c r="K3401" s="137"/>
      <c r="L3401" s="137"/>
      <c r="P3401" s="137"/>
      <c r="Q3401" s="137"/>
      <c r="R3401" s="126"/>
    </row>
    <row r="3402" spans="2:18" x14ac:dyDescent="0.3">
      <c r="B3402" s="126"/>
      <c r="G3402" s="137"/>
      <c r="H3402" s="138"/>
      <c r="I3402" s="138"/>
      <c r="J3402" s="139"/>
      <c r="K3402" s="137"/>
      <c r="L3402" s="137"/>
      <c r="P3402" s="137"/>
      <c r="Q3402" s="137"/>
      <c r="R3402" s="126"/>
    </row>
    <row r="3403" spans="2:18" x14ac:dyDescent="0.3">
      <c r="B3403" s="126"/>
      <c r="G3403" s="137"/>
      <c r="H3403" s="138"/>
      <c r="I3403" s="138"/>
      <c r="J3403" s="139"/>
      <c r="K3403" s="137"/>
      <c r="L3403" s="137"/>
      <c r="P3403" s="137"/>
      <c r="Q3403" s="137"/>
      <c r="R3403" s="126"/>
    </row>
    <row r="3404" spans="2:18" x14ac:dyDescent="0.3">
      <c r="B3404" s="126"/>
      <c r="G3404" s="137"/>
      <c r="H3404" s="138"/>
      <c r="I3404" s="138"/>
      <c r="J3404" s="139"/>
      <c r="K3404" s="137"/>
      <c r="L3404" s="137"/>
      <c r="P3404" s="137"/>
      <c r="Q3404" s="137"/>
      <c r="R3404" s="126"/>
    </row>
    <row r="3405" spans="2:18" x14ac:dyDescent="0.3">
      <c r="B3405" s="126"/>
      <c r="G3405" s="137"/>
      <c r="H3405" s="138"/>
      <c r="I3405" s="138"/>
      <c r="J3405" s="139"/>
      <c r="K3405" s="137"/>
      <c r="L3405" s="137"/>
      <c r="P3405" s="137"/>
      <c r="Q3405" s="137"/>
      <c r="R3405" s="126"/>
    </row>
    <row r="3406" spans="2:18" x14ac:dyDescent="0.3">
      <c r="B3406" s="126"/>
      <c r="G3406" s="137"/>
      <c r="H3406" s="138"/>
      <c r="I3406" s="138"/>
      <c r="J3406" s="139"/>
      <c r="K3406" s="137"/>
      <c r="L3406" s="137"/>
      <c r="P3406" s="137"/>
      <c r="Q3406" s="137"/>
      <c r="R3406" s="126"/>
    </row>
    <row r="3407" spans="2:18" x14ac:dyDescent="0.3">
      <c r="B3407" s="126"/>
      <c r="G3407" s="137"/>
      <c r="H3407" s="138"/>
      <c r="I3407" s="138"/>
      <c r="J3407" s="139"/>
      <c r="K3407" s="137"/>
      <c r="L3407" s="137"/>
      <c r="P3407" s="137"/>
      <c r="Q3407" s="137"/>
      <c r="R3407" s="126"/>
    </row>
    <row r="3408" spans="2:18" x14ac:dyDescent="0.3">
      <c r="B3408" s="126"/>
      <c r="G3408" s="137"/>
      <c r="H3408" s="138"/>
      <c r="I3408" s="138"/>
      <c r="J3408" s="139"/>
      <c r="K3408" s="137"/>
      <c r="L3408" s="137"/>
      <c r="P3408" s="137"/>
      <c r="Q3408" s="137"/>
      <c r="R3408" s="126"/>
    </row>
    <row r="3409" spans="2:18" x14ac:dyDescent="0.3">
      <c r="B3409" s="126"/>
      <c r="G3409" s="137"/>
      <c r="H3409" s="138"/>
      <c r="I3409" s="138"/>
      <c r="J3409" s="139"/>
      <c r="K3409" s="137"/>
      <c r="L3409" s="137"/>
      <c r="P3409" s="137"/>
      <c r="Q3409" s="137"/>
      <c r="R3409" s="126"/>
    </row>
    <row r="3410" spans="2:18" x14ac:dyDescent="0.3">
      <c r="B3410" s="126"/>
      <c r="G3410" s="137"/>
      <c r="H3410" s="138"/>
      <c r="I3410" s="138"/>
      <c r="J3410" s="139"/>
      <c r="K3410" s="137"/>
      <c r="L3410" s="137"/>
      <c r="P3410" s="137"/>
      <c r="Q3410" s="137"/>
      <c r="R3410" s="126"/>
    </row>
    <row r="3411" spans="2:18" x14ac:dyDescent="0.3">
      <c r="B3411" s="126"/>
      <c r="G3411" s="137"/>
      <c r="H3411" s="138"/>
      <c r="I3411" s="138"/>
      <c r="J3411" s="139"/>
      <c r="K3411" s="137"/>
      <c r="L3411" s="137"/>
      <c r="P3411" s="137"/>
      <c r="Q3411" s="137"/>
      <c r="R3411" s="126"/>
    </row>
    <row r="3412" spans="2:18" x14ac:dyDescent="0.3">
      <c r="B3412" s="126"/>
      <c r="G3412" s="137"/>
      <c r="H3412" s="138"/>
      <c r="I3412" s="138"/>
      <c r="J3412" s="139"/>
      <c r="K3412" s="137"/>
      <c r="L3412" s="137"/>
      <c r="P3412" s="137"/>
      <c r="Q3412" s="137"/>
      <c r="R3412" s="126"/>
    </row>
    <row r="3413" spans="2:18" x14ac:dyDescent="0.3">
      <c r="B3413" s="126"/>
      <c r="G3413" s="137"/>
      <c r="H3413" s="138"/>
      <c r="I3413" s="138"/>
      <c r="J3413" s="139"/>
      <c r="K3413" s="137"/>
      <c r="L3413" s="137"/>
      <c r="P3413" s="137"/>
      <c r="Q3413" s="137"/>
      <c r="R3413" s="126"/>
    </row>
    <row r="3414" spans="2:18" x14ac:dyDescent="0.3">
      <c r="B3414" s="126"/>
      <c r="G3414" s="137"/>
      <c r="H3414" s="138"/>
      <c r="I3414" s="138"/>
      <c r="J3414" s="139"/>
      <c r="K3414" s="137"/>
      <c r="L3414" s="137"/>
      <c r="P3414" s="137"/>
      <c r="Q3414" s="137"/>
      <c r="R3414" s="126"/>
    </row>
    <row r="3415" spans="2:18" x14ac:dyDescent="0.3">
      <c r="B3415" s="126"/>
      <c r="G3415" s="137"/>
      <c r="H3415" s="138"/>
      <c r="I3415" s="138"/>
      <c r="J3415" s="139"/>
      <c r="K3415" s="137"/>
      <c r="L3415" s="137"/>
      <c r="P3415" s="137"/>
      <c r="Q3415" s="137"/>
      <c r="R3415" s="126"/>
    </row>
    <row r="3416" spans="2:18" x14ac:dyDescent="0.3">
      <c r="B3416" s="126"/>
      <c r="G3416" s="137"/>
      <c r="H3416" s="138"/>
      <c r="I3416" s="138"/>
      <c r="J3416" s="139"/>
      <c r="K3416" s="137"/>
      <c r="L3416" s="137"/>
      <c r="P3416" s="137"/>
      <c r="Q3416" s="137"/>
      <c r="R3416" s="126"/>
    </row>
    <row r="3417" spans="2:18" x14ac:dyDescent="0.3">
      <c r="B3417" s="126"/>
      <c r="G3417" s="137"/>
      <c r="H3417" s="138"/>
      <c r="I3417" s="138"/>
      <c r="J3417" s="139"/>
      <c r="K3417" s="137"/>
      <c r="L3417" s="137"/>
      <c r="P3417" s="137"/>
      <c r="Q3417" s="137"/>
      <c r="R3417" s="126"/>
    </row>
    <row r="3418" spans="2:18" x14ac:dyDescent="0.3">
      <c r="B3418" s="126"/>
      <c r="G3418" s="137"/>
      <c r="H3418" s="138"/>
      <c r="I3418" s="138"/>
      <c r="J3418" s="139"/>
      <c r="K3418" s="137"/>
      <c r="L3418" s="137"/>
      <c r="P3418" s="137"/>
      <c r="Q3418" s="137"/>
      <c r="R3418" s="126"/>
    </row>
    <row r="3419" spans="2:18" x14ac:dyDescent="0.3">
      <c r="B3419" s="126"/>
      <c r="G3419" s="137"/>
      <c r="H3419" s="138"/>
      <c r="I3419" s="138"/>
      <c r="J3419" s="139"/>
      <c r="K3419" s="137"/>
      <c r="L3419" s="137"/>
      <c r="P3419" s="137"/>
      <c r="Q3419" s="137"/>
      <c r="R3419" s="126"/>
    </row>
    <row r="3420" spans="2:18" x14ac:dyDescent="0.3">
      <c r="B3420" s="126"/>
      <c r="G3420" s="137"/>
      <c r="H3420" s="138"/>
      <c r="I3420" s="138"/>
      <c r="J3420" s="139"/>
      <c r="K3420" s="137"/>
      <c r="L3420" s="137"/>
      <c r="P3420" s="137"/>
      <c r="Q3420" s="137"/>
      <c r="R3420" s="126"/>
    </row>
    <row r="3421" spans="2:18" x14ac:dyDescent="0.3">
      <c r="B3421" s="126"/>
      <c r="G3421" s="137"/>
      <c r="H3421" s="138"/>
      <c r="I3421" s="138"/>
      <c r="J3421" s="139"/>
      <c r="K3421" s="137"/>
      <c r="L3421" s="137"/>
      <c r="P3421" s="137"/>
      <c r="Q3421" s="137"/>
      <c r="R3421" s="126"/>
    </row>
    <row r="3422" spans="2:18" x14ac:dyDescent="0.3">
      <c r="B3422" s="126"/>
      <c r="G3422" s="137"/>
      <c r="H3422" s="138"/>
      <c r="I3422" s="138"/>
      <c r="J3422" s="139"/>
      <c r="K3422" s="137"/>
      <c r="L3422" s="137"/>
      <c r="P3422" s="137"/>
      <c r="Q3422" s="137"/>
      <c r="R3422" s="126"/>
    </row>
    <row r="3423" spans="2:18" x14ac:dyDescent="0.3">
      <c r="B3423" s="126"/>
      <c r="G3423" s="137"/>
      <c r="H3423" s="138"/>
      <c r="I3423" s="138"/>
      <c r="J3423" s="139"/>
      <c r="K3423" s="137"/>
      <c r="L3423" s="137"/>
      <c r="P3423" s="137"/>
      <c r="Q3423" s="137"/>
      <c r="R3423" s="126"/>
    </row>
    <row r="3424" spans="2:18" x14ac:dyDescent="0.3">
      <c r="B3424" s="126"/>
      <c r="G3424" s="137"/>
      <c r="H3424" s="138"/>
      <c r="I3424" s="138"/>
      <c r="J3424" s="139"/>
      <c r="K3424" s="137"/>
      <c r="L3424" s="137"/>
      <c r="P3424" s="137"/>
      <c r="Q3424" s="137"/>
      <c r="R3424" s="126"/>
    </row>
    <row r="3425" spans="2:18" x14ac:dyDescent="0.3">
      <c r="B3425" s="126"/>
      <c r="G3425" s="137"/>
      <c r="H3425" s="138"/>
      <c r="I3425" s="138"/>
      <c r="J3425" s="139"/>
      <c r="K3425" s="137"/>
      <c r="L3425" s="137"/>
      <c r="P3425" s="137"/>
      <c r="Q3425" s="137"/>
      <c r="R3425" s="126"/>
    </row>
    <row r="3426" spans="2:18" x14ac:dyDescent="0.3">
      <c r="B3426" s="126"/>
      <c r="G3426" s="137"/>
      <c r="H3426" s="138"/>
      <c r="I3426" s="138"/>
      <c r="J3426" s="139"/>
      <c r="K3426" s="137"/>
      <c r="L3426" s="137"/>
      <c r="P3426" s="137"/>
      <c r="Q3426" s="137"/>
      <c r="R3426" s="126"/>
    </row>
    <row r="3427" spans="2:18" x14ac:dyDescent="0.3">
      <c r="B3427" s="126"/>
      <c r="G3427" s="137"/>
      <c r="H3427" s="138"/>
      <c r="I3427" s="138"/>
      <c r="J3427" s="139"/>
      <c r="K3427" s="137"/>
      <c r="L3427" s="137"/>
      <c r="P3427" s="137"/>
      <c r="Q3427" s="137"/>
      <c r="R3427" s="126"/>
    </row>
    <row r="3428" spans="2:18" x14ac:dyDescent="0.3">
      <c r="B3428" s="126"/>
      <c r="G3428" s="137"/>
      <c r="H3428" s="138"/>
      <c r="I3428" s="138"/>
      <c r="J3428" s="139"/>
      <c r="K3428" s="137"/>
      <c r="L3428" s="137"/>
      <c r="P3428" s="137"/>
      <c r="Q3428" s="137"/>
      <c r="R3428" s="126"/>
    </row>
    <row r="3429" spans="2:18" x14ac:dyDescent="0.3">
      <c r="B3429" s="126"/>
      <c r="G3429" s="137"/>
      <c r="H3429" s="138"/>
      <c r="I3429" s="138"/>
      <c r="J3429" s="139"/>
      <c r="K3429" s="137"/>
      <c r="L3429" s="137"/>
      <c r="P3429" s="137"/>
      <c r="Q3429" s="137"/>
      <c r="R3429" s="126"/>
    </row>
    <row r="3430" spans="2:18" x14ac:dyDescent="0.3">
      <c r="B3430" s="126"/>
      <c r="G3430" s="137"/>
      <c r="H3430" s="138"/>
      <c r="I3430" s="138"/>
      <c r="J3430" s="139"/>
      <c r="K3430" s="137"/>
      <c r="L3430" s="137"/>
      <c r="P3430" s="137"/>
      <c r="Q3430" s="137"/>
      <c r="R3430" s="126"/>
    </row>
    <row r="3431" spans="2:18" x14ac:dyDescent="0.3">
      <c r="B3431" s="126"/>
      <c r="G3431" s="137"/>
      <c r="H3431" s="138"/>
      <c r="I3431" s="138"/>
      <c r="J3431" s="139"/>
      <c r="K3431" s="137"/>
      <c r="L3431" s="137"/>
      <c r="P3431" s="137"/>
      <c r="Q3431" s="137"/>
      <c r="R3431" s="126"/>
    </row>
    <row r="3432" spans="2:18" x14ac:dyDescent="0.3">
      <c r="B3432" s="126"/>
      <c r="G3432" s="137"/>
      <c r="H3432" s="138"/>
      <c r="I3432" s="138"/>
      <c r="J3432" s="139"/>
      <c r="K3432" s="137"/>
      <c r="L3432" s="137"/>
      <c r="P3432" s="137"/>
      <c r="Q3432" s="137"/>
      <c r="R3432" s="126"/>
    </row>
    <row r="3433" spans="2:18" x14ac:dyDescent="0.3">
      <c r="B3433" s="126"/>
      <c r="G3433" s="137"/>
      <c r="H3433" s="138"/>
      <c r="I3433" s="138"/>
      <c r="J3433" s="139"/>
      <c r="K3433" s="137"/>
      <c r="L3433" s="137"/>
      <c r="P3433" s="137"/>
      <c r="Q3433" s="137"/>
      <c r="R3433" s="126"/>
    </row>
    <row r="3434" spans="2:18" x14ac:dyDescent="0.3">
      <c r="B3434" s="126"/>
      <c r="G3434" s="137"/>
      <c r="H3434" s="138"/>
      <c r="I3434" s="138"/>
      <c r="J3434" s="139"/>
      <c r="K3434" s="137"/>
      <c r="L3434" s="137"/>
      <c r="P3434" s="137"/>
      <c r="Q3434" s="137"/>
      <c r="R3434" s="126"/>
    </row>
    <row r="3435" spans="2:18" x14ac:dyDescent="0.3">
      <c r="B3435" s="126"/>
      <c r="G3435" s="137"/>
      <c r="H3435" s="138"/>
      <c r="I3435" s="138"/>
      <c r="J3435" s="139"/>
      <c r="K3435" s="137"/>
      <c r="L3435" s="137"/>
      <c r="P3435" s="137"/>
      <c r="Q3435" s="137"/>
      <c r="R3435" s="126"/>
    </row>
    <row r="3436" spans="2:18" x14ac:dyDescent="0.3">
      <c r="B3436" s="126"/>
      <c r="G3436" s="137"/>
      <c r="H3436" s="138"/>
      <c r="I3436" s="138"/>
      <c r="J3436" s="139"/>
      <c r="K3436" s="137"/>
      <c r="L3436" s="137"/>
      <c r="P3436" s="137"/>
      <c r="Q3436" s="137"/>
      <c r="R3436" s="126"/>
    </row>
    <row r="3437" spans="2:18" x14ac:dyDescent="0.3">
      <c r="B3437" s="126"/>
      <c r="G3437" s="137"/>
      <c r="H3437" s="138"/>
      <c r="I3437" s="138"/>
      <c r="J3437" s="139"/>
      <c r="K3437" s="137"/>
      <c r="L3437" s="137"/>
      <c r="P3437" s="137"/>
      <c r="Q3437" s="137"/>
      <c r="R3437" s="126"/>
    </row>
    <row r="3438" spans="2:18" x14ac:dyDescent="0.3">
      <c r="B3438" s="126"/>
      <c r="G3438" s="137"/>
      <c r="H3438" s="138"/>
      <c r="I3438" s="138"/>
      <c r="J3438" s="139"/>
      <c r="K3438" s="137"/>
      <c r="L3438" s="137"/>
      <c r="P3438" s="137"/>
      <c r="Q3438" s="137"/>
      <c r="R3438" s="126"/>
    </row>
    <row r="3439" spans="2:18" x14ac:dyDescent="0.3">
      <c r="B3439" s="126"/>
      <c r="G3439" s="137"/>
      <c r="H3439" s="138"/>
      <c r="I3439" s="138"/>
      <c r="J3439" s="139"/>
      <c r="K3439" s="137"/>
      <c r="L3439" s="137"/>
      <c r="P3439" s="137"/>
      <c r="Q3439" s="137"/>
      <c r="R3439" s="126"/>
    </row>
    <row r="3440" spans="2:18" x14ac:dyDescent="0.3">
      <c r="B3440" s="126"/>
      <c r="G3440" s="137"/>
      <c r="H3440" s="138"/>
      <c r="I3440" s="138"/>
      <c r="J3440" s="139"/>
      <c r="K3440" s="137"/>
      <c r="L3440" s="137"/>
      <c r="P3440" s="137"/>
      <c r="Q3440" s="137"/>
      <c r="R3440" s="126"/>
    </row>
    <row r="3441" spans="2:18" x14ac:dyDescent="0.3">
      <c r="B3441" s="126"/>
      <c r="G3441" s="137"/>
      <c r="H3441" s="138"/>
      <c r="I3441" s="138"/>
      <c r="J3441" s="139"/>
      <c r="K3441" s="137"/>
      <c r="L3441" s="137"/>
      <c r="P3441" s="137"/>
      <c r="Q3441" s="137"/>
      <c r="R3441" s="126"/>
    </row>
    <row r="3442" spans="2:18" x14ac:dyDescent="0.3">
      <c r="B3442" s="126"/>
      <c r="G3442" s="137"/>
      <c r="H3442" s="138"/>
      <c r="I3442" s="138"/>
      <c r="J3442" s="139"/>
      <c r="K3442" s="137"/>
      <c r="L3442" s="137"/>
      <c r="P3442" s="137"/>
      <c r="Q3442" s="137"/>
      <c r="R3442" s="126"/>
    </row>
    <row r="3443" spans="2:18" x14ac:dyDescent="0.3">
      <c r="B3443" s="126"/>
      <c r="G3443" s="137"/>
      <c r="H3443" s="138"/>
      <c r="I3443" s="138"/>
      <c r="J3443" s="139"/>
      <c r="K3443" s="137"/>
      <c r="L3443" s="137"/>
      <c r="P3443" s="137"/>
      <c r="Q3443" s="137"/>
      <c r="R3443" s="126"/>
    </row>
    <row r="3444" spans="2:18" x14ac:dyDescent="0.3">
      <c r="B3444" s="126"/>
      <c r="G3444" s="137"/>
      <c r="H3444" s="138"/>
      <c r="I3444" s="138"/>
      <c r="J3444" s="139"/>
      <c r="K3444" s="137"/>
      <c r="L3444" s="137"/>
      <c r="P3444" s="137"/>
      <c r="Q3444" s="137"/>
      <c r="R3444" s="126"/>
    </row>
    <row r="3445" spans="2:18" x14ac:dyDescent="0.3">
      <c r="B3445" s="126"/>
      <c r="G3445" s="137"/>
      <c r="H3445" s="138"/>
      <c r="I3445" s="138"/>
      <c r="J3445" s="139"/>
      <c r="K3445" s="137"/>
      <c r="L3445" s="137"/>
      <c r="P3445" s="137"/>
      <c r="Q3445" s="137"/>
      <c r="R3445" s="126"/>
    </row>
    <row r="3446" spans="2:18" x14ac:dyDescent="0.3">
      <c r="B3446" s="126"/>
      <c r="G3446" s="137"/>
      <c r="H3446" s="138"/>
      <c r="I3446" s="138"/>
      <c r="J3446" s="139"/>
      <c r="K3446" s="137"/>
      <c r="L3446" s="137"/>
      <c r="P3446" s="137"/>
      <c r="Q3446" s="137"/>
      <c r="R3446" s="126"/>
    </row>
    <row r="3447" spans="2:18" x14ac:dyDescent="0.3">
      <c r="B3447" s="126"/>
      <c r="G3447" s="137"/>
      <c r="H3447" s="138"/>
      <c r="I3447" s="138"/>
      <c r="J3447" s="139"/>
      <c r="K3447" s="137"/>
      <c r="L3447" s="137"/>
      <c r="P3447" s="137"/>
      <c r="Q3447" s="137"/>
      <c r="R3447" s="126"/>
    </row>
    <row r="3448" spans="2:18" x14ac:dyDescent="0.3">
      <c r="B3448" s="126"/>
      <c r="G3448" s="137"/>
      <c r="H3448" s="138"/>
      <c r="I3448" s="138"/>
      <c r="J3448" s="139"/>
      <c r="K3448" s="137"/>
      <c r="L3448" s="137"/>
      <c r="P3448" s="137"/>
      <c r="Q3448" s="137"/>
      <c r="R3448" s="126"/>
    </row>
    <row r="3449" spans="2:18" x14ac:dyDescent="0.3">
      <c r="B3449" s="126"/>
      <c r="G3449" s="137"/>
      <c r="H3449" s="138"/>
      <c r="I3449" s="138"/>
      <c r="J3449" s="139"/>
      <c r="K3449" s="137"/>
      <c r="L3449" s="137"/>
      <c r="P3449" s="137"/>
      <c r="Q3449" s="137"/>
      <c r="R3449" s="126"/>
    </row>
    <row r="3450" spans="2:18" x14ac:dyDescent="0.3">
      <c r="B3450" s="126"/>
      <c r="G3450" s="137"/>
      <c r="H3450" s="138"/>
      <c r="I3450" s="138"/>
      <c r="J3450" s="139"/>
      <c r="K3450" s="137"/>
      <c r="L3450" s="137"/>
      <c r="P3450" s="137"/>
      <c r="Q3450" s="137"/>
      <c r="R3450" s="126"/>
    </row>
    <row r="3451" spans="2:18" x14ac:dyDescent="0.3">
      <c r="B3451" s="126"/>
      <c r="G3451" s="137"/>
      <c r="H3451" s="138"/>
      <c r="I3451" s="138"/>
      <c r="J3451" s="139"/>
      <c r="K3451" s="137"/>
      <c r="L3451" s="137"/>
      <c r="P3451" s="137"/>
      <c r="Q3451" s="137"/>
      <c r="R3451" s="126"/>
    </row>
    <row r="3452" spans="2:18" x14ac:dyDescent="0.3">
      <c r="B3452" s="126"/>
      <c r="G3452" s="137"/>
      <c r="H3452" s="138"/>
      <c r="I3452" s="138"/>
      <c r="J3452" s="139"/>
      <c r="K3452" s="137"/>
      <c r="L3452" s="137"/>
      <c r="P3452" s="137"/>
      <c r="Q3452" s="137"/>
      <c r="R3452" s="126"/>
    </row>
    <row r="3453" spans="2:18" x14ac:dyDescent="0.3">
      <c r="B3453" s="126"/>
      <c r="G3453" s="137"/>
      <c r="H3453" s="138"/>
      <c r="I3453" s="138"/>
      <c r="J3453" s="139"/>
      <c r="K3453" s="137"/>
      <c r="L3453" s="137"/>
      <c r="P3453" s="137"/>
      <c r="Q3453" s="137"/>
      <c r="R3453" s="126"/>
    </row>
    <row r="3454" spans="2:18" x14ac:dyDescent="0.3">
      <c r="B3454" s="126"/>
      <c r="G3454" s="137"/>
      <c r="H3454" s="138"/>
      <c r="I3454" s="138"/>
      <c r="J3454" s="139"/>
      <c r="K3454" s="137"/>
      <c r="L3454" s="137"/>
      <c r="P3454" s="137"/>
      <c r="Q3454" s="137"/>
      <c r="R3454" s="126"/>
    </row>
    <row r="3455" spans="2:18" x14ac:dyDescent="0.3">
      <c r="B3455" s="126"/>
      <c r="G3455" s="137"/>
      <c r="H3455" s="138"/>
      <c r="I3455" s="138"/>
      <c r="J3455" s="139"/>
      <c r="K3455" s="137"/>
      <c r="L3455" s="137"/>
      <c r="P3455" s="137"/>
      <c r="Q3455" s="137"/>
      <c r="R3455" s="126"/>
    </row>
    <row r="3456" spans="2:18" x14ac:dyDescent="0.3">
      <c r="B3456" s="126"/>
      <c r="G3456" s="137"/>
      <c r="H3456" s="138"/>
      <c r="I3456" s="138"/>
      <c r="J3456" s="139"/>
      <c r="K3456" s="137"/>
      <c r="L3456" s="137"/>
      <c r="P3456" s="137"/>
      <c r="Q3456" s="137"/>
      <c r="R3456" s="126"/>
    </row>
    <row r="3457" spans="2:18" x14ac:dyDescent="0.3">
      <c r="B3457" s="126"/>
      <c r="G3457" s="137"/>
      <c r="H3457" s="138"/>
      <c r="I3457" s="138"/>
      <c r="J3457" s="139"/>
      <c r="K3457" s="137"/>
      <c r="L3457" s="137"/>
      <c r="P3457" s="137"/>
      <c r="Q3457" s="137"/>
      <c r="R3457" s="126"/>
    </row>
    <row r="3458" spans="2:18" x14ac:dyDescent="0.3">
      <c r="B3458" s="126"/>
      <c r="G3458" s="137"/>
      <c r="H3458" s="138"/>
      <c r="I3458" s="138"/>
      <c r="J3458" s="139"/>
      <c r="K3458" s="137"/>
      <c r="L3458" s="137"/>
      <c r="P3458" s="137"/>
      <c r="Q3458" s="137"/>
      <c r="R3458" s="126"/>
    </row>
    <row r="3459" spans="2:18" x14ac:dyDescent="0.3">
      <c r="B3459" s="126"/>
      <c r="G3459" s="137"/>
      <c r="H3459" s="138"/>
      <c r="I3459" s="138"/>
      <c r="J3459" s="139"/>
      <c r="K3459" s="137"/>
      <c r="L3459" s="137"/>
      <c r="P3459" s="137"/>
      <c r="Q3459" s="137"/>
      <c r="R3459" s="126"/>
    </row>
    <row r="3460" spans="2:18" x14ac:dyDescent="0.3">
      <c r="B3460" s="126"/>
      <c r="G3460" s="137"/>
      <c r="H3460" s="138"/>
      <c r="I3460" s="138"/>
      <c r="J3460" s="139"/>
      <c r="K3460" s="137"/>
      <c r="L3460" s="137"/>
      <c r="P3460" s="137"/>
      <c r="Q3460" s="137"/>
      <c r="R3460" s="126"/>
    </row>
    <row r="3461" spans="2:18" x14ac:dyDescent="0.3">
      <c r="B3461" s="126"/>
      <c r="G3461" s="137"/>
      <c r="H3461" s="138"/>
      <c r="I3461" s="138"/>
      <c r="J3461" s="139"/>
      <c r="K3461" s="137"/>
      <c r="L3461" s="137"/>
      <c r="P3461" s="137"/>
      <c r="Q3461" s="137"/>
      <c r="R3461" s="126"/>
    </row>
    <row r="3462" spans="2:18" x14ac:dyDescent="0.3">
      <c r="B3462" s="126"/>
      <c r="G3462" s="137"/>
      <c r="H3462" s="138"/>
      <c r="I3462" s="138"/>
      <c r="J3462" s="139"/>
      <c r="K3462" s="137"/>
      <c r="L3462" s="137"/>
      <c r="P3462" s="137"/>
      <c r="Q3462" s="137"/>
      <c r="R3462" s="126"/>
    </row>
    <row r="3463" spans="2:18" x14ac:dyDescent="0.3">
      <c r="B3463" s="126"/>
      <c r="G3463" s="137"/>
      <c r="H3463" s="138"/>
      <c r="I3463" s="138"/>
      <c r="J3463" s="139"/>
      <c r="K3463" s="137"/>
      <c r="L3463" s="137"/>
      <c r="P3463" s="137"/>
      <c r="Q3463" s="137"/>
      <c r="R3463" s="126"/>
    </row>
    <row r="3464" spans="2:18" x14ac:dyDescent="0.3">
      <c r="B3464" s="126"/>
      <c r="G3464" s="137"/>
      <c r="H3464" s="138"/>
      <c r="I3464" s="138"/>
      <c r="J3464" s="139"/>
      <c r="K3464" s="137"/>
      <c r="L3464" s="137"/>
      <c r="P3464" s="137"/>
      <c r="Q3464" s="137"/>
      <c r="R3464" s="126"/>
    </row>
    <row r="3465" spans="2:18" x14ac:dyDescent="0.3">
      <c r="B3465" s="126"/>
      <c r="G3465" s="137"/>
      <c r="H3465" s="138"/>
      <c r="I3465" s="138"/>
      <c r="J3465" s="139"/>
      <c r="K3465" s="137"/>
      <c r="L3465" s="137"/>
      <c r="P3465" s="137"/>
      <c r="Q3465" s="137"/>
      <c r="R3465" s="126"/>
    </row>
    <row r="3466" spans="2:18" x14ac:dyDescent="0.3">
      <c r="B3466" s="126"/>
      <c r="G3466" s="137"/>
      <c r="H3466" s="138"/>
      <c r="I3466" s="138"/>
      <c r="J3466" s="139"/>
      <c r="K3466" s="137"/>
      <c r="L3466" s="137"/>
      <c r="P3466" s="137"/>
      <c r="Q3466" s="137"/>
      <c r="R3466" s="126"/>
    </row>
    <row r="3467" spans="2:18" x14ac:dyDescent="0.3">
      <c r="B3467" s="126"/>
      <c r="G3467" s="137"/>
      <c r="H3467" s="138"/>
      <c r="I3467" s="138"/>
      <c r="J3467" s="139"/>
      <c r="K3467" s="137"/>
      <c r="L3467" s="137"/>
      <c r="P3467" s="137"/>
      <c r="Q3467" s="137"/>
      <c r="R3467" s="126"/>
    </row>
    <row r="3468" spans="2:18" x14ac:dyDescent="0.3">
      <c r="B3468" s="126"/>
      <c r="G3468" s="137"/>
      <c r="H3468" s="138"/>
      <c r="I3468" s="138"/>
      <c r="J3468" s="139"/>
      <c r="K3468" s="137"/>
      <c r="L3468" s="137"/>
      <c r="P3468" s="137"/>
      <c r="Q3468" s="137"/>
      <c r="R3468" s="126"/>
    </row>
    <row r="3469" spans="2:18" x14ac:dyDescent="0.3">
      <c r="B3469" s="126"/>
      <c r="G3469" s="137"/>
      <c r="H3469" s="138"/>
      <c r="I3469" s="138"/>
      <c r="J3469" s="139"/>
      <c r="K3469" s="137"/>
      <c r="L3469" s="137"/>
      <c r="P3469" s="137"/>
      <c r="Q3469" s="137"/>
      <c r="R3469" s="126"/>
    </row>
    <row r="3470" spans="2:18" x14ac:dyDescent="0.3">
      <c r="B3470" s="126"/>
      <c r="G3470" s="137"/>
      <c r="H3470" s="138"/>
      <c r="I3470" s="138"/>
      <c r="J3470" s="139"/>
      <c r="K3470" s="137"/>
      <c r="L3470" s="137"/>
      <c r="P3470" s="137"/>
      <c r="Q3470" s="137"/>
      <c r="R3470" s="126"/>
    </row>
    <row r="3471" spans="2:18" x14ac:dyDescent="0.3">
      <c r="B3471" s="126"/>
      <c r="G3471" s="137"/>
      <c r="H3471" s="138"/>
      <c r="I3471" s="138"/>
      <c r="J3471" s="139"/>
      <c r="K3471" s="137"/>
      <c r="L3471" s="137"/>
      <c r="P3471" s="137"/>
      <c r="Q3471" s="137"/>
      <c r="R3471" s="126"/>
    </row>
    <row r="3472" spans="2:18" x14ac:dyDescent="0.3">
      <c r="B3472" s="126"/>
      <c r="G3472" s="137"/>
      <c r="H3472" s="138"/>
      <c r="I3472" s="138"/>
      <c r="J3472" s="139"/>
      <c r="K3472" s="137"/>
      <c r="L3472" s="137"/>
      <c r="P3472" s="137"/>
      <c r="Q3472" s="137"/>
      <c r="R3472" s="126"/>
    </row>
    <row r="3473" spans="2:18" x14ac:dyDescent="0.3">
      <c r="B3473" s="126"/>
      <c r="G3473" s="137"/>
      <c r="H3473" s="138"/>
      <c r="I3473" s="138"/>
      <c r="J3473" s="139"/>
      <c r="K3473" s="137"/>
      <c r="L3473" s="137"/>
      <c r="P3473" s="137"/>
      <c r="Q3473" s="137"/>
      <c r="R3473" s="126"/>
    </row>
    <row r="3474" spans="2:18" x14ac:dyDescent="0.3">
      <c r="B3474" s="126"/>
      <c r="G3474" s="137"/>
      <c r="H3474" s="138"/>
      <c r="I3474" s="138"/>
      <c r="J3474" s="139"/>
      <c r="K3474" s="137"/>
      <c r="L3474" s="137"/>
      <c r="P3474" s="137"/>
      <c r="Q3474" s="137"/>
      <c r="R3474" s="126"/>
    </row>
    <row r="3475" spans="2:18" x14ac:dyDescent="0.3">
      <c r="B3475" s="126"/>
      <c r="G3475" s="137"/>
      <c r="H3475" s="138"/>
      <c r="I3475" s="138"/>
      <c r="J3475" s="139"/>
      <c r="K3475" s="137"/>
      <c r="L3475" s="137"/>
      <c r="P3475" s="137"/>
      <c r="Q3475" s="137"/>
      <c r="R3475" s="126"/>
    </row>
    <row r="3476" spans="2:18" x14ac:dyDescent="0.3">
      <c r="B3476" s="126"/>
      <c r="G3476" s="137"/>
      <c r="H3476" s="138"/>
      <c r="I3476" s="138"/>
      <c r="J3476" s="139"/>
      <c r="K3476" s="137"/>
      <c r="L3476" s="137"/>
      <c r="P3476" s="137"/>
      <c r="Q3476" s="137"/>
      <c r="R3476" s="126"/>
    </row>
    <row r="3477" spans="2:18" x14ac:dyDescent="0.3">
      <c r="B3477" s="126"/>
      <c r="G3477" s="137"/>
      <c r="H3477" s="138"/>
      <c r="I3477" s="138"/>
      <c r="J3477" s="139"/>
      <c r="K3477" s="137"/>
      <c r="L3477" s="137"/>
      <c r="P3477" s="137"/>
      <c r="Q3477" s="137"/>
      <c r="R3477" s="126"/>
    </row>
    <row r="3478" spans="2:18" x14ac:dyDescent="0.3">
      <c r="B3478" s="126"/>
      <c r="G3478" s="137"/>
      <c r="H3478" s="138"/>
      <c r="I3478" s="138"/>
      <c r="J3478" s="139"/>
      <c r="K3478" s="137"/>
      <c r="L3478" s="137"/>
      <c r="P3478" s="137"/>
      <c r="Q3478" s="137"/>
      <c r="R3478" s="126"/>
    </row>
    <row r="3479" spans="2:18" x14ac:dyDescent="0.3">
      <c r="B3479" s="126"/>
      <c r="G3479" s="137"/>
      <c r="H3479" s="138"/>
      <c r="I3479" s="138"/>
      <c r="J3479" s="139"/>
      <c r="K3479" s="137"/>
      <c r="L3479" s="137"/>
      <c r="P3479" s="137"/>
      <c r="Q3479" s="137"/>
      <c r="R3479" s="126"/>
    </row>
    <row r="3480" spans="2:18" x14ac:dyDescent="0.3">
      <c r="B3480" s="126"/>
      <c r="G3480" s="137"/>
      <c r="H3480" s="138"/>
      <c r="I3480" s="138"/>
      <c r="J3480" s="139"/>
      <c r="K3480" s="137"/>
      <c r="L3480" s="137"/>
      <c r="P3480" s="137"/>
      <c r="Q3480" s="137"/>
      <c r="R3480" s="126"/>
    </row>
    <row r="3481" spans="2:18" x14ac:dyDescent="0.3">
      <c r="B3481" s="126"/>
      <c r="G3481" s="137"/>
      <c r="H3481" s="138"/>
      <c r="I3481" s="138"/>
      <c r="J3481" s="139"/>
      <c r="K3481" s="137"/>
      <c r="L3481" s="137"/>
      <c r="P3481" s="137"/>
      <c r="Q3481" s="137"/>
      <c r="R3481" s="126"/>
    </row>
    <row r="3482" spans="2:18" x14ac:dyDescent="0.3">
      <c r="B3482" s="126"/>
      <c r="G3482" s="137"/>
      <c r="H3482" s="138"/>
      <c r="I3482" s="138"/>
      <c r="J3482" s="139"/>
      <c r="K3482" s="137"/>
      <c r="L3482" s="137"/>
      <c r="P3482" s="137"/>
      <c r="Q3482" s="137"/>
      <c r="R3482" s="126"/>
    </row>
    <row r="3483" spans="2:18" x14ac:dyDescent="0.3">
      <c r="B3483" s="126"/>
      <c r="G3483" s="137"/>
      <c r="H3483" s="138"/>
      <c r="I3483" s="138"/>
      <c r="J3483" s="139"/>
      <c r="K3483" s="137"/>
      <c r="L3483" s="137"/>
      <c r="P3483" s="137"/>
      <c r="Q3483" s="137"/>
      <c r="R3483" s="126"/>
    </row>
    <row r="3484" spans="2:18" x14ac:dyDescent="0.3">
      <c r="B3484" s="126"/>
      <c r="G3484" s="137"/>
      <c r="H3484" s="138"/>
      <c r="I3484" s="138"/>
      <c r="J3484" s="139"/>
      <c r="K3484" s="137"/>
      <c r="L3484" s="137"/>
      <c r="P3484" s="137"/>
      <c r="Q3484" s="137"/>
      <c r="R3484" s="126"/>
    </row>
    <row r="3485" spans="2:18" x14ac:dyDescent="0.3">
      <c r="B3485" s="126"/>
      <c r="G3485" s="137"/>
      <c r="H3485" s="138"/>
      <c r="I3485" s="138"/>
      <c r="J3485" s="139"/>
      <c r="K3485" s="137"/>
      <c r="L3485" s="137"/>
      <c r="P3485" s="137"/>
      <c r="Q3485" s="137"/>
      <c r="R3485" s="126"/>
    </row>
    <row r="3486" spans="2:18" x14ac:dyDescent="0.3">
      <c r="B3486" s="126"/>
      <c r="G3486" s="137"/>
      <c r="H3486" s="138"/>
      <c r="I3486" s="138"/>
      <c r="J3486" s="139"/>
      <c r="K3486" s="137"/>
      <c r="L3486" s="137"/>
      <c r="P3486" s="137"/>
      <c r="Q3486" s="137"/>
      <c r="R3486" s="126"/>
    </row>
    <row r="3487" spans="2:18" x14ac:dyDescent="0.3">
      <c r="B3487" s="126"/>
      <c r="G3487" s="137"/>
      <c r="H3487" s="138"/>
      <c r="I3487" s="138"/>
      <c r="J3487" s="139"/>
      <c r="K3487" s="137"/>
      <c r="L3487" s="137"/>
      <c r="P3487" s="137"/>
      <c r="Q3487" s="137"/>
      <c r="R3487" s="126"/>
    </row>
    <row r="3488" spans="2:18" x14ac:dyDescent="0.3">
      <c r="B3488" s="126"/>
      <c r="G3488" s="137"/>
      <c r="H3488" s="138"/>
      <c r="I3488" s="138"/>
      <c r="J3488" s="139"/>
      <c r="K3488" s="137"/>
      <c r="L3488" s="137"/>
      <c r="P3488" s="137"/>
      <c r="Q3488" s="137"/>
      <c r="R3488" s="126"/>
    </row>
    <row r="3489" spans="2:18" x14ac:dyDescent="0.3">
      <c r="B3489" s="126"/>
      <c r="G3489" s="137"/>
      <c r="H3489" s="138"/>
      <c r="I3489" s="138"/>
      <c r="J3489" s="139"/>
      <c r="K3489" s="137"/>
      <c r="L3489" s="137"/>
      <c r="P3489" s="137"/>
      <c r="Q3489" s="137"/>
      <c r="R3489" s="126"/>
    </row>
    <row r="3490" spans="2:18" x14ac:dyDescent="0.3">
      <c r="B3490" s="126"/>
      <c r="G3490" s="137"/>
      <c r="H3490" s="138"/>
      <c r="I3490" s="138"/>
      <c r="J3490" s="139"/>
      <c r="K3490" s="137"/>
      <c r="L3490" s="137"/>
      <c r="P3490" s="137"/>
      <c r="Q3490" s="137"/>
      <c r="R3490" s="126"/>
    </row>
    <row r="3491" spans="2:18" x14ac:dyDescent="0.3">
      <c r="B3491" s="126"/>
      <c r="G3491" s="137"/>
      <c r="H3491" s="138"/>
      <c r="I3491" s="138"/>
      <c r="J3491" s="139"/>
      <c r="K3491" s="137"/>
      <c r="L3491" s="137"/>
      <c r="P3491" s="137"/>
      <c r="Q3491" s="137"/>
      <c r="R3491" s="126"/>
    </row>
    <row r="3492" spans="2:18" x14ac:dyDescent="0.3">
      <c r="B3492" s="126"/>
      <c r="G3492" s="137"/>
      <c r="H3492" s="138"/>
      <c r="I3492" s="138"/>
      <c r="J3492" s="139"/>
      <c r="K3492" s="137"/>
      <c r="L3492" s="137"/>
      <c r="P3492" s="137"/>
      <c r="Q3492" s="137"/>
      <c r="R3492" s="126"/>
    </row>
    <row r="3493" spans="2:18" x14ac:dyDescent="0.3">
      <c r="B3493" s="126"/>
      <c r="G3493" s="137"/>
      <c r="H3493" s="138"/>
      <c r="I3493" s="138"/>
      <c r="J3493" s="139"/>
      <c r="K3493" s="137"/>
      <c r="L3493" s="137"/>
      <c r="P3493" s="137"/>
      <c r="Q3493" s="137"/>
      <c r="R3493" s="126"/>
    </row>
    <row r="3494" spans="2:18" x14ac:dyDescent="0.3">
      <c r="B3494" s="126"/>
      <c r="G3494" s="137"/>
      <c r="H3494" s="138"/>
      <c r="I3494" s="138"/>
      <c r="J3494" s="139"/>
      <c r="K3494" s="137"/>
      <c r="L3494" s="137"/>
      <c r="P3494" s="137"/>
      <c r="Q3494" s="137"/>
      <c r="R3494" s="126"/>
    </row>
    <row r="3495" spans="2:18" x14ac:dyDescent="0.3">
      <c r="B3495" s="126"/>
      <c r="G3495" s="137"/>
      <c r="H3495" s="138"/>
      <c r="I3495" s="138"/>
      <c r="J3495" s="139"/>
      <c r="K3495" s="137"/>
      <c r="L3495" s="137"/>
      <c r="P3495" s="137"/>
      <c r="Q3495" s="137"/>
      <c r="R3495" s="126"/>
    </row>
    <row r="3496" spans="2:18" x14ac:dyDescent="0.3">
      <c r="B3496" s="126"/>
      <c r="G3496" s="137"/>
      <c r="H3496" s="138"/>
      <c r="I3496" s="138"/>
      <c r="J3496" s="139"/>
      <c r="K3496" s="137"/>
      <c r="L3496" s="137"/>
      <c r="P3496" s="137"/>
      <c r="Q3496" s="137"/>
      <c r="R3496" s="126"/>
    </row>
    <row r="3497" spans="2:18" x14ac:dyDescent="0.3">
      <c r="B3497" s="126"/>
      <c r="G3497" s="137"/>
      <c r="H3497" s="138"/>
      <c r="I3497" s="138"/>
      <c r="J3497" s="139"/>
      <c r="K3497" s="137"/>
      <c r="L3497" s="137"/>
      <c r="P3497" s="137"/>
      <c r="Q3497" s="137"/>
      <c r="R3497" s="126"/>
    </row>
    <row r="3498" spans="2:18" x14ac:dyDescent="0.3">
      <c r="B3498" s="126"/>
      <c r="G3498" s="137"/>
      <c r="H3498" s="138"/>
      <c r="I3498" s="138"/>
      <c r="J3498" s="139"/>
      <c r="K3498" s="137"/>
      <c r="L3498" s="137"/>
      <c r="P3498" s="137"/>
      <c r="Q3498" s="137"/>
      <c r="R3498" s="126"/>
    </row>
    <row r="3499" spans="2:18" x14ac:dyDescent="0.3">
      <c r="B3499" s="126"/>
      <c r="G3499" s="137"/>
      <c r="H3499" s="138"/>
      <c r="I3499" s="138"/>
      <c r="J3499" s="139"/>
      <c r="K3499" s="137"/>
      <c r="L3499" s="137"/>
      <c r="P3499" s="137"/>
      <c r="Q3499" s="137"/>
      <c r="R3499" s="126"/>
    </row>
    <row r="3500" spans="2:18" x14ac:dyDescent="0.3">
      <c r="B3500" s="126"/>
      <c r="G3500" s="137"/>
      <c r="H3500" s="138"/>
      <c r="I3500" s="138"/>
      <c r="J3500" s="139"/>
      <c r="K3500" s="137"/>
      <c r="L3500" s="137"/>
      <c r="P3500" s="137"/>
      <c r="Q3500" s="137"/>
      <c r="R3500" s="126"/>
    </row>
    <row r="3501" spans="2:18" x14ac:dyDescent="0.3">
      <c r="B3501" s="126"/>
      <c r="G3501" s="137"/>
      <c r="H3501" s="138"/>
      <c r="I3501" s="138"/>
      <c r="J3501" s="139"/>
      <c r="K3501" s="137"/>
      <c r="L3501" s="137"/>
      <c r="P3501" s="137"/>
      <c r="Q3501" s="137"/>
      <c r="R3501" s="126"/>
    </row>
    <row r="3502" spans="2:18" x14ac:dyDescent="0.3">
      <c r="B3502" s="126"/>
      <c r="G3502" s="137"/>
      <c r="H3502" s="138"/>
      <c r="I3502" s="138"/>
      <c r="J3502" s="139"/>
      <c r="K3502" s="137"/>
      <c r="L3502" s="137"/>
      <c r="P3502" s="137"/>
      <c r="Q3502" s="137"/>
      <c r="R3502" s="126"/>
    </row>
    <row r="3503" spans="2:18" x14ac:dyDescent="0.3">
      <c r="B3503" s="126"/>
      <c r="G3503" s="137"/>
      <c r="H3503" s="138"/>
      <c r="I3503" s="138"/>
      <c r="J3503" s="139"/>
      <c r="K3503" s="137"/>
      <c r="L3503" s="137"/>
      <c r="P3503" s="137"/>
      <c r="Q3503" s="137"/>
      <c r="R3503" s="126"/>
    </row>
    <row r="3504" spans="2:18" x14ac:dyDescent="0.3">
      <c r="B3504" s="126"/>
      <c r="G3504" s="137"/>
      <c r="H3504" s="138"/>
      <c r="I3504" s="138"/>
      <c r="J3504" s="139"/>
      <c r="K3504" s="137"/>
      <c r="L3504" s="137"/>
      <c r="P3504" s="137"/>
      <c r="Q3504" s="137"/>
      <c r="R3504" s="126"/>
    </row>
    <row r="3505" spans="2:18" x14ac:dyDescent="0.3">
      <c r="B3505" s="126"/>
      <c r="G3505" s="137"/>
      <c r="H3505" s="138"/>
      <c r="I3505" s="138"/>
      <c r="J3505" s="139"/>
      <c r="K3505" s="137"/>
      <c r="L3505" s="137"/>
      <c r="P3505" s="137"/>
      <c r="Q3505" s="137"/>
      <c r="R3505" s="126"/>
    </row>
    <row r="3506" spans="2:18" x14ac:dyDescent="0.3">
      <c r="B3506" s="126"/>
      <c r="G3506" s="137"/>
      <c r="H3506" s="138"/>
      <c r="I3506" s="138"/>
      <c r="J3506" s="139"/>
      <c r="K3506" s="137"/>
      <c r="L3506" s="137"/>
      <c r="P3506" s="137"/>
      <c r="Q3506" s="137"/>
      <c r="R3506" s="126"/>
    </row>
    <row r="3507" spans="2:18" x14ac:dyDescent="0.3">
      <c r="B3507" s="126"/>
      <c r="G3507" s="137"/>
      <c r="H3507" s="138"/>
      <c r="I3507" s="138"/>
      <c r="J3507" s="139"/>
      <c r="K3507" s="137"/>
      <c r="L3507" s="137"/>
      <c r="P3507" s="137"/>
      <c r="Q3507" s="137"/>
      <c r="R3507" s="126"/>
    </row>
    <row r="3508" spans="2:18" x14ac:dyDescent="0.3">
      <c r="B3508" s="126"/>
      <c r="G3508" s="137"/>
      <c r="H3508" s="138"/>
      <c r="I3508" s="138"/>
      <c r="J3508" s="139"/>
      <c r="K3508" s="137"/>
      <c r="L3508" s="137"/>
      <c r="P3508" s="137"/>
      <c r="Q3508" s="137"/>
      <c r="R3508" s="126"/>
    </row>
    <row r="3509" spans="2:18" x14ac:dyDescent="0.3">
      <c r="B3509" s="126"/>
      <c r="G3509" s="137"/>
      <c r="H3509" s="138"/>
      <c r="I3509" s="138"/>
      <c r="J3509" s="139"/>
      <c r="K3509" s="137"/>
      <c r="L3509" s="137"/>
      <c r="P3509" s="137"/>
      <c r="Q3509" s="137"/>
      <c r="R3509" s="126"/>
    </row>
    <row r="3510" spans="2:18" x14ac:dyDescent="0.3">
      <c r="B3510" s="126"/>
      <c r="G3510" s="137"/>
      <c r="H3510" s="138"/>
      <c r="I3510" s="138"/>
      <c r="J3510" s="139"/>
      <c r="K3510" s="137"/>
      <c r="L3510" s="137"/>
      <c r="P3510" s="137"/>
      <c r="Q3510" s="137"/>
      <c r="R3510" s="126"/>
    </row>
    <row r="3511" spans="2:18" x14ac:dyDescent="0.3">
      <c r="B3511" s="126"/>
      <c r="G3511" s="137"/>
      <c r="H3511" s="138"/>
      <c r="I3511" s="138"/>
      <c r="J3511" s="139"/>
      <c r="K3511" s="137"/>
      <c r="L3511" s="137"/>
      <c r="P3511" s="137"/>
      <c r="Q3511" s="137"/>
      <c r="R3511" s="126"/>
    </row>
    <row r="3512" spans="2:18" x14ac:dyDescent="0.3">
      <c r="B3512" s="126"/>
      <c r="G3512" s="137"/>
      <c r="H3512" s="138"/>
      <c r="I3512" s="138"/>
      <c r="J3512" s="139"/>
      <c r="K3512" s="137"/>
      <c r="L3512" s="137"/>
      <c r="P3512" s="137"/>
      <c r="Q3512" s="137"/>
      <c r="R3512" s="126"/>
    </row>
    <row r="3513" spans="2:18" x14ac:dyDescent="0.3">
      <c r="B3513" s="126"/>
      <c r="G3513" s="137"/>
      <c r="H3513" s="138"/>
      <c r="I3513" s="138"/>
      <c r="J3513" s="139"/>
      <c r="K3513" s="137"/>
      <c r="L3513" s="137"/>
      <c r="P3513" s="137"/>
      <c r="Q3513" s="137"/>
      <c r="R3513" s="126"/>
    </row>
    <row r="3514" spans="2:18" x14ac:dyDescent="0.3">
      <c r="B3514" s="126"/>
      <c r="G3514" s="137"/>
      <c r="H3514" s="138"/>
      <c r="I3514" s="138"/>
      <c r="J3514" s="139"/>
      <c r="K3514" s="137"/>
      <c r="L3514" s="137"/>
      <c r="P3514" s="137"/>
      <c r="Q3514" s="137"/>
      <c r="R3514" s="126"/>
    </row>
    <row r="3515" spans="2:18" x14ac:dyDescent="0.3">
      <c r="B3515" s="126"/>
      <c r="G3515" s="137"/>
      <c r="H3515" s="138"/>
      <c r="I3515" s="138"/>
      <c r="J3515" s="139"/>
      <c r="K3515" s="137"/>
      <c r="L3515" s="137"/>
      <c r="P3515" s="137"/>
      <c r="Q3515" s="137"/>
      <c r="R3515" s="126"/>
    </row>
    <row r="3516" spans="2:18" x14ac:dyDescent="0.3">
      <c r="B3516" s="126"/>
      <c r="G3516" s="137"/>
      <c r="H3516" s="138"/>
      <c r="I3516" s="138"/>
      <c r="J3516" s="139"/>
      <c r="K3516" s="137"/>
      <c r="L3516" s="137"/>
      <c r="P3516" s="137"/>
      <c r="Q3516" s="137"/>
      <c r="R3516" s="126"/>
    </row>
    <row r="3517" spans="2:18" x14ac:dyDescent="0.3">
      <c r="B3517" s="126"/>
      <c r="G3517" s="137"/>
      <c r="H3517" s="138"/>
      <c r="I3517" s="138"/>
      <c r="J3517" s="139"/>
      <c r="K3517" s="137"/>
      <c r="L3517" s="137"/>
      <c r="P3517" s="137"/>
      <c r="Q3517" s="137"/>
      <c r="R3517" s="126"/>
    </row>
    <row r="3518" spans="2:18" x14ac:dyDescent="0.3">
      <c r="B3518" s="126"/>
      <c r="G3518" s="137"/>
      <c r="H3518" s="138"/>
      <c r="I3518" s="138"/>
      <c r="J3518" s="139"/>
      <c r="K3518" s="137"/>
      <c r="L3518" s="137"/>
      <c r="P3518" s="137"/>
      <c r="Q3518" s="137"/>
      <c r="R3518" s="126"/>
    </row>
    <row r="3519" spans="2:18" x14ac:dyDescent="0.3">
      <c r="B3519" s="126"/>
      <c r="G3519" s="137"/>
      <c r="H3519" s="138"/>
      <c r="I3519" s="138"/>
      <c r="J3519" s="139"/>
      <c r="K3519" s="137"/>
      <c r="L3519" s="137"/>
      <c r="P3519" s="137"/>
      <c r="Q3519" s="137"/>
      <c r="R3519" s="126"/>
    </row>
    <row r="3520" spans="2:18" x14ac:dyDescent="0.3">
      <c r="B3520" s="126"/>
      <c r="G3520" s="137"/>
      <c r="H3520" s="138"/>
      <c r="I3520" s="138"/>
      <c r="J3520" s="139"/>
      <c r="K3520" s="137"/>
      <c r="L3520" s="137"/>
      <c r="P3520" s="137"/>
      <c r="Q3520" s="137"/>
      <c r="R3520" s="126"/>
    </row>
    <row r="3521" spans="2:18" x14ac:dyDescent="0.3">
      <c r="B3521" s="126"/>
      <c r="G3521" s="137"/>
      <c r="H3521" s="138"/>
      <c r="I3521" s="138"/>
      <c r="J3521" s="139"/>
      <c r="K3521" s="137"/>
      <c r="L3521" s="137"/>
      <c r="P3521" s="137"/>
      <c r="Q3521" s="137"/>
      <c r="R3521" s="126"/>
    </row>
    <row r="3522" spans="2:18" x14ac:dyDescent="0.3">
      <c r="B3522" s="126"/>
      <c r="G3522" s="137"/>
      <c r="H3522" s="138"/>
      <c r="I3522" s="138"/>
      <c r="J3522" s="139"/>
      <c r="K3522" s="137"/>
      <c r="L3522" s="137"/>
      <c r="P3522" s="137"/>
      <c r="Q3522" s="137"/>
      <c r="R3522" s="126"/>
    </row>
    <row r="3523" spans="2:18" x14ac:dyDescent="0.3">
      <c r="B3523" s="126"/>
      <c r="G3523" s="137"/>
      <c r="H3523" s="138"/>
      <c r="I3523" s="138"/>
      <c r="J3523" s="139"/>
      <c r="K3523" s="137"/>
      <c r="L3523" s="137"/>
      <c r="P3523" s="137"/>
      <c r="Q3523" s="137"/>
      <c r="R3523" s="126"/>
    </row>
    <row r="3524" spans="2:18" x14ac:dyDescent="0.3">
      <c r="B3524" s="126"/>
      <c r="G3524" s="137"/>
      <c r="H3524" s="138"/>
      <c r="I3524" s="138"/>
      <c r="J3524" s="139"/>
      <c r="K3524" s="137"/>
      <c r="L3524" s="137"/>
      <c r="P3524" s="137"/>
      <c r="Q3524" s="137"/>
      <c r="R3524" s="126"/>
    </row>
    <row r="3525" spans="2:18" x14ac:dyDescent="0.3">
      <c r="B3525" s="126"/>
      <c r="G3525" s="137"/>
      <c r="H3525" s="138"/>
      <c r="I3525" s="138"/>
      <c r="J3525" s="139"/>
      <c r="K3525" s="137"/>
      <c r="L3525" s="137"/>
      <c r="P3525" s="137"/>
      <c r="Q3525" s="137"/>
      <c r="R3525" s="126"/>
    </row>
    <row r="3526" spans="2:18" x14ac:dyDescent="0.3">
      <c r="B3526" s="126"/>
      <c r="G3526" s="137"/>
      <c r="H3526" s="138"/>
      <c r="I3526" s="138"/>
      <c r="J3526" s="139"/>
      <c r="K3526" s="137"/>
      <c r="L3526" s="137"/>
      <c r="P3526" s="137"/>
      <c r="Q3526" s="137"/>
      <c r="R3526" s="126"/>
    </row>
    <row r="3527" spans="2:18" x14ac:dyDescent="0.3">
      <c r="B3527" s="126"/>
      <c r="G3527" s="137"/>
      <c r="H3527" s="138"/>
      <c r="I3527" s="138"/>
      <c r="J3527" s="139"/>
      <c r="K3527" s="137"/>
      <c r="L3527" s="137"/>
      <c r="P3527" s="137"/>
      <c r="Q3527" s="137"/>
      <c r="R3527" s="126"/>
    </row>
    <row r="3528" spans="2:18" x14ac:dyDescent="0.3">
      <c r="B3528" s="126"/>
      <c r="G3528" s="137"/>
      <c r="H3528" s="138"/>
      <c r="I3528" s="138"/>
      <c r="J3528" s="139"/>
      <c r="K3528" s="137"/>
      <c r="L3528" s="137"/>
      <c r="P3528" s="137"/>
      <c r="Q3528" s="137"/>
      <c r="R3528" s="126"/>
    </row>
    <row r="3529" spans="2:18" x14ac:dyDescent="0.3">
      <c r="B3529" s="126"/>
      <c r="G3529" s="137"/>
      <c r="H3529" s="138"/>
      <c r="I3529" s="138"/>
      <c r="J3529" s="139"/>
      <c r="K3529" s="137"/>
      <c r="L3529" s="137"/>
      <c r="P3529" s="137"/>
      <c r="Q3529" s="137"/>
      <c r="R3529" s="126"/>
    </row>
    <row r="3530" spans="2:18" x14ac:dyDescent="0.3">
      <c r="B3530" s="126"/>
      <c r="G3530" s="137"/>
      <c r="H3530" s="138"/>
      <c r="I3530" s="138"/>
      <c r="J3530" s="139"/>
      <c r="K3530" s="137"/>
      <c r="L3530" s="137"/>
      <c r="P3530" s="137"/>
      <c r="Q3530" s="137"/>
      <c r="R3530" s="126"/>
    </row>
    <row r="3531" spans="2:18" x14ac:dyDescent="0.3">
      <c r="B3531" s="126"/>
      <c r="G3531" s="137"/>
      <c r="H3531" s="138"/>
      <c r="I3531" s="138"/>
      <c r="J3531" s="139"/>
      <c r="K3531" s="137"/>
      <c r="L3531" s="137"/>
      <c r="P3531" s="137"/>
      <c r="Q3531" s="137"/>
      <c r="R3531" s="126"/>
    </row>
    <row r="3532" spans="2:18" x14ac:dyDescent="0.3">
      <c r="B3532" s="126"/>
      <c r="G3532" s="137"/>
      <c r="H3532" s="138"/>
      <c r="I3532" s="138"/>
      <c r="J3532" s="139"/>
      <c r="K3532" s="137"/>
      <c r="L3532" s="137"/>
      <c r="P3532" s="137"/>
      <c r="Q3532" s="137"/>
      <c r="R3532" s="126"/>
    </row>
    <row r="3533" spans="2:18" x14ac:dyDescent="0.3">
      <c r="B3533" s="126"/>
      <c r="G3533" s="137"/>
      <c r="H3533" s="138"/>
      <c r="I3533" s="138"/>
      <c r="J3533" s="139"/>
      <c r="K3533" s="137"/>
      <c r="L3533" s="137"/>
      <c r="P3533" s="137"/>
      <c r="Q3533" s="137"/>
      <c r="R3533" s="126"/>
    </row>
    <row r="3534" spans="2:18" x14ac:dyDescent="0.3">
      <c r="B3534" s="126"/>
      <c r="G3534" s="137"/>
      <c r="H3534" s="138"/>
      <c r="I3534" s="138"/>
      <c r="J3534" s="139"/>
      <c r="K3534" s="137"/>
      <c r="L3534" s="137"/>
      <c r="P3534" s="137"/>
      <c r="Q3534" s="137"/>
      <c r="R3534" s="126"/>
    </row>
    <row r="3535" spans="2:18" x14ac:dyDescent="0.3">
      <c r="B3535" s="126"/>
      <c r="G3535" s="137"/>
      <c r="H3535" s="138"/>
      <c r="I3535" s="138"/>
      <c r="J3535" s="139"/>
      <c r="K3535" s="137"/>
      <c r="L3535" s="137"/>
      <c r="P3535" s="137"/>
      <c r="Q3535" s="137"/>
      <c r="R3535" s="126"/>
    </row>
    <row r="3536" spans="2:18" x14ac:dyDescent="0.3">
      <c r="B3536" s="126"/>
      <c r="G3536" s="137"/>
      <c r="H3536" s="138"/>
      <c r="I3536" s="138"/>
      <c r="J3536" s="139"/>
      <c r="K3536" s="137"/>
      <c r="L3536" s="137"/>
      <c r="P3536" s="137"/>
      <c r="Q3536" s="137"/>
      <c r="R3536" s="126"/>
    </row>
    <row r="3537" spans="2:18" x14ac:dyDescent="0.3">
      <c r="B3537" s="126"/>
      <c r="G3537" s="137"/>
      <c r="H3537" s="138"/>
      <c r="I3537" s="138"/>
      <c r="J3537" s="139"/>
      <c r="K3537" s="137"/>
      <c r="L3537" s="137"/>
      <c r="P3537" s="137"/>
      <c r="Q3537" s="137"/>
      <c r="R3537" s="126"/>
    </row>
    <row r="3538" spans="2:18" x14ac:dyDescent="0.3">
      <c r="B3538" s="126"/>
      <c r="G3538" s="137"/>
      <c r="H3538" s="138"/>
      <c r="I3538" s="138"/>
      <c r="J3538" s="139"/>
      <c r="K3538" s="137"/>
      <c r="L3538" s="137"/>
      <c r="P3538" s="137"/>
      <c r="Q3538" s="137"/>
      <c r="R3538" s="126"/>
    </row>
    <row r="3539" spans="2:18" x14ac:dyDescent="0.3">
      <c r="B3539" s="126"/>
      <c r="G3539" s="137"/>
      <c r="H3539" s="138"/>
      <c r="I3539" s="138"/>
      <c r="J3539" s="139"/>
      <c r="K3539" s="137"/>
      <c r="L3539" s="137"/>
      <c r="P3539" s="137"/>
      <c r="Q3539" s="137"/>
      <c r="R3539" s="126"/>
    </row>
    <row r="3540" spans="2:18" x14ac:dyDescent="0.3">
      <c r="B3540" s="126"/>
      <c r="G3540" s="137"/>
      <c r="H3540" s="138"/>
      <c r="I3540" s="138"/>
      <c r="J3540" s="139"/>
      <c r="K3540" s="137"/>
      <c r="L3540" s="137"/>
      <c r="P3540" s="137"/>
      <c r="Q3540" s="137"/>
      <c r="R3540" s="126"/>
    </row>
    <row r="3541" spans="2:18" x14ac:dyDescent="0.3">
      <c r="B3541" s="126"/>
      <c r="G3541" s="137"/>
      <c r="H3541" s="138"/>
      <c r="I3541" s="138"/>
      <c r="J3541" s="139"/>
      <c r="K3541" s="137"/>
      <c r="L3541" s="137"/>
      <c r="P3541" s="137"/>
      <c r="Q3541" s="137"/>
      <c r="R3541" s="126"/>
    </row>
    <row r="3542" spans="2:18" x14ac:dyDescent="0.3">
      <c r="B3542" s="126"/>
      <c r="G3542" s="137"/>
      <c r="H3542" s="138"/>
      <c r="I3542" s="138"/>
      <c r="J3542" s="139"/>
      <c r="K3542" s="137"/>
      <c r="L3542" s="137"/>
      <c r="P3542" s="137"/>
      <c r="Q3542" s="137"/>
      <c r="R3542" s="126"/>
    </row>
    <row r="3543" spans="2:18" x14ac:dyDescent="0.3">
      <c r="B3543" s="126"/>
      <c r="G3543" s="137"/>
      <c r="H3543" s="138"/>
      <c r="I3543" s="138"/>
      <c r="J3543" s="139"/>
      <c r="K3543" s="137"/>
      <c r="L3543" s="137"/>
      <c r="P3543" s="137"/>
      <c r="Q3543" s="137"/>
      <c r="R3543" s="126"/>
    </row>
    <row r="3544" spans="2:18" x14ac:dyDescent="0.3">
      <c r="B3544" s="126"/>
      <c r="G3544" s="137"/>
      <c r="H3544" s="138"/>
      <c r="I3544" s="138"/>
      <c r="J3544" s="139"/>
      <c r="K3544" s="137"/>
      <c r="L3544" s="137"/>
      <c r="P3544" s="137"/>
      <c r="Q3544" s="137"/>
      <c r="R3544" s="126"/>
    </row>
    <row r="3545" spans="2:18" x14ac:dyDescent="0.3">
      <c r="B3545" s="126"/>
      <c r="G3545" s="137"/>
      <c r="H3545" s="138"/>
      <c r="I3545" s="138"/>
      <c r="J3545" s="139"/>
      <c r="K3545" s="137"/>
      <c r="L3545" s="137"/>
      <c r="P3545" s="137"/>
      <c r="Q3545" s="137"/>
      <c r="R3545" s="126"/>
    </row>
    <row r="3546" spans="2:18" x14ac:dyDescent="0.3">
      <c r="B3546" s="126"/>
      <c r="G3546" s="137"/>
      <c r="H3546" s="138"/>
      <c r="I3546" s="138"/>
      <c r="J3546" s="139"/>
      <c r="K3546" s="137"/>
      <c r="L3546" s="137"/>
      <c r="P3546" s="137"/>
      <c r="Q3546" s="137"/>
      <c r="R3546" s="126"/>
    </row>
    <row r="3547" spans="2:18" x14ac:dyDescent="0.3">
      <c r="B3547" s="126"/>
      <c r="G3547" s="137"/>
      <c r="H3547" s="138"/>
      <c r="I3547" s="138"/>
      <c r="J3547" s="139"/>
      <c r="K3547" s="137"/>
      <c r="L3547" s="137"/>
      <c r="P3547" s="137"/>
      <c r="Q3547" s="137"/>
      <c r="R3547" s="126"/>
    </row>
    <row r="3548" spans="2:18" x14ac:dyDescent="0.3">
      <c r="B3548" s="126"/>
      <c r="G3548" s="137"/>
      <c r="H3548" s="138"/>
      <c r="I3548" s="138"/>
      <c r="J3548" s="139"/>
      <c r="K3548" s="137"/>
      <c r="L3548" s="137"/>
      <c r="P3548" s="137"/>
      <c r="Q3548" s="137"/>
      <c r="R3548" s="126"/>
    </row>
    <row r="3549" spans="2:18" x14ac:dyDescent="0.3">
      <c r="B3549" s="126"/>
      <c r="G3549" s="137"/>
      <c r="H3549" s="138"/>
      <c r="I3549" s="138"/>
      <c r="J3549" s="139"/>
      <c r="K3549" s="137"/>
      <c r="L3549" s="137"/>
      <c r="P3549" s="137"/>
      <c r="Q3549" s="137"/>
      <c r="R3549" s="126"/>
    </row>
    <row r="3550" spans="2:18" x14ac:dyDescent="0.3">
      <c r="B3550" s="126"/>
      <c r="G3550" s="137"/>
      <c r="H3550" s="138"/>
      <c r="I3550" s="138"/>
      <c r="J3550" s="139"/>
      <c r="K3550" s="137"/>
      <c r="L3550" s="137"/>
      <c r="P3550" s="137"/>
      <c r="Q3550" s="137"/>
      <c r="R3550" s="126"/>
    </row>
    <row r="3551" spans="2:18" x14ac:dyDescent="0.3">
      <c r="B3551" s="126"/>
      <c r="G3551" s="137"/>
      <c r="H3551" s="138"/>
      <c r="I3551" s="138"/>
      <c r="J3551" s="139"/>
      <c r="K3551" s="137"/>
      <c r="L3551" s="137"/>
      <c r="P3551" s="137"/>
      <c r="Q3551" s="137"/>
      <c r="R3551" s="126"/>
    </row>
    <row r="3552" spans="2:18" x14ac:dyDescent="0.3">
      <c r="B3552" s="126"/>
      <c r="G3552" s="137"/>
      <c r="H3552" s="138"/>
      <c r="I3552" s="138"/>
      <c r="J3552" s="139"/>
      <c r="K3552" s="137"/>
      <c r="L3552" s="137"/>
      <c r="P3552" s="137"/>
      <c r="Q3552" s="137"/>
      <c r="R3552" s="126"/>
    </row>
    <row r="3553" spans="2:18" x14ac:dyDescent="0.3">
      <c r="B3553" s="126"/>
      <c r="G3553" s="137"/>
      <c r="H3553" s="138"/>
      <c r="I3553" s="138"/>
      <c r="J3553" s="139"/>
      <c r="K3553" s="137"/>
      <c r="L3553" s="137"/>
      <c r="P3553" s="137"/>
      <c r="Q3553" s="137"/>
      <c r="R3553" s="126"/>
    </row>
    <row r="3554" spans="2:18" x14ac:dyDescent="0.3">
      <c r="B3554" s="126"/>
      <c r="G3554" s="137"/>
      <c r="H3554" s="138"/>
      <c r="I3554" s="138"/>
      <c r="J3554" s="139"/>
      <c r="K3554" s="137"/>
      <c r="L3554" s="137"/>
      <c r="P3554" s="137"/>
      <c r="Q3554" s="137"/>
      <c r="R3554" s="126"/>
    </row>
    <row r="3555" spans="2:18" x14ac:dyDescent="0.3">
      <c r="B3555" s="126"/>
      <c r="G3555" s="137"/>
      <c r="H3555" s="138"/>
      <c r="I3555" s="138"/>
      <c r="J3555" s="139"/>
      <c r="K3555" s="137"/>
      <c r="L3555" s="137"/>
      <c r="P3555" s="137"/>
      <c r="Q3555" s="137"/>
      <c r="R3555" s="126"/>
    </row>
    <row r="3556" spans="2:18" x14ac:dyDescent="0.3">
      <c r="B3556" s="126"/>
      <c r="G3556" s="137"/>
      <c r="H3556" s="138"/>
      <c r="I3556" s="138"/>
      <c r="J3556" s="139"/>
      <c r="K3556" s="137"/>
      <c r="L3556" s="137"/>
      <c r="P3556" s="137"/>
      <c r="Q3556" s="137"/>
      <c r="R3556" s="126"/>
    </row>
    <row r="3557" spans="2:18" x14ac:dyDescent="0.3">
      <c r="B3557" s="126"/>
      <c r="G3557" s="137"/>
      <c r="H3557" s="138"/>
      <c r="I3557" s="138"/>
      <c r="J3557" s="139"/>
      <c r="K3557" s="137"/>
      <c r="L3557" s="137"/>
      <c r="P3557" s="137"/>
      <c r="Q3557" s="137"/>
      <c r="R3557" s="126"/>
    </row>
    <row r="3558" spans="2:18" x14ac:dyDescent="0.3">
      <c r="B3558" s="126"/>
      <c r="G3558" s="137"/>
      <c r="H3558" s="138"/>
      <c r="I3558" s="138"/>
      <c r="J3558" s="139"/>
      <c r="K3558" s="137"/>
      <c r="L3558" s="137"/>
      <c r="P3558" s="137"/>
      <c r="Q3558" s="137"/>
      <c r="R3558" s="126"/>
    </row>
    <row r="3559" spans="2:18" x14ac:dyDescent="0.3">
      <c r="B3559" s="126"/>
      <c r="G3559" s="137"/>
      <c r="H3559" s="138"/>
      <c r="I3559" s="138"/>
      <c r="J3559" s="139"/>
      <c r="K3559" s="137"/>
      <c r="L3559" s="137"/>
      <c r="P3559" s="137"/>
      <c r="Q3559" s="137"/>
      <c r="R3559" s="126"/>
    </row>
    <row r="3560" spans="2:18" x14ac:dyDescent="0.3">
      <c r="B3560" s="126"/>
      <c r="G3560" s="137"/>
      <c r="H3560" s="138"/>
      <c r="I3560" s="138"/>
      <c r="J3560" s="139"/>
      <c r="K3560" s="137"/>
      <c r="L3560" s="137"/>
      <c r="P3560" s="137"/>
      <c r="Q3560" s="137"/>
      <c r="R3560" s="126"/>
    </row>
    <row r="3561" spans="2:18" x14ac:dyDescent="0.3">
      <c r="B3561" s="126"/>
      <c r="G3561" s="137"/>
      <c r="H3561" s="138"/>
      <c r="I3561" s="138"/>
      <c r="J3561" s="139"/>
      <c r="K3561" s="137"/>
      <c r="L3561" s="137"/>
      <c r="P3561" s="137"/>
      <c r="Q3561" s="137"/>
      <c r="R3561" s="126"/>
    </row>
    <row r="3562" spans="2:18" x14ac:dyDescent="0.3">
      <c r="B3562" s="126"/>
      <c r="G3562" s="137"/>
      <c r="H3562" s="138"/>
      <c r="I3562" s="138"/>
      <c r="J3562" s="139"/>
      <c r="K3562" s="137"/>
      <c r="L3562" s="137"/>
      <c r="P3562" s="137"/>
      <c r="Q3562" s="137"/>
      <c r="R3562" s="126"/>
    </row>
    <row r="3563" spans="2:18" x14ac:dyDescent="0.3">
      <c r="B3563" s="126"/>
      <c r="G3563" s="137"/>
      <c r="H3563" s="138"/>
      <c r="I3563" s="138"/>
      <c r="J3563" s="139"/>
      <c r="K3563" s="137"/>
      <c r="L3563" s="137"/>
      <c r="P3563" s="137"/>
      <c r="Q3563" s="137"/>
      <c r="R3563" s="126"/>
    </row>
    <row r="3564" spans="2:18" x14ac:dyDescent="0.3">
      <c r="B3564" s="126"/>
      <c r="G3564" s="137"/>
      <c r="H3564" s="138"/>
      <c r="I3564" s="138"/>
      <c r="J3564" s="139"/>
      <c r="K3564" s="137"/>
      <c r="L3564" s="137"/>
      <c r="P3564" s="137"/>
      <c r="Q3564" s="137"/>
      <c r="R3564" s="126"/>
    </row>
    <row r="3565" spans="2:18" x14ac:dyDescent="0.3">
      <c r="B3565" s="126"/>
      <c r="G3565" s="137"/>
      <c r="H3565" s="138"/>
      <c r="I3565" s="138"/>
      <c r="J3565" s="139"/>
      <c r="K3565" s="137"/>
      <c r="L3565" s="137"/>
      <c r="P3565" s="137"/>
      <c r="Q3565" s="137"/>
      <c r="R3565" s="126"/>
    </row>
    <row r="3566" spans="2:18" x14ac:dyDescent="0.3">
      <c r="B3566" s="126"/>
      <c r="G3566" s="137"/>
      <c r="H3566" s="138"/>
      <c r="I3566" s="138"/>
      <c r="J3566" s="139"/>
      <c r="K3566" s="137"/>
      <c r="L3566" s="137"/>
      <c r="P3566" s="137"/>
      <c r="Q3566" s="137"/>
      <c r="R3566" s="126"/>
    </row>
    <row r="3567" spans="2:18" x14ac:dyDescent="0.3">
      <c r="B3567" s="126"/>
      <c r="G3567" s="137"/>
      <c r="H3567" s="138"/>
      <c r="I3567" s="138"/>
      <c r="J3567" s="139"/>
      <c r="K3567" s="137"/>
      <c r="L3567" s="137"/>
      <c r="P3567" s="137"/>
      <c r="Q3567" s="137"/>
      <c r="R3567" s="126"/>
    </row>
    <row r="3568" spans="2:18" x14ac:dyDescent="0.3">
      <c r="B3568" s="126"/>
      <c r="G3568" s="137"/>
      <c r="H3568" s="138"/>
      <c r="I3568" s="138"/>
      <c r="J3568" s="139"/>
      <c r="K3568" s="137"/>
      <c r="L3568" s="137"/>
      <c r="P3568" s="137"/>
      <c r="Q3568" s="137"/>
      <c r="R3568" s="126"/>
    </row>
    <row r="3569" spans="2:18" x14ac:dyDescent="0.3">
      <c r="B3569" s="126"/>
      <c r="G3569" s="137"/>
      <c r="H3569" s="138"/>
      <c r="I3569" s="138"/>
      <c r="J3569" s="139"/>
      <c r="K3569" s="137"/>
      <c r="L3569" s="137"/>
      <c r="P3569" s="137"/>
      <c r="Q3569" s="137"/>
      <c r="R3569" s="126"/>
    </row>
    <row r="3570" spans="2:18" x14ac:dyDescent="0.3">
      <c r="B3570" s="126"/>
      <c r="G3570" s="137"/>
      <c r="H3570" s="138"/>
      <c r="I3570" s="138"/>
      <c r="J3570" s="139"/>
      <c r="K3570" s="137"/>
      <c r="L3570" s="137"/>
      <c r="P3570" s="137"/>
      <c r="Q3570" s="137"/>
      <c r="R3570" s="126"/>
    </row>
    <row r="3571" spans="2:18" x14ac:dyDescent="0.3">
      <c r="B3571" s="126"/>
      <c r="G3571" s="137"/>
      <c r="H3571" s="138"/>
      <c r="I3571" s="138"/>
      <c r="J3571" s="139"/>
      <c r="K3571" s="137"/>
      <c r="L3571" s="137"/>
      <c r="P3571" s="137"/>
      <c r="Q3571" s="137"/>
      <c r="R3571" s="126"/>
    </row>
    <row r="3572" spans="2:18" x14ac:dyDescent="0.3">
      <c r="B3572" s="126"/>
      <c r="G3572" s="137"/>
      <c r="H3572" s="138"/>
      <c r="I3572" s="138"/>
      <c r="J3572" s="139"/>
      <c r="K3572" s="137"/>
      <c r="L3572" s="137"/>
      <c r="P3572" s="137"/>
      <c r="Q3572" s="137"/>
      <c r="R3572" s="126"/>
    </row>
    <row r="3573" spans="2:18" x14ac:dyDescent="0.3">
      <c r="B3573" s="126"/>
      <c r="G3573" s="137"/>
      <c r="H3573" s="138"/>
      <c r="I3573" s="138"/>
      <c r="J3573" s="139"/>
      <c r="K3573" s="137"/>
      <c r="L3573" s="137"/>
      <c r="P3573" s="137"/>
      <c r="Q3573" s="137"/>
      <c r="R3573" s="126"/>
    </row>
    <row r="3574" spans="2:18" x14ac:dyDescent="0.3">
      <c r="B3574" s="126"/>
      <c r="G3574" s="137"/>
      <c r="H3574" s="138"/>
      <c r="I3574" s="138"/>
      <c r="J3574" s="139"/>
      <c r="K3574" s="137"/>
      <c r="L3574" s="137"/>
      <c r="P3574" s="137"/>
      <c r="Q3574" s="137"/>
      <c r="R3574" s="126"/>
    </row>
    <row r="3575" spans="2:18" x14ac:dyDescent="0.3">
      <c r="B3575" s="126"/>
      <c r="G3575" s="137"/>
      <c r="H3575" s="138"/>
      <c r="I3575" s="138"/>
      <c r="J3575" s="139"/>
      <c r="K3575" s="137"/>
      <c r="L3575" s="137"/>
      <c r="P3575" s="137"/>
      <c r="Q3575" s="137"/>
      <c r="R3575" s="126"/>
    </row>
    <row r="3576" spans="2:18" x14ac:dyDescent="0.3">
      <c r="B3576" s="126"/>
      <c r="G3576" s="137"/>
      <c r="H3576" s="138"/>
      <c r="I3576" s="138"/>
      <c r="J3576" s="139"/>
      <c r="K3576" s="137"/>
      <c r="L3576" s="137"/>
      <c r="P3576" s="137"/>
      <c r="Q3576" s="137"/>
      <c r="R3576" s="126"/>
    </row>
    <row r="3577" spans="2:18" x14ac:dyDescent="0.3">
      <c r="B3577" s="126"/>
      <c r="G3577" s="137"/>
      <c r="H3577" s="138"/>
      <c r="I3577" s="138"/>
      <c r="J3577" s="139"/>
      <c r="K3577" s="137"/>
      <c r="L3577" s="137"/>
      <c r="P3577" s="137"/>
      <c r="Q3577" s="137"/>
      <c r="R3577" s="126"/>
    </row>
    <row r="3578" spans="2:18" x14ac:dyDescent="0.3">
      <c r="B3578" s="126"/>
      <c r="G3578" s="137"/>
      <c r="H3578" s="138"/>
      <c r="I3578" s="138"/>
      <c r="J3578" s="139"/>
      <c r="K3578" s="137"/>
      <c r="L3578" s="137"/>
      <c r="P3578" s="137"/>
      <c r="Q3578" s="137"/>
      <c r="R3578" s="126"/>
    </row>
    <row r="3579" spans="2:18" x14ac:dyDescent="0.3">
      <c r="B3579" s="126"/>
      <c r="G3579" s="137"/>
      <c r="H3579" s="138"/>
      <c r="I3579" s="138"/>
      <c r="J3579" s="139"/>
      <c r="K3579" s="137"/>
      <c r="L3579" s="137"/>
      <c r="P3579" s="137"/>
      <c r="Q3579" s="137"/>
      <c r="R3579" s="126"/>
    </row>
    <row r="3580" spans="2:18" x14ac:dyDescent="0.3">
      <c r="B3580" s="126"/>
      <c r="G3580" s="137"/>
      <c r="H3580" s="138"/>
      <c r="I3580" s="138"/>
      <c r="J3580" s="139"/>
      <c r="K3580" s="137"/>
      <c r="L3580" s="137"/>
      <c r="P3580" s="137"/>
      <c r="Q3580" s="137"/>
      <c r="R3580" s="126"/>
    </row>
    <row r="3581" spans="2:18" x14ac:dyDescent="0.3">
      <c r="B3581" s="126"/>
      <c r="G3581" s="137"/>
      <c r="H3581" s="138"/>
      <c r="I3581" s="138"/>
      <c r="J3581" s="139"/>
      <c r="K3581" s="137"/>
      <c r="L3581" s="137"/>
      <c r="P3581" s="137"/>
      <c r="Q3581" s="137"/>
      <c r="R3581" s="126"/>
    </row>
    <row r="3582" spans="2:18" x14ac:dyDescent="0.3">
      <c r="B3582" s="126"/>
      <c r="G3582" s="137"/>
      <c r="H3582" s="138"/>
      <c r="I3582" s="138"/>
      <c r="J3582" s="139"/>
      <c r="K3582" s="137"/>
      <c r="L3582" s="137"/>
      <c r="P3582" s="137"/>
      <c r="Q3582" s="137"/>
      <c r="R3582" s="126"/>
    </row>
    <row r="3583" spans="2:18" x14ac:dyDescent="0.3">
      <c r="B3583" s="126"/>
      <c r="G3583" s="137"/>
      <c r="H3583" s="138"/>
      <c r="I3583" s="138"/>
      <c r="J3583" s="139"/>
      <c r="K3583" s="137"/>
      <c r="L3583" s="137"/>
      <c r="P3583" s="137"/>
      <c r="Q3583" s="137"/>
      <c r="R3583" s="126"/>
    </row>
    <row r="3584" spans="2:18" x14ac:dyDescent="0.3">
      <c r="B3584" s="126"/>
      <c r="G3584" s="137"/>
      <c r="H3584" s="138"/>
      <c r="I3584" s="138"/>
      <c r="J3584" s="139"/>
      <c r="K3584" s="137"/>
      <c r="L3584" s="137"/>
      <c r="P3584" s="137"/>
      <c r="Q3584" s="137"/>
      <c r="R3584" s="126"/>
    </row>
    <row r="3585" spans="2:18" x14ac:dyDescent="0.3">
      <c r="B3585" s="126"/>
      <c r="G3585" s="137"/>
      <c r="H3585" s="138"/>
      <c r="I3585" s="138"/>
      <c r="J3585" s="139"/>
      <c r="K3585" s="137"/>
      <c r="L3585" s="137"/>
      <c r="P3585" s="137"/>
      <c r="Q3585" s="137"/>
      <c r="R3585" s="126"/>
    </row>
    <row r="3586" spans="2:18" x14ac:dyDescent="0.3">
      <c r="B3586" s="126"/>
      <c r="G3586" s="137"/>
      <c r="H3586" s="138"/>
      <c r="I3586" s="138"/>
      <c r="J3586" s="139"/>
      <c r="K3586" s="137"/>
      <c r="L3586" s="137"/>
      <c r="P3586" s="137"/>
      <c r="Q3586" s="137"/>
      <c r="R3586" s="126"/>
    </row>
    <row r="3587" spans="2:18" x14ac:dyDescent="0.3">
      <c r="B3587" s="126"/>
      <c r="G3587" s="137"/>
      <c r="H3587" s="138"/>
      <c r="I3587" s="138"/>
      <c r="J3587" s="139"/>
      <c r="K3587" s="137"/>
      <c r="L3587" s="137"/>
      <c r="P3587" s="137"/>
      <c r="Q3587" s="137"/>
      <c r="R3587" s="126"/>
    </row>
    <row r="3588" spans="2:18" x14ac:dyDescent="0.3">
      <c r="B3588" s="126"/>
      <c r="G3588" s="137"/>
      <c r="H3588" s="138"/>
      <c r="I3588" s="138"/>
      <c r="J3588" s="139"/>
      <c r="K3588" s="137"/>
      <c r="L3588" s="137"/>
      <c r="P3588" s="137"/>
      <c r="Q3588" s="137"/>
      <c r="R3588" s="126"/>
    </row>
    <row r="3589" spans="2:18" x14ac:dyDescent="0.3">
      <c r="B3589" s="126"/>
      <c r="G3589" s="137"/>
      <c r="H3589" s="138"/>
      <c r="I3589" s="138"/>
      <c r="J3589" s="139"/>
      <c r="K3589" s="137"/>
      <c r="L3589" s="137"/>
      <c r="P3589" s="137"/>
      <c r="Q3589" s="137"/>
      <c r="R3589" s="126"/>
    </row>
    <row r="3590" spans="2:18" x14ac:dyDescent="0.3">
      <c r="B3590" s="126"/>
      <c r="G3590" s="137"/>
      <c r="H3590" s="138"/>
      <c r="I3590" s="138"/>
      <c r="J3590" s="139"/>
      <c r="K3590" s="137"/>
      <c r="L3590" s="137"/>
      <c r="P3590" s="137"/>
      <c r="Q3590" s="137"/>
      <c r="R3590" s="126"/>
    </row>
    <row r="3591" spans="2:18" x14ac:dyDescent="0.3">
      <c r="B3591" s="126"/>
      <c r="G3591" s="137"/>
      <c r="H3591" s="138"/>
      <c r="I3591" s="138"/>
      <c r="J3591" s="139"/>
      <c r="K3591" s="137"/>
      <c r="L3591" s="137"/>
      <c r="P3591" s="137"/>
      <c r="Q3591" s="137"/>
      <c r="R3591" s="126"/>
    </row>
    <row r="3592" spans="2:18" x14ac:dyDescent="0.3">
      <c r="B3592" s="126"/>
      <c r="G3592" s="137"/>
      <c r="H3592" s="138"/>
      <c r="I3592" s="138"/>
      <c r="J3592" s="139"/>
      <c r="K3592" s="137"/>
      <c r="L3592" s="137"/>
      <c r="P3592" s="137"/>
      <c r="Q3592" s="137"/>
      <c r="R3592" s="126"/>
    </row>
    <row r="3593" spans="2:18" x14ac:dyDescent="0.3">
      <c r="B3593" s="126"/>
      <c r="G3593" s="137"/>
      <c r="H3593" s="138"/>
      <c r="I3593" s="138"/>
      <c r="J3593" s="139"/>
      <c r="K3593" s="137"/>
      <c r="L3593" s="137"/>
      <c r="P3593" s="137"/>
      <c r="Q3593" s="137"/>
      <c r="R3593" s="126"/>
    </row>
    <row r="3594" spans="2:18" x14ac:dyDescent="0.3">
      <c r="B3594" s="126"/>
      <c r="G3594" s="137"/>
      <c r="H3594" s="138"/>
      <c r="I3594" s="138"/>
      <c r="J3594" s="139"/>
      <c r="K3594" s="137"/>
      <c r="L3594" s="137"/>
      <c r="P3594" s="137"/>
      <c r="Q3594" s="137"/>
      <c r="R3594" s="126"/>
    </row>
    <row r="3595" spans="2:18" x14ac:dyDescent="0.3">
      <c r="B3595" s="126"/>
      <c r="G3595" s="137"/>
      <c r="H3595" s="138"/>
      <c r="I3595" s="138"/>
      <c r="J3595" s="139"/>
      <c r="K3595" s="137"/>
      <c r="L3595" s="137"/>
      <c r="P3595" s="137"/>
      <c r="Q3595" s="137"/>
      <c r="R3595" s="126"/>
    </row>
    <row r="3596" spans="2:18" x14ac:dyDescent="0.3">
      <c r="B3596" s="126"/>
      <c r="G3596" s="137"/>
      <c r="H3596" s="138"/>
      <c r="I3596" s="138"/>
      <c r="J3596" s="139"/>
      <c r="K3596" s="137"/>
      <c r="L3596" s="137"/>
      <c r="P3596" s="137"/>
      <c r="Q3596" s="137"/>
      <c r="R3596" s="126"/>
    </row>
    <row r="3597" spans="2:18" x14ac:dyDescent="0.3">
      <c r="B3597" s="126"/>
      <c r="G3597" s="137"/>
      <c r="H3597" s="138"/>
      <c r="I3597" s="138"/>
      <c r="J3597" s="139"/>
      <c r="K3597" s="137"/>
      <c r="L3597" s="137"/>
      <c r="P3597" s="137"/>
      <c r="Q3597" s="137"/>
      <c r="R3597" s="126"/>
    </row>
    <row r="3598" spans="2:18" x14ac:dyDescent="0.3">
      <c r="B3598" s="126"/>
      <c r="G3598" s="137"/>
      <c r="H3598" s="138"/>
      <c r="I3598" s="138"/>
      <c r="J3598" s="139"/>
      <c r="K3598" s="137"/>
      <c r="L3598" s="137"/>
      <c r="P3598" s="137"/>
      <c r="Q3598" s="137"/>
      <c r="R3598" s="126"/>
    </row>
    <row r="3599" spans="2:18" x14ac:dyDescent="0.3">
      <c r="B3599" s="126"/>
      <c r="G3599" s="137"/>
      <c r="H3599" s="138"/>
      <c r="I3599" s="138"/>
      <c r="J3599" s="139"/>
      <c r="K3599" s="137"/>
      <c r="L3599" s="137"/>
      <c r="P3599" s="137"/>
      <c r="Q3599" s="137"/>
      <c r="R3599" s="126"/>
    </row>
    <row r="3600" spans="2:18" x14ac:dyDescent="0.3">
      <c r="B3600" s="126"/>
      <c r="G3600" s="137"/>
      <c r="H3600" s="138"/>
      <c r="I3600" s="138"/>
      <c r="J3600" s="139"/>
      <c r="K3600" s="137"/>
      <c r="L3600" s="137"/>
      <c r="P3600" s="137"/>
      <c r="Q3600" s="137"/>
      <c r="R3600" s="126"/>
    </row>
    <row r="3601" spans="2:18" x14ac:dyDescent="0.3">
      <c r="B3601" s="126"/>
      <c r="G3601" s="137"/>
      <c r="H3601" s="138"/>
      <c r="I3601" s="138"/>
      <c r="J3601" s="139"/>
      <c r="K3601" s="137"/>
      <c r="L3601" s="137"/>
      <c r="P3601" s="137"/>
      <c r="Q3601" s="137"/>
      <c r="R3601" s="126"/>
    </row>
    <row r="3602" spans="2:18" x14ac:dyDescent="0.3">
      <c r="B3602" s="126"/>
      <c r="G3602" s="137"/>
      <c r="H3602" s="138"/>
      <c r="I3602" s="138"/>
      <c r="J3602" s="139"/>
      <c r="K3602" s="137"/>
      <c r="L3602" s="137"/>
      <c r="P3602" s="137"/>
      <c r="Q3602" s="137"/>
      <c r="R3602" s="126"/>
    </row>
    <row r="3603" spans="2:18" x14ac:dyDescent="0.3">
      <c r="B3603" s="126"/>
      <c r="G3603" s="137"/>
      <c r="H3603" s="138"/>
      <c r="I3603" s="138"/>
      <c r="J3603" s="139"/>
      <c r="K3603" s="137"/>
      <c r="L3603" s="137"/>
      <c r="P3603" s="137"/>
      <c r="Q3603" s="137"/>
      <c r="R3603" s="126"/>
    </row>
    <row r="3604" spans="2:18" x14ac:dyDescent="0.3">
      <c r="B3604" s="126"/>
      <c r="G3604" s="137"/>
      <c r="H3604" s="138"/>
      <c r="I3604" s="138"/>
      <c r="J3604" s="139"/>
      <c r="K3604" s="137"/>
      <c r="L3604" s="137"/>
      <c r="P3604" s="137"/>
      <c r="Q3604" s="137"/>
      <c r="R3604" s="126"/>
    </row>
    <row r="3605" spans="2:18" x14ac:dyDescent="0.3">
      <c r="B3605" s="126"/>
      <c r="G3605" s="137"/>
      <c r="H3605" s="138"/>
      <c r="I3605" s="138"/>
      <c r="J3605" s="139"/>
      <c r="K3605" s="137"/>
      <c r="L3605" s="137"/>
      <c r="P3605" s="137"/>
      <c r="Q3605" s="137"/>
      <c r="R3605" s="126"/>
    </row>
    <row r="3606" spans="2:18" x14ac:dyDescent="0.3">
      <c r="B3606" s="126"/>
      <c r="G3606" s="137"/>
      <c r="H3606" s="138"/>
      <c r="I3606" s="138"/>
      <c r="J3606" s="139"/>
      <c r="K3606" s="137"/>
      <c r="L3606" s="137"/>
      <c r="P3606" s="137"/>
      <c r="Q3606" s="137"/>
      <c r="R3606" s="126"/>
    </row>
    <row r="3607" spans="2:18" x14ac:dyDescent="0.3">
      <c r="B3607" s="126"/>
      <c r="G3607" s="137"/>
      <c r="H3607" s="138"/>
      <c r="I3607" s="138"/>
      <c r="J3607" s="139"/>
      <c r="K3607" s="137"/>
      <c r="L3607" s="137"/>
      <c r="P3607" s="137"/>
      <c r="Q3607" s="137"/>
      <c r="R3607" s="126"/>
    </row>
    <row r="3608" spans="2:18" x14ac:dyDescent="0.3">
      <c r="B3608" s="126"/>
      <c r="G3608" s="137"/>
      <c r="H3608" s="138"/>
      <c r="I3608" s="138"/>
      <c r="J3608" s="139"/>
      <c r="K3608" s="137"/>
      <c r="L3608" s="137"/>
      <c r="P3608" s="137"/>
      <c r="Q3608" s="137"/>
      <c r="R3608" s="126"/>
    </row>
    <row r="3609" spans="2:18" x14ac:dyDescent="0.3">
      <c r="B3609" s="126"/>
      <c r="G3609" s="137"/>
      <c r="H3609" s="138"/>
      <c r="I3609" s="138"/>
      <c r="J3609" s="139"/>
      <c r="K3609" s="137"/>
      <c r="L3609" s="137"/>
      <c r="P3609" s="137"/>
      <c r="Q3609" s="137"/>
      <c r="R3609" s="126"/>
    </row>
    <row r="3610" spans="2:18" x14ac:dyDescent="0.3">
      <c r="B3610" s="126"/>
      <c r="G3610" s="137"/>
      <c r="H3610" s="138"/>
      <c r="I3610" s="138"/>
      <c r="J3610" s="139"/>
      <c r="K3610" s="137"/>
      <c r="L3610" s="137"/>
      <c r="P3610" s="137"/>
      <c r="Q3610" s="137"/>
      <c r="R3610" s="126"/>
    </row>
    <row r="3611" spans="2:18" x14ac:dyDescent="0.3">
      <c r="B3611" s="126"/>
      <c r="G3611" s="137"/>
      <c r="H3611" s="138"/>
      <c r="I3611" s="138"/>
      <c r="J3611" s="139"/>
      <c r="K3611" s="137"/>
      <c r="L3611" s="137"/>
      <c r="P3611" s="137"/>
      <c r="Q3611" s="137"/>
      <c r="R3611" s="126"/>
    </row>
    <row r="3612" spans="2:18" x14ac:dyDescent="0.3">
      <c r="B3612" s="126"/>
      <c r="G3612" s="137"/>
      <c r="H3612" s="138"/>
      <c r="I3612" s="138"/>
      <c r="J3612" s="139"/>
      <c r="K3612" s="137"/>
      <c r="L3612" s="137"/>
      <c r="P3612" s="137"/>
      <c r="Q3612" s="137"/>
      <c r="R3612" s="126"/>
    </row>
    <row r="3613" spans="2:18" x14ac:dyDescent="0.3">
      <c r="B3613" s="126"/>
      <c r="G3613" s="137"/>
      <c r="H3613" s="138"/>
      <c r="I3613" s="138"/>
      <c r="J3613" s="139"/>
      <c r="K3613" s="137"/>
      <c r="L3613" s="137"/>
      <c r="P3613" s="137"/>
      <c r="Q3613" s="137"/>
      <c r="R3613" s="126"/>
    </row>
    <row r="3614" spans="2:18" x14ac:dyDescent="0.3">
      <c r="B3614" s="126"/>
      <c r="G3614" s="137"/>
      <c r="H3614" s="138"/>
      <c r="I3614" s="138"/>
      <c r="J3614" s="139"/>
      <c r="K3614" s="137"/>
      <c r="L3614" s="137"/>
      <c r="P3614" s="137"/>
      <c r="Q3614" s="137"/>
      <c r="R3614" s="126"/>
    </row>
    <row r="3615" spans="2:18" x14ac:dyDescent="0.3">
      <c r="B3615" s="126"/>
      <c r="G3615" s="137"/>
      <c r="H3615" s="138"/>
      <c r="I3615" s="138"/>
      <c r="J3615" s="139"/>
      <c r="K3615" s="137"/>
      <c r="L3615" s="137"/>
      <c r="P3615" s="137"/>
      <c r="Q3615" s="137"/>
      <c r="R3615" s="126"/>
    </row>
    <row r="3616" spans="2:18" x14ac:dyDescent="0.3">
      <c r="B3616" s="126"/>
      <c r="G3616" s="137"/>
      <c r="H3616" s="138"/>
      <c r="I3616" s="138"/>
      <c r="J3616" s="139"/>
      <c r="K3616" s="137"/>
      <c r="L3616" s="137"/>
      <c r="P3616" s="137"/>
      <c r="Q3616" s="137"/>
      <c r="R3616" s="126"/>
    </row>
    <row r="3617" spans="2:18" x14ac:dyDescent="0.3">
      <c r="B3617" s="126"/>
      <c r="G3617" s="137"/>
      <c r="H3617" s="138"/>
      <c r="I3617" s="138"/>
      <c r="J3617" s="139"/>
      <c r="K3617" s="137"/>
      <c r="L3617" s="137"/>
      <c r="P3617" s="137"/>
      <c r="Q3617" s="137"/>
      <c r="R3617" s="126"/>
    </row>
    <row r="3618" spans="2:18" x14ac:dyDescent="0.3">
      <c r="B3618" s="126"/>
      <c r="G3618" s="137"/>
      <c r="H3618" s="138"/>
      <c r="I3618" s="138"/>
      <c r="J3618" s="139"/>
      <c r="K3618" s="137"/>
      <c r="L3618" s="137"/>
      <c r="P3618" s="137"/>
      <c r="Q3618" s="137"/>
      <c r="R3618" s="126"/>
    </row>
    <row r="3619" spans="2:18" x14ac:dyDescent="0.3">
      <c r="B3619" s="126"/>
      <c r="G3619" s="137"/>
      <c r="H3619" s="138"/>
      <c r="I3619" s="138"/>
      <c r="J3619" s="139"/>
      <c r="K3619" s="137"/>
      <c r="L3619" s="137"/>
      <c r="P3619" s="137"/>
      <c r="Q3619" s="137"/>
      <c r="R3619" s="126"/>
    </row>
    <row r="3620" spans="2:18" x14ac:dyDescent="0.3">
      <c r="B3620" s="126"/>
      <c r="G3620" s="137"/>
      <c r="H3620" s="138"/>
      <c r="I3620" s="138"/>
      <c r="J3620" s="139"/>
      <c r="K3620" s="137"/>
      <c r="L3620" s="137"/>
      <c r="P3620" s="137"/>
      <c r="Q3620" s="137"/>
      <c r="R3620" s="126"/>
    </row>
    <row r="3621" spans="2:18" x14ac:dyDescent="0.3">
      <c r="B3621" s="126"/>
      <c r="G3621" s="137"/>
      <c r="H3621" s="138"/>
      <c r="I3621" s="138"/>
      <c r="J3621" s="139"/>
      <c r="K3621" s="137"/>
      <c r="L3621" s="137"/>
      <c r="P3621" s="137"/>
      <c r="Q3621" s="137"/>
      <c r="R3621" s="126"/>
    </row>
    <row r="3622" spans="2:18" x14ac:dyDescent="0.3">
      <c r="B3622" s="126"/>
      <c r="G3622" s="137"/>
      <c r="H3622" s="138"/>
      <c r="I3622" s="138"/>
      <c r="J3622" s="139"/>
      <c r="K3622" s="137"/>
      <c r="L3622" s="137"/>
      <c r="P3622" s="137"/>
      <c r="Q3622" s="137"/>
      <c r="R3622" s="126"/>
    </row>
    <row r="3623" spans="2:18" x14ac:dyDescent="0.3">
      <c r="B3623" s="126"/>
      <c r="G3623" s="137"/>
      <c r="H3623" s="138"/>
      <c r="I3623" s="138"/>
      <c r="J3623" s="139"/>
      <c r="K3623" s="137"/>
      <c r="L3623" s="137"/>
      <c r="P3623" s="137"/>
      <c r="Q3623" s="137"/>
      <c r="R3623" s="126"/>
    </row>
    <row r="3624" spans="2:18" x14ac:dyDescent="0.3">
      <c r="B3624" s="126"/>
      <c r="G3624" s="137"/>
      <c r="H3624" s="138"/>
      <c r="I3624" s="138"/>
      <c r="J3624" s="139"/>
      <c r="K3624" s="137"/>
      <c r="L3624" s="137"/>
      <c r="P3624" s="137"/>
      <c r="Q3624" s="137"/>
      <c r="R3624" s="126"/>
    </row>
    <row r="3625" spans="2:18" x14ac:dyDescent="0.3">
      <c r="B3625" s="126"/>
      <c r="G3625" s="137"/>
      <c r="H3625" s="138"/>
      <c r="I3625" s="138"/>
      <c r="J3625" s="139"/>
      <c r="K3625" s="137"/>
      <c r="L3625" s="137"/>
      <c r="P3625" s="137"/>
      <c r="Q3625" s="137"/>
      <c r="R3625" s="126"/>
    </row>
    <row r="3626" spans="2:18" x14ac:dyDescent="0.3">
      <c r="B3626" s="126"/>
      <c r="G3626" s="137"/>
      <c r="H3626" s="138"/>
      <c r="I3626" s="138"/>
      <c r="J3626" s="139"/>
      <c r="K3626" s="137"/>
      <c r="L3626" s="137"/>
      <c r="P3626" s="137"/>
      <c r="Q3626" s="137"/>
      <c r="R3626" s="126"/>
    </row>
    <row r="3627" spans="2:18" x14ac:dyDescent="0.3">
      <c r="B3627" s="126"/>
      <c r="G3627" s="137"/>
      <c r="H3627" s="138"/>
      <c r="I3627" s="138"/>
      <c r="J3627" s="139"/>
      <c r="K3627" s="137"/>
      <c r="L3627" s="137"/>
      <c r="P3627" s="137"/>
      <c r="Q3627" s="137"/>
      <c r="R3627" s="126"/>
    </row>
    <row r="3628" spans="2:18" x14ac:dyDescent="0.3">
      <c r="B3628" s="126"/>
      <c r="G3628" s="137"/>
      <c r="H3628" s="138"/>
      <c r="I3628" s="138"/>
      <c r="J3628" s="139"/>
      <c r="K3628" s="137"/>
      <c r="L3628" s="137"/>
      <c r="P3628" s="137"/>
      <c r="Q3628" s="137"/>
      <c r="R3628" s="126"/>
    </row>
    <row r="3629" spans="2:18" x14ac:dyDescent="0.3">
      <c r="B3629" s="126"/>
      <c r="G3629" s="137"/>
      <c r="H3629" s="138"/>
      <c r="I3629" s="138"/>
      <c r="J3629" s="139"/>
      <c r="K3629" s="137"/>
      <c r="L3629" s="137"/>
      <c r="P3629" s="137"/>
      <c r="Q3629" s="137"/>
      <c r="R3629" s="126"/>
    </row>
    <row r="3630" spans="2:18" x14ac:dyDescent="0.3">
      <c r="B3630" s="126"/>
      <c r="G3630" s="137"/>
      <c r="H3630" s="138"/>
      <c r="I3630" s="138"/>
      <c r="J3630" s="139"/>
      <c r="K3630" s="137"/>
      <c r="L3630" s="137"/>
      <c r="P3630" s="137"/>
      <c r="Q3630" s="137"/>
      <c r="R3630" s="126"/>
    </row>
    <row r="3631" spans="2:18" x14ac:dyDescent="0.3">
      <c r="B3631" s="126"/>
      <c r="G3631" s="137"/>
      <c r="H3631" s="138"/>
      <c r="I3631" s="138"/>
      <c r="J3631" s="139"/>
      <c r="K3631" s="137"/>
      <c r="L3631" s="137"/>
      <c r="P3631" s="137"/>
      <c r="Q3631" s="137"/>
      <c r="R3631" s="126"/>
    </row>
    <row r="3632" spans="2:18" x14ac:dyDescent="0.3">
      <c r="B3632" s="126"/>
      <c r="G3632" s="137"/>
      <c r="H3632" s="138"/>
      <c r="I3632" s="138"/>
      <c r="J3632" s="139"/>
      <c r="K3632" s="137"/>
      <c r="L3632" s="137"/>
      <c r="P3632" s="137"/>
      <c r="Q3632" s="137"/>
      <c r="R3632" s="126"/>
    </row>
    <row r="3633" spans="2:18" x14ac:dyDescent="0.3">
      <c r="B3633" s="126"/>
      <c r="G3633" s="137"/>
      <c r="H3633" s="138"/>
      <c r="I3633" s="138"/>
      <c r="J3633" s="139"/>
      <c r="K3633" s="137"/>
      <c r="L3633" s="137"/>
      <c r="P3633" s="137"/>
      <c r="Q3633" s="137"/>
      <c r="R3633" s="126"/>
    </row>
    <row r="3634" spans="2:18" x14ac:dyDescent="0.3">
      <c r="B3634" s="126"/>
      <c r="G3634" s="137"/>
      <c r="H3634" s="138"/>
      <c r="I3634" s="138"/>
      <c r="J3634" s="139"/>
      <c r="K3634" s="137"/>
      <c r="L3634" s="137"/>
      <c r="P3634" s="137"/>
      <c r="Q3634" s="137"/>
      <c r="R3634" s="126"/>
    </row>
    <row r="3635" spans="2:18" x14ac:dyDescent="0.3">
      <c r="B3635" s="126"/>
      <c r="G3635" s="137"/>
      <c r="H3635" s="138"/>
      <c r="I3635" s="138"/>
      <c r="J3635" s="139"/>
      <c r="K3635" s="137"/>
      <c r="L3635" s="137"/>
      <c r="P3635" s="137"/>
      <c r="Q3635" s="137"/>
      <c r="R3635" s="126"/>
    </row>
    <row r="3636" spans="2:18" x14ac:dyDescent="0.3">
      <c r="B3636" s="126"/>
      <c r="G3636" s="137"/>
      <c r="H3636" s="138"/>
      <c r="I3636" s="138"/>
      <c r="J3636" s="139"/>
      <c r="K3636" s="137"/>
      <c r="L3636" s="137"/>
      <c r="P3636" s="137"/>
      <c r="Q3636" s="137"/>
      <c r="R3636" s="126"/>
    </row>
    <row r="3637" spans="2:18" x14ac:dyDescent="0.3">
      <c r="B3637" s="126"/>
      <c r="G3637" s="137"/>
      <c r="H3637" s="138"/>
      <c r="I3637" s="138"/>
      <c r="J3637" s="139"/>
      <c r="K3637" s="137"/>
      <c r="L3637" s="137"/>
      <c r="P3637" s="137"/>
      <c r="Q3637" s="137"/>
      <c r="R3637" s="126"/>
    </row>
    <row r="3638" spans="2:18" x14ac:dyDescent="0.3">
      <c r="B3638" s="126"/>
      <c r="G3638" s="137"/>
      <c r="H3638" s="138"/>
      <c r="I3638" s="138"/>
      <c r="J3638" s="139"/>
      <c r="K3638" s="137"/>
      <c r="L3638" s="137"/>
      <c r="P3638" s="137"/>
      <c r="Q3638" s="137"/>
      <c r="R3638" s="126"/>
    </row>
    <row r="3639" spans="2:18" x14ac:dyDescent="0.3">
      <c r="B3639" s="126"/>
      <c r="G3639" s="137"/>
      <c r="H3639" s="138"/>
      <c r="I3639" s="138"/>
      <c r="J3639" s="139"/>
      <c r="K3639" s="137"/>
      <c r="L3639" s="137"/>
      <c r="P3639" s="137"/>
      <c r="Q3639" s="137"/>
      <c r="R3639" s="126"/>
    </row>
    <row r="3640" spans="2:18" x14ac:dyDescent="0.3">
      <c r="B3640" s="126"/>
      <c r="G3640" s="137"/>
      <c r="H3640" s="138"/>
      <c r="I3640" s="138"/>
      <c r="J3640" s="139"/>
      <c r="K3640" s="137"/>
      <c r="L3640" s="137"/>
      <c r="P3640" s="137"/>
      <c r="Q3640" s="137"/>
      <c r="R3640" s="126"/>
    </row>
    <row r="3641" spans="2:18" x14ac:dyDescent="0.3">
      <c r="B3641" s="126"/>
      <c r="G3641" s="137"/>
      <c r="H3641" s="138"/>
      <c r="I3641" s="138"/>
      <c r="J3641" s="139"/>
      <c r="K3641" s="137"/>
      <c r="L3641" s="137"/>
      <c r="P3641" s="137"/>
      <c r="Q3641" s="137"/>
      <c r="R3641" s="126"/>
    </row>
    <row r="3642" spans="2:18" x14ac:dyDescent="0.3">
      <c r="B3642" s="126"/>
      <c r="G3642" s="137"/>
      <c r="H3642" s="138"/>
      <c r="I3642" s="138"/>
      <c r="J3642" s="139"/>
      <c r="K3642" s="137"/>
      <c r="L3642" s="137"/>
      <c r="P3642" s="137"/>
      <c r="Q3642" s="137"/>
      <c r="R3642" s="126"/>
    </row>
    <row r="3643" spans="2:18" x14ac:dyDescent="0.3">
      <c r="B3643" s="126"/>
      <c r="G3643" s="137"/>
      <c r="H3643" s="138"/>
      <c r="I3643" s="138"/>
      <c r="J3643" s="139"/>
      <c r="K3643" s="137"/>
      <c r="L3643" s="137"/>
      <c r="P3643" s="137"/>
      <c r="Q3643" s="137"/>
      <c r="R3643" s="126"/>
    </row>
    <row r="3644" spans="2:18" x14ac:dyDescent="0.3">
      <c r="B3644" s="126"/>
      <c r="G3644" s="137"/>
      <c r="H3644" s="138"/>
      <c r="I3644" s="138"/>
      <c r="J3644" s="139"/>
      <c r="K3644" s="137"/>
      <c r="L3644" s="137"/>
      <c r="P3644" s="137"/>
      <c r="Q3644" s="137"/>
      <c r="R3644" s="126"/>
    </row>
    <row r="3645" spans="2:18" x14ac:dyDescent="0.3">
      <c r="B3645" s="126"/>
      <c r="G3645" s="137"/>
      <c r="H3645" s="138"/>
      <c r="I3645" s="138"/>
      <c r="J3645" s="139"/>
      <c r="K3645" s="137"/>
      <c r="L3645" s="137"/>
      <c r="P3645" s="137"/>
      <c r="Q3645" s="137"/>
      <c r="R3645" s="126"/>
    </row>
    <row r="3646" spans="2:18" x14ac:dyDescent="0.3">
      <c r="B3646" s="126"/>
      <c r="G3646" s="137"/>
      <c r="H3646" s="138"/>
      <c r="I3646" s="138"/>
      <c r="J3646" s="139"/>
      <c r="K3646" s="137"/>
      <c r="L3646" s="137"/>
      <c r="P3646" s="137"/>
      <c r="Q3646" s="137"/>
      <c r="R3646" s="126"/>
    </row>
    <row r="3647" spans="2:18" x14ac:dyDescent="0.3">
      <c r="B3647" s="126"/>
      <c r="G3647" s="137"/>
      <c r="H3647" s="138"/>
      <c r="I3647" s="138"/>
      <c r="J3647" s="139"/>
      <c r="K3647" s="137"/>
      <c r="L3647" s="137"/>
      <c r="P3647" s="137"/>
      <c r="Q3647" s="137"/>
      <c r="R3647" s="126"/>
    </row>
    <row r="3648" spans="2:18" x14ac:dyDescent="0.3">
      <c r="B3648" s="126"/>
      <c r="G3648" s="137"/>
      <c r="H3648" s="138"/>
      <c r="I3648" s="138"/>
      <c r="J3648" s="139"/>
      <c r="K3648" s="137"/>
      <c r="L3648" s="137"/>
      <c r="P3648" s="137"/>
      <c r="Q3648" s="137"/>
      <c r="R3648" s="126"/>
    </row>
    <row r="3649" spans="2:18" x14ac:dyDescent="0.3">
      <c r="B3649" s="126"/>
      <c r="G3649" s="137"/>
      <c r="H3649" s="138"/>
      <c r="I3649" s="138"/>
      <c r="J3649" s="139"/>
      <c r="K3649" s="137"/>
      <c r="L3649" s="137"/>
      <c r="P3649" s="137"/>
      <c r="Q3649" s="137"/>
      <c r="R3649" s="126"/>
    </row>
    <row r="3650" spans="2:18" x14ac:dyDescent="0.3">
      <c r="B3650" s="126"/>
      <c r="G3650" s="137"/>
      <c r="H3650" s="138"/>
      <c r="I3650" s="138"/>
      <c r="J3650" s="139"/>
      <c r="K3650" s="137"/>
      <c r="L3650" s="137"/>
      <c r="P3650" s="137"/>
      <c r="Q3650" s="137"/>
      <c r="R3650" s="126"/>
    </row>
    <row r="3651" spans="2:18" x14ac:dyDescent="0.3">
      <c r="B3651" s="126"/>
      <c r="G3651" s="137"/>
      <c r="H3651" s="138"/>
      <c r="I3651" s="138"/>
      <c r="J3651" s="139"/>
      <c r="K3651" s="137"/>
      <c r="L3651" s="137"/>
      <c r="P3651" s="137"/>
      <c r="Q3651" s="137"/>
      <c r="R3651" s="126"/>
    </row>
    <row r="3652" spans="2:18" x14ac:dyDescent="0.3">
      <c r="B3652" s="126"/>
      <c r="G3652" s="137"/>
      <c r="H3652" s="138"/>
      <c r="I3652" s="138"/>
      <c r="J3652" s="139"/>
      <c r="K3652" s="137"/>
      <c r="L3652" s="137"/>
      <c r="P3652" s="137"/>
      <c r="Q3652" s="137"/>
      <c r="R3652" s="126"/>
    </row>
    <row r="3653" spans="2:18" x14ac:dyDescent="0.3">
      <c r="B3653" s="126"/>
      <c r="G3653" s="137"/>
      <c r="H3653" s="138"/>
      <c r="I3653" s="138"/>
      <c r="J3653" s="139"/>
      <c r="K3653" s="137"/>
      <c r="L3653" s="137"/>
      <c r="P3653" s="137"/>
      <c r="Q3653" s="137"/>
      <c r="R3653" s="126"/>
    </row>
    <row r="3654" spans="2:18" x14ac:dyDescent="0.3">
      <c r="B3654" s="126"/>
      <c r="G3654" s="137"/>
      <c r="H3654" s="138"/>
      <c r="I3654" s="138"/>
      <c r="J3654" s="139"/>
      <c r="K3654" s="137"/>
      <c r="L3654" s="137"/>
      <c r="P3654" s="137"/>
      <c r="Q3654" s="137"/>
      <c r="R3654" s="126"/>
    </row>
    <row r="3655" spans="2:18" x14ac:dyDescent="0.3">
      <c r="B3655" s="126"/>
      <c r="G3655" s="137"/>
      <c r="H3655" s="138"/>
      <c r="I3655" s="138"/>
      <c r="J3655" s="139"/>
      <c r="K3655" s="137"/>
      <c r="L3655" s="137"/>
      <c r="P3655" s="137"/>
      <c r="Q3655" s="137"/>
      <c r="R3655" s="126"/>
    </row>
    <row r="3656" spans="2:18" x14ac:dyDescent="0.3">
      <c r="B3656" s="126"/>
      <c r="G3656" s="137"/>
      <c r="H3656" s="138"/>
      <c r="I3656" s="138"/>
      <c r="J3656" s="139"/>
      <c r="K3656" s="137"/>
      <c r="L3656" s="137"/>
      <c r="P3656" s="137"/>
      <c r="Q3656" s="137"/>
      <c r="R3656" s="126"/>
    </row>
    <row r="3657" spans="2:18" x14ac:dyDescent="0.3">
      <c r="B3657" s="126"/>
      <c r="G3657" s="137"/>
      <c r="H3657" s="138"/>
      <c r="I3657" s="138"/>
      <c r="J3657" s="139"/>
      <c r="K3657" s="137"/>
      <c r="L3657" s="137"/>
      <c r="P3657" s="137"/>
      <c r="Q3657" s="137"/>
      <c r="R3657" s="126"/>
    </row>
    <row r="3658" spans="2:18" x14ac:dyDescent="0.3">
      <c r="B3658" s="126"/>
      <c r="G3658" s="137"/>
      <c r="H3658" s="138"/>
      <c r="I3658" s="138"/>
      <c r="J3658" s="139"/>
      <c r="K3658" s="137"/>
      <c r="L3658" s="137"/>
      <c r="P3658" s="137"/>
      <c r="Q3658" s="137"/>
      <c r="R3658" s="126"/>
    </row>
    <row r="3659" spans="2:18" x14ac:dyDescent="0.3">
      <c r="B3659" s="126"/>
      <c r="G3659" s="137"/>
      <c r="H3659" s="138"/>
      <c r="I3659" s="138"/>
      <c r="J3659" s="139"/>
      <c r="K3659" s="137"/>
      <c r="L3659" s="137"/>
      <c r="P3659" s="137"/>
      <c r="Q3659" s="137"/>
      <c r="R3659" s="126"/>
    </row>
    <row r="3660" spans="2:18" x14ac:dyDescent="0.3">
      <c r="B3660" s="126"/>
      <c r="G3660" s="137"/>
      <c r="H3660" s="138"/>
      <c r="I3660" s="138"/>
      <c r="J3660" s="139"/>
      <c r="K3660" s="137"/>
      <c r="L3660" s="137"/>
      <c r="P3660" s="137"/>
      <c r="Q3660" s="137"/>
      <c r="R3660" s="126"/>
    </row>
    <row r="3661" spans="2:18" x14ac:dyDescent="0.3">
      <c r="B3661" s="126"/>
      <c r="G3661" s="137"/>
      <c r="H3661" s="138"/>
      <c r="I3661" s="138"/>
      <c r="J3661" s="139"/>
      <c r="K3661" s="137"/>
      <c r="L3661" s="137"/>
      <c r="P3661" s="137"/>
      <c r="Q3661" s="137"/>
      <c r="R3661" s="126"/>
    </row>
    <row r="3662" spans="2:18" x14ac:dyDescent="0.3">
      <c r="B3662" s="126"/>
      <c r="G3662" s="137"/>
      <c r="H3662" s="138"/>
      <c r="I3662" s="138"/>
      <c r="J3662" s="139"/>
      <c r="K3662" s="137"/>
      <c r="L3662" s="137"/>
      <c r="P3662" s="137"/>
      <c r="Q3662" s="137"/>
      <c r="R3662" s="126"/>
    </row>
    <row r="3663" spans="2:18" x14ac:dyDescent="0.3">
      <c r="B3663" s="126"/>
      <c r="G3663" s="137"/>
      <c r="H3663" s="138"/>
      <c r="I3663" s="138"/>
      <c r="J3663" s="139"/>
      <c r="K3663" s="137"/>
      <c r="L3663" s="137"/>
      <c r="P3663" s="137"/>
      <c r="Q3663" s="137"/>
      <c r="R3663" s="126"/>
    </row>
    <row r="3664" spans="2:18" x14ac:dyDescent="0.3">
      <c r="B3664" s="126"/>
      <c r="G3664" s="137"/>
      <c r="H3664" s="138"/>
      <c r="I3664" s="138"/>
      <c r="J3664" s="139"/>
      <c r="K3664" s="137"/>
      <c r="L3664" s="137"/>
      <c r="P3664" s="137"/>
      <c r="Q3664" s="137"/>
      <c r="R3664" s="126"/>
    </row>
    <row r="3665" spans="2:18" x14ac:dyDescent="0.3">
      <c r="B3665" s="126"/>
      <c r="G3665" s="137"/>
      <c r="H3665" s="138"/>
      <c r="I3665" s="138"/>
      <c r="J3665" s="139"/>
      <c r="K3665" s="137"/>
      <c r="L3665" s="137"/>
      <c r="P3665" s="137"/>
      <c r="Q3665" s="137"/>
      <c r="R3665" s="126"/>
    </row>
    <row r="3666" spans="2:18" x14ac:dyDescent="0.3">
      <c r="B3666" s="126"/>
      <c r="G3666" s="137"/>
      <c r="H3666" s="138"/>
      <c r="I3666" s="138"/>
      <c r="J3666" s="139"/>
      <c r="K3666" s="137"/>
      <c r="L3666" s="137"/>
      <c r="P3666" s="137"/>
      <c r="Q3666" s="137"/>
      <c r="R3666" s="126"/>
    </row>
    <row r="3667" spans="2:18" x14ac:dyDescent="0.3">
      <c r="B3667" s="126"/>
      <c r="G3667" s="137"/>
      <c r="H3667" s="138"/>
      <c r="I3667" s="138"/>
      <c r="J3667" s="139"/>
      <c r="K3667" s="137"/>
      <c r="L3667" s="137"/>
      <c r="P3667" s="137"/>
      <c r="Q3667" s="137"/>
      <c r="R3667" s="126"/>
    </row>
    <row r="3668" spans="2:18" x14ac:dyDescent="0.3">
      <c r="B3668" s="126"/>
      <c r="G3668" s="137"/>
      <c r="H3668" s="138"/>
      <c r="I3668" s="138"/>
      <c r="J3668" s="139"/>
      <c r="K3668" s="137"/>
      <c r="L3668" s="137"/>
      <c r="P3668" s="137"/>
      <c r="Q3668" s="137"/>
      <c r="R3668" s="126"/>
    </row>
    <row r="3669" spans="2:18" x14ac:dyDescent="0.3">
      <c r="B3669" s="126"/>
      <c r="G3669" s="137"/>
      <c r="H3669" s="138"/>
      <c r="I3669" s="138"/>
      <c r="J3669" s="139"/>
      <c r="K3669" s="137"/>
      <c r="L3669" s="137"/>
      <c r="P3669" s="137"/>
      <c r="Q3669" s="137"/>
      <c r="R3669" s="126"/>
    </row>
    <row r="3670" spans="2:18" x14ac:dyDescent="0.3">
      <c r="B3670" s="126"/>
      <c r="G3670" s="137"/>
      <c r="H3670" s="138"/>
      <c r="I3670" s="138"/>
      <c r="J3670" s="139"/>
      <c r="K3670" s="137"/>
      <c r="L3670" s="137"/>
      <c r="P3670" s="137"/>
      <c r="Q3670" s="137"/>
      <c r="R3670" s="126"/>
    </row>
    <row r="3671" spans="2:18" x14ac:dyDescent="0.3">
      <c r="B3671" s="126"/>
      <c r="G3671" s="137"/>
      <c r="H3671" s="138"/>
      <c r="I3671" s="138"/>
      <c r="J3671" s="139"/>
      <c r="K3671" s="137"/>
      <c r="L3671" s="137"/>
      <c r="P3671" s="137"/>
      <c r="Q3671" s="137"/>
      <c r="R3671" s="126"/>
    </row>
    <row r="3672" spans="2:18" x14ac:dyDescent="0.3">
      <c r="B3672" s="126"/>
      <c r="G3672" s="137"/>
      <c r="H3672" s="138"/>
      <c r="I3672" s="138"/>
      <c r="J3672" s="139"/>
      <c r="K3672" s="137"/>
      <c r="L3672" s="137"/>
      <c r="P3672" s="137"/>
      <c r="Q3672" s="137"/>
      <c r="R3672" s="126"/>
    </row>
    <row r="3673" spans="2:18" x14ac:dyDescent="0.3">
      <c r="B3673" s="126"/>
      <c r="G3673" s="137"/>
      <c r="H3673" s="138"/>
      <c r="I3673" s="138"/>
      <c r="J3673" s="139"/>
      <c r="K3673" s="137"/>
      <c r="L3673" s="137"/>
      <c r="P3673" s="137"/>
      <c r="Q3673" s="137"/>
      <c r="R3673" s="126"/>
    </row>
    <row r="3674" spans="2:18" x14ac:dyDescent="0.3">
      <c r="B3674" s="126"/>
      <c r="G3674" s="137"/>
      <c r="H3674" s="138"/>
      <c r="I3674" s="138"/>
      <c r="J3674" s="139"/>
      <c r="K3674" s="137"/>
      <c r="L3674" s="137"/>
      <c r="P3674" s="137"/>
      <c r="Q3674" s="137"/>
      <c r="R3674" s="126"/>
    </row>
    <row r="3675" spans="2:18" x14ac:dyDescent="0.3">
      <c r="B3675" s="126"/>
      <c r="G3675" s="137"/>
      <c r="H3675" s="138"/>
      <c r="I3675" s="138"/>
      <c r="J3675" s="139"/>
      <c r="K3675" s="137"/>
      <c r="L3675" s="137"/>
      <c r="P3675" s="137"/>
      <c r="Q3675" s="137"/>
      <c r="R3675" s="126"/>
    </row>
    <row r="3676" spans="2:18" x14ac:dyDescent="0.3">
      <c r="B3676" s="126"/>
      <c r="G3676" s="137"/>
      <c r="H3676" s="138"/>
      <c r="I3676" s="138"/>
      <c r="J3676" s="139"/>
      <c r="K3676" s="137"/>
      <c r="L3676" s="137"/>
      <c r="P3676" s="137"/>
      <c r="Q3676" s="137"/>
      <c r="R3676" s="126"/>
    </row>
    <row r="3677" spans="2:18" x14ac:dyDescent="0.3">
      <c r="B3677" s="126"/>
      <c r="G3677" s="137"/>
      <c r="H3677" s="138"/>
      <c r="I3677" s="138"/>
      <c r="J3677" s="139"/>
      <c r="K3677" s="137"/>
      <c r="L3677" s="137"/>
      <c r="P3677" s="137"/>
      <c r="Q3677" s="137"/>
      <c r="R3677" s="126"/>
    </row>
    <row r="3678" spans="2:18" x14ac:dyDescent="0.3">
      <c r="B3678" s="126"/>
      <c r="G3678" s="137"/>
      <c r="H3678" s="138"/>
      <c r="I3678" s="138"/>
      <c r="J3678" s="139"/>
      <c r="K3678" s="137"/>
      <c r="L3678" s="137"/>
      <c r="P3678" s="137"/>
      <c r="Q3678" s="137"/>
      <c r="R3678" s="126"/>
    </row>
    <row r="3679" spans="2:18" x14ac:dyDescent="0.3">
      <c r="B3679" s="126"/>
      <c r="G3679" s="137"/>
      <c r="H3679" s="138"/>
      <c r="I3679" s="138"/>
      <c r="J3679" s="139"/>
      <c r="K3679" s="137"/>
      <c r="L3679" s="137"/>
      <c r="P3679" s="137"/>
      <c r="Q3679" s="137"/>
      <c r="R3679" s="126"/>
    </row>
    <row r="3680" spans="2:18" x14ac:dyDescent="0.3">
      <c r="B3680" s="126"/>
      <c r="G3680" s="137"/>
      <c r="H3680" s="138"/>
      <c r="I3680" s="138"/>
      <c r="J3680" s="139"/>
      <c r="K3680" s="137"/>
      <c r="L3680" s="137"/>
      <c r="P3680" s="137"/>
      <c r="Q3680" s="137"/>
      <c r="R3680" s="126"/>
    </row>
    <row r="3681" spans="2:18" x14ac:dyDescent="0.3">
      <c r="B3681" s="126"/>
      <c r="G3681" s="137"/>
      <c r="H3681" s="138"/>
      <c r="I3681" s="138"/>
      <c r="J3681" s="139"/>
      <c r="K3681" s="137"/>
      <c r="L3681" s="137"/>
      <c r="P3681" s="137"/>
      <c r="Q3681" s="137"/>
      <c r="R3681" s="126"/>
    </row>
    <row r="3682" spans="2:18" x14ac:dyDescent="0.3">
      <c r="B3682" s="126"/>
      <c r="G3682" s="137"/>
      <c r="H3682" s="138"/>
      <c r="I3682" s="138"/>
      <c r="J3682" s="139"/>
      <c r="K3682" s="137"/>
      <c r="L3682" s="137"/>
      <c r="P3682" s="137"/>
      <c r="Q3682" s="137"/>
      <c r="R3682" s="126"/>
    </row>
    <row r="3683" spans="2:18" x14ac:dyDescent="0.3">
      <c r="B3683" s="126"/>
      <c r="G3683" s="137"/>
      <c r="H3683" s="138"/>
      <c r="I3683" s="138"/>
      <c r="J3683" s="139"/>
      <c r="K3683" s="137"/>
      <c r="L3683" s="137"/>
      <c r="P3683" s="137"/>
      <c r="Q3683" s="137"/>
      <c r="R3683" s="126"/>
    </row>
    <row r="3684" spans="2:18" x14ac:dyDescent="0.3">
      <c r="B3684" s="126"/>
      <c r="G3684" s="137"/>
      <c r="H3684" s="138"/>
      <c r="I3684" s="138"/>
      <c r="J3684" s="139"/>
      <c r="K3684" s="137"/>
      <c r="L3684" s="137"/>
      <c r="P3684" s="137"/>
      <c r="Q3684" s="137"/>
      <c r="R3684" s="126"/>
    </row>
    <row r="3685" spans="2:18" x14ac:dyDescent="0.3">
      <c r="B3685" s="126"/>
      <c r="G3685" s="137"/>
      <c r="H3685" s="138"/>
      <c r="I3685" s="138"/>
      <c r="J3685" s="139"/>
      <c r="K3685" s="137"/>
      <c r="L3685" s="137"/>
      <c r="P3685" s="137"/>
      <c r="Q3685" s="137"/>
      <c r="R3685" s="126"/>
    </row>
    <row r="3686" spans="2:18" x14ac:dyDescent="0.3">
      <c r="B3686" s="126"/>
      <c r="G3686" s="137"/>
      <c r="H3686" s="138"/>
      <c r="I3686" s="138"/>
      <c r="J3686" s="139"/>
      <c r="K3686" s="137"/>
      <c r="L3686" s="137"/>
      <c r="P3686" s="137"/>
      <c r="Q3686" s="137"/>
      <c r="R3686" s="126"/>
    </row>
    <row r="3687" spans="2:18" x14ac:dyDescent="0.3">
      <c r="B3687" s="126"/>
      <c r="G3687" s="137"/>
      <c r="H3687" s="138"/>
      <c r="I3687" s="138"/>
      <c r="J3687" s="139"/>
      <c r="K3687" s="137"/>
      <c r="L3687" s="137"/>
      <c r="P3687" s="137"/>
      <c r="Q3687" s="137"/>
      <c r="R3687" s="126"/>
    </row>
    <row r="3688" spans="2:18" x14ac:dyDescent="0.3">
      <c r="B3688" s="126"/>
      <c r="G3688" s="137"/>
      <c r="H3688" s="138"/>
      <c r="I3688" s="138"/>
      <c r="J3688" s="139"/>
      <c r="K3688" s="137"/>
      <c r="L3688" s="137"/>
      <c r="P3688" s="137"/>
      <c r="Q3688" s="137"/>
      <c r="R3688" s="126"/>
    </row>
    <row r="3689" spans="2:18" x14ac:dyDescent="0.3">
      <c r="B3689" s="126"/>
      <c r="G3689" s="137"/>
      <c r="H3689" s="138"/>
      <c r="I3689" s="138"/>
      <c r="J3689" s="139"/>
      <c r="K3689" s="137"/>
      <c r="L3689" s="137"/>
      <c r="P3689" s="137"/>
      <c r="Q3689" s="137"/>
      <c r="R3689" s="126"/>
    </row>
    <row r="3690" spans="2:18" x14ac:dyDescent="0.3">
      <c r="B3690" s="126"/>
      <c r="G3690" s="137"/>
      <c r="H3690" s="138"/>
      <c r="I3690" s="138"/>
      <c r="J3690" s="139"/>
      <c r="K3690" s="137"/>
      <c r="L3690" s="137"/>
      <c r="P3690" s="137"/>
      <c r="Q3690" s="137"/>
      <c r="R3690" s="126"/>
    </row>
    <row r="3691" spans="2:18" x14ac:dyDescent="0.3">
      <c r="B3691" s="126"/>
      <c r="G3691" s="137"/>
      <c r="H3691" s="138"/>
      <c r="I3691" s="138"/>
      <c r="J3691" s="139"/>
      <c r="K3691" s="137"/>
      <c r="L3691" s="137"/>
      <c r="P3691" s="137"/>
      <c r="Q3691" s="137"/>
      <c r="R3691" s="126"/>
    </row>
    <row r="3692" spans="2:18" x14ac:dyDescent="0.3">
      <c r="B3692" s="126"/>
      <c r="G3692" s="137"/>
      <c r="H3692" s="138"/>
      <c r="I3692" s="138"/>
      <c r="J3692" s="139"/>
      <c r="K3692" s="137"/>
      <c r="L3692" s="137"/>
      <c r="P3692" s="137"/>
      <c r="Q3692" s="137"/>
      <c r="R3692" s="126"/>
    </row>
    <row r="3693" spans="2:18" x14ac:dyDescent="0.3">
      <c r="B3693" s="126"/>
      <c r="G3693" s="137"/>
      <c r="H3693" s="138"/>
      <c r="I3693" s="138"/>
      <c r="J3693" s="139"/>
      <c r="K3693" s="137"/>
      <c r="L3693" s="137"/>
      <c r="P3693" s="137"/>
      <c r="Q3693" s="137"/>
      <c r="R3693" s="126"/>
    </row>
    <row r="3694" spans="2:18" x14ac:dyDescent="0.3">
      <c r="B3694" s="126"/>
      <c r="G3694" s="137"/>
      <c r="H3694" s="138"/>
      <c r="I3694" s="138"/>
      <c r="J3694" s="139"/>
      <c r="K3694" s="137"/>
      <c r="L3694" s="137"/>
      <c r="P3694" s="137"/>
      <c r="Q3694" s="137"/>
      <c r="R3694" s="126"/>
    </row>
    <row r="3695" spans="2:18" x14ac:dyDescent="0.3">
      <c r="B3695" s="126"/>
      <c r="G3695" s="137"/>
      <c r="H3695" s="138"/>
      <c r="I3695" s="138"/>
      <c r="J3695" s="139"/>
      <c r="K3695" s="137"/>
      <c r="L3695" s="137"/>
      <c r="P3695" s="137"/>
      <c r="Q3695" s="137"/>
      <c r="R3695" s="126"/>
    </row>
    <row r="3696" spans="2:18" x14ac:dyDescent="0.3">
      <c r="B3696" s="126"/>
      <c r="G3696" s="137"/>
      <c r="H3696" s="138"/>
      <c r="I3696" s="138"/>
      <c r="J3696" s="139"/>
      <c r="K3696" s="137"/>
      <c r="L3696" s="137"/>
      <c r="P3696" s="137"/>
      <c r="Q3696" s="137"/>
      <c r="R3696" s="126"/>
    </row>
    <row r="3697" spans="2:18" x14ac:dyDescent="0.3">
      <c r="B3697" s="126"/>
      <c r="G3697" s="137"/>
      <c r="H3697" s="138"/>
      <c r="I3697" s="138"/>
      <c r="J3697" s="139"/>
      <c r="K3697" s="137"/>
      <c r="L3697" s="137"/>
      <c r="P3697" s="137"/>
      <c r="Q3697" s="137"/>
      <c r="R3697" s="126"/>
    </row>
    <row r="3698" spans="2:18" x14ac:dyDescent="0.3">
      <c r="B3698" s="126"/>
      <c r="G3698" s="137"/>
      <c r="H3698" s="138"/>
      <c r="I3698" s="138"/>
      <c r="J3698" s="139"/>
      <c r="K3698" s="137"/>
      <c r="L3698" s="137"/>
      <c r="P3698" s="137"/>
      <c r="Q3698" s="137"/>
      <c r="R3698" s="126"/>
    </row>
    <row r="3699" spans="2:18" x14ac:dyDescent="0.3">
      <c r="B3699" s="126"/>
      <c r="G3699" s="137"/>
      <c r="H3699" s="138"/>
      <c r="I3699" s="138"/>
      <c r="J3699" s="139"/>
      <c r="K3699" s="137"/>
      <c r="L3699" s="137"/>
      <c r="P3699" s="137"/>
      <c r="Q3699" s="137"/>
      <c r="R3699" s="126"/>
    </row>
    <row r="3700" spans="2:18" x14ac:dyDescent="0.3">
      <c r="B3700" s="126"/>
      <c r="G3700" s="137"/>
      <c r="H3700" s="138"/>
      <c r="I3700" s="138"/>
      <c r="J3700" s="139"/>
      <c r="K3700" s="137"/>
      <c r="L3700" s="137"/>
      <c r="P3700" s="137"/>
      <c r="Q3700" s="137"/>
      <c r="R3700" s="126"/>
    </row>
    <row r="3701" spans="2:18" x14ac:dyDescent="0.3">
      <c r="B3701" s="126"/>
      <c r="G3701" s="137"/>
      <c r="H3701" s="138"/>
      <c r="I3701" s="138"/>
      <c r="J3701" s="139"/>
      <c r="K3701" s="137"/>
      <c r="L3701" s="137"/>
      <c r="P3701" s="137"/>
      <c r="Q3701" s="137"/>
      <c r="R3701" s="126"/>
    </row>
    <row r="3702" spans="2:18" x14ac:dyDescent="0.3">
      <c r="B3702" s="126"/>
      <c r="G3702" s="137"/>
      <c r="H3702" s="138"/>
      <c r="I3702" s="138"/>
      <c r="J3702" s="139"/>
      <c r="K3702" s="137"/>
      <c r="L3702" s="137"/>
      <c r="P3702" s="137"/>
      <c r="Q3702" s="137"/>
      <c r="R3702" s="126"/>
    </row>
    <row r="3703" spans="2:18" x14ac:dyDescent="0.3">
      <c r="B3703" s="126"/>
      <c r="G3703" s="137"/>
      <c r="H3703" s="138"/>
      <c r="I3703" s="138"/>
      <c r="J3703" s="139"/>
      <c r="K3703" s="137"/>
      <c r="L3703" s="137"/>
      <c r="P3703" s="137"/>
      <c r="Q3703" s="137"/>
      <c r="R3703" s="126"/>
    </row>
    <row r="3704" spans="2:18" x14ac:dyDescent="0.3">
      <c r="B3704" s="126"/>
      <c r="G3704" s="137"/>
      <c r="H3704" s="138"/>
      <c r="I3704" s="138"/>
      <c r="J3704" s="139"/>
      <c r="K3704" s="137"/>
      <c r="L3704" s="137"/>
      <c r="P3704" s="137"/>
      <c r="Q3704" s="137"/>
      <c r="R3704" s="126"/>
    </row>
    <row r="3705" spans="2:18" x14ac:dyDescent="0.3">
      <c r="B3705" s="126"/>
      <c r="G3705" s="137"/>
      <c r="H3705" s="138"/>
      <c r="I3705" s="138"/>
      <c r="J3705" s="139"/>
      <c r="K3705" s="137"/>
      <c r="L3705" s="137"/>
      <c r="P3705" s="137"/>
      <c r="Q3705" s="137"/>
      <c r="R3705" s="126"/>
    </row>
    <row r="3706" spans="2:18" x14ac:dyDescent="0.3">
      <c r="B3706" s="126"/>
      <c r="G3706" s="137"/>
      <c r="H3706" s="138"/>
      <c r="I3706" s="138"/>
      <c r="J3706" s="139"/>
      <c r="K3706" s="137"/>
      <c r="L3706" s="137"/>
      <c r="P3706" s="137"/>
      <c r="Q3706" s="137"/>
      <c r="R3706" s="126"/>
    </row>
    <row r="3707" spans="2:18" x14ac:dyDescent="0.3">
      <c r="B3707" s="126"/>
      <c r="G3707" s="137"/>
      <c r="H3707" s="138"/>
      <c r="I3707" s="138"/>
      <c r="J3707" s="139"/>
      <c r="K3707" s="137"/>
      <c r="L3707" s="137"/>
      <c r="P3707" s="137"/>
      <c r="Q3707" s="137"/>
      <c r="R3707" s="126"/>
    </row>
    <row r="3708" spans="2:18" x14ac:dyDescent="0.3">
      <c r="B3708" s="126"/>
      <c r="G3708" s="137"/>
      <c r="H3708" s="138"/>
      <c r="I3708" s="138"/>
      <c r="J3708" s="139"/>
      <c r="K3708" s="137"/>
      <c r="L3708" s="137"/>
      <c r="P3708" s="137"/>
      <c r="Q3708" s="137"/>
      <c r="R3708" s="126"/>
    </row>
    <row r="3709" spans="2:18" x14ac:dyDescent="0.3">
      <c r="B3709" s="126"/>
      <c r="G3709" s="137"/>
      <c r="H3709" s="138"/>
      <c r="I3709" s="138"/>
      <c r="J3709" s="139"/>
      <c r="K3709" s="137"/>
      <c r="L3709" s="137"/>
      <c r="P3709" s="137"/>
      <c r="Q3709" s="137"/>
      <c r="R3709" s="126"/>
    </row>
    <row r="3710" spans="2:18" x14ac:dyDescent="0.3">
      <c r="B3710" s="126"/>
      <c r="G3710" s="137"/>
      <c r="H3710" s="138"/>
      <c r="I3710" s="138"/>
      <c r="J3710" s="139"/>
      <c r="K3710" s="137"/>
      <c r="L3710" s="137"/>
      <c r="P3710" s="137"/>
      <c r="Q3710" s="137"/>
      <c r="R3710" s="126"/>
    </row>
    <row r="3711" spans="2:18" x14ac:dyDescent="0.3">
      <c r="B3711" s="126"/>
      <c r="G3711" s="137"/>
      <c r="H3711" s="138"/>
      <c r="I3711" s="138"/>
      <c r="J3711" s="139"/>
      <c r="K3711" s="137"/>
      <c r="L3711" s="137"/>
      <c r="P3711" s="137"/>
      <c r="Q3711" s="137"/>
      <c r="R3711" s="126"/>
    </row>
    <row r="3712" spans="2:18" x14ac:dyDescent="0.3">
      <c r="B3712" s="126"/>
      <c r="G3712" s="137"/>
      <c r="H3712" s="138"/>
      <c r="I3712" s="138"/>
      <c r="J3712" s="139"/>
      <c r="K3712" s="137"/>
      <c r="L3712" s="137"/>
      <c r="P3712" s="137"/>
      <c r="Q3712" s="137"/>
      <c r="R3712" s="126"/>
    </row>
    <row r="3713" spans="2:18" x14ac:dyDescent="0.3">
      <c r="B3713" s="126"/>
      <c r="G3713" s="137"/>
      <c r="H3713" s="138"/>
      <c r="I3713" s="138"/>
      <c r="J3713" s="139"/>
      <c r="K3713" s="137"/>
      <c r="L3713" s="137"/>
      <c r="P3713" s="137"/>
      <c r="Q3713" s="137"/>
      <c r="R3713" s="126"/>
    </row>
    <row r="3714" spans="2:18" x14ac:dyDescent="0.3">
      <c r="B3714" s="126"/>
      <c r="G3714" s="137"/>
      <c r="H3714" s="138"/>
      <c r="I3714" s="138"/>
      <c r="J3714" s="139"/>
      <c r="K3714" s="137"/>
      <c r="L3714" s="137"/>
      <c r="P3714" s="137"/>
      <c r="Q3714" s="137"/>
      <c r="R3714" s="126"/>
    </row>
    <row r="3715" spans="2:18" x14ac:dyDescent="0.3">
      <c r="B3715" s="126"/>
      <c r="G3715" s="137"/>
      <c r="H3715" s="138"/>
      <c r="I3715" s="138"/>
      <c r="J3715" s="139"/>
      <c r="K3715" s="137"/>
      <c r="L3715" s="137"/>
      <c r="P3715" s="137"/>
      <c r="Q3715" s="137"/>
      <c r="R3715" s="126"/>
    </row>
    <row r="3716" spans="2:18" x14ac:dyDescent="0.3">
      <c r="B3716" s="126"/>
      <c r="G3716" s="137"/>
      <c r="H3716" s="138"/>
      <c r="I3716" s="138"/>
      <c r="J3716" s="139"/>
      <c r="K3716" s="137"/>
      <c r="L3716" s="137"/>
      <c r="P3716" s="137"/>
      <c r="Q3716" s="137"/>
      <c r="R3716" s="126"/>
    </row>
    <row r="3717" spans="2:18" x14ac:dyDescent="0.3">
      <c r="B3717" s="126"/>
      <c r="G3717" s="137"/>
      <c r="H3717" s="138"/>
      <c r="I3717" s="138"/>
      <c r="J3717" s="139"/>
      <c r="K3717" s="137"/>
      <c r="L3717" s="137"/>
      <c r="P3717" s="137"/>
      <c r="Q3717" s="137"/>
      <c r="R3717" s="126"/>
    </row>
    <row r="3718" spans="2:18" x14ac:dyDescent="0.3">
      <c r="B3718" s="126"/>
      <c r="G3718" s="137"/>
      <c r="H3718" s="138"/>
      <c r="I3718" s="138"/>
      <c r="J3718" s="139"/>
      <c r="K3718" s="137"/>
      <c r="L3718" s="137"/>
      <c r="P3718" s="137"/>
      <c r="Q3718" s="137"/>
      <c r="R3718" s="126"/>
    </row>
    <row r="3719" spans="2:18" x14ac:dyDescent="0.3">
      <c r="B3719" s="126"/>
      <c r="G3719" s="137"/>
      <c r="H3719" s="138"/>
      <c r="I3719" s="138"/>
      <c r="J3719" s="139"/>
      <c r="K3719" s="137"/>
      <c r="L3719" s="137"/>
      <c r="P3719" s="137"/>
      <c r="Q3719" s="137"/>
      <c r="R3719" s="126"/>
    </row>
    <row r="3720" spans="2:18" x14ac:dyDescent="0.3">
      <c r="B3720" s="126"/>
      <c r="G3720" s="137"/>
      <c r="H3720" s="138"/>
      <c r="I3720" s="138"/>
      <c r="J3720" s="139"/>
      <c r="K3720" s="137"/>
      <c r="L3720" s="137"/>
      <c r="P3720" s="137"/>
      <c r="Q3720" s="137"/>
      <c r="R3720" s="126"/>
    </row>
    <row r="3721" spans="2:18" x14ac:dyDescent="0.3">
      <c r="B3721" s="126"/>
      <c r="G3721" s="137"/>
      <c r="H3721" s="138"/>
      <c r="I3721" s="138"/>
      <c r="J3721" s="139"/>
      <c r="K3721" s="137"/>
      <c r="L3721" s="137"/>
      <c r="P3721" s="137"/>
      <c r="Q3721" s="137"/>
      <c r="R3721" s="126"/>
    </row>
    <row r="3722" spans="2:18" x14ac:dyDescent="0.3">
      <c r="B3722" s="126"/>
      <c r="G3722" s="137"/>
      <c r="H3722" s="138"/>
      <c r="I3722" s="138"/>
      <c r="J3722" s="139"/>
      <c r="K3722" s="137"/>
      <c r="L3722" s="137"/>
      <c r="P3722" s="137"/>
      <c r="Q3722" s="137"/>
      <c r="R3722" s="126"/>
    </row>
    <row r="3723" spans="2:18" x14ac:dyDescent="0.3">
      <c r="B3723" s="126"/>
      <c r="G3723" s="137"/>
      <c r="H3723" s="138"/>
      <c r="I3723" s="138"/>
      <c r="J3723" s="139"/>
      <c r="K3723" s="137"/>
      <c r="L3723" s="137"/>
      <c r="P3723" s="137"/>
      <c r="Q3723" s="137"/>
      <c r="R3723" s="126"/>
    </row>
    <row r="3724" spans="2:18" x14ac:dyDescent="0.3">
      <c r="B3724" s="126"/>
      <c r="G3724" s="137"/>
      <c r="H3724" s="138"/>
      <c r="I3724" s="138"/>
      <c r="J3724" s="139"/>
      <c r="K3724" s="137"/>
      <c r="L3724" s="137"/>
      <c r="P3724" s="137"/>
      <c r="Q3724" s="137"/>
      <c r="R3724" s="126"/>
    </row>
    <row r="3725" spans="2:18" x14ac:dyDescent="0.3">
      <c r="B3725" s="126"/>
      <c r="G3725" s="137"/>
      <c r="H3725" s="138"/>
      <c r="I3725" s="138"/>
      <c r="J3725" s="139"/>
      <c r="K3725" s="137"/>
      <c r="L3725" s="137"/>
      <c r="P3725" s="137"/>
      <c r="Q3725" s="137"/>
      <c r="R3725" s="126"/>
    </row>
    <row r="3726" spans="2:18" x14ac:dyDescent="0.3">
      <c r="B3726" s="126"/>
      <c r="G3726" s="137"/>
      <c r="H3726" s="138"/>
      <c r="I3726" s="138"/>
      <c r="J3726" s="139"/>
      <c r="K3726" s="137"/>
      <c r="L3726" s="137"/>
      <c r="P3726" s="137"/>
      <c r="Q3726" s="137"/>
      <c r="R3726" s="126"/>
    </row>
    <row r="3727" spans="2:18" x14ac:dyDescent="0.3">
      <c r="B3727" s="126"/>
      <c r="G3727" s="137"/>
      <c r="H3727" s="138"/>
      <c r="I3727" s="138"/>
      <c r="J3727" s="139"/>
      <c r="K3727" s="137"/>
      <c r="L3727" s="137"/>
      <c r="P3727" s="137"/>
      <c r="Q3727" s="137"/>
      <c r="R3727" s="126"/>
    </row>
    <row r="3728" spans="2:18" x14ac:dyDescent="0.3">
      <c r="B3728" s="126"/>
      <c r="G3728" s="137"/>
      <c r="H3728" s="138"/>
      <c r="I3728" s="138"/>
      <c r="J3728" s="139"/>
      <c r="K3728" s="137"/>
      <c r="L3728" s="137"/>
      <c r="P3728" s="137"/>
      <c r="Q3728" s="137"/>
      <c r="R3728" s="126"/>
    </row>
    <row r="3729" spans="2:18" x14ac:dyDescent="0.3">
      <c r="B3729" s="126"/>
      <c r="G3729" s="137"/>
      <c r="H3729" s="138"/>
      <c r="I3729" s="138"/>
      <c r="J3729" s="139"/>
      <c r="K3729" s="137"/>
      <c r="L3729" s="137"/>
      <c r="P3729" s="137"/>
      <c r="Q3729" s="137"/>
      <c r="R3729" s="126"/>
    </row>
    <row r="3730" spans="2:18" x14ac:dyDescent="0.3">
      <c r="B3730" s="126"/>
      <c r="G3730" s="137"/>
      <c r="H3730" s="138"/>
      <c r="I3730" s="138"/>
      <c r="J3730" s="139"/>
      <c r="K3730" s="137"/>
      <c r="L3730" s="137"/>
      <c r="P3730" s="137"/>
      <c r="Q3730" s="137"/>
      <c r="R3730" s="126"/>
    </row>
    <row r="3731" spans="2:18" x14ac:dyDescent="0.3">
      <c r="B3731" s="126"/>
      <c r="G3731" s="137"/>
      <c r="H3731" s="138"/>
      <c r="I3731" s="138"/>
      <c r="J3731" s="139"/>
      <c r="K3731" s="137"/>
      <c r="L3731" s="137"/>
      <c r="P3731" s="137"/>
      <c r="Q3731" s="137"/>
      <c r="R3731" s="126"/>
    </row>
    <row r="3732" spans="2:18" x14ac:dyDescent="0.3">
      <c r="B3732" s="126"/>
      <c r="G3732" s="137"/>
      <c r="H3732" s="138"/>
      <c r="I3732" s="138"/>
      <c r="J3732" s="139"/>
      <c r="K3732" s="137"/>
      <c r="L3732" s="137"/>
      <c r="P3732" s="137"/>
      <c r="Q3732" s="137"/>
      <c r="R3732" s="126"/>
    </row>
    <row r="3733" spans="2:18" x14ac:dyDescent="0.3">
      <c r="B3733" s="126"/>
      <c r="G3733" s="137"/>
      <c r="H3733" s="138"/>
      <c r="I3733" s="138"/>
      <c r="J3733" s="139"/>
      <c r="K3733" s="137"/>
      <c r="L3733" s="137"/>
      <c r="P3733" s="137"/>
      <c r="Q3733" s="137"/>
      <c r="R3733" s="126"/>
    </row>
    <row r="3734" spans="2:18" x14ac:dyDescent="0.3">
      <c r="B3734" s="126"/>
      <c r="G3734" s="137"/>
      <c r="H3734" s="138"/>
      <c r="I3734" s="138"/>
      <c r="J3734" s="139"/>
      <c r="K3734" s="137"/>
      <c r="L3734" s="137"/>
      <c r="P3734" s="137"/>
      <c r="Q3734" s="137"/>
      <c r="R3734" s="126"/>
    </row>
    <row r="3735" spans="2:18" x14ac:dyDescent="0.3">
      <c r="B3735" s="126"/>
      <c r="G3735" s="137"/>
      <c r="H3735" s="138"/>
      <c r="I3735" s="138"/>
      <c r="J3735" s="139"/>
      <c r="K3735" s="137"/>
      <c r="L3735" s="137"/>
      <c r="P3735" s="137"/>
      <c r="Q3735" s="137"/>
      <c r="R3735" s="126"/>
    </row>
    <row r="3736" spans="2:18" x14ac:dyDescent="0.3">
      <c r="B3736" s="126"/>
      <c r="G3736" s="137"/>
      <c r="H3736" s="138"/>
      <c r="I3736" s="138"/>
      <c r="J3736" s="139"/>
      <c r="K3736" s="137"/>
      <c r="L3736" s="137"/>
      <c r="P3736" s="137"/>
      <c r="Q3736" s="137"/>
      <c r="R3736" s="126"/>
    </row>
    <row r="3737" spans="2:18" x14ac:dyDescent="0.3">
      <c r="B3737" s="126"/>
      <c r="G3737" s="137"/>
      <c r="H3737" s="138"/>
      <c r="I3737" s="138"/>
      <c r="J3737" s="139"/>
      <c r="K3737" s="137"/>
      <c r="L3737" s="137"/>
      <c r="P3737" s="137"/>
      <c r="Q3737" s="137"/>
      <c r="R3737" s="126"/>
    </row>
    <row r="3738" spans="2:18" x14ac:dyDescent="0.3">
      <c r="B3738" s="126"/>
      <c r="G3738" s="137"/>
      <c r="H3738" s="138"/>
      <c r="I3738" s="138"/>
      <c r="J3738" s="139"/>
      <c r="K3738" s="137"/>
      <c r="L3738" s="137"/>
      <c r="P3738" s="137"/>
      <c r="Q3738" s="137"/>
      <c r="R3738" s="126"/>
    </row>
    <row r="3739" spans="2:18" x14ac:dyDescent="0.3">
      <c r="B3739" s="126"/>
      <c r="G3739" s="137"/>
      <c r="H3739" s="138"/>
      <c r="I3739" s="138"/>
      <c r="J3739" s="139"/>
      <c r="K3739" s="137"/>
      <c r="L3739" s="137"/>
      <c r="P3739" s="137"/>
      <c r="Q3739" s="137"/>
      <c r="R3739" s="126"/>
    </row>
    <row r="3740" spans="2:18" x14ac:dyDescent="0.3">
      <c r="B3740" s="126"/>
      <c r="G3740" s="137"/>
      <c r="H3740" s="138"/>
      <c r="I3740" s="138"/>
      <c r="J3740" s="139"/>
      <c r="K3740" s="137"/>
      <c r="L3740" s="137"/>
      <c r="P3740" s="137"/>
      <c r="Q3740" s="137"/>
      <c r="R3740" s="126"/>
    </row>
    <row r="3741" spans="2:18" x14ac:dyDescent="0.3">
      <c r="B3741" s="126"/>
      <c r="G3741" s="137"/>
      <c r="H3741" s="138"/>
      <c r="I3741" s="138"/>
      <c r="J3741" s="139"/>
      <c r="K3741" s="137"/>
      <c r="L3741" s="137"/>
      <c r="P3741" s="137"/>
      <c r="Q3741" s="137"/>
      <c r="R3741" s="126"/>
    </row>
    <row r="3742" spans="2:18" x14ac:dyDescent="0.3">
      <c r="B3742" s="126"/>
      <c r="G3742" s="137"/>
      <c r="H3742" s="138"/>
      <c r="I3742" s="138"/>
      <c r="J3742" s="139"/>
      <c r="K3742" s="137"/>
      <c r="L3742" s="137"/>
      <c r="P3742" s="137"/>
      <c r="Q3742" s="137"/>
      <c r="R3742" s="126"/>
    </row>
    <row r="3743" spans="2:18" x14ac:dyDescent="0.3">
      <c r="B3743" s="126"/>
      <c r="G3743" s="137"/>
      <c r="H3743" s="138"/>
      <c r="I3743" s="138"/>
      <c r="J3743" s="139"/>
      <c r="K3743" s="137"/>
      <c r="L3743" s="137"/>
      <c r="P3743" s="137"/>
      <c r="Q3743" s="137"/>
      <c r="R3743" s="126"/>
    </row>
    <row r="3744" spans="2:18" x14ac:dyDescent="0.3">
      <c r="B3744" s="126"/>
      <c r="G3744" s="137"/>
      <c r="H3744" s="138"/>
      <c r="I3744" s="138"/>
      <c r="J3744" s="139"/>
      <c r="K3744" s="137"/>
      <c r="L3744" s="137"/>
      <c r="P3744" s="137"/>
      <c r="Q3744" s="137"/>
      <c r="R3744" s="126"/>
    </row>
    <row r="3745" spans="2:18" x14ac:dyDescent="0.3">
      <c r="B3745" s="126"/>
      <c r="G3745" s="137"/>
      <c r="H3745" s="138"/>
      <c r="I3745" s="138"/>
      <c r="J3745" s="139"/>
      <c r="K3745" s="137"/>
      <c r="L3745" s="137"/>
      <c r="P3745" s="137"/>
      <c r="Q3745" s="137"/>
      <c r="R3745" s="126"/>
    </row>
    <row r="3746" spans="2:18" x14ac:dyDescent="0.3">
      <c r="B3746" s="126"/>
      <c r="G3746" s="137"/>
      <c r="H3746" s="138"/>
      <c r="I3746" s="138"/>
      <c r="J3746" s="139"/>
      <c r="K3746" s="137"/>
      <c r="L3746" s="137"/>
      <c r="P3746" s="137"/>
      <c r="Q3746" s="137"/>
      <c r="R3746" s="126"/>
    </row>
    <row r="3747" spans="2:18" x14ac:dyDescent="0.3">
      <c r="B3747" s="126"/>
      <c r="G3747" s="137"/>
      <c r="H3747" s="138"/>
      <c r="I3747" s="138"/>
      <c r="J3747" s="139"/>
      <c r="K3747" s="137"/>
      <c r="L3747" s="137"/>
      <c r="P3747" s="137"/>
      <c r="Q3747" s="137"/>
      <c r="R3747" s="126"/>
    </row>
    <row r="3748" spans="2:18" x14ac:dyDescent="0.3">
      <c r="B3748" s="126"/>
      <c r="G3748" s="137"/>
      <c r="H3748" s="138"/>
      <c r="I3748" s="138"/>
      <c r="J3748" s="139"/>
      <c r="K3748" s="137"/>
      <c r="L3748" s="137"/>
      <c r="P3748" s="137"/>
      <c r="Q3748" s="137"/>
      <c r="R3748" s="126"/>
    </row>
    <row r="3749" spans="2:18" x14ac:dyDescent="0.3">
      <c r="B3749" s="126"/>
      <c r="G3749" s="137"/>
      <c r="H3749" s="138"/>
      <c r="I3749" s="138"/>
      <c r="J3749" s="139"/>
      <c r="K3749" s="137"/>
      <c r="L3749" s="137"/>
      <c r="P3749" s="137"/>
      <c r="Q3749" s="137"/>
      <c r="R3749" s="126"/>
    </row>
    <row r="3750" spans="2:18" x14ac:dyDescent="0.3">
      <c r="B3750" s="126"/>
      <c r="G3750" s="137"/>
      <c r="H3750" s="138"/>
      <c r="I3750" s="138"/>
      <c r="J3750" s="139"/>
      <c r="K3750" s="137"/>
      <c r="L3750" s="137"/>
      <c r="P3750" s="137"/>
      <c r="Q3750" s="137"/>
      <c r="R3750" s="126"/>
    </row>
    <row r="3751" spans="2:18" x14ac:dyDescent="0.3">
      <c r="B3751" s="126"/>
      <c r="G3751" s="137"/>
      <c r="H3751" s="138"/>
      <c r="I3751" s="138"/>
      <c r="J3751" s="139"/>
      <c r="K3751" s="137"/>
      <c r="L3751" s="137"/>
      <c r="P3751" s="137"/>
      <c r="Q3751" s="137"/>
      <c r="R3751" s="126"/>
    </row>
    <row r="3752" spans="2:18" x14ac:dyDescent="0.3">
      <c r="B3752" s="126"/>
      <c r="G3752" s="137"/>
      <c r="H3752" s="138"/>
      <c r="I3752" s="138"/>
      <c r="J3752" s="139"/>
      <c r="K3752" s="137"/>
      <c r="L3752" s="137"/>
      <c r="P3752" s="137"/>
      <c r="Q3752" s="137"/>
      <c r="R3752" s="126"/>
    </row>
    <row r="3753" spans="2:18" x14ac:dyDescent="0.3">
      <c r="B3753" s="126"/>
      <c r="G3753" s="137"/>
      <c r="H3753" s="138"/>
      <c r="I3753" s="138"/>
      <c r="J3753" s="139"/>
      <c r="K3753" s="137"/>
      <c r="L3753" s="137"/>
      <c r="P3753" s="137"/>
      <c r="Q3753" s="137"/>
      <c r="R3753" s="126"/>
    </row>
    <row r="3754" spans="2:18" x14ac:dyDescent="0.3">
      <c r="B3754" s="126"/>
      <c r="G3754" s="137"/>
      <c r="H3754" s="138"/>
      <c r="I3754" s="138"/>
      <c r="J3754" s="139"/>
      <c r="K3754" s="137"/>
      <c r="L3754" s="137"/>
      <c r="P3754" s="137"/>
      <c r="Q3754" s="137"/>
      <c r="R3754" s="126"/>
    </row>
    <row r="3755" spans="2:18" x14ac:dyDescent="0.3">
      <c r="B3755" s="126"/>
      <c r="G3755" s="137"/>
      <c r="H3755" s="138"/>
      <c r="I3755" s="138"/>
      <c r="J3755" s="139"/>
      <c r="K3755" s="137"/>
      <c r="L3755" s="137"/>
      <c r="P3755" s="137"/>
      <c r="Q3755" s="137"/>
      <c r="R3755" s="126"/>
    </row>
    <row r="3756" spans="2:18" x14ac:dyDescent="0.3">
      <c r="B3756" s="126"/>
      <c r="G3756" s="137"/>
      <c r="H3756" s="138"/>
      <c r="I3756" s="138"/>
      <c r="J3756" s="139"/>
      <c r="K3756" s="137"/>
      <c r="L3756" s="137"/>
      <c r="P3756" s="137"/>
      <c r="Q3756" s="137"/>
      <c r="R3756" s="126"/>
    </row>
    <row r="3757" spans="2:18" x14ac:dyDescent="0.3">
      <c r="B3757" s="126"/>
      <c r="G3757" s="137"/>
      <c r="H3757" s="138"/>
      <c r="I3757" s="138"/>
      <c r="J3757" s="139"/>
      <c r="K3757" s="137"/>
      <c r="L3757" s="137"/>
      <c r="P3757" s="137"/>
      <c r="Q3757" s="137"/>
      <c r="R3757" s="126"/>
    </row>
    <row r="3758" spans="2:18" x14ac:dyDescent="0.3">
      <c r="B3758" s="126"/>
      <c r="G3758" s="137"/>
      <c r="H3758" s="138"/>
      <c r="I3758" s="138"/>
      <c r="J3758" s="139"/>
      <c r="K3758" s="137"/>
      <c r="L3758" s="137"/>
      <c r="P3758" s="137"/>
      <c r="Q3758" s="137"/>
      <c r="R3758" s="126"/>
    </row>
    <row r="3759" spans="2:18" x14ac:dyDescent="0.3">
      <c r="B3759" s="126"/>
      <c r="G3759" s="137"/>
      <c r="H3759" s="138"/>
      <c r="I3759" s="138"/>
      <c r="J3759" s="139"/>
      <c r="K3759" s="137"/>
      <c r="L3759" s="137"/>
      <c r="P3759" s="137"/>
      <c r="Q3759" s="137"/>
      <c r="R3759" s="126"/>
    </row>
    <row r="3760" spans="2:18" x14ac:dyDescent="0.3">
      <c r="B3760" s="126"/>
      <c r="G3760" s="137"/>
      <c r="H3760" s="138"/>
      <c r="I3760" s="138"/>
      <c r="J3760" s="139"/>
      <c r="K3760" s="137"/>
      <c r="L3760" s="137"/>
      <c r="P3760" s="137"/>
      <c r="Q3760" s="137"/>
      <c r="R3760" s="126"/>
    </row>
    <row r="3761" spans="2:18" x14ac:dyDescent="0.3">
      <c r="B3761" s="126"/>
      <c r="G3761" s="137"/>
      <c r="H3761" s="138"/>
      <c r="I3761" s="138"/>
      <c r="J3761" s="139"/>
      <c r="K3761" s="137"/>
      <c r="L3761" s="137"/>
      <c r="P3761" s="137"/>
      <c r="Q3761" s="137"/>
      <c r="R3761" s="126"/>
    </row>
    <row r="3762" spans="2:18" x14ac:dyDescent="0.3">
      <c r="B3762" s="126"/>
      <c r="G3762" s="137"/>
      <c r="H3762" s="138"/>
      <c r="I3762" s="138"/>
      <c r="J3762" s="139"/>
      <c r="K3762" s="137"/>
      <c r="L3762" s="137"/>
      <c r="P3762" s="137"/>
      <c r="Q3762" s="137"/>
      <c r="R3762" s="126"/>
    </row>
    <row r="3763" spans="2:18" x14ac:dyDescent="0.3">
      <c r="B3763" s="126"/>
      <c r="G3763" s="137"/>
      <c r="H3763" s="138"/>
      <c r="I3763" s="138"/>
      <c r="J3763" s="139"/>
      <c r="K3763" s="137"/>
      <c r="L3763" s="137"/>
      <c r="P3763" s="137"/>
      <c r="Q3763" s="137"/>
      <c r="R3763" s="126"/>
    </row>
    <row r="3764" spans="2:18" x14ac:dyDescent="0.3">
      <c r="B3764" s="126"/>
      <c r="G3764" s="137"/>
      <c r="H3764" s="138"/>
      <c r="I3764" s="138"/>
      <c r="J3764" s="139"/>
      <c r="K3764" s="137"/>
      <c r="L3764" s="137"/>
      <c r="P3764" s="137"/>
      <c r="Q3764" s="137"/>
      <c r="R3764" s="126"/>
    </row>
    <row r="3765" spans="2:18" x14ac:dyDescent="0.3">
      <c r="B3765" s="126"/>
      <c r="G3765" s="137"/>
      <c r="H3765" s="138"/>
      <c r="I3765" s="138"/>
      <c r="J3765" s="139"/>
      <c r="K3765" s="137"/>
      <c r="L3765" s="137"/>
      <c r="P3765" s="137"/>
      <c r="Q3765" s="137"/>
      <c r="R3765" s="126"/>
    </row>
    <row r="3766" spans="2:18" x14ac:dyDescent="0.3">
      <c r="B3766" s="126"/>
      <c r="G3766" s="137"/>
      <c r="H3766" s="138"/>
      <c r="I3766" s="138"/>
      <c r="J3766" s="139"/>
      <c r="K3766" s="137"/>
      <c r="L3766" s="137"/>
      <c r="P3766" s="137"/>
      <c r="Q3766" s="137"/>
      <c r="R3766" s="126"/>
    </row>
    <row r="3767" spans="2:18" x14ac:dyDescent="0.3">
      <c r="B3767" s="126"/>
      <c r="G3767" s="137"/>
      <c r="H3767" s="138"/>
      <c r="I3767" s="138"/>
      <c r="J3767" s="139"/>
      <c r="K3767" s="137"/>
      <c r="L3767" s="137"/>
      <c r="P3767" s="137"/>
      <c r="Q3767" s="137"/>
      <c r="R3767" s="126"/>
    </row>
    <row r="3768" spans="2:18" x14ac:dyDescent="0.3">
      <c r="B3768" s="126"/>
      <c r="G3768" s="137"/>
      <c r="H3768" s="138"/>
      <c r="I3768" s="138"/>
      <c r="J3768" s="139"/>
      <c r="K3768" s="137"/>
      <c r="L3768" s="137"/>
      <c r="P3768" s="137"/>
      <c r="Q3768" s="137"/>
      <c r="R3768" s="126"/>
    </row>
    <row r="3769" spans="2:18" x14ac:dyDescent="0.3">
      <c r="B3769" s="126"/>
      <c r="G3769" s="137"/>
      <c r="H3769" s="138"/>
      <c r="I3769" s="138"/>
      <c r="J3769" s="139"/>
      <c r="K3769" s="137"/>
      <c r="L3769" s="137"/>
      <c r="P3769" s="137"/>
      <c r="Q3769" s="137"/>
      <c r="R3769" s="126"/>
    </row>
    <row r="3770" spans="2:18" x14ac:dyDescent="0.3">
      <c r="B3770" s="126"/>
      <c r="G3770" s="137"/>
      <c r="H3770" s="138"/>
      <c r="I3770" s="138"/>
      <c r="J3770" s="139"/>
      <c r="K3770" s="137"/>
      <c r="L3770" s="137"/>
      <c r="P3770" s="137"/>
      <c r="Q3770" s="137"/>
      <c r="R3770" s="126"/>
    </row>
    <row r="3771" spans="2:18" x14ac:dyDescent="0.3">
      <c r="B3771" s="126"/>
      <c r="G3771" s="137"/>
      <c r="H3771" s="138"/>
      <c r="I3771" s="138"/>
      <c r="J3771" s="139"/>
      <c r="K3771" s="137"/>
      <c r="L3771" s="137"/>
      <c r="P3771" s="137"/>
      <c r="Q3771" s="137"/>
      <c r="R3771" s="126"/>
    </row>
    <row r="3772" spans="2:18" x14ac:dyDescent="0.3">
      <c r="B3772" s="126"/>
      <c r="G3772" s="137"/>
      <c r="H3772" s="138"/>
      <c r="I3772" s="138"/>
      <c r="J3772" s="139"/>
      <c r="K3772" s="137"/>
      <c r="L3772" s="137"/>
      <c r="P3772" s="137"/>
      <c r="Q3772" s="137"/>
      <c r="R3772" s="126"/>
    </row>
    <row r="3773" spans="2:18" x14ac:dyDescent="0.3">
      <c r="B3773" s="126"/>
      <c r="G3773" s="137"/>
      <c r="H3773" s="138"/>
      <c r="I3773" s="138"/>
      <c r="J3773" s="139"/>
      <c r="K3773" s="137"/>
      <c r="L3773" s="137"/>
      <c r="P3773" s="137"/>
      <c r="Q3773" s="137"/>
      <c r="R3773" s="126"/>
    </row>
    <row r="3774" spans="2:18" x14ac:dyDescent="0.3">
      <c r="B3774" s="126"/>
      <c r="G3774" s="137"/>
      <c r="H3774" s="138"/>
      <c r="I3774" s="138"/>
      <c r="J3774" s="139"/>
      <c r="K3774" s="137"/>
      <c r="L3774" s="137"/>
      <c r="P3774" s="137"/>
      <c r="Q3774" s="137"/>
      <c r="R3774" s="126"/>
    </row>
    <row r="3775" spans="2:18" x14ac:dyDescent="0.3">
      <c r="B3775" s="126"/>
      <c r="G3775" s="137"/>
      <c r="H3775" s="138"/>
      <c r="I3775" s="138"/>
      <c r="J3775" s="139"/>
      <c r="K3775" s="137"/>
      <c r="L3775" s="137"/>
      <c r="P3775" s="137"/>
      <c r="Q3775" s="137"/>
      <c r="R3775" s="126"/>
    </row>
    <row r="3776" spans="2:18" x14ac:dyDescent="0.3">
      <c r="B3776" s="126"/>
      <c r="G3776" s="137"/>
      <c r="H3776" s="138"/>
      <c r="I3776" s="138"/>
      <c r="J3776" s="139"/>
      <c r="K3776" s="137"/>
      <c r="L3776" s="137"/>
      <c r="P3776" s="137"/>
      <c r="Q3776" s="137"/>
      <c r="R3776" s="126"/>
    </row>
    <row r="3777" spans="2:18" x14ac:dyDescent="0.3">
      <c r="B3777" s="126"/>
      <c r="G3777" s="137"/>
      <c r="H3777" s="138"/>
      <c r="I3777" s="138"/>
      <c r="J3777" s="139"/>
      <c r="K3777" s="137"/>
      <c r="L3777" s="137"/>
      <c r="P3777" s="137"/>
      <c r="Q3777" s="137"/>
      <c r="R3777" s="126"/>
    </row>
    <row r="3778" spans="2:18" x14ac:dyDescent="0.3">
      <c r="B3778" s="126"/>
      <c r="G3778" s="137"/>
      <c r="H3778" s="138"/>
      <c r="I3778" s="138"/>
      <c r="J3778" s="139"/>
      <c r="K3778" s="137"/>
      <c r="L3778" s="137"/>
      <c r="P3778" s="137"/>
      <c r="Q3778" s="137"/>
      <c r="R3778" s="126"/>
    </row>
    <row r="3779" spans="2:18" x14ac:dyDescent="0.3">
      <c r="B3779" s="126"/>
      <c r="G3779" s="137"/>
      <c r="H3779" s="138"/>
      <c r="I3779" s="138"/>
      <c r="J3779" s="139"/>
      <c r="K3779" s="137"/>
      <c r="L3779" s="137"/>
      <c r="P3779" s="137"/>
      <c r="Q3779" s="137"/>
      <c r="R3779" s="126"/>
    </row>
    <row r="3780" spans="2:18" x14ac:dyDescent="0.3">
      <c r="B3780" s="126"/>
      <c r="G3780" s="137"/>
      <c r="H3780" s="138"/>
      <c r="I3780" s="138"/>
      <c r="J3780" s="139"/>
      <c r="K3780" s="137"/>
      <c r="L3780" s="137"/>
      <c r="P3780" s="137"/>
      <c r="Q3780" s="137"/>
      <c r="R3780" s="126"/>
    </row>
    <row r="3781" spans="2:18" x14ac:dyDescent="0.3">
      <c r="B3781" s="126"/>
      <c r="G3781" s="137"/>
      <c r="H3781" s="138"/>
      <c r="I3781" s="138"/>
      <c r="J3781" s="139"/>
      <c r="K3781" s="137"/>
      <c r="L3781" s="137"/>
      <c r="P3781" s="137"/>
      <c r="Q3781" s="137"/>
      <c r="R3781" s="126"/>
    </row>
    <row r="3782" spans="2:18" x14ac:dyDescent="0.3">
      <c r="B3782" s="126"/>
      <c r="G3782" s="137"/>
      <c r="H3782" s="138"/>
      <c r="I3782" s="138"/>
      <c r="J3782" s="139"/>
      <c r="K3782" s="137"/>
      <c r="L3782" s="137"/>
      <c r="P3782" s="137"/>
      <c r="Q3782" s="137"/>
      <c r="R3782" s="126"/>
    </row>
    <row r="3783" spans="2:18" x14ac:dyDescent="0.3">
      <c r="B3783" s="126"/>
      <c r="G3783" s="137"/>
      <c r="H3783" s="138"/>
      <c r="I3783" s="138"/>
      <c r="J3783" s="139"/>
      <c r="K3783" s="137"/>
      <c r="L3783" s="137"/>
      <c r="P3783" s="137"/>
      <c r="Q3783" s="137"/>
      <c r="R3783" s="126"/>
    </row>
    <row r="3784" spans="2:18" x14ac:dyDescent="0.3">
      <c r="B3784" s="126"/>
      <c r="G3784" s="137"/>
      <c r="H3784" s="138"/>
      <c r="I3784" s="138"/>
      <c r="J3784" s="139"/>
      <c r="K3784" s="137"/>
      <c r="L3784" s="137"/>
      <c r="P3784" s="137"/>
      <c r="Q3784" s="137"/>
      <c r="R3784" s="126"/>
    </row>
    <row r="3785" spans="2:18" x14ac:dyDescent="0.3">
      <c r="B3785" s="126"/>
      <c r="G3785" s="137"/>
      <c r="H3785" s="138"/>
      <c r="I3785" s="138"/>
      <c r="J3785" s="139"/>
      <c r="K3785" s="137"/>
      <c r="L3785" s="137"/>
      <c r="P3785" s="137"/>
      <c r="Q3785" s="137"/>
      <c r="R3785" s="126"/>
    </row>
    <row r="3786" spans="2:18" x14ac:dyDescent="0.3">
      <c r="B3786" s="126"/>
      <c r="G3786" s="137"/>
      <c r="H3786" s="138"/>
      <c r="I3786" s="138"/>
      <c r="J3786" s="139"/>
      <c r="K3786" s="137"/>
      <c r="L3786" s="137"/>
      <c r="P3786" s="137"/>
      <c r="Q3786" s="137"/>
      <c r="R3786" s="126"/>
    </row>
    <row r="3787" spans="2:18" x14ac:dyDescent="0.3">
      <c r="B3787" s="126"/>
      <c r="G3787" s="137"/>
      <c r="H3787" s="138"/>
      <c r="I3787" s="138"/>
      <c r="J3787" s="139"/>
      <c r="K3787" s="137"/>
      <c r="L3787" s="137"/>
      <c r="P3787" s="137"/>
      <c r="Q3787" s="137"/>
      <c r="R3787" s="126"/>
    </row>
    <row r="3788" spans="2:18" x14ac:dyDescent="0.3">
      <c r="B3788" s="126"/>
      <c r="G3788" s="137"/>
      <c r="H3788" s="138"/>
      <c r="I3788" s="138"/>
      <c r="J3788" s="139"/>
      <c r="K3788" s="137"/>
      <c r="L3788" s="137"/>
      <c r="P3788" s="137"/>
      <c r="Q3788" s="137"/>
      <c r="R3788" s="126"/>
    </row>
    <row r="3789" spans="2:18" x14ac:dyDescent="0.3">
      <c r="B3789" s="126"/>
      <c r="G3789" s="137"/>
      <c r="H3789" s="138"/>
      <c r="I3789" s="138"/>
      <c r="J3789" s="139"/>
      <c r="K3789" s="137"/>
      <c r="L3789" s="137"/>
      <c r="P3789" s="137"/>
      <c r="Q3789" s="137"/>
      <c r="R3789" s="126"/>
    </row>
    <row r="3790" spans="2:18" x14ac:dyDescent="0.3">
      <c r="B3790" s="126"/>
      <c r="G3790" s="137"/>
      <c r="H3790" s="138"/>
      <c r="I3790" s="138"/>
      <c r="J3790" s="139"/>
      <c r="K3790" s="137"/>
      <c r="L3790" s="137"/>
      <c r="P3790" s="137"/>
      <c r="Q3790" s="137"/>
      <c r="R3790" s="126"/>
    </row>
    <row r="3791" spans="2:18" x14ac:dyDescent="0.3">
      <c r="B3791" s="126"/>
      <c r="G3791" s="137"/>
      <c r="H3791" s="138"/>
      <c r="I3791" s="138"/>
      <c r="J3791" s="139"/>
      <c r="K3791" s="137"/>
      <c r="L3791" s="137"/>
      <c r="P3791" s="137"/>
      <c r="Q3791" s="137"/>
      <c r="R3791" s="126"/>
    </row>
    <row r="3792" spans="2:18" x14ac:dyDescent="0.3">
      <c r="B3792" s="126"/>
      <c r="G3792" s="137"/>
      <c r="H3792" s="138"/>
      <c r="I3792" s="138"/>
      <c r="J3792" s="139"/>
      <c r="K3792" s="137"/>
      <c r="L3792" s="137"/>
      <c r="P3792" s="137"/>
      <c r="Q3792" s="137"/>
      <c r="R3792" s="126"/>
    </row>
    <row r="3793" spans="2:18" x14ac:dyDescent="0.3">
      <c r="B3793" s="126"/>
      <c r="G3793" s="137"/>
      <c r="H3793" s="138"/>
      <c r="I3793" s="138"/>
      <c r="J3793" s="139"/>
      <c r="K3793" s="137"/>
      <c r="L3793" s="137"/>
      <c r="P3793" s="137"/>
      <c r="Q3793" s="137"/>
      <c r="R3793" s="126"/>
    </row>
    <row r="3794" spans="2:18" x14ac:dyDescent="0.3">
      <c r="B3794" s="126"/>
      <c r="G3794" s="137"/>
      <c r="H3794" s="138"/>
      <c r="I3794" s="138"/>
      <c r="J3794" s="139"/>
      <c r="K3794" s="137"/>
      <c r="L3794" s="137"/>
      <c r="P3794" s="137"/>
      <c r="Q3794" s="137"/>
      <c r="R3794" s="126"/>
    </row>
    <row r="3795" spans="2:18" x14ac:dyDescent="0.3">
      <c r="B3795" s="126"/>
      <c r="G3795" s="137"/>
      <c r="H3795" s="138"/>
      <c r="I3795" s="138"/>
      <c r="J3795" s="139"/>
      <c r="K3795" s="137"/>
      <c r="L3795" s="137"/>
      <c r="P3795" s="137"/>
      <c r="Q3795" s="137"/>
      <c r="R3795" s="126"/>
    </row>
    <row r="3796" spans="2:18" x14ac:dyDescent="0.3">
      <c r="B3796" s="126"/>
      <c r="G3796" s="137"/>
      <c r="H3796" s="138"/>
      <c r="I3796" s="138"/>
      <c r="J3796" s="139"/>
      <c r="K3796" s="137"/>
      <c r="L3796" s="137"/>
      <c r="P3796" s="137"/>
      <c r="Q3796" s="137"/>
      <c r="R3796" s="126"/>
    </row>
    <row r="3797" spans="2:18" x14ac:dyDescent="0.3">
      <c r="B3797" s="126"/>
      <c r="G3797" s="137"/>
      <c r="H3797" s="138"/>
      <c r="I3797" s="138"/>
      <c r="J3797" s="139"/>
      <c r="K3797" s="137"/>
      <c r="L3797" s="137"/>
      <c r="P3797" s="137"/>
      <c r="Q3797" s="137"/>
      <c r="R3797" s="126"/>
    </row>
    <row r="3798" spans="2:18" x14ac:dyDescent="0.3">
      <c r="B3798" s="126"/>
      <c r="G3798" s="137"/>
      <c r="H3798" s="138"/>
      <c r="I3798" s="138"/>
      <c r="J3798" s="139"/>
      <c r="K3798" s="137"/>
      <c r="L3798" s="137"/>
      <c r="P3798" s="137"/>
      <c r="Q3798" s="137"/>
      <c r="R3798" s="126"/>
    </row>
    <row r="3799" spans="2:18" x14ac:dyDescent="0.3">
      <c r="B3799" s="126"/>
      <c r="G3799" s="137"/>
      <c r="H3799" s="138"/>
      <c r="I3799" s="138"/>
      <c r="J3799" s="139"/>
      <c r="K3799" s="137"/>
      <c r="L3799" s="137"/>
      <c r="P3799" s="137"/>
      <c r="Q3799" s="137"/>
      <c r="R3799" s="126"/>
    </row>
    <row r="3800" spans="2:18" x14ac:dyDescent="0.3">
      <c r="B3800" s="126"/>
      <c r="G3800" s="137"/>
      <c r="H3800" s="138"/>
      <c r="I3800" s="138"/>
      <c r="J3800" s="139"/>
      <c r="K3800" s="137"/>
      <c r="L3800" s="137"/>
      <c r="P3800" s="137"/>
      <c r="Q3800" s="137"/>
      <c r="R3800" s="126"/>
    </row>
    <row r="3801" spans="2:18" x14ac:dyDescent="0.3">
      <c r="B3801" s="126"/>
      <c r="G3801" s="137"/>
      <c r="H3801" s="138"/>
      <c r="I3801" s="138"/>
      <c r="J3801" s="139"/>
      <c r="K3801" s="137"/>
      <c r="L3801" s="137"/>
      <c r="P3801" s="137"/>
      <c r="Q3801" s="137"/>
      <c r="R3801" s="126"/>
    </row>
    <row r="3802" spans="2:18" x14ac:dyDescent="0.3">
      <c r="B3802" s="126"/>
      <c r="G3802" s="137"/>
      <c r="H3802" s="138"/>
      <c r="I3802" s="138"/>
      <c r="J3802" s="139"/>
      <c r="K3802" s="137"/>
      <c r="L3802" s="137"/>
      <c r="P3802" s="137"/>
      <c r="Q3802" s="137"/>
      <c r="R3802" s="126"/>
    </row>
    <row r="3803" spans="2:18" x14ac:dyDescent="0.3">
      <c r="B3803" s="126"/>
      <c r="G3803" s="137"/>
      <c r="H3803" s="138"/>
      <c r="I3803" s="138"/>
      <c r="J3803" s="139"/>
      <c r="K3803" s="137"/>
      <c r="L3803" s="137"/>
      <c r="P3803" s="137"/>
      <c r="Q3803" s="137"/>
      <c r="R3803" s="126"/>
    </row>
    <row r="3804" spans="2:18" x14ac:dyDescent="0.3">
      <c r="B3804" s="126"/>
      <c r="G3804" s="137"/>
      <c r="H3804" s="138"/>
      <c r="I3804" s="138"/>
      <c r="J3804" s="139"/>
      <c r="K3804" s="137"/>
      <c r="L3804" s="137"/>
      <c r="P3804" s="137"/>
      <c r="Q3804" s="137"/>
      <c r="R3804" s="126"/>
    </row>
    <row r="3805" spans="2:18" x14ac:dyDescent="0.3">
      <c r="B3805" s="126"/>
      <c r="G3805" s="137"/>
      <c r="H3805" s="138"/>
      <c r="I3805" s="138"/>
      <c r="J3805" s="139"/>
      <c r="K3805" s="137"/>
      <c r="L3805" s="137"/>
      <c r="P3805" s="137"/>
      <c r="Q3805" s="137"/>
      <c r="R3805" s="126"/>
    </row>
    <row r="3806" spans="2:18" x14ac:dyDescent="0.3">
      <c r="B3806" s="126"/>
      <c r="G3806" s="137"/>
      <c r="H3806" s="138"/>
      <c r="I3806" s="138"/>
      <c r="J3806" s="139"/>
      <c r="K3806" s="137"/>
      <c r="L3806" s="137"/>
      <c r="P3806" s="137"/>
      <c r="Q3806" s="137"/>
      <c r="R3806" s="126"/>
    </row>
    <row r="3807" spans="2:18" x14ac:dyDescent="0.3">
      <c r="B3807" s="126"/>
      <c r="G3807" s="137"/>
      <c r="H3807" s="138"/>
      <c r="I3807" s="138"/>
      <c r="J3807" s="139"/>
      <c r="K3807" s="137"/>
      <c r="L3807" s="137"/>
      <c r="P3807" s="137"/>
      <c r="Q3807" s="137"/>
      <c r="R3807" s="126"/>
    </row>
    <row r="3808" spans="2:18" x14ac:dyDescent="0.3">
      <c r="B3808" s="126"/>
      <c r="G3808" s="137"/>
      <c r="H3808" s="138"/>
      <c r="I3808" s="138"/>
      <c r="J3808" s="139"/>
      <c r="K3808" s="137"/>
      <c r="L3808" s="137"/>
      <c r="P3808" s="137"/>
      <c r="Q3808" s="137"/>
      <c r="R3808" s="126"/>
    </row>
    <row r="3809" spans="2:18" x14ac:dyDescent="0.3">
      <c r="B3809" s="126"/>
      <c r="G3809" s="137"/>
      <c r="H3809" s="138"/>
      <c r="I3809" s="138"/>
      <c r="J3809" s="139"/>
      <c r="K3809" s="137"/>
      <c r="L3809" s="137"/>
      <c r="P3809" s="137"/>
      <c r="Q3809" s="137"/>
      <c r="R3809" s="126"/>
    </row>
    <row r="3810" spans="2:18" x14ac:dyDescent="0.3">
      <c r="B3810" s="126"/>
      <c r="G3810" s="137"/>
      <c r="H3810" s="138"/>
      <c r="I3810" s="138"/>
      <c r="J3810" s="139"/>
      <c r="K3810" s="137"/>
      <c r="L3810" s="137"/>
      <c r="P3810" s="137"/>
      <c r="Q3810" s="137"/>
      <c r="R3810" s="126"/>
    </row>
    <row r="3811" spans="2:18" x14ac:dyDescent="0.3">
      <c r="B3811" s="126"/>
      <c r="G3811" s="137"/>
      <c r="H3811" s="138"/>
      <c r="I3811" s="138"/>
      <c r="J3811" s="139"/>
      <c r="K3811" s="137"/>
      <c r="L3811" s="137"/>
      <c r="P3811" s="137"/>
      <c r="Q3811" s="137"/>
      <c r="R3811" s="126"/>
    </row>
    <row r="3812" spans="2:18" x14ac:dyDescent="0.3">
      <c r="B3812" s="126"/>
      <c r="G3812" s="137"/>
      <c r="H3812" s="138"/>
      <c r="I3812" s="138"/>
      <c r="J3812" s="139"/>
      <c r="K3812" s="137"/>
      <c r="L3812" s="137"/>
      <c r="P3812" s="137"/>
      <c r="Q3812" s="137"/>
      <c r="R3812" s="126"/>
    </row>
    <row r="3813" spans="2:18" x14ac:dyDescent="0.3">
      <c r="B3813" s="126"/>
      <c r="G3813" s="137"/>
      <c r="H3813" s="138"/>
      <c r="I3813" s="138"/>
      <c r="J3813" s="139"/>
      <c r="K3813" s="137"/>
      <c r="L3813" s="137"/>
      <c r="P3813" s="137"/>
      <c r="Q3813" s="137"/>
      <c r="R3813" s="126"/>
    </row>
    <row r="3814" spans="2:18" x14ac:dyDescent="0.3">
      <c r="B3814" s="126"/>
      <c r="G3814" s="137"/>
      <c r="H3814" s="138"/>
      <c r="I3814" s="138"/>
      <c r="J3814" s="139"/>
      <c r="K3814" s="137"/>
      <c r="L3814" s="137"/>
      <c r="P3814" s="137"/>
      <c r="Q3814" s="137"/>
      <c r="R3814" s="126"/>
    </row>
    <row r="3815" spans="2:18" x14ac:dyDescent="0.3">
      <c r="B3815" s="126"/>
      <c r="G3815" s="137"/>
      <c r="H3815" s="138"/>
      <c r="I3815" s="138"/>
      <c r="J3815" s="139"/>
      <c r="K3815" s="137"/>
      <c r="L3815" s="137"/>
      <c r="P3815" s="137"/>
      <c r="Q3815" s="137"/>
      <c r="R3815" s="126"/>
    </row>
    <row r="3816" spans="2:18" x14ac:dyDescent="0.3">
      <c r="B3816" s="126"/>
      <c r="G3816" s="137"/>
      <c r="H3816" s="138"/>
      <c r="I3816" s="138"/>
      <c r="J3816" s="139"/>
      <c r="K3816" s="137"/>
      <c r="L3816" s="137"/>
      <c r="P3816" s="137"/>
      <c r="Q3816" s="137"/>
      <c r="R3816" s="126"/>
    </row>
    <row r="3817" spans="2:18" x14ac:dyDescent="0.3">
      <c r="B3817" s="126"/>
      <c r="G3817" s="137"/>
      <c r="H3817" s="138"/>
      <c r="I3817" s="138"/>
      <c r="J3817" s="139"/>
      <c r="K3817" s="137"/>
      <c r="L3817" s="137"/>
      <c r="P3817" s="137"/>
      <c r="Q3817" s="137"/>
      <c r="R3817" s="126"/>
    </row>
    <row r="3818" spans="2:18" x14ac:dyDescent="0.3">
      <c r="B3818" s="126"/>
      <c r="G3818" s="137"/>
      <c r="H3818" s="138"/>
      <c r="I3818" s="138"/>
      <c r="J3818" s="139"/>
      <c r="K3818" s="137"/>
      <c r="L3818" s="137"/>
      <c r="P3818" s="137"/>
      <c r="Q3818" s="137"/>
      <c r="R3818" s="126"/>
    </row>
    <row r="3819" spans="2:18" x14ac:dyDescent="0.3">
      <c r="B3819" s="126"/>
      <c r="G3819" s="137"/>
      <c r="H3819" s="138"/>
      <c r="I3819" s="138"/>
      <c r="J3819" s="139"/>
      <c r="K3819" s="137"/>
      <c r="L3819" s="137"/>
      <c r="P3819" s="137"/>
      <c r="Q3819" s="137"/>
      <c r="R3819" s="126"/>
    </row>
    <row r="3820" spans="2:18" x14ac:dyDescent="0.3">
      <c r="B3820" s="126"/>
      <c r="G3820" s="137"/>
      <c r="H3820" s="138"/>
      <c r="I3820" s="138"/>
      <c r="J3820" s="139"/>
      <c r="K3820" s="137"/>
      <c r="L3820" s="137"/>
      <c r="P3820" s="137"/>
      <c r="Q3820" s="137"/>
      <c r="R3820" s="126"/>
    </row>
    <row r="3821" spans="2:18" x14ac:dyDescent="0.3">
      <c r="B3821" s="126"/>
      <c r="G3821" s="137"/>
      <c r="H3821" s="138"/>
      <c r="I3821" s="138"/>
      <c r="J3821" s="139"/>
      <c r="K3821" s="137"/>
      <c r="L3821" s="137"/>
      <c r="P3821" s="137"/>
      <c r="Q3821" s="137"/>
      <c r="R3821" s="126"/>
    </row>
    <row r="3822" spans="2:18" x14ac:dyDescent="0.3">
      <c r="B3822" s="126"/>
      <c r="G3822" s="137"/>
      <c r="H3822" s="138"/>
      <c r="I3822" s="138"/>
      <c r="J3822" s="139"/>
      <c r="K3822" s="137"/>
      <c r="L3822" s="137"/>
      <c r="P3822" s="137"/>
      <c r="Q3822" s="137"/>
      <c r="R3822" s="126"/>
    </row>
    <row r="3823" spans="2:18" x14ac:dyDescent="0.3">
      <c r="B3823" s="126"/>
      <c r="G3823" s="137"/>
      <c r="H3823" s="138"/>
      <c r="I3823" s="138"/>
      <c r="J3823" s="139"/>
      <c r="K3823" s="137"/>
      <c r="L3823" s="137"/>
      <c r="P3823" s="137"/>
      <c r="Q3823" s="137"/>
      <c r="R3823" s="126"/>
    </row>
    <row r="3824" spans="2:18" x14ac:dyDescent="0.3">
      <c r="B3824" s="126"/>
      <c r="G3824" s="137"/>
      <c r="H3824" s="138"/>
      <c r="I3824" s="138"/>
      <c r="J3824" s="139"/>
      <c r="K3824" s="137"/>
      <c r="L3824" s="137"/>
      <c r="P3824" s="137"/>
      <c r="Q3824" s="137"/>
      <c r="R3824" s="126"/>
    </row>
    <row r="3825" spans="2:18" x14ac:dyDescent="0.3">
      <c r="B3825" s="126"/>
      <c r="G3825" s="137"/>
      <c r="H3825" s="138"/>
      <c r="I3825" s="138"/>
      <c r="J3825" s="139"/>
      <c r="K3825" s="137"/>
      <c r="L3825" s="137"/>
      <c r="P3825" s="137"/>
      <c r="Q3825" s="137"/>
      <c r="R3825" s="126"/>
    </row>
    <row r="3826" spans="2:18" x14ac:dyDescent="0.3">
      <c r="B3826" s="126"/>
      <c r="G3826" s="137"/>
      <c r="H3826" s="138"/>
      <c r="I3826" s="138"/>
      <c r="J3826" s="139"/>
      <c r="K3826" s="137"/>
      <c r="L3826" s="137"/>
      <c r="P3826" s="137"/>
      <c r="Q3826" s="137"/>
      <c r="R3826" s="126"/>
    </row>
    <row r="3827" spans="2:18" x14ac:dyDescent="0.3">
      <c r="B3827" s="126"/>
      <c r="G3827" s="137"/>
      <c r="H3827" s="138"/>
      <c r="I3827" s="138"/>
      <c r="J3827" s="139"/>
      <c r="K3827" s="137"/>
      <c r="L3827" s="137"/>
      <c r="P3827" s="137"/>
      <c r="Q3827" s="137"/>
      <c r="R3827" s="126"/>
    </row>
    <row r="3828" spans="2:18" x14ac:dyDescent="0.3">
      <c r="B3828" s="126"/>
      <c r="G3828" s="137"/>
      <c r="H3828" s="138"/>
      <c r="I3828" s="138"/>
      <c r="J3828" s="139"/>
      <c r="K3828" s="137"/>
      <c r="L3828" s="137"/>
      <c r="P3828" s="137"/>
      <c r="Q3828" s="137"/>
      <c r="R3828" s="126"/>
    </row>
    <row r="3829" spans="2:18" x14ac:dyDescent="0.3">
      <c r="B3829" s="126"/>
      <c r="G3829" s="137"/>
      <c r="H3829" s="138"/>
      <c r="I3829" s="138"/>
      <c r="J3829" s="139"/>
      <c r="K3829" s="137"/>
      <c r="L3829" s="137"/>
      <c r="P3829" s="137"/>
      <c r="Q3829" s="137"/>
      <c r="R3829" s="126"/>
    </row>
    <row r="3830" spans="2:18" x14ac:dyDescent="0.3">
      <c r="B3830" s="126"/>
      <c r="G3830" s="137"/>
      <c r="H3830" s="138"/>
      <c r="I3830" s="138"/>
      <c r="J3830" s="139"/>
      <c r="K3830" s="137"/>
      <c r="L3830" s="137"/>
      <c r="P3830" s="137"/>
      <c r="Q3830" s="137"/>
      <c r="R3830" s="126"/>
    </row>
    <row r="3831" spans="2:18" x14ac:dyDescent="0.3">
      <c r="B3831" s="126"/>
      <c r="G3831" s="137"/>
      <c r="H3831" s="138"/>
      <c r="I3831" s="138"/>
      <c r="J3831" s="139"/>
      <c r="K3831" s="137"/>
      <c r="L3831" s="137"/>
      <c r="P3831" s="137"/>
      <c r="Q3831" s="137"/>
      <c r="R3831" s="126"/>
    </row>
    <row r="3832" spans="2:18" x14ac:dyDescent="0.3">
      <c r="B3832" s="126"/>
      <c r="G3832" s="137"/>
      <c r="H3832" s="138"/>
      <c r="I3832" s="138"/>
      <c r="J3832" s="139"/>
      <c r="K3832" s="137"/>
      <c r="L3832" s="137"/>
      <c r="P3832" s="137"/>
      <c r="Q3832" s="137"/>
      <c r="R3832" s="126"/>
    </row>
    <row r="3833" spans="2:18" x14ac:dyDescent="0.3">
      <c r="B3833" s="126"/>
      <c r="G3833" s="137"/>
      <c r="H3833" s="138"/>
      <c r="I3833" s="138"/>
      <c r="J3833" s="139"/>
      <c r="K3833" s="137"/>
      <c r="L3833" s="137"/>
      <c r="P3833" s="137"/>
      <c r="Q3833" s="137"/>
      <c r="R3833" s="126"/>
    </row>
    <row r="3834" spans="2:18" x14ac:dyDescent="0.3">
      <c r="B3834" s="126"/>
      <c r="G3834" s="137"/>
      <c r="H3834" s="138"/>
      <c r="I3834" s="138"/>
      <c r="J3834" s="139"/>
      <c r="K3834" s="137"/>
      <c r="L3834" s="137"/>
      <c r="P3834" s="137"/>
      <c r="Q3834" s="137"/>
      <c r="R3834" s="126"/>
    </row>
    <row r="3835" spans="2:18" x14ac:dyDescent="0.3">
      <c r="B3835" s="126"/>
      <c r="G3835" s="137"/>
      <c r="H3835" s="138"/>
      <c r="I3835" s="138"/>
      <c r="J3835" s="139"/>
      <c r="K3835" s="137"/>
      <c r="L3835" s="137"/>
      <c r="P3835" s="137"/>
      <c r="Q3835" s="137"/>
      <c r="R3835" s="126"/>
    </row>
    <row r="3836" spans="2:18" x14ac:dyDescent="0.3">
      <c r="B3836" s="126"/>
      <c r="G3836" s="137"/>
      <c r="H3836" s="138"/>
      <c r="I3836" s="138"/>
      <c r="J3836" s="139"/>
      <c r="K3836" s="137"/>
      <c r="L3836" s="137"/>
      <c r="P3836" s="137"/>
      <c r="Q3836" s="137"/>
      <c r="R3836" s="126"/>
    </row>
    <row r="3837" spans="2:18" x14ac:dyDescent="0.3">
      <c r="B3837" s="126"/>
      <c r="G3837" s="137"/>
      <c r="H3837" s="138"/>
      <c r="I3837" s="138"/>
      <c r="J3837" s="139"/>
      <c r="K3837" s="137"/>
      <c r="L3837" s="137"/>
      <c r="P3837" s="137"/>
      <c r="Q3837" s="137"/>
      <c r="R3837" s="126"/>
    </row>
    <row r="3838" spans="2:18" x14ac:dyDescent="0.3">
      <c r="B3838" s="126"/>
      <c r="G3838" s="137"/>
      <c r="H3838" s="138"/>
      <c r="I3838" s="138"/>
      <c r="J3838" s="139"/>
      <c r="K3838" s="137"/>
      <c r="L3838" s="137"/>
      <c r="P3838" s="137"/>
      <c r="Q3838" s="137"/>
      <c r="R3838" s="126"/>
    </row>
    <row r="3839" spans="2:18" x14ac:dyDescent="0.3">
      <c r="B3839" s="126"/>
      <c r="G3839" s="137"/>
      <c r="H3839" s="138"/>
      <c r="I3839" s="138"/>
      <c r="J3839" s="139"/>
      <c r="K3839" s="137"/>
      <c r="L3839" s="137"/>
      <c r="P3839" s="137"/>
      <c r="Q3839" s="137"/>
      <c r="R3839" s="126"/>
    </row>
    <row r="3840" spans="2:18" x14ac:dyDescent="0.3">
      <c r="B3840" s="126"/>
      <c r="G3840" s="137"/>
      <c r="H3840" s="138"/>
      <c r="I3840" s="138"/>
      <c r="J3840" s="139"/>
      <c r="K3840" s="137"/>
      <c r="L3840" s="137"/>
      <c r="P3840" s="137"/>
      <c r="Q3840" s="137"/>
      <c r="R3840" s="126"/>
    </row>
    <row r="3841" spans="2:18" x14ac:dyDescent="0.3">
      <c r="B3841" s="126"/>
      <c r="G3841" s="137"/>
      <c r="H3841" s="138"/>
      <c r="I3841" s="138"/>
      <c r="J3841" s="139"/>
      <c r="K3841" s="137"/>
      <c r="L3841" s="137"/>
      <c r="P3841" s="137"/>
      <c r="Q3841" s="137"/>
      <c r="R3841" s="126"/>
    </row>
    <row r="3842" spans="2:18" x14ac:dyDescent="0.3">
      <c r="B3842" s="126"/>
      <c r="G3842" s="137"/>
      <c r="H3842" s="138"/>
      <c r="I3842" s="138"/>
      <c r="J3842" s="139"/>
      <c r="K3842" s="137"/>
      <c r="L3842" s="137"/>
      <c r="P3842" s="137"/>
      <c r="Q3842" s="137"/>
      <c r="R3842" s="126"/>
    </row>
    <row r="3843" spans="2:18" x14ac:dyDescent="0.3">
      <c r="B3843" s="126"/>
      <c r="G3843" s="137"/>
      <c r="H3843" s="138"/>
      <c r="I3843" s="138"/>
      <c r="J3843" s="139"/>
      <c r="K3843" s="137"/>
      <c r="L3843" s="137"/>
      <c r="P3843" s="137"/>
      <c r="Q3843" s="137"/>
      <c r="R3843" s="126"/>
    </row>
    <row r="3844" spans="2:18" x14ac:dyDescent="0.3">
      <c r="B3844" s="126"/>
      <c r="G3844" s="137"/>
      <c r="H3844" s="138"/>
      <c r="I3844" s="138"/>
      <c r="J3844" s="139"/>
      <c r="K3844" s="137"/>
      <c r="L3844" s="137"/>
      <c r="P3844" s="137"/>
      <c r="Q3844" s="137"/>
      <c r="R3844" s="126"/>
    </row>
    <row r="3845" spans="2:18" x14ac:dyDescent="0.3">
      <c r="B3845" s="126"/>
      <c r="G3845" s="137"/>
      <c r="H3845" s="138"/>
      <c r="I3845" s="138"/>
      <c r="J3845" s="139"/>
      <c r="K3845" s="137"/>
      <c r="L3845" s="137"/>
      <c r="P3845" s="137"/>
      <c r="Q3845" s="137"/>
      <c r="R3845" s="126"/>
    </row>
    <row r="3846" spans="2:18" x14ac:dyDescent="0.3">
      <c r="B3846" s="126"/>
      <c r="G3846" s="137"/>
      <c r="H3846" s="138"/>
      <c r="I3846" s="138"/>
      <c r="J3846" s="139"/>
      <c r="K3846" s="137"/>
      <c r="L3846" s="137"/>
      <c r="P3846" s="137"/>
      <c r="Q3846" s="137"/>
      <c r="R3846" s="126"/>
    </row>
    <row r="3847" spans="2:18" x14ac:dyDescent="0.3">
      <c r="B3847" s="126"/>
      <c r="G3847" s="137"/>
      <c r="H3847" s="138"/>
      <c r="I3847" s="138"/>
      <c r="J3847" s="139"/>
      <c r="K3847" s="137"/>
      <c r="L3847" s="137"/>
      <c r="P3847" s="137"/>
      <c r="Q3847" s="137"/>
      <c r="R3847" s="126"/>
    </row>
    <row r="3848" spans="2:18" x14ac:dyDescent="0.3">
      <c r="B3848" s="126"/>
      <c r="G3848" s="137"/>
      <c r="H3848" s="138"/>
      <c r="I3848" s="138"/>
      <c r="J3848" s="139"/>
      <c r="K3848" s="137"/>
      <c r="L3848" s="137"/>
      <c r="P3848" s="137"/>
      <c r="Q3848" s="137"/>
      <c r="R3848" s="126"/>
    </row>
    <row r="3849" spans="2:18" x14ac:dyDescent="0.3">
      <c r="B3849" s="126"/>
      <c r="G3849" s="137"/>
      <c r="H3849" s="138"/>
      <c r="I3849" s="138"/>
      <c r="J3849" s="139"/>
      <c r="K3849" s="137"/>
      <c r="L3849" s="137"/>
      <c r="P3849" s="137"/>
      <c r="Q3849" s="137"/>
      <c r="R3849" s="126"/>
    </row>
    <row r="3850" spans="2:18" x14ac:dyDescent="0.3">
      <c r="B3850" s="126"/>
      <c r="G3850" s="137"/>
      <c r="H3850" s="138"/>
      <c r="I3850" s="138"/>
      <c r="J3850" s="139"/>
      <c r="K3850" s="137"/>
      <c r="L3850" s="137"/>
      <c r="P3850" s="137"/>
      <c r="Q3850" s="137"/>
      <c r="R3850" s="126"/>
    </row>
    <row r="3851" spans="2:18" x14ac:dyDescent="0.3">
      <c r="B3851" s="126"/>
      <c r="G3851" s="137"/>
      <c r="H3851" s="138"/>
      <c r="I3851" s="138"/>
      <c r="J3851" s="139"/>
      <c r="K3851" s="137"/>
      <c r="L3851" s="137"/>
      <c r="P3851" s="137"/>
      <c r="Q3851" s="137"/>
      <c r="R3851" s="126"/>
    </row>
    <row r="3852" spans="2:18" x14ac:dyDescent="0.3">
      <c r="B3852" s="126"/>
      <c r="G3852" s="137"/>
      <c r="H3852" s="138"/>
      <c r="I3852" s="138"/>
      <c r="J3852" s="139"/>
      <c r="K3852" s="137"/>
      <c r="L3852" s="137"/>
      <c r="P3852" s="137"/>
      <c r="Q3852" s="137"/>
      <c r="R3852" s="126"/>
    </row>
    <row r="3853" spans="2:18" x14ac:dyDescent="0.3">
      <c r="B3853" s="126"/>
      <c r="G3853" s="137"/>
      <c r="H3853" s="138"/>
      <c r="I3853" s="138"/>
      <c r="J3853" s="139"/>
      <c r="K3853" s="137"/>
      <c r="L3853" s="137"/>
      <c r="P3853" s="137"/>
      <c r="Q3853" s="137"/>
      <c r="R3853" s="126"/>
    </row>
    <row r="3854" spans="2:18" x14ac:dyDescent="0.3">
      <c r="B3854" s="126"/>
      <c r="G3854" s="137"/>
      <c r="H3854" s="138"/>
      <c r="I3854" s="138"/>
      <c r="J3854" s="139"/>
      <c r="K3854" s="137"/>
      <c r="L3854" s="137"/>
      <c r="P3854" s="137"/>
      <c r="Q3854" s="137"/>
      <c r="R3854" s="126"/>
    </row>
    <row r="3855" spans="2:18" x14ac:dyDescent="0.3">
      <c r="B3855" s="126"/>
      <c r="G3855" s="137"/>
      <c r="H3855" s="138"/>
      <c r="I3855" s="138"/>
      <c r="J3855" s="139"/>
      <c r="K3855" s="137"/>
      <c r="L3855" s="137"/>
      <c r="P3855" s="137"/>
      <c r="Q3855" s="137"/>
      <c r="R3855" s="126"/>
    </row>
    <row r="3856" spans="2:18" x14ac:dyDescent="0.3">
      <c r="B3856" s="126"/>
      <c r="G3856" s="137"/>
      <c r="H3856" s="138"/>
      <c r="I3856" s="138"/>
      <c r="J3856" s="139"/>
      <c r="K3856" s="137"/>
      <c r="L3856" s="137"/>
      <c r="P3856" s="137"/>
      <c r="Q3856" s="137"/>
      <c r="R3856" s="126"/>
    </row>
    <row r="3857" spans="2:18" x14ac:dyDescent="0.3">
      <c r="B3857" s="126"/>
      <c r="G3857" s="137"/>
      <c r="H3857" s="138"/>
      <c r="I3857" s="138"/>
      <c r="J3857" s="139"/>
      <c r="K3857" s="137"/>
      <c r="L3857" s="137"/>
      <c r="P3857" s="137"/>
      <c r="Q3857" s="137"/>
      <c r="R3857" s="126"/>
    </row>
    <row r="3858" spans="2:18" x14ac:dyDescent="0.3">
      <c r="B3858" s="126"/>
      <c r="G3858" s="137"/>
      <c r="H3858" s="138"/>
      <c r="I3858" s="138"/>
      <c r="J3858" s="139"/>
      <c r="K3858" s="137"/>
      <c r="L3858" s="137"/>
      <c r="P3858" s="137"/>
      <c r="Q3858" s="137"/>
      <c r="R3858" s="126"/>
    </row>
    <row r="3859" spans="2:18" x14ac:dyDescent="0.3">
      <c r="B3859" s="126"/>
      <c r="G3859" s="137"/>
      <c r="H3859" s="138"/>
      <c r="I3859" s="138"/>
      <c r="J3859" s="139"/>
      <c r="K3859" s="137"/>
      <c r="L3859" s="137"/>
      <c r="P3859" s="137"/>
      <c r="Q3859" s="137"/>
      <c r="R3859" s="126"/>
    </row>
    <row r="3860" spans="2:18" x14ac:dyDescent="0.3">
      <c r="B3860" s="126"/>
      <c r="G3860" s="137"/>
      <c r="H3860" s="138"/>
      <c r="I3860" s="138"/>
      <c r="J3860" s="139"/>
      <c r="K3860" s="137"/>
      <c r="L3860" s="137"/>
      <c r="P3860" s="137"/>
      <c r="Q3860" s="137"/>
      <c r="R3860" s="126"/>
    </row>
    <row r="3861" spans="2:18" x14ac:dyDescent="0.3">
      <c r="B3861" s="126"/>
      <c r="G3861" s="137"/>
      <c r="H3861" s="138"/>
      <c r="I3861" s="138"/>
      <c r="J3861" s="139"/>
      <c r="K3861" s="137"/>
      <c r="L3861" s="137"/>
      <c r="P3861" s="137"/>
      <c r="Q3861" s="137"/>
      <c r="R3861" s="126"/>
    </row>
    <row r="3862" spans="2:18" x14ac:dyDescent="0.3">
      <c r="B3862" s="126"/>
      <c r="G3862" s="137"/>
      <c r="H3862" s="138"/>
      <c r="I3862" s="138"/>
      <c r="J3862" s="139"/>
      <c r="K3862" s="137"/>
      <c r="L3862" s="137"/>
      <c r="P3862" s="137"/>
      <c r="Q3862" s="137"/>
      <c r="R3862" s="126"/>
    </row>
    <row r="3863" spans="2:18" x14ac:dyDescent="0.3">
      <c r="B3863" s="126"/>
      <c r="G3863" s="137"/>
      <c r="H3863" s="138"/>
      <c r="I3863" s="138"/>
      <c r="J3863" s="139"/>
      <c r="K3863" s="137"/>
      <c r="L3863" s="137"/>
      <c r="P3863" s="137"/>
      <c r="Q3863" s="137"/>
      <c r="R3863" s="126"/>
    </row>
    <row r="3864" spans="2:18" x14ac:dyDescent="0.3">
      <c r="B3864" s="126"/>
      <c r="G3864" s="137"/>
      <c r="H3864" s="138"/>
      <c r="I3864" s="138"/>
      <c r="J3864" s="139"/>
      <c r="K3864" s="137"/>
      <c r="L3864" s="137"/>
      <c r="P3864" s="137"/>
      <c r="Q3864" s="137"/>
      <c r="R3864" s="126"/>
    </row>
    <row r="3865" spans="2:18" x14ac:dyDescent="0.3">
      <c r="B3865" s="126"/>
      <c r="G3865" s="137"/>
      <c r="H3865" s="138"/>
      <c r="I3865" s="138"/>
      <c r="J3865" s="139"/>
      <c r="K3865" s="137"/>
      <c r="L3865" s="137"/>
      <c r="P3865" s="137"/>
      <c r="Q3865" s="137"/>
      <c r="R3865" s="126"/>
    </row>
    <row r="3866" spans="2:18" x14ac:dyDescent="0.3">
      <c r="B3866" s="126"/>
      <c r="G3866" s="137"/>
      <c r="H3866" s="138"/>
      <c r="I3866" s="138"/>
      <c r="J3866" s="139"/>
      <c r="K3866" s="137"/>
      <c r="L3866" s="137"/>
      <c r="P3866" s="137"/>
      <c r="Q3866" s="137"/>
      <c r="R3866" s="126"/>
    </row>
    <row r="3867" spans="2:18" x14ac:dyDescent="0.3">
      <c r="B3867" s="126"/>
      <c r="G3867" s="137"/>
      <c r="H3867" s="138"/>
      <c r="I3867" s="138"/>
      <c r="J3867" s="139"/>
      <c r="K3867" s="137"/>
      <c r="L3867" s="137"/>
      <c r="P3867" s="137"/>
      <c r="Q3867" s="137"/>
      <c r="R3867" s="126"/>
    </row>
    <row r="3868" spans="2:18" x14ac:dyDescent="0.3">
      <c r="B3868" s="126"/>
      <c r="G3868" s="137"/>
      <c r="H3868" s="138"/>
      <c r="I3868" s="138"/>
      <c r="J3868" s="139"/>
      <c r="K3868" s="137"/>
      <c r="L3868" s="137"/>
      <c r="P3868" s="137"/>
      <c r="Q3868" s="137"/>
      <c r="R3868" s="126"/>
    </row>
    <row r="3869" spans="2:18" x14ac:dyDescent="0.3">
      <c r="B3869" s="126"/>
      <c r="G3869" s="137"/>
      <c r="H3869" s="138"/>
      <c r="I3869" s="138"/>
      <c r="J3869" s="139"/>
      <c r="K3869" s="137"/>
      <c r="L3869" s="137"/>
      <c r="P3869" s="137"/>
      <c r="Q3869" s="137"/>
      <c r="R3869" s="126"/>
    </row>
    <row r="3870" spans="2:18" x14ac:dyDescent="0.3">
      <c r="B3870" s="126"/>
      <c r="G3870" s="137"/>
      <c r="H3870" s="138"/>
      <c r="I3870" s="138"/>
      <c r="J3870" s="139"/>
      <c r="K3870" s="137"/>
      <c r="L3870" s="137"/>
      <c r="P3870" s="137"/>
      <c r="Q3870" s="137"/>
      <c r="R3870" s="126"/>
    </row>
    <row r="3871" spans="2:18" x14ac:dyDescent="0.3">
      <c r="B3871" s="126"/>
      <c r="G3871" s="137"/>
      <c r="H3871" s="138"/>
      <c r="I3871" s="138"/>
      <c r="J3871" s="139"/>
      <c r="K3871" s="137"/>
      <c r="L3871" s="137"/>
      <c r="P3871" s="137"/>
      <c r="Q3871" s="137"/>
      <c r="R3871" s="126"/>
    </row>
    <row r="3872" spans="2:18" x14ac:dyDescent="0.3">
      <c r="B3872" s="126"/>
      <c r="G3872" s="137"/>
      <c r="H3872" s="138"/>
      <c r="I3872" s="138"/>
      <c r="J3872" s="139"/>
      <c r="K3872" s="137"/>
      <c r="L3872" s="137"/>
      <c r="P3872" s="137"/>
      <c r="Q3872" s="137"/>
      <c r="R3872" s="126"/>
    </row>
    <row r="3873" spans="2:18" x14ac:dyDescent="0.3">
      <c r="B3873" s="126"/>
      <c r="G3873" s="137"/>
      <c r="H3873" s="138"/>
      <c r="I3873" s="138"/>
      <c r="J3873" s="139"/>
      <c r="K3873" s="137"/>
      <c r="L3873" s="137"/>
      <c r="P3873" s="137"/>
      <c r="Q3873" s="137"/>
      <c r="R3873" s="126"/>
    </row>
    <row r="3874" spans="2:18" x14ac:dyDescent="0.3">
      <c r="B3874" s="126"/>
      <c r="G3874" s="137"/>
      <c r="H3874" s="138"/>
      <c r="I3874" s="138"/>
      <c r="J3874" s="139"/>
      <c r="K3874" s="137"/>
      <c r="L3874" s="137"/>
      <c r="P3874" s="137"/>
      <c r="Q3874" s="137"/>
      <c r="R3874" s="126"/>
    </row>
    <row r="3875" spans="2:18" x14ac:dyDescent="0.3">
      <c r="B3875" s="126"/>
      <c r="G3875" s="137"/>
      <c r="H3875" s="138"/>
      <c r="I3875" s="138"/>
      <c r="J3875" s="139"/>
      <c r="K3875" s="137"/>
      <c r="L3875" s="137"/>
      <c r="P3875" s="137"/>
      <c r="Q3875" s="137"/>
      <c r="R3875" s="126"/>
    </row>
    <row r="3876" spans="2:18" x14ac:dyDescent="0.3">
      <c r="B3876" s="126"/>
      <c r="G3876" s="137"/>
      <c r="H3876" s="138"/>
      <c r="I3876" s="138"/>
      <c r="J3876" s="139"/>
      <c r="K3876" s="137"/>
      <c r="L3876" s="137"/>
      <c r="P3876" s="137"/>
      <c r="Q3876" s="137"/>
      <c r="R3876" s="126"/>
    </row>
    <row r="3877" spans="2:18" x14ac:dyDescent="0.3">
      <c r="B3877" s="126"/>
      <c r="G3877" s="137"/>
      <c r="H3877" s="138"/>
      <c r="I3877" s="138"/>
      <c r="J3877" s="139"/>
      <c r="K3877" s="137"/>
      <c r="L3877" s="137"/>
      <c r="P3877" s="137"/>
      <c r="Q3877" s="137"/>
      <c r="R3877" s="126"/>
    </row>
    <row r="3878" spans="2:18" x14ac:dyDescent="0.3">
      <c r="B3878" s="126"/>
      <c r="G3878" s="137"/>
      <c r="H3878" s="138"/>
      <c r="I3878" s="138"/>
      <c r="J3878" s="139"/>
      <c r="K3878" s="137"/>
      <c r="L3878" s="137"/>
      <c r="P3878" s="137"/>
      <c r="Q3878" s="137"/>
      <c r="R3878" s="126"/>
    </row>
    <row r="3879" spans="2:18" x14ac:dyDescent="0.3">
      <c r="B3879" s="126"/>
      <c r="G3879" s="137"/>
      <c r="H3879" s="138"/>
      <c r="I3879" s="138"/>
      <c r="J3879" s="139"/>
      <c r="K3879" s="137"/>
      <c r="L3879" s="137"/>
      <c r="P3879" s="137"/>
      <c r="Q3879" s="137"/>
      <c r="R3879" s="126"/>
    </row>
    <row r="3880" spans="2:18" x14ac:dyDescent="0.3">
      <c r="B3880" s="126"/>
      <c r="G3880" s="137"/>
      <c r="H3880" s="138"/>
      <c r="I3880" s="138"/>
      <c r="J3880" s="139"/>
      <c r="K3880" s="137"/>
      <c r="L3880" s="137"/>
      <c r="P3880" s="137"/>
      <c r="Q3880" s="137"/>
      <c r="R3880" s="126"/>
    </row>
    <row r="3881" spans="2:18" x14ac:dyDescent="0.3">
      <c r="B3881" s="126"/>
      <c r="G3881" s="137"/>
      <c r="H3881" s="138"/>
      <c r="I3881" s="138"/>
      <c r="J3881" s="139"/>
      <c r="K3881" s="137"/>
      <c r="L3881" s="137"/>
      <c r="P3881" s="137"/>
      <c r="Q3881" s="137"/>
      <c r="R3881" s="126"/>
    </row>
    <row r="3882" spans="2:18" x14ac:dyDescent="0.3">
      <c r="B3882" s="126"/>
      <c r="G3882" s="137"/>
      <c r="H3882" s="138"/>
      <c r="I3882" s="138"/>
      <c r="J3882" s="139"/>
      <c r="K3882" s="137"/>
      <c r="L3882" s="137"/>
      <c r="P3882" s="137"/>
      <c r="Q3882" s="137"/>
      <c r="R3882" s="126"/>
    </row>
    <row r="3883" spans="2:18" x14ac:dyDescent="0.3">
      <c r="B3883" s="126"/>
      <c r="G3883" s="137"/>
      <c r="H3883" s="138"/>
      <c r="I3883" s="138"/>
      <c r="J3883" s="139"/>
      <c r="K3883" s="137"/>
      <c r="L3883" s="137"/>
      <c r="P3883" s="137"/>
      <c r="Q3883" s="137"/>
      <c r="R3883" s="126"/>
    </row>
    <row r="3884" spans="2:18" x14ac:dyDescent="0.3">
      <c r="B3884" s="126"/>
      <c r="G3884" s="137"/>
      <c r="H3884" s="138"/>
      <c r="I3884" s="138"/>
      <c r="J3884" s="139"/>
      <c r="K3884" s="137"/>
      <c r="L3884" s="137"/>
      <c r="P3884" s="137"/>
      <c r="Q3884" s="137"/>
      <c r="R3884" s="126"/>
    </row>
    <row r="3885" spans="2:18" x14ac:dyDescent="0.3">
      <c r="B3885" s="126"/>
      <c r="G3885" s="137"/>
      <c r="H3885" s="138"/>
      <c r="I3885" s="138"/>
      <c r="J3885" s="139"/>
      <c r="K3885" s="137"/>
      <c r="L3885" s="137"/>
      <c r="P3885" s="137"/>
      <c r="Q3885" s="137"/>
      <c r="R3885" s="126"/>
    </row>
    <row r="3886" spans="2:18" x14ac:dyDescent="0.3">
      <c r="B3886" s="126"/>
      <c r="G3886" s="137"/>
      <c r="H3886" s="138"/>
      <c r="I3886" s="138"/>
      <c r="J3886" s="139"/>
      <c r="K3886" s="137"/>
      <c r="L3886" s="137"/>
      <c r="P3886" s="137"/>
      <c r="Q3886" s="137"/>
      <c r="R3886" s="126"/>
    </row>
    <row r="3887" spans="2:18" x14ac:dyDescent="0.3">
      <c r="B3887" s="126"/>
      <c r="G3887" s="137"/>
      <c r="H3887" s="138"/>
      <c r="I3887" s="138"/>
      <c r="J3887" s="139"/>
      <c r="K3887" s="137"/>
      <c r="L3887" s="137"/>
      <c r="P3887" s="137"/>
      <c r="Q3887" s="137"/>
      <c r="R3887" s="126"/>
    </row>
    <row r="3888" spans="2:18" x14ac:dyDescent="0.3">
      <c r="B3888" s="126"/>
      <c r="G3888" s="137"/>
      <c r="H3888" s="138"/>
      <c r="I3888" s="138"/>
      <c r="J3888" s="139"/>
      <c r="K3888" s="137"/>
      <c r="L3888" s="137"/>
      <c r="P3888" s="137"/>
      <c r="Q3888" s="137"/>
      <c r="R3888" s="126"/>
    </row>
    <row r="3889" spans="2:18" x14ac:dyDescent="0.3">
      <c r="B3889" s="126"/>
      <c r="G3889" s="137"/>
      <c r="H3889" s="138"/>
      <c r="I3889" s="138"/>
      <c r="J3889" s="139"/>
      <c r="K3889" s="137"/>
      <c r="L3889" s="137"/>
      <c r="P3889" s="137"/>
      <c r="Q3889" s="137"/>
      <c r="R3889" s="126"/>
    </row>
    <row r="3890" spans="2:18" x14ac:dyDescent="0.3">
      <c r="B3890" s="126"/>
      <c r="G3890" s="137"/>
      <c r="H3890" s="138"/>
      <c r="I3890" s="138"/>
      <c r="J3890" s="139"/>
      <c r="K3890" s="137"/>
      <c r="L3890" s="137"/>
      <c r="P3890" s="137"/>
      <c r="Q3890" s="137"/>
      <c r="R3890" s="126"/>
    </row>
    <row r="3891" spans="2:18" x14ac:dyDescent="0.3">
      <c r="B3891" s="126"/>
      <c r="G3891" s="137"/>
      <c r="H3891" s="138"/>
      <c r="I3891" s="138"/>
      <c r="J3891" s="139"/>
      <c r="K3891" s="137"/>
      <c r="L3891" s="137"/>
      <c r="P3891" s="137"/>
      <c r="Q3891" s="137"/>
      <c r="R3891" s="126"/>
    </row>
    <row r="3892" spans="2:18" x14ac:dyDescent="0.3">
      <c r="B3892" s="126"/>
      <c r="G3892" s="137"/>
      <c r="H3892" s="138"/>
      <c r="I3892" s="138"/>
      <c r="J3892" s="139"/>
      <c r="K3892" s="137"/>
      <c r="L3892" s="137"/>
      <c r="P3892" s="137"/>
      <c r="Q3892" s="137"/>
      <c r="R3892" s="126"/>
    </row>
    <row r="3893" spans="2:18" x14ac:dyDescent="0.3">
      <c r="B3893" s="126"/>
      <c r="G3893" s="137"/>
      <c r="H3893" s="138"/>
      <c r="I3893" s="138"/>
      <c r="J3893" s="139"/>
      <c r="K3893" s="137"/>
      <c r="L3893" s="137"/>
      <c r="P3893" s="137"/>
      <c r="Q3893" s="137"/>
      <c r="R3893" s="126"/>
    </row>
    <row r="3894" spans="2:18" x14ac:dyDescent="0.3">
      <c r="B3894" s="126"/>
      <c r="G3894" s="137"/>
      <c r="H3894" s="138"/>
      <c r="I3894" s="138"/>
      <c r="J3894" s="139"/>
      <c r="K3894" s="137"/>
      <c r="L3894" s="137"/>
      <c r="P3894" s="137"/>
      <c r="Q3894" s="137"/>
      <c r="R3894" s="126"/>
    </row>
    <row r="3895" spans="2:18" x14ac:dyDescent="0.3">
      <c r="B3895" s="126"/>
      <c r="G3895" s="137"/>
      <c r="H3895" s="138"/>
      <c r="I3895" s="138"/>
      <c r="J3895" s="139"/>
      <c r="K3895" s="137"/>
      <c r="L3895" s="137"/>
      <c r="P3895" s="137"/>
      <c r="Q3895" s="137"/>
      <c r="R3895" s="126"/>
    </row>
    <row r="3896" spans="2:18" x14ac:dyDescent="0.3">
      <c r="B3896" s="126"/>
      <c r="G3896" s="137"/>
      <c r="H3896" s="138"/>
      <c r="I3896" s="138"/>
      <c r="J3896" s="139"/>
      <c r="K3896" s="137"/>
      <c r="L3896" s="137"/>
      <c r="P3896" s="137"/>
      <c r="Q3896" s="137"/>
      <c r="R3896" s="126"/>
    </row>
    <row r="3897" spans="2:18" x14ac:dyDescent="0.3">
      <c r="B3897" s="126"/>
      <c r="G3897" s="137"/>
      <c r="H3897" s="138"/>
      <c r="I3897" s="138"/>
      <c r="J3897" s="139"/>
      <c r="K3897" s="137"/>
      <c r="L3897" s="137"/>
      <c r="P3897" s="137"/>
      <c r="Q3897" s="137"/>
      <c r="R3897" s="126"/>
    </row>
    <row r="3898" spans="2:18" x14ac:dyDescent="0.3">
      <c r="B3898" s="126"/>
      <c r="G3898" s="137"/>
      <c r="H3898" s="138"/>
      <c r="I3898" s="138"/>
      <c r="J3898" s="139"/>
      <c r="K3898" s="137"/>
      <c r="L3898" s="137"/>
      <c r="P3898" s="137"/>
      <c r="Q3898" s="137"/>
      <c r="R3898" s="126"/>
    </row>
    <row r="3899" spans="2:18" x14ac:dyDescent="0.3">
      <c r="B3899" s="126"/>
      <c r="G3899" s="137"/>
      <c r="H3899" s="138"/>
      <c r="I3899" s="138"/>
      <c r="J3899" s="139"/>
      <c r="K3899" s="137"/>
      <c r="L3899" s="137"/>
      <c r="P3899" s="137"/>
      <c r="Q3899" s="137"/>
      <c r="R3899" s="126"/>
    </row>
    <row r="3900" spans="2:18" x14ac:dyDescent="0.3">
      <c r="B3900" s="126"/>
      <c r="G3900" s="137"/>
      <c r="H3900" s="138"/>
      <c r="I3900" s="138"/>
      <c r="J3900" s="139"/>
      <c r="K3900" s="137"/>
      <c r="L3900" s="137"/>
      <c r="P3900" s="137"/>
      <c r="Q3900" s="137"/>
      <c r="R3900" s="126"/>
    </row>
    <row r="3901" spans="2:18" x14ac:dyDescent="0.3">
      <c r="B3901" s="126"/>
      <c r="G3901" s="137"/>
      <c r="H3901" s="138"/>
      <c r="I3901" s="138"/>
      <c r="J3901" s="139"/>
      <c r="K3901" s="137"/>
      <c r="L3901" s="137"/>
      <c r="P3901" s="137"/>
      <c r="Q3901" s="137"/>
      <c r="R3901" s="126"/>
    </row>
    <row r="3902" spans="2:18" x14ac:dyDescent="0.3">
      <c r="B3902" s="126"/>
      <c r="G3902" s="137"/>
      <c r="H3902" s="138"/>
      <c r="I3902" s="138"/>
      <c r="J3902" s="139"/>
      <c r="K3902" s="137"/>
      <c r="L3902" s="137"/>
      <c r="P3902" s="137"/>
      <c r="Q3902" s="137"/>
      <c r="R3902" s="126"/>
    </row>
    <row r="3903" spans="2:18" x14ac:dyDescent="0.3">
      <c r="B3903" s="126"/>
      <c r="G3903" s="137"/>
      <c r="H3903" s="138"/>
      <c r="I3903" s="138"/>
      <c r="J3903" s="139"/>
      <c r="K3903" s="137"/>
      <c r="L3903" s="137"/>
      <c r="P3903" s="137"/>
      <c r="Q3903" s="137"/>
      <c r="R3903" s="126"/>
    </row>
    <row r="3904" spans="2:18" x14ac:dyDescent="0.3">
      <c r="B3904" s="126"/>
      <c r="G3904" s="137"/>
      <c r="H3904" s="138"/>
      <c r="I3904" s="138"/>
      <c r="J3904" s="139"/>
      <c r="K3904" s="137"/>
      <c r="L3904" s="137"/>
      <c r="P3904" s="137"/>
      <c r="Q3904" s="137"/>
      <c r="R3904" s="126"/>
    </row>
    <row r="3905" spans="2:18" x14ac:dyDescent="0.3">
      <c r="B3905" s="126"/>
      <c r="G3905" s="137"/>
      <c r="H3905" s="138"/>
      <c r="I3905" s="138"/>
      <c r="J3905" s="139"/>
      <c r="K3905" s="137"/>
      <c r="L3905" s="137"/>
      <c r="P3905" s="137"/>
      <c r="Q3905" s="137"/>
      <c r="R3905" s="126"/>
    </row>
    <row r="3906" spans="2:18" x14ac:dyDescent="0.3">
      <c r="B3906" s="126"/>
      <c r="G3906" s="137"/>
      <c r="H3906" s="138"/>
      <c r="I3906" s="138"/>
      <c r="J3906" s="139"/>
      <c r="K3906" s="137"/>
      <c r="L3906" s="137"/>
      <c r="P3906" s="137"/>
      <c r="Q3906" s="137"/>
      <c r="R3906" s="126"/>
    </row>
    <row r="3907" spans="2:18" x14ac:dyDescent="0.3">
      <c r="B3907" s="126"/>
      <c r="G3907" s="137"/>
      <c r="H3907" s="138"/>
      <c r="I3907" s="138"/>
      <c r="J3907" s="139"/>
      <c r="K3907" s="137"/>
      <c r="L3907" s="137"/>
      <c r="P3907" s="137"/>
      <c r="Q3907" s="137"/>
      <c r="R3907" s="126"/>
    </row>
    <row r="3908" spans="2:18" x14ac:dyDescent="0.3">
      <c r="B3908" s="126"/>
      <c r="G3908" s="137"/>
      <c r="H3908" s="138"/>
      <c r="I3908" s="138"/>
      <c r="J3908" s="139"/>
      <c r="K3908" s="137"/>
      <c r="L3908" s="137"/>
      <c r="P3908" s="137"/>
      <c r="Q3908" s="137"/>
      <c r="R3908" s="126"/>
    </row>
    <row r="3909" spans="2:18" x14ac:dyDescent="0.3">
      <c r="B3909" s="126"/>
      <c r="G3909" s="137"/>
      <c r="H3909" s="138"/>
      <c r="I3909" s="138"/>
      <c r="J3909" s="139"/>
      <c r="K3909" s="137"/>
      <c r="L3909" s="137"/>
      <c r="P3909" s="137"/>
      <c r="Q3909" s="137"/>
      <c r="R3909" s="126"/>
    </row>
    <row r="3910" spans="2:18" x14ac:dyDescent="0.3">
      <c r="B3910" s="126"/>
      <c r="G3910" s="137"/>
      <c r="H3910" s="138"/>
      <c r="I3910" s="138"/>
      <c r="J3910" s="139"/>
      <c r="K3910" s="137"/>
      <c r="L3910" s="137"/>
      <c r="P3910" s="137"/>
      <c r="Q3910" s="137"/>
      <c r="R3910" s="126"/>
    </row>
    <row r="3911" spans="2:18" x14ac:dyDescent="0.3">
      <c r="B3911" s="126"/>
      <c r="G3911" s="137"/>
      <c r="H3911" s="138"/>
      <c r="I3911" s="138"/>
      <c r="J3911" s="139"/>
      <c r="K3911" s="137"/>
      <c r="L3911" s="137"/>
      <c r="P3911" s="137"/>
      <c r="Q3911" s="137"/>
      <c r="R3911" s="126"/>
    </row>
    <row r="3912" spans="2:18" x14ac:dyDescent="0.3">
      <c r="B3912" s="126"/>
      <c r="G3912" s="137"/>
      <c r="H3912" s="138"/>
      <c r="I3912" s="138"/>
      <c r="J3912" s="139"/>
      <c r="K3912" s="137"/>
      <c r="L3912" s="137"/>
      <c r="P3912" s="137"/>
      <c r="Q3912" s="137"/>
      <c r="R3912" s="126"/>
    </row>
    <row r="3913" spans="2:18" x14ac:dyDescent="0.3">
      <c r="B3913" s="126"/>
      <c r="G3913" s="137"/>
      <c r="H3913" s="138"/>
      <c r="I3913" s="138"/>
      <c r="J3913" s="139"/>
      <c r="K3913" s="137"/>
      <c r="L3913" s="137"/>
      <c r="P3913" s="137"/>
      <c r="Q3913" s="137"/>
      <c r="R3913" s="126"/>
    </row>
    <row r="3914" spans="2:18" x14ac:dyDescent="0.3">
      <c r="B3914" s="126"/>
      <c r="G3914" s="137"/>
      <c r="H3914" s="138"/>
      <c r="I3914" s="138"/>
      <c r="J3914" s="139"/>
      <c r="K3914" s="137"/>
      <c r="L3914" s="137"/>
      <c r="P3914" s="137"/>
      <c r="Q3914" s="137"/>
      <c r="R3914" s="126"/>
    </row>
    <row r="3915" spans="2:18" x14ac:dyDescent="0.3">
      <c r="B3915" s="126"/>
      <c r="G3915" s="137"/>
      <c r="H3915" s="138"/>
      <c r="I3915" s="138"/>
      <c r="J3915" s="139"/>
      <c r="K3915" s="137"/>
      <c r="L3915" s="137"/>
      <c r="P3915" s="137"/>
      <c r="Q3915" s="137"/>
      <c r="R3915" s="126"/>
    </row>
    <row r="3916" spans="2:18" x14ac:dyDescent="0.3">
      <c r="B3916" s="126"/>
      <c r="G3916" s="137"/>
      <c r="H3916" s="138"/>
      <c r="I3916" s="138"/>
      <c r="J3916" s="139"/>
      <c r="K3916" s="137"/>
      <c r="L3916" s="137"/>
      <c r="P3916" s="137"/>
      <c r="Q3916" s="137"/>
      <c r="R3916" s="126"/>
    </row>
    <row r="3917" spans="2:18" x14ac:dyDescent="0.3">
      <c r="B3917" s="126"/>
      <c r="G3917" s="137"/>
      <c r="H3917" s="138"/>
      <c r="I3917" s="138"/>
      <c r="J3917" s="139"/>
      <c r="K3917" s="137"/>
      <c r="L3917" s="137"/>
      <c r="P3917" s="137"/>
      <c r="Q3917" s="137"/>
      <c r="R3917" s="126"/>
    </row>
    <row r="3918" spans="2:18" x14ac:dyDescent="0.3">
      <c r="B3918" s="126"/>
      <c r="G3918" s="137"/>
      <c r="H3918" s="138"/>
      <c r="I3918" s="138"/>
      <c r="J3918" s="139"/>
      <c r="K3918" s="137"/>
      <c r="L3918" s="137"/>
      <c r="P3918" s="137"/>
      <c r="Q3918" s="137"/>
      <c r="R3918" s="126"/>
    </row>
    <row r="3919" spans="2:18" x14ac:dyDescent="0.3">
      <c r="B3919" s="126"/>
      <c r="G3919" s="137"/>
      <c r="H3919" s="138"/>
      <c r="I3919" s="138"/>
      <c r="J3919" s="139"/>
      <c r="K3919" s="137"/>
      <c r="L3919" s="137"/>
      <c r="P3919" s="137"/>
      <c r="Q3919" s="137"/>
      <c r="R3919" s="126"/>
    </row>
    <row r="3920" spans="2:18" x14ac:dyDescent="0.3">
      <c r="B3920" s="126"/>
      <c r="G3920" s="137"/>
      <c r="H3920" s="138"/>
      <c r="I3920" s="138"/>
      <c r="J3920" s="139"/>
      <c r="K3920" s="137"/>
      <c r="L3920" s="137"/>
      <c r="P3920" s="137"/>
      <c r="Q3920" s="137"/>
      <c r="R3920" s="126"/>
    </row>
    <row r="3921" spans="2:18" x14ac:dyDescent="0.3">
      <c r="B3921" s="126"/>
      <c r="G3921" s="137"/>
      <c r="H3921" s="138"/>
      <c r="I3921" s="138"/>
      <c r="J3921" s="139"/>
      <c r="K3921" s="137"/>
      <c r="L3921" s="137"/>
      <c r="P3921" s="137"/>
      <c r="Q3921" s="137"/>
      <c r="R3921" s="126"/>
    </row>
    <row r="3922" spans="2:18" x14ac:dyDescent="0.3">
      <c r="B3922" s="126"/>
      <c r="G3922" s="137"/>
      <c r="H3922" s="138"/>
      <c r="I3922" s="138"/>
      <c r="J3922" s="139"/>
      <c r="K3922" s="137"/>
      <c r="L3922" s="137"/>
      <c r="P3922" s="137"/>
      <c r="Q3922" s="137"/>
      <c r="R3922" s="126"/>
    </row>
    <row r="3923" spans="2:18" x14ac:dyDescent="0.3">
      <c r="B3923" s="126"/>
      <c r="G3923" s="137"/>
      <c r="H3923" s="138"/>
      <c r="I3923" s="138"/>
      <c r="J3923" s="139"/>
      <c r="K3923" s="137"/>
      <c r="L3923" s="137"/>
      <c r="P3923" s="137"/>
      <c r="Q3923" s="137"/>
      <c r="R3923" s="126"/>
    </row>
    <row r="3924" spans="2:18" x14ac:dyDescent="0.3">
      <c r="B3924" s="126"/>
      <c r="G3924" s="137"/>
      <c r="H3924" s="138"/>
      <c r="I3924" s="138"/>
      <c r="J3924" s="139"/>
      <c r="K3924" s="137"/>
      <c r="L3924" s="137"/>
      <c r="P3924" s="137"/>
      <c r="Q3924" s="137"/>
      <c r="R3924" s="126"/>
    </row>
    <row r="3925" spans="2:18" x14ac:dyDescent="0.3">
      <c r="B3925" s="126"/>
      <c r="G3925" s="137"/>
      <c r="H3925" s="138"/>
      <c r="I3925" s="138"/>
      <c r="J3925" s="139"/>
      <c r="K3925" s="137"/>
      <c r="L3925" s="137"/>
      <c r="P3925" s="137"/>
      <c r="Q3925" s="137"/>
      <c r="R3925" s="126"/>
    </row>
    <row r="3926" spans="2:18" x14ac:dyDescent="0.3">
      <c r="B3926" s="126"/>
      <c r="G3926" s="137"/>
      <c r="H3926" s="138"/>
      <c r="I3926" s="138"/>
      <c r="J3926" s="139"/>
      <c r="K3926" s="137"/>
      <c r="L3926" s="137"/>
      <c r="P3926" s="137"/>
      <c r="Q3926" s="137"/>
      <c r="R3926" s="126"/>
    </row>
    <row r="3927" spans="2:18" x14ac:dyDescent="0.3">
      <c r="B3927" s="126"/>
      <c r="G3927" s="137"/>
      <c r="H3927" s="138"/>
      <c r="I3927" s="138"/>
      <c r="J3927" s="139"/>
      <c r="K3927" s="137"/>
      <c r="L3927" s="137"/>
      <c r="P3927" s="137"/>
      <c r="Q3927" s="137"/>
      <c r="R3927" s="126"/>
    </row>
    <row r="3928" spans="2:18" x14ac:dyDescent="0.3">
      <c r="B3928" s="126"/>
      <c r="G3928" s="137"/>
      <c r="H3928" s="138"/>
      <c r="I3928" s="138"/>
      <c r="J3928" s="139"/>
      <c r="K3928" s="137"/>
      <c r="L3928" s="137"/>
      <c r="P3928" s="137"/>
      <c r="Q3928" s="137"/>
      <c r="R3928" s="126"/>
    </row>
    <row r="3929" spans="2:18" x14ac:dyDescent="0.3">
      <c r="B3929" s="126"/>
      <c r="G3929" s="137"/>
      <c r="H3929" s="138"/>
      <c r="I3929" s="138"/>
      <c r="J3929" s="139"/>
      <c r="K3929" s="137"/>
      <c r="L3929" s="137"/>
      <c r="P3929" s="137"/>
      <c r="Q3929" s="137"/>
      <c r="R3929" s="126"/>
    </row>
    <row r="3930" spans="2:18" x14ac:dyDescent="0.3">
      <c r="B3930" s="126"/>
      <c r="G3930" s="137"/>
      <c r="H3930" s="138"/>
      <c r="I3930" s="138"/>
      <c r="J3930" s="139"/>
      <c r="K3930" s="137"/>
      <c r="L3930" s="137"/>
      <c r="P3930" s="137"/>
      <c r="Q3930" s="137"/>
      <c r="R3930" s="126"/>
    </row>
    <row r="3931" spans="2:18" x14ac:dyDescent="0.3">
      <c r="B3931" s="126"/>
      <c r="G3931" s="137"/>
      <c r="H3931" s="138"/>
      <c r="I3931" s="138"/>
      <c r="J3931" s="139"/>
      <c r="K3931" s="137"/>
      <c r="L3931" s="137"/>
      <c r="P3931" s="137"/>
      <c r="Q3931" s="137"/>
      <c r="R3931" s="126"/>
    </row>
    <row r="3932" spans="2:18" x14ac:dyDescent="0.3">
      <c r="B3932" s="126"/>
      <c r="G3932" s="137"/>
      <c r="H3932" s="138"/>
      <c r="I3932" s="138"/>
      <c r="J3932" s="139"/>
      <c r="K3932" s="137"/>
      <c r="L3932" s="137"/>
      <c r="P3932" s="137"/>
      <c r="Q3932" s="137"/>
      <c r="R3932" s="126"/>
    </row>
    <row r="3933" spans="2:18" x14ac:dyDescent="0.3">
      <c r="B3933" s="126"/>
      <c r="G3933" s="137"/>
      <c r="H3933" s="138"/>
      <c r="I3933" s="138"/>
      <c r="J3933" s="139"/>
      <c r="K3933" s="137"/>
      <c r="L3933" s="137"/>
      <c r="P3933" s="137"/>
      <c r="Q3933" s="137"/>
      <c r="R3933" s="126"/>
    </row>
    <row r="3934" spans="2:18" x14ac:dyDescent="0.3">
      <c r="B3934" s="126"/>
      <c r="G3934" s="137"/>
      <c r="H3934" s="138"/>
      <c r="I3934" s="138"/>
      <c r="J3934" s="139"/>
      <c r="K3934" s="137"/>
      <c r="L3934" s="137"/>
      <c r="P3934" s="137"/>
      <c r="Q3934" s="137"/>
      <c r="R3934" s="126"/>
    </row>
    <row r="3935" spans="2:18" x14ac:dyDescent="0.3">
      <c r="B3935" s="126"/>
      <c r="G3935" s="137"/>
      <c r="H3935" s="138"/>
      <c r="I3935" s="138"/>
      <c r="J3935" s="139"/>
      <c r="K3935" s="137"/>
      <c r="L3935" s="137"/>
      <c r="P3935" s="137"/>
      <c r="Q3935" s="137"/>
      <c r="R3935" s="126"/>
    </row>
    <row r="3936" spans="2:18" x14ac:dyDescent="0.3">
      <c r="B3936" s="126"/>
      <c r="G3936" s="137"/>
      <c r="H3936" s="138"/>
      <c r="I3936" s="138"/>
      <c r="J3936" s="139"/>
      <c r="K3936" s="137"/>
      <c r="L3936" s="137"/>
      <c r="P3936" s="137"/>
      <c r="Q3936" s="137"/>
      <c r="R3936" s="126"/>
    </row>
    <row r="3937" spans="2:18" x14ac:dyDescent="0.3">
      <c r="B3937" s="126"/>
      <c r="G3937" s="137"/>
      <c r="H3937" s="138"/>
      <c r="I3937" s="138"/>
      <c r="J3937" s="139"/>
      <c r="K3937" s="137"/>
      <c r="L3937" s="137"/>
      <c r="P3937" s="137"/>
      <c r="Q3937" s="137"/>
      <c r="R3937" s="126"/>
    </row>
    <row r="3938" spans="2:18" x14ac:dyDescent="0.3">
      <c r="B3938" s="126"/>
      <c r="G3938" s="137"/>
      <c r="H3938" s="138"/>
      <c r="I3938" s="138"/>
      <c r="J3938" s="139"/>
      <c r="K3938" s="137"/>
      <c r="L3938" s="137"/>
      <c r="P3938" s="137"/>
      <c r="Q3938" s="137"/>
      <c r="R3938" s="126"/>
    </row>
    <row r="3939" spans="2:18" x14ac:dyDescent="0.3">
      <c r="B3939" s="126"/>
      <c r="G3939" s="137"/>
      <c r="H3939" s="138"/>
      <c r="I3939" s="138"/>
      <c r="J3939" s="139"/>
      <c r="K3939" s="137"/>
      <c r="L3939" s="137"/>
      <c r="P3939" s="137"/>
      <c r="Q3939" s="137"/>
      <c r="R3939" s="126"/>
    </row>
    <row r="3940" spans="2:18" x14ac:dyDescent="0.3">
      <c r="B3940" s="126"/>
      <c r="G3940" s="137"/>
      <c r="H3940" s="138"/>
      <c r="I3940" s="138"/>
      <c r="J3940" s="139"/>
      <c r="K3940" s="137"/>
      <c r="L3940" s="137"/>
      <c r="P3940" s="137"/>
      <c r="Q3940" s="137"/>
      <c r="R3940" s="126"/>
    </row>
    <row r="3941" spans="2:18" x14ac:dyDescent="0.3">
      <c r="B3941" s="126"/>
      <c r="G3941" s="137"/>
      <c r="H3941" s="138"/>
      <c r="I3941" s="138"/>
      <c r="J3941" s="139"/>
      <c r="K3941" s="137"/>
      <c r="L3941" s="137"/>
      <c r="P3941" s="137"/>
      <c r="Q3941" s="137"/>
      <c r="R3941" s="126"/>
    </row>
    <row r="3942" spans="2:18" x14ac:dyDescent="0.3">
      <c r="B3942" s="126"/>
      <c r="G3942" s="137"/>
      <c r="H3942" s="138"/>
      <c r="I3942" s="138"/>
      <c r="J3942" s="139"/>
      <c r="K3942" s="137"/>
      <c r="L3942" s="137"/>
      <c r="P3942" s="137"/>
      <c r="Q3942" s="137"/>
      <c r="R3942" s="126"/>
    </row>
    <row r="3943" spans="2:18" x14ac:dyDescent="0.3">
      <c r="B3943" s="126"/>
      <c r="G3943" s="137"/>
      <c r="H3943" s="138"/>
      <c r="I3943" s="138"/>
      <c r="J3943" s="139"/>
      <c r="K3943" s="137"/>
      <c r="L3943" s="137"/>
      <c r="P3943" s="137"/>
      <c r="Q3943" s="137"/>
      <c r="R3943" s="126"/>
    </row>
    <row r="3944" spans="2:18" x14ac:dyDescent="0.3">
      <c r="B3944" s="126"/>
      <c r="G3944" s="137"/>
      <c r="H3944" s="138"/>
      <c r="I3944" s="138"/>
      <c r="J3944" s="139"/>
      <c r="K3944" s="137"/>
      <c r="L3944" s="137"/>
      <c r="P3944" s="137"/>
      <c r="Q3944" s="137"/>
      <c r="R3944" s="126"/>
    </row>
    <row r="3945" spans="2:18" x14ac:dyDescent="0.3">
      <c r="B3945" s="126"/>
      <c r="G3945" s="137"/>
      <c r="H3945" s="138"/>
      <c r="I3945" s="138"/>
      <c r="J3945" s="139"/>
      <c r="K3945" s="137"/>
      <c r="L3945" s="137"/>
      <c r="P3945" s="137"/>
      <c r="Q3945" s="137"/>
      <c r="R3945" s="126"/>
    </row>
    <row r="3946" spans="2:18" x14ac:dyDescent="0.3">
      <c r="B3946" s="126"/>
      <c r="G3946" s="137"/>
      <c r="H3946" s="138"/>
      <c r="I3946" s="138"/>
      <c r="J3946" s="139"/>
      <c r="K3946" s="137"/>
      <c r="L3946" s="137"/>
      <c r="P3946" s="137"/>
      <c r="Q3946" s="137"/>
      <c r="R3946" s="126"/>
    </row>
    <row r="3947" spans="2:18" x14ac:dyDescent="0.3">
      <c r="B3947" s="126"/>
      <c r="G3947" s="137"/>
      <c r="H3947" s="138"/>
      <c r="I3947" s="138"/>
      <c r="J3947" s="139"/>
      <c r="K3947" s="137"/>
      <c r="L3947" s="137"/>
      <c r="P3947" s="137"/>
      <c r="Q3947" s="137"/>
      <c r="R3947" s="126"/>
    </row>
    <row r="3948" spans="2:18" x14ac:dyDescent="0.3">
      <c r="B3948" s="126"/>
      <c r="G3948" s="137"/>
      <c r="H3948" s="138"/>
      <c r="I3948" s="138"/>
      <c r="J3948" s="139"/>
      <c r="K3948" s="137"/>
      <c r="L3948" s="137"/>
      <c r="P3948" s="137"/>
      <c r="Q3948" s="137"/>
      <c r="R3948" s="126"/>
    </row>
    <row r="3949" spans="2:18" x14ac:dyDescent="0.3">
      <c r="B3949" s="126"/>
      <c r="G3949" s="137"/>
      <c r="H3949" s="138"/>
      <c r="I3949" s="138"/>
      <c r="J3949" s="139"/>
      <c r="K3949" s="137"/>
      <c r="L3949" s="137"/>
      <c r="P3949" s="137"/>
      <c r="Q3949" s="137"/>
      <c r="R3949" s="126"/>
    </row>
    <row r="3950" spans="2:18" x14ac:dyDescent="0.3">
      <c r="B3950" s="126"/>
      <c r="G3950" s="137"/>
      <c r="H3950" s="138"/>
      <c r="I3950" s="138"/>
      <c r="J3950" s="139"/>
      <c r="K3950" s="137"/>
      <c r="L3950" s="137"/>
      <c r="P3950" s="137"/>
      <c r="Q3950" s="137"/>
      <c r="R3950" s="126"/>
    </row>
    <row r="3951" spans="2:18" x14ac:dyDescent="0.3">
      <c r="B3951" s="126"/>
      <c r="G3951" s="137"/>
      <c r="H3951" s="138"/>
      <c r="I3951" s="138"/>
      <c r="J3951" s="139"/>
      <c r="K3951" s="137"/>
      <c r="L3951" s="137"/>
      <c r="P3951" s="137"/>
      <c r="Q3951" s="137"/>
      <c r="R3951" s="126"/>
    </row>
    <row r="3952" spans="2:18" x14ac:dyDescent="0.3">
      <c r="B3952" s="126"/>
      <c r="G3952" s="137"/>
      <c r="H3952" s="138"/>
      <c r="I3952" s="138"/>
      <c r="J3952" s="139"/>
      <c r="K3952" s="137"/>
      <c r="L3952" s="137"/>
      <c r="P3952" s="137"/>
      <c r="Q3952" s="137"/>
      <c r="R3952" s="126"/>
    </row>
    <row r="3953" spans="2:18" x14ac:dyDescent="0.3">
      <c r="B3953" s="126"/>
      <c r="G3953" s="137"/>
      <c r="H3953" s="138"/>
      <c r="I3953" s="138"/>
      <c r="J3953" s="139"/>
      <c r="K3953" s="137"/>
      <c r="L3953" s="137"/>
      <c r="P3953" s="137"/>
      <c r="Q3953" s="137"/>
      <c r="R3953" s="126"/>
    </row>
    <row r="3954" spans="2:18" x14ac:dyDescent="0.3">
      <c r="B3954" s="126"/>
      <c r="G3954" s="137"/>
      <c r="H3954" s="138"/>
      <c r="I3954" s="138"/>
      <c r="J3954" s="139"/>
      <c r="K3954" s="137"/>
      <c r="L3954" s="137"/>
      <c r="P3954" s="137"/>
      <c r="Q3954" s="137"/>
      <c r="R3954" s="126"/>
    </row>
    <row r="3955" spans="2:18" x14ac:dyDescent="0.3">
      <c r="B3955" s="126"/>
      <c r="G3955" s="137"/>
      <c r="H3955" s="138"/>
      <c r="I3955" s="138"/>
      <c r="J3955" s="139"/>
      <c r="K3955" s="137"/>
      <c r="L3955" s="137"/>
      <c r="P3955" s="137"/>
      <c r="Q3955" s="137"/>
      <c r="R3955" s="126"/>
    </row>
    <row r="3956" spans="2:18" x14ac:dyDescent="0.3">
      <c r="B3956" s="126"/>
      <c r="G3956" s="137"/>
      <c r="H3956" s="138"/>
      <c r="I3956" s="138"/>
      <c r="J3956" s="139"/>
      <c r="K3956" s="137"/>
      <c r="L3956" s="137"/>
      <c r="P3956" s="137"/>
      <c r="Q3956" s="137"/>
      <c r="R3956" s="126"/>
    </row>
    <row r="3957" spans="2:18" x14ac:dyDescent="0.3">
      <c r="B3957" s="126"/>
      <c r="G3957" s="137"/>
      <c r="H3957" s="138"/>
      <c r="I3957" s="138"/>
      <c r="J3957" s="139"/>
      <c r="K3957" s="137"/>
      <c r="L3957" s="137"/>
      <c r="P3957" s="137"/>
      <c r="Q3957" s="137"/>
      <c r="R3957" s="126"/>
    </row>
    <row r="3958" spans="2:18" x14ac:dyDescent="0.3">
      <c r="B3958" s="126"/>
      <c r="G3958" s="137"/>
      <c r="H3958" s="138"/>
      <c r="I3958" s="138"/>
      <c r="J3958" s="139"/>
      <c r="K3958" s="137"/>
      <c r="L3958" s="137"/>
      <c r="P3958" s="137"/>
      <c r="Q3958" s="137"/>
      <c r="R3958" s="126"/>
    </row>
    <row r="3959" spans="2:18" x14ac:dyDescent="0.3">
      <c r="B3959" s="126"/>
      <c r="G3959" s="137"/>
      <c r="H3959" s="138"/>
      <c r="I3959" s="138"/>
      <c r="J3959" s="139"/>
      <c r="K3959" s="137"/>
      <c r="L3959" s="137"/>
      <c r="P3959" s="137"/>
      <c r="Q3959" s="137"/>
      <c r="R3959" s="126"/>
    </row>
    <row r="3960" spans="2:18" x14ac:dyDescent="0.3">
      <c r="B3960" s="126"/>
      <c r="G3960" s="137"/>
      <c r="H3960" s="138"/>
      <c r="I3960" s="138"/>
      <c r="J3960" s="139"/>
      <c r="K3960" s="137"/>
      <c r="L3960" s="137"/>
      <c r="P3960" s="137"/>
      <c r="Q3960" s="137"/>
      <c r="R3960" s="126"/>
    </row>
    <row r="3961" spans="2:18" x14ac:dyDescent="0.3">
      <c r="B3961" s="126"/>
      <c r="G3961" s="137"/>
      <c r="H3961" s="138"/>
      <c r="I3961" s="138"/>
      <c r="J3961" s="139"/>
      <c r="K3961" s="137"/>
      <c r="L3961" s="137"/>
      <c r="P3961" s="137"/>
      <c r="Q3961" s="137"/>
      <c r="R3961" s="126"/>
    </row>
    <row r="3962" spans="2:18" x14ac:dyDescent="0.3">
      <c r="B3962" s="126"/>
      <c r="G3962" s="137"/>
      <c r="H3962" s="138"/>
      <c r="I3962" s="138"/>
      <c r="J3962" s="139"/>
      <c r="K3962" s="137"/>
      <c r="L3962" s="137"/>
      <c r="P3962" s="137"/>
      <c r="Q3962" s="137"/>
      <c r="R3962" s="126"/>
    </row>
    <row r="3963" spans="2:18" x14ac:dyDescent="0.3">
      <c r="B3963" s="126"/>
      <c r="G3963" s="137"/>
      <c r="H3963" s="138"/>
      <c r="I3963" s="138"/>
      <c r="J3963" s="139"/>
      <c r="K3963" s="137"/>
      <c r="L3963" s="137"/>
      <c r="P3963" s="137"/>
      <c r="Q3963" s="137"/>
      <c r="R3963" s="126"/>
    </row>
    <row r="3964" spans="2:18" x14ac:dyDescent="0.3">
      <c r="B3964" s="126"/>
      <c r="G3964" s="137"/>
      <c r="H3964" s="138"/>
      <c r="I3964" s="138"/>
      <c r="J3964" s="139"/>
      <c r="K3964" s="137"/>
      <c r="L3964" s="137"/>
      <c r="P3964" s="137"/>
      <c r="Q3964" s="137"/>
      <c r="R3964" s="126"/>
    </row>
    <row r="3965" spans="2:18" x14ac:dyDescent="0.3">
      <c r="B3965" s="126"/>
      <c r="G3965" s="137"/>
      <c r="H3965" s="138"/>
      <c r="I3965" s="138"/>
      <c r="J3965" s="139"/>
      <c r="K3965" s="137"/>
      <c r="L3965" s="137"/>
      <c r="P3965" s="137"/>
      <c r="Q3965" s="137"/>
      <c r="R3965" s="126"/>
    </row>
    <row r="3966" spans="2:18" x14ac:dyDescent="0.3">
      <c r="B3966" s="126"/>
      <c r="G3966" s="137"/>
      <c r="H3966" s="138"/>
      <c r="I3966" s="138"/>
      <c r="J3966" s="139"/>
      <c r="K3966" s="137"/>
      <c r="L3966" s="137"/>
      <c r="P3966" s="137"/>
      <c r="Q3966" s="137"/>
      <c r="R3966" s="126"/>
    </row>
    <row r="3967" spans="2:18" x14ac:dyDescent="0.3">
      <c r="B3967" s="126"/>
      <c r="G3967" s="137"/>
      <c r="H3967" s="138"/>
      <c r="I3967" s="138"/>
      <c r="J3967" s="139"/>
      <c r="K3967" s="137"/>
      <c r="L3967" s="137"/>
      <c r="P3967" s="137"/>
      <c r="Q3967" s="137"/>
      <c r="R3967" s="126"/>
    </row>
    <row r="3968" spans="2:18" x14ac:dyDescent="0.3">
      <c r="B3968" s="126"/>
      <c r="G3968" s="137"/>
      <c r="H3968" s="138"/>
      <c r="I3968" s="138"/>
      <c r="J3968" s="139"/>
      <c r="K3968" s="137"/>
      <c r="L3968" s="137"/>
      <c r="P3968" s="137"/>
      <c r="Q3968" s="137"/>
      <c r="R3968" s="126"/>
    </row>
    <row r="3969" spans="2:18" x14ac:dyDescent="0.3">
      <c r="B3969" s="126"/>
      <c r="G3969" s="137"/>
      <c r="H3969" s="138"/>
      <c r="I3969" s="138"/>
      <c r="J3969" s="139"/>
      <c r="K3969" s="137"/>
      <c r="L3969" s="137"/>
      <c r="P3969" s="137"/>
      <c r="Q3969" s="137"/>
      <c r="R3969" s="126"/>
    </row>
    <row r="3970" spans="2:18" x14ac:dyDescent="0.3">
      <c r="B3970" s="126"/>
      <c r="G3970" s="137"/>
      <c r="H3970" s="138"/>
      <c r="I3970" s="138"/>
      <c r="J3970" s="139"/>
      <c r="K3970" s="137"/>
      <c r="L3970" s="137"/>
      <c r="P3970" s="137"/>
      <c r="Q3970" s="137"/>
      <c r="R3970" s="126"/>
    </row>
    <row r="3971" spans="2:18" x14ac:dyDescent="0.3">
      <c r="B3971" s="126"/>
      <c r="G3971" s="137"/>
      <c r="H3971" s="138"/>
      <c r="I3971" s="138"/>
      <c r="J3971" s="139"/>
      <c r="K3971" s="137"/>
      <c r="L3971" s="137"/>
      <c r="P3971" s="137"/>
      <c r="Q3971" s="137"/>
      <c r="R3971" s="126"/>
    </row>
    <row r="3972" spans="2:18" x14ac:dyDescent="0.3">
      <c r="B3972" s="126"/>
      <c r="G3972" s="137"/>
      <c r="H3972" s="138"/>
      <c r="I3972" s="138"/>
      <c r="J3972" s="139"/>
      <c r="K3972" s="137"/>
      <c r="L3972" s="137"/>
      <c r="P3972" s="137"/>
      <c r="Q3972" s="137"/>
      <c r="R3972" s="126"/>
    </row>
    <row r="3973" spans="2:18" x14ac:dyDescent="0.3">
      <c r="B3973" s="126"/>
      <c r="G3973" s="137"/>
      <c r="H3973" s="138"/>
      <c r="I3973" s="138"/>
      <c r="J3973" s="139"/>
      <c r="K3973" s="137"/>
      <c r="L3973" s="137"/>
      <c r="P3973" s="137"/>
      <c r="Q3973" s="137"/>
      <c r="R3973" s="126"/>
    </row>
    <row r="3974" spans="2:18" x14ac:dyDescent="0.3">
      <c r="B3974" s="126"/>
      <c r="G3974" s="137"/>
      <c r="H3974" s="138"/>
      <c r="I3974" s="138"/>
      <c r="J3974" s="139"/>
      <c r="K3974" s="137"/>
      <c r="L3974" s="137"/>
      <c r="P3974" s="137"/>
      <c r="Q3974" s="137"/>
      <c r="R3974" s="126"/>
    </row>
    <row r="3975" spans="2:18" x14ac:dyDescent="0.3">
      <c r="B3975" s="126"/>
      <c r="G3975" s="137"/>
      <c r="H3975" s="138"/>
      <c r="I3975" s="138"/>
      <c r="J3975" s="139"/>
      <c r="K3975" s="137"/>
      <c r="L3975" s="137"/>
      <c r="P3975" s="137"/>
      <c r="Q3975" s="137"/>
      <c r="R3975" s="126"/>
    </row>
    <row r="3976" spans="2:18" x14ac:dyDescent="0.3">
      <c r="B3976" s="126"/>
      <c r="G3976" s="137"/>
      <c r="H3976" s="138"/>
      <c r="I3976" s="138"/>
      <c r="J3976" s="139"/>
      <c r="K3976" s="137"/>
      <c r="L3976" s="137"/>
      <c r="P3976" s="137"/>
      <c r="Q3976" s="137"/>
      <c r="R3976" s="126"/>
    </row>
    <row r="3977" spans="2:18" x14ac:dyDescent="0.3">
      <c r="B3977" s="126"/>
      <c r="G3977" s="137"/>
      <c r="H3977" s="138"/>
      <c r="I3977" s="138"/>
      <c r="J3977" s="139"/>
      <c r="K3977" s="137"/>
      <c r="L3977" s="137"/>
      <c r="P3977" s="137"/>
      <c r="Q3977" s="137"/>
      <c r="R3977" s="126"/>
    </row>
    <row r="3978" spans="2:18" x14ac:dyDescent="0.3">
      <c r="B3978" s="126"/>
      <c r="G3978" s="137"/>
      <c r="H3978" s="138"/>
      <c r="I3978" s="138"/>
      <c r="J3978" s="139"/>
      <c r="K3978" s="137"/>
      <c r="L3978" s="137"/>
      <c r="P3978" s="137"/>
      <c r="Q3978" s="137"/>
      <c r="R3978" s="126"/>
    </row>
    <row r="3979" spans="2:18" x14ac:dyDescent="0.3">
      <c r="B3979" s="126"/>
      <c r="G3979" s="137"/>
      <c r="H3979" s="138"/>
      <c r="I3979" s="138"/>
      <c r="J3979" s="139"/>
      <c r="K3979" s="137"/>
      <c r="L3979" s="137"/>
      <c r="P3979" s="137"/>
      <c r="Q3979" s="137"/>
      <c r="R3979" s="126"/>
    </row>
    <row r="3980" spans="2:18" x14ac:dyDescent="0.3">
      <c r="B3980" s="126"/>
      <c r="G3980" s="137"/>
      <c r="H3980" s="138"/>
      <c r="I3980" s="138"/>
      <c r="J3980" s="139"/>
      <c r="K3980" s="137"/>
      <c r="L3980" s="137"/>
      <c r="P3980" s="137"/>
      <c r="Q3980" s="137"/>
      <c r="R3980" s="126"/>
    </row>
    <row r="3981" spans="2:18" x14ac:dyDescent="0.3">
      <c r="B3981" s="126"/>
      <c r="G3981" s="137"/>
      <c r="H3981" s="138"/>
      <c r="I3981" s="138"/>
      <c r="J3981" s="139"/>
      <c r="K3981" s="137"/>
      <c r="L3981" s="137"/>
      <c r="P3981" s="137"/>
      <c r="Q3981" s="137"/>
      <c r="R3981" s="126"/>
    </row>
    <row r="3982" spans="2:18" x14ac:dyDescent="0.3">
      <c r="B3982" s="126"/>
      <c r="G3982" s="137"/>
      <c r="H3982" s="138"/>
      <c r="I3982" s="138"/>
      <c r="J3982" s="139"/>
      <c r="K3982" s="137"/>
      <c r="L3982" s="137"/>
      <c r="P3982" s="137"/>
      <c r="Q3982" s="137"/>
      <c r="R3982" s="126"/>
    </row>
    <row r="3983" spans="2:18" x14ac:dyDescent="0.3">
      <c r="B3983" s="126"/>
      <c r="G3983" s="137"/>
      <c r="H3983" s="138"/>
      <c r="I3983" s="138"/>
      <c r="J3983" s="139"/>
      <c r="K3983" s="137"/>
      <c r="L3983" s="137"/>
      <c r="P3983" s="137"/>
      <c r="Q3983" s="137"/>
      <c r="R3983" s="126"/>
    </row>
    <row r="3984" spans="2:18" x14ac:dyDescent="0.3">
      <c r="B3984" s="126"/>
      <c r="G3984" s="137"/>
      <c r="H3984" s="138"/>
      <c r="I3984" s="138"/>
      <c r="J3984" s="139"/>
      <c r="K3984" s="137"/>
      <c r="L3984" s="137"/>
      <c r="P3984" s="137"/>
      <c r="Q3984" s="137"/>
      <c r="R3984" s="126"/>
    </row>
    <row r="3985" spans="2:18" x14ac:dyDescent="0.3">
      <c r="B3985" s="126"/>
      <c r="G3985" s="137"/>
      <c r="H3985" s="138"/>
      <c r="I3985" s="138"/>
      <c r="J3985" s="139"/>
      <c r="K3985" s="137"/>
      <c r="L3985" s="137"/>
      <c r="P3985" s="137"/>
      <c r="Q3985" s="137"/>
      <c r="R3985" s="126"/>
    </row>
    <row r="3986" spans="2:18" x14ac:dyDescent="0.3">
      <c r="B3986" s="126"/>
      <c r="G3986" s="137"/>
      <c r="H3986" s="138"/>
      <c r="I3986" s="138"/>
      <c r="J3986" s="139"/>
      <c r="K3986" s="137"/>
      <c r="L3986" s="137"/>
      <c r="P3986" s="137"/>
      <c r="Q3986" s="137"/>
      <c r="R3986" s="126"/>
    </row>
    <row r="3987" spans="2:18" x14ac:dyDescent="0.3">
      <c r="B3987" s="126"/>
      <c r="G3987" s="137"/>
      <c r="H3987" s="138"/>
      <c r="I3987" s="138"/>
      <c r="J3987" s="139"/>
      <c r="K3987" s="137"/>
      <c r="L3987" s="137"/>
      <c r="P3987" s="137"/>
      <c r="Q3987" s="137"/>
      <c r="R3987" s="126"/>
    </row>
    <row r="3988" spans="2:18" x14ac:dyDescent="0.3">
      <c r="B3988" s="126"/>
      <c r="G3988" s="137"/>
      <c r="H3988" s="138"/>
      <c r="I3988" s="138"/>
      <c r="J3988" s="139"/>
      <c r="K3988" s="137"/>
      <c r="L3988" s="137"/>
      <c r="P3988" s="137"/>
      <c r="Q3988" s="137"/>
      <c r="R3988" s="126"/>
    </row>
    <row r="3989" spans="2:18" x14ac:dyDescent="0.3">
      <c r="B3989" s="126"/>
      <c r="G3989" s="137"/>
      <c r="H3989" s="138"/>
      <c r="I3989" s="138"/>
      <c r="J3989" s="139"/>
      <c r="K3989" s="137"/>
      <c r="L3989" s="137"/>
      <c r="P3989" s="137"/>
      <c r="Q3989" s="137"/>
      <c r="R3989" s="126"/>
    </row>
    <row r="3990" spans="2:18" x14ac:dyDescent="0.3">
      <c r="B3990" s="126"/>
      <c r="G3990" s="137"/>
      <c r="H3990" s="138"/>
      <c r="I3990" s="138"/>
      <c r="J3990" s="139"/>
      <c r="K3990" s="137"/>
      <c r="L3990" s="137"/>
      <c r="P3990" s="137"/>
      <c r="Q3990" s="137"/>
      <c r="R3990" s="126"/>
    </row>
    <row r="3991" spans="2:18" x14ac:dyDescent="0.3">
      <c r="B3991" s="126"/>
      <c r="G3991" s="137"/>
      <c r="H3991" s="138"/>
      <c r="I3991" s="138"/>
      <c r="J3991" s="139"/>
      <c r="K3991" s="137"/>
      <c r="L3991" s="137"/>
      <c r="P3991" s="137"/>
      <c r="Q3991" s="137"/>
      <c r="R3991" s="126"/>
    </row>
    <row r="3992" spans="2:18" x14ac:dyDescent="0.3">
      <c r="B3992" s="126"/>
      <c r="G3992" s="137"/>
      <c r="H3992" s="138"/>
      <c r="I3992" s="138"/>
      <c r="J3992" s="139"/>
      <c r="K3992" s="137"/>
      <c r="L3992" s="137"/>
      <c r="P3992" s="137"/>
      <c r="Q3992" s="137"/>
      <c r="R3992" s="126"/>
    </row>
    <row r="3993" spans="2:18" x14ac:dyDescent="0.3">
      <c r="B3993" s="126"/>
      <c r="G3993" s="137"/>
      <c r="H3993" s="138"/>
      <c r="I3993" s="138"/>
      <c r="J3993" s="139"/>
      <c r="K3993" s="137"/>
      <c r="L3993" s="137"/>
      <c r="P3993" s="137"/>
      <c r="Q3993" s="137"/>
      <c r="R3993" s="126"/>
    </row>
    <row r="3994" spans="2:18" x14ac:dyDescent="0.3">
      <c r="B3994" s="126"/>
      <c r="G3994" s="137"/>
      <c r="H3994" s="138"/>
      <c r="I3994" s="138"/>
      <c r="J3994" s="139"/>
      <c r="K3994" s="137"/>
      <c r="L3994" s="137"/>
      <c r="P3994" s="137"/>
      <c r="Q3994" s="137"/>
      <c r="R3994" s="126"/>
    </row>
    <row r="3995" spans="2:18" x14ac:dyDescent="0.3">
      <c r="B3995" s="126"/>
      <c r="G3995" s="137"/>
      <c r="H3995" s="138"/>
      <c r="I3995" s="138"/>
      <c r="J3995" s="139"/>
      <c r="K3995" s="137"/>
      <c r="L3995" s="137"/>
      <c r="P3995" s="137"/>
      <c r="Q3995" s="137"/>
      <c r="R3995" s="126"/>
    </row>
    <row r="3996" spans="2:18" x14ac:dyDescent="0.3">
      <c r="B3996" s="126"/>
      <c r="G3996" s="137"/>
      <c r="H3996" s="138"/>
      <c r="I3996" s="138"/>
      <c r="J3996" s="139"/>
      <c r="K3996" s="137"/>
      <c r="L3996" s="137"/>
      <c r="P3996" s="137"/>
      <c r="Q3996" s="137"/>
      <c r="R3996" s="126"/>
    </row>
    <row r="3997" spans="2:18" x14ac:dyDescent="0.3">
      <c r="B3997" s="126"/>
      <c r="G3997" s="137"/>
      <c r="H3997" s="138"/>
      <c r="I3997" s="138"/>
      <c r="J3997" s="139"/>
      <c r="K3997" s="137"/>
      <c r="L3997" s="137"/>
      <c r="P3997" s="137"/>
      <c r="Q3997" s="137"/>
      <c r="R3997" s="126"/>
    </row>
    <row r="3998" spans="2:18" x14ac:dyDescent="0.3">
      <c r="B3998" s="126"/>
      <c r="G3998" s="137"/>
      <c r="H3998" s="138"/>
      <c r="I3998" s="138"/>
      <c r="J3998" s="139"/>
      <c r="K3998" s="137"/>
      <c r="L3998" s="137"/>
      <c r="P3998" s="137"/>
      <c r="Q3998" s="137"/>
      <c r="R3998" s="126"/>
    </row>
    <row r="3999" spans="2:18" x14ac:dyDescent="0.3">
      <c r="B3999" s="126"/>
      <c r="G3999" s="137"/>
      <c r="H3999" s="138"/>
      <c r="I3999" s="138"/>
      <c r="J3999" s="139"/>
      <c r="K3999" s="137"/>
      <c r="L3999" s="137"/>
      <c r="P3999" s="137"/>
      <c r="Q3999" s="137"/>
      <c r="R3999" s="126"/>
    </row>
    <row r="4000" spans="2:18" x14ac:dyDescent="0.3">
      <c r="B4000" s="126"/>
      <c r="G4000" s="137"/>
      <c r="H4000" s="138"/>
      <c r="I4000" s="138"/>
      <c r="J4000" s="139"/>
      <c r="K4000" s="137"/>
      <c r="L4000" s="137"/>
      <c r="P4000" s="137"/>
      <c r="Q4000" s="137"/>
      <c r="R4000" s="126"/>
    </row>
    <row r="4001" spans="2:18" x14ac:dyDescent="0.3">
      <c r="B4001" s="126"/>
      <c r="G4001" s="137"/>
      <c r="H4001" s="138"/>
      <c r="I4001" s="138"/>
      <c r="J4001" s="139"/>
      <c r="K4001" s="137"/>
      <c r="L4001" s="137"/>
      <c r="P4001" s="137"/>
      <c r="Q4001" s="137"/>
      <c r="R4001" s="126"/>
    </row>
    <row r="4002" spans="2:18" x14ac:dyDescent="0.3">
      <c r="B4002" s="126"/>
      <c r="G4002" s="137"/>
      <c r="H4002" s="138"/>
      <c r="I4002" s="138"/>
      <c r="J4002" s="139"/>
      <c r="K4002" s="137"/>
      <c r="L4002" s="137"/>
      <c r="P4002" s="137"/>
      <c r="Q4002" s="137"/>
      <c r="R4002" s="126"/>
    </row>
    <row r="4003" spans="2:18" x14ac:dyDescent="0.3">
      <c r="B4003" s="126"/>
      <c r="G4003" s="137"/>
      <c r="H4003" s="138"/>
      <c r="I4003" s="138"/>
      <c r="J4003" s="139"/>
      <c r="K4003" s="137"/>
      <c r="L4003" s="137"/>
      <c r="P4003" s="137"/>
      <c r="Q4003" s="137"/>
      <c r="R4003" s="126"/>
    </row>
    <row r="4004" spans="2:18" x14ac:dyDescent="0.3">
      <c r="B4004" s="126"/>
      <c r="G4004" s="137"/>
      <c r="H4004" s="138"/>
      <c r="I4004" s="138"/>
      <c r="J4004" s="139"/>
      <c r="K4004" s="137"/>
      <c r="L4004" s="137"/>
      <c r="P4004" s="137"/>
      <c r="Q4004" s="137"/>
      <c r="R4004" s="126"/>
    </row>
    <row r="4005" spans="2:18" x14ac:dyDescent="0.3">
      <c r="B4005" s="126"/>
      <c r="G4005" s="137"/>
      <c r="H4005" s="138"/>
      <c r="I4005" s="138"/>
      <c r="J4005" s="139"/>
      <c r="K4005" s="137"/>
      <c r="L4005" s="137"/>
      <c r="P4005" s="137"/>
      <c r="Q4005" s="137"/>
      <c r="R4005" s="126"/>
    </row>
    <row r="4006" spans="2:18" x14ac:dyDescent="0.3">
      <c r="B4006" s="126"/>
      <c r="G4006" s="137"/>
      <c r="H4006" s="138"/>
      <c r="I4006" s="138"/>
      <c r="J4006" s="139"/>
      <c r="K4006" s="137"/>
      <c r="L4006" s="137"/>
      <c r="P4006" s="137"/>
      <c r="Q4006" s="137"/>
      <c r="R4006" s="126"/>
    </row>
    <row r="4007" spans="2:18" x14ac:dyDescent="0.3">
      <c r="B4007" s="126"/>
      <c r="G4007" s="137"/>
      <c r="H4007" s="138"/>
      <c r="I4007" s="138"/>
      <c r="J4007" s="139"/>
      <c r="K4007" s="137"/>
      <c r="L4007" s="137"/>
      <c r="P4007" s="137"/>
      <c r="Q4007" s="137"/>
      <c r="R4007" s="126"/>
    </row>
    <row r="4008" spans="2:18" x14ac:dyDescent="0.3">
      <c r="B4008" s="126"/>
      <c r="G4008" s="137"/>
      <c r="H4008" s="138"/>
      <c r="I4008" s="138"/>
      <c r="J4008" s="139"/>
      <c r="K4008" s="137"/>
      <c r="L4008" s="137"/>
      <c r="P4008" s="137"/>
      <c r="Q4008" s="137"/>
      <c r="R4008" s="126"/>
    </row>
    <row r="4009" spans="2:18" x14ac:dyDescent="0.3">
      <c r="B4009" s="126"/>
      <c r="G4009" s="137"/>
      <c r="H4009" s="138"/>
      <c r="I4009" s="138"/>
      <c r="J4009" s="139"/>
      <c r="K4009" s="137"/>
      <c r="L4009" s="137"/>
      <c r="P4009" s="137"/>
      <c r="Q4009" s="137"/>
      <c r="R4009" s="126"/>
    </row>
    <row r="4010" spans="2:18" x14ac:dyDescent="0.3">
      <c r="B4010" s="126"/>
      <c r="G4010" s="137"/>
      <c r="H4010" s="138"/>
      <c r="I4010" s="138"/>
      <c r="J4010" s="139"/>
      <c r="K4010" s="137"/>
      <c r="L4010" s="137"/>
      <c r="P4010" s="137"/>
      <c r="Q4010" s="137"/>
      <c r="R4010" s="126"/>
    </row>
    <row r="4011" spans="2:18" x14ac:dyDescent="0.3">
      <c r="B4011" s="126"/>
      <c r="G4011" s="137"/>
      <c r="H4011" s="138"/>
      <c r="I4011" s="138"/>
      <c r="J4011" s="139"/>
      <c r="K4011" s="137"/>
      <c r="L4011" s="137"/>
      <c r="P4011" s="137"/>
      <c r="Q4011" s="137"/>
      <c r="R4011" s="126"/>
    </row>
    <row r="4012" spans="2:18" x14ac:dyDescent="0.3">
      <c r="B4012" s="126"/>
      <c r="G4012" s="137"/>
      <c r="H4012" s="138"/>
      <c r="I4012" s="138"/>
      <c r="J4012" s="139"/>
      <c r="K4012" s="137"/>
      <c r="L4012" s="137"/>
      <c r="P4012" s="137"/>
      <c r="Q4012" s="137"/>
      <c r="R4012" s="126"/>
    </row>
    <row r="4013" spans="2:18" x14ac:dyDescent="0.3">
      <c r="B4013" s="126"/>
      <c r="G4013" s="137"/>
      <c r="H4013" s="138"/>
      <c r="I4013" s="138"/>
      <c r="J4013" s="139"/>
      <c r="K4013" s="137"/>
      <c r="L4013" s="137"/>
      <c r="P4013" s="137"/>
      <c r="Q4013" s="137"/>
      <c r="R4013" s="126"/>
    </row>
    <row r="4014" spans="2:18" x14ac:dyDescent="0.3">
      <c r="B4014" s="126"/>
      <c r="G4014" s="137"/>
      <c r="H4014" s="138"/>
      <c r="I4014" s="138"/>
      <c r="J4014" s="139"/>
      <c r="K4014" s="137"/>
      <c r="L4014" s="137"/>
      <c r="P4014" s="137"/>
      <c r="Q4014" s="137"/>
      <c r="R4014" s="126"/>
    </row>
    <row r="4015" spans="2:18" x14ac:dyDescent="0.3">
      <c r="B4015" s="126"/>
      <c r="G4015" s="137"/>
      <c r="H4015" s="138"/>
      <c r="I4015" s="138"/>
      <c r="J4015" s="139"/>
      <c r="K4015" s="137"/>
      <c r="L4015" s="137"/>
      <c r="P4015" s="137"/>
      <c r="Q4015" s="137"/>
      <c r="R4015" s="126"/>
    </row>
    <row r="4016" spans="2:18" x14ac:dyDescent="0.3">
      <c r="B4016" s="126"/>
      <c r="G4016" s="137"/>
      <c r="H4016" s="138"/>
      <c r="I4016" s="138"/>
      <c r="J4016" s="139"/>
      <c r="K4016" s="137"/>
      <c r="L4016" s="137"/>
      <c r="P4016" s="137"/>
      <c r="Q4016" s="137"/>
      <c r="R4016" s="126"/>
    </row>
    <row r="4017" spans="2:18" x14ac:dyDescent="0.3">
      <c r="B4017" s="126"/>
      <c r="G4017" s="137"/>
      <c r="H4017" s="138"/>
      <c r="I4017" s="138"/>
      <c r="J4017" s="139"/>
      <c r="K4017" s="137"/>
      <c r="L4017" s="137"/>
      <c r="P4017" s="137"/>
      <c r="Q4017" s="137"/>
      <c r="R4017" s="126"/>
    </row>
    <row r="4018" spans="2:18" x14ac:dyDescent="0.3">
      <c r="B4018" s="126"/>
      <c r="G4018" s="137"/>
      <c r="H4018" s="138"/>
      <c r="I4018" s="138"/>
      <c r="J4018" s="139"/>
      <c r="K4018" s="137"/>
      <c r="L4018" s="137"/>
      <c r="P4018" s="137"/>
      <c r="Q4018" s="137"/>
      <c r="R4018" s="126"/>
    </row>
    <row r="4019" spans="2:18" x14ac:dyDescent="0.3">
      <c r="B4019" s="126"/>
      <c r="G4019" s="137"/>
      <c r="H4019" s="138"/>
      <c r="I4019" s="138"/>
      <c r="J4019" s="139"/>
      <c r="K4019" s="137"/>
      <c r="L4019" s="137"/>
      <c r="P4019" s="137"/>
      <c r="Q4019" s="137"/>
      <c r="R4019" s="126"/>
    </row>
    <row r="4020" spans="2:18" x14ac:dyDescent="0.3">
      <c r="B4020" s="126"/>
      <c r="G4020" s="137"/>
      <c r="H4020" s="138"/>
      <c r="I4020" s="138"/>
      <c r="J4020" s="139"/>
      <c r="K4020" s="137"/>
      <c r="L4020" s="137"/>
      <c r="P4020" s="137"/>
      <c r="Q4020" s="137"/>
      <c r="R4020" s="126"/>
    </row>
    <row r="4021" spans="2:18" x14ac:dyDescent="0.3">
      <c r="B4021" s="126"/>
      <c r="G4021" s="137"/>
      <c r="H4021" s="138"/>
      <c r="I4021" s="138"/>
      <c r="J4021" s="139"/>
      <c r="K4021" s="137"/>
      <c r="L4021" s="137"/>
      <c r="P4021" s="137"/>
      <c r="Q4021" s="137"/>
      <c r="R4021" s="126"/>
    </row>
    <row r="4022" spans="2:18" x14ac:dyDescent="0.3">
      <c r="B4022" s="126"/>
      <c r="G4022" s="137"/>
      <c r="H4022" s="138"/>
      <c r="I4022" s="138"/>
      <c r="J4022" s="139"/>
      <c r="K4022" s="137"/>
      <c r="L4022" s="137"/>
      <c r="P4022" s="137"/>
      <c r="Q4022" s="137"/>
      <c r="R4022" s="126"/>
    </row>
    <row r="4023" spans="2:18" x14ac:dyDescent="0.3">
      <c r="B4023" s="126"/>
      <c r="G4023" s="137"/>
      <c r="H4023" s="138"/>
      <c r="I4023" s="138"/>
      <c r="J4023" s="139"/>
      <c r="K4023" s="137"/>
      <c r="L4023" s="137"/>
      <c r="P4023" s="137"/>
      <c r="Q4023" s="137"/>
      <c r="R4023" s="126"/>
    </row>
    <row r="4024" spans="2:18" x14ac:dyDescent="0.3">
      <c r="B4024" s="126"/>
      <c r="G4024" s="137"/>
      <c r="H4024" s="138"/>
      <c r="I4024" s="138"/>
      <c r="J4024" s="139"/>
      <c r="K4024" s="137"/>
      <c r="L4024" s="137"/>
      <c r="P4024" s="137"/>
      <c r="Q4024" s="137"/>
      <c r="R4024" s="126"/>
    </row>
    <row r="4025" spans="2:18" x14ac:dyDescent="0.3">
      <c r="B4025" s="126"/>
      <c r="G4025" s="137"/>
      <c r="H4025" s="138"/>
      <c r="I4025" s="138"/>
      <c r="J4025" s="139"/>
      <c r="K4025" s="137"/>
      <c r="L4025" s="137"/>
      <c r="P4025" s="137"/>
      <c r="Q4025" s="137"/>
      <c r="R4025" s="126"/>
    </row>
    <row r="4026" spans="2:18" x14ac:dyDescent="0.3">
      <c r="B4026" s="126"/>
      <c r="G4026" s="137"/>
      <c r="H4026" s="138"/>
      <c r="I4026" s="138"/>
      <c r="J4026" s="139"/>
      <c r="K4026" s="137"/>
      <c r="L4026" s="137"/>
      <c r="P4026" s="137"/>
      <c r="Q4026" s="137"/>
      <c r="R4026" s="126"/>
    </row>
    <row r="4027" spans="2:18" x14ac:dyDescent="0.3">
      <c r="B4027" s="126"/>
      <c r="G4027" s="137"/>
      <c r="H4027" s="138"/>
      <c r="I4027" s="138"/>
      <c r="J4027" s="139"/>
      <c r="K4027" s="137"/>
      <c r="L4027" s="137"/>
      <c r="P4027" s="137"/>
      <c r="Q4027" s="137"/>
      <c r="R4027" s="126"/>
    </row>
    <row r="4028" spans="2:18" x14ac:dyDescent="0.3">
      <c r="B4028" s="126"/>
      <c r="G4028" s="137"/>
      <c r="H4028" s="138"/>
      <c r="I4028" s="138"/>
      <c r="J4028" s="139"/>
      <c r="K4028" s="137"/>
      <c r="L4028" s="137"/>
      <c r="P4028" s="137"/>
      <c r="Q4028" s="137"/>
      <c r="R4028" s="126"/>
    </row>
    <row r="4029" spans="2:18" x14ac:dyDescent="0.3">
      <c r="B4029" s="126"/>
      <c r="G4029" s="137"/>
      <c r="H4029" s="138"/>
      <c r="I4029" s="138"/>
      <c r="J4029" s="139"/>
      <c r="K4029" s="137"/>
      <c r="L4029" s="137"/>
      <c r="P4029" s="137"/>
      <c r="Q4029" s="137"/>
      <c r="R4029" s="126"/>
    </row>
    <row r="4030" spans="2:18" x14ac:dyDescent="0.3">
      <c r="B4030" s="126"/>
      <c r="G4030" s="137"/>
      <c r="H4030" s="138"/>
      <c r="I4030" s="138"/>
      <c r="J4030" s="139"/>
      <c r="K4030" s="137"/>
      <c r="L4030" s="137"/>
      <c r="P4030" s="137"/>
      <c r="Q4030" s="137"/>
      <c r="R4030" s="126"/>
    </row>
    <row r="4031" spans="2:18" x14ac:dyDescent="0.3">
      <c r="B4031" s="126"/>
      <c r="G4031" s="137"/>
      <c r="H4031" s="138"/>
      <c r="I4031" s="138"/>
      <c r="J4031" s="139"/>
      <c r="K4031" s="137"/>
      <c r="L4031" s="137"/>
      <c r="P4031" s="137"/>
      <c r="Q4031" s="137"/>
      <c r="R4031" s="126"/>
    </row>
    <row r="4032" spans="2:18" x14ac:dyDescent="0.3">
      <c r="B4032" s="126"/>
      <c r="G4032" s="137"/>
      <c r="H4032" s="138"/>
      <c r="I4032" s="138"/>
      <c r="J4032" s="139"/>
      <c r="K4032" s="137"/>
      <c r="L4032" s="137"/>
      <c r="P4032" s="137"/>
      <c r="Q4032" s="137"/>
      <c r="R4032" s="126"/>
    </row>
    <row r="4033" spans="2:18" x14ac:dyDescent="0.3">
      <c r="B4033" s="126"/>
      <c r="G4033" s="137"/>
      <c r="H4033" s="138"/>
      <c r="I4033" s="138"/>
      <c r="J4033" s="139"/>
      <c r="K4033" s="137"/>
      <c r="L4033" s="137"/>
      <c r="P4033" s="137"/>
      <c r="Q4033" s="137"/>
      <c r="R4033" s="126"/>
    </row>
    <row r="4034" spans="2:18" x14ac:dyDescent="0.3">
      <c r="B4034" s="126"/>
      <c r="G4034" s="137"/>
      <c r="H4034" s="138"/>
      <c r="I4034" s="138"/>
      <c r="J4034" s="139"/>
      <c r="K4034" s="137"/>
      <c r="L4034" s="137"/>
      <c r="P4034" s="137"/>
      <c r="Q4034" s="137"/>
      <c r="R4034" s="126"/>
    </row>
    <row r="4035" spans="2:18" x14ac:dyDescent="0.3">
      <c r="B4035" s="126"/>
      <c r="G4035" s="137"/>
      <c r="H4035" s="138"/>
      <c r="I4035" s="138"/>
      <c r="J4035" s="139"/>
      <c r="K4035" s="137"/>
      <c r="L4035" s="137"/>
      <c r="P4035" s="137"/>
      <c r="Q4035" s="137"/>
      <c r="R4035" s="126"/>
    </row>
    <row r="4036" spans="2:18" x14ac:dyDescent="0.3">
      <c r="B4036" s="126"/>
      <c r="G4036" s="137"/>
      <c r="H4036" s="138"/>
      <c r="I4036" s="138"/>
      <c r="J4036" s="139"/>
      <c r="K4036" s="137"/>
      <c r="L4036" s="137"/>
      <c r="P4036" s="137"/>
      <c r="Q4036" s="137"/>
      <c r="R4036" s="126"/>
    </row>
    <row r="4037" spans="2:18" x14ac:dyDescent="0.3">
      <c r="B4037" s="126"/>
      <c r="G4037" s="137"/>
      <c r="H4037" s="138"/>
      <c r="I4037" s="138"/>
      <c r="J4037" s="139"/>
      <c r="K4037" s="137"/>
      <c r="L4037" s="137"/>
      <c r="P4037" s="137"/>
      <c r="Q4037" s="137"/>
      <c r="R4037" s="126"/>
    </row>
    <row r="4038" spans="2:18" x14ac:dyDescent="0.3">
      <c r="B4038" s="126"/>
      <c r="G4038" s="137"/>
      <c r="H4038" s="138"/>
      <c r="I4038" s="138"/>
      <c r="J4038" s="139"/>
      <c r="K4038" s="137"/>
      <c r="L4038" s="137"/>
      <c r="P4038" s="137"/>
      <c r="Q4038" s="137"/>
      <c r="R4038" s="126"/>
    </row>
    <row r="4039" spans="2:18" x14ac:dyDescent="0.3">
      <c r="B4039" s="126"/>
      <c r="G4039" s="137"/>
      <c r="H4039" s="138"/>
      <c r="I4039" s="138"/>
      <c r="J4039" s="139"/>
      <c r="K4039" s="137"/>
      <c r="L4039" s="137"/>
      <c r="P4039" s="137"/>
      <c r="Q4039" s="137"/>
      <c r="R4039" s="126"/>
    </row>
    <row r="4040" spans="2:18" x14ac:dyDescent="0.3">
      <c r="B4040" s="126"/>
      <c r="G4040" s="137"/>
      <c r="H4040" s="138"/>
      <c r="I4040" s="138"/>
      <c r="J4040" s="139"/>
      <c r="K4040" s="137"/>
      <c r="L4040" s="137"/>
      <c r="P4040" s="137"/>
      <c r="Q4040" s="137"/>
      <c r="R4040" s="126"/>
    </row>
    <row r="4041" spans="2:18" x14ac:dyDescent="0.3">
      <c r="B4041" s="126"/>
      <c r="G4041" s="137"/>
      <c r="H4041" s="138"/>
      <c r="I4041" s="138"/>
      <c r="J4041" s="139"/>
      <c r="K4041" s="137"/>
      <c r="L4041" s="137"/>
      <c r="P4041" s="137"/>
      <c r="Q4041" s="137"/>
      <c r="R4041" s="126"/>
    </row>
    <row r="4042" spans="2:18" x14ac:dyDescent="0.3">
      <c r="B4042" s="126"/>
      <c r="G4042" s="137"/>
      <c r="H4042" s="138"/>
      <c r="I4042" s="138"/>
      <c r="J4042" s="139"/>
      <c r="K4042" s="137"/>
      <c r="L4042" s="137"/>
      <c r="P4042" s="137"/>
      <c r="Q4042" s="137"/>
      <c r="R4042" s="126"/>
    </row>
    <row r="4043" spans="2:18" x14ac:dyDescent="0.3">
      <c r="B4043" s="126"/>
      <c r="G4043" s="137"/>
      <c r="H4043" s="138"/>
      <c r="I4043" s="138"/>
      <c r="J4043" s="139"/>
      <c r="K4043" s="137"/>
      <c r="L4043" s="137"/>
      <c r="P4043" s="137"/>
      <c r="Q4043" s="137"/>
      <c r="R4043" s="126"/>
    </row>
    <row r="4044" spans="2:18" x14ac:dyDescent="0.3">
      <c r="B4044" s="126"/>
      <c r="G4044" s="137"/>
      <c r="H4044" s="138"/>
      <c r="I4044" s="138"/>
      <c r="J4044" s="139"/>
      <c r="K4044" s="137"/>
      <c r="L4044" s="137"/>
      <c r="P4044" s="137"/>
      <c r="Q4044" s="137"/>
      <c r="R4044" s="126"/>
    </row>
    <row r="4045" spans="2:18" x14ac:dyDescent="0.3">
      <c r="B4045" s="126"/>
      <c r="G4045" s="137"/>
      <c r="H4045" s="138"/>
      <c r="I4045" s="138"/>
      <c r="J4045" s="139"/>
      <c r="K4045" s="137"/>
      <c r="L4045" s="137"/>
      <c r="P4045" s="137"/>
      <c r="Q4045" s="137"/>
      <c r="R4045" s="126"/>
    </row>
    <row r="4046" spans="2:18" x14ac:dyDescent="0.3">
      <c r="B4046" s="126"/>
      <c r="G4046" s="137"/>
      <c r="H4046" s="138"/>
      <c r="I4046" s="138"/>
      <c r="J4046" s="139"/>
      <c r="K4046" s="137"/>
      <c r="L4046" s="137"/>
      <c r="P4046" s="137"/>
      <c r="Q4046" s="137"/>
      <c r="R4046" s="126"/>
    </row>
    <row r="4047" spans="2:18" x14ac:dyDescent="0.3">
      <c r="B4047" s="126"/>
      <c r="G4047" s="137"/>
      <c r="H4047" s="138"/>
      <c r="I4047" s="138"/>
      <c r="J4047" s="139"/>
      <c r="K4047" s="137"/>
      <c r="L4047" s="137"/>
      <c r="P4047" s="137"/>
      <c r="Q4047" s="137"/>
      <c r="R4047" s="126"/>
    </row>
    <row r="4048" spans="2:18" x14ac:dyDescent="0.3">
      <c r="B4048" s="126"/>
      <c r="G4048" s="137"/>
      <c r="H4048" s="138"/>
      <c r="I4048" s="138"/>
      <c r="J4048" s="139"/>
      <c r="K4048" s="137"/>
      <c r="L4048" s="137"/>
      <c r="P4048" s="137"/>
      <c r="Q4048" s="137"/>
      <c r="R4048" s="126"/>
    </row>
    <row r="4049" spans="2:18" x14ac:dyDescent="0.3">
      <c r="B4049" s="126"/>
      <c r="G4049" s="137"/>
      <c r="H4049" s="138"/>
      <c r="I4049" s="138"/>
      <c r="J4049" s="139"/>
      <c r="K4049" s="137"/>
      <c r="L4049" s="137"/>
      <c r="P4049" s="137"/>
      <c r="Q4049" s="137"/>
      <c r="R4049" s="126"/>
    </row>
    <row r="4050" spans="2:18" x14ac:dyDescent="0.3">
      <c r="B4050" s="126"/>
      <c r="G4050" s="137"/>
      <c r="H4050" s="138"/>
      <c r="I4050" s="138"/>
      <c r="J4050" s="139"/>
      <c r="K4050" s="137"/>
      <c r="L4050" s="137"/>
      <c r="P4050" s="137"/>
      <c r="Q4050" s="137"/>
      <c r="R4050" s="126"/>
    </row>
    <row r="4051" spans="2:18" x14ac:dyDescent="0.3">
      <c r="B4051" s="126"/>
      <c r="G4051" s="137"/>
      <c r="H4051" s="138"/>
      <c r="I4051" s="138"/>
      <c r="J4051" s="139"/>
      <c r="K4051" s="137"/>
      <c r="L4051" s="137"/>
      <c r="P4051" s="137"/>
      <c r="Q4051" s="137"/>
      <c r="R4051" s="126"/>
    </row>
    <row r="4052" spans="2:18" x14ac:dyDescent="0.3">
      <c r="B4052" s="126"/>
      <c r="G4052" s="137"/>
      <c r="H4052" s="138"/>
      <c r="I4052" s="138"/>
      <c r="J4052" s="139"/>
      <c r="K4052" s="137"/>
      <c r="L4052" s="137"/>
      <c r="P4052" s="137"/>
      <c r="Q4052" s="137"/>
      <c r="R4052" s="126"/>
    </row>
    <row r="4053" spans="2:18" x14ac:dyDescent="0.3">
      <c r="B4053" s="126"/>
      <c r="G4053" s="137"/>
      <c r="H4053" s="138"/>
      <c r="I4053" s="138"/>
      <c r="J4053" s="139"/>
      <c r="K4053" s="137"/>
      <c r="L4053" s="137"/>
      <c r="P4053" s="137"/>
      <c r="Q4053" s="137"/>
      <c r="R4053" s="126"/>
    </row>
    <row r="4054" spans="2:18" x14ac:dyDescent="0.3">
      <c r="B4054" s="126"/>
      <c r="G4054" s="137"/>
      <c r="H4054" s="138"/>
      <c r="I4054" s="138"/>
      <c r="J4054" s="139"/>
      <c r="K4054" s="137"/>
      <c r="L4054" s="137"/>
      <c r="P4054" s="137"/>
      <c r="Q4054" s="137"/>
      <c r="R4054" s="126"/>
    </row>
    <row r="4055" spans="2:18" x14ac:dyDescent="0.3">
      <c r="B4055" s="126"/>
      <c r="G4055" s="137"/>
      <c r="H4055" s="138"/>
      <c r="I4055" s="138"/>
      <c r="J4055" s="139"/>
      <c r="K4055" s="137"/>
      <c r="L4055" s="137"/>
      <c r="P4055" s="137"/>
      <c r="Q4055" s="137"/>
      <c r="R4055" s="126"/>
    </row>
    <row r="4056" spans="2:18" x14ac:dyDescent="0.3">
      <c r="B4056" s="126"/>
      <c r="G4056" s="137"/>
      <c r="H4056" s="138"/>
      <c r="I4056" s="138"/>
      <c r="J4056" s="139"/>
      <c r="K4056" s="137"/>
      <c r="L4056" s="137"/>
      <c r="P4056" s="137"/>
      <c r="Q4056" s="137"/>
      <c r="R4056" s="126"/>
    </row>
    <row r="4057" spans="2:18" x14ac:dyDescent="0.3">
      <c r="B4057" s="126"/>
      <c r="G4057" s="137"/>
      <c r="H4057" s="138"/>
      <c r="I4057" s="138"/>
      <c r="J4057" s="139"/>
      <c r="K4057" s="137"/>
      <c r="L4057" s="137"/>
      <c r="P4057" s="137"/>
      <c r="Q4057" s="137"/>
      <c r="R4057" s="126"/>
    </row>
    <row r="4058" spans="2:18" x14ac:dyDescent="0.3">
      <c r="B4058" s="126"/>
      <c r="G4058" s="137"/>
      <c r="H4058" s="138"/>
      <c r="I4058" s="138"/>
      <c r="J4058" s="139"/>
      <c r="K4058" s="137"/>
      <c r="L4058" s="137"/>
      <c r="P4058" s="137"/>
      <c r="Q4058" s="137"/>
      <c r="R4058" s="126"/>
    </row>
    <row r="4059" spans="2:18" x14ac:dyDescent="0.3">
      <c r="B4059" s="126"/>
      <c r="G4059" s="137"/>
      <c r="H4059" s="138"/>
      <c r="I4059" s="138"/>
      <c r="J4059" s="139"/>
      <c r="K4059" s="137"/>
      <c r="L4059" s="137"/>
      <c r="P4059" s="137"/>
      <c r="Q4059" s="137"/>
      <c r="R4059" s="126"/>
    </row>
    <row r="4060" spans="2:18" x14ac:dyDescent="0.3">
      <c r="B4060" s="126"/>
      <c r="G4060" s="137"/>
      <c r="H4060" s="138"/>
      <c r="I4060" s="138"/>
      <c r="J4060" s="139"/>
      <c r="K4060" s="137"/>
      <c r="L4060" s="137"/>
      <c r="P4060" s="137"/>
      <c r="Q4060" s="137"/>
      <c r="R4060" s="126"/>
    </row>
    <row r="4061" spans="2:18" x14ac:dyDescent="0.3">
      <c r="B4061" s="126"/>
      <c r="G4061" s="137"/>
      <c r="H4061" s="138"/>
      <c r="I4061" s="138"/>
      <c r="J4061" s="139"/>
      <c r="K4061" s="137"/>
      <c r="L4061" s="137"/>
      <c r="P4061" s="137"/>
      <c r="Q4061" s="137"/>
      <c r="R4061" s="126"/>
    </row>
    <row r="4062" spans="2:18" x14ac:dyDescent="0.3">
      <c r="B4062" s="126"/>
      <c r="G4062" s="137"/>
      <c r="H4062" s="138"/>
      <c r="I4062" s="138"/>
      <c r="J4062" s="139"/>
      <c r="K4062" s="137"/>
      <c r="L4062" s="137"/>
      <c r="P4062" s="137"/>
      <c r="Q4062" s="137"/>
      <c r="R4062" s="126"/>
    </row>
    <row r="4063" spans="2:18" x14ac:dyDescent="0.3">
      <c r="B4063" s="126"/>
      <c r="G4063" s="137"/>
      <c r="H4063" s="138"/>
      <c r="I4063" s="138"/>
      <c r="J4063" s="139"/>
      <c r="K4063" s="137"/>
      <c r="L4063" s="137"/>
      <c r="P4063" s="137"/>
      <c r="Q4063" s="137"/>
      <c r="R4063" s="126"/>
    </row>
    <row r="4064" spans="2:18" x14ac:dyDescent="0.3">
      <c r="B4064" s="126"/>
      <c r="G4064" s="137"/>
      <c r="H4064" s="138"/>
      <c r="I4064" s="138"/>
      <c r="J4064" s="139"/>
      <c r="K4064" s="137"/>
      <c r="L4064" s="137"/>
      <c r="P4064" s="137"/>
      <c r="Q4064" s="137"/>
      <c r="R4064" s="126"/>
    </row>
    <row r="4065" spans="2:18" x14ac:dyDescent="0.3">
      <c r="B4065" s="126"/>
      <c r="G4065" s="137"/>
      <c r="H4065" s="138"/>
      <c r="I4065" s="138"/>
      <c r="J4065" s="139"/>
      <c r="K4065" s="137"/>
      <c r="L4065" s="137"/>
      <c r="P4065" s="137"/>
      <c r="Q4065" s="137"/>
      <c r="R4065" s="126"/>
    </row>
    <row r="4066" spans="2:18" x14ac:dyDescent="0.3">
      <c r="B4066" s="126"/>
      <c r="G4066" s="137"/>
      <c r="H4066" s="138"/>
      <c r="I4066" s="138"/>
      <c r="J4066" s="139"/>
      <c r="K4066" s="137"/>
      <c r="L4066" s="137"/>
      <c r="P4066" s="137"/>
      <c r="Q4066" s="137"/>
      <c r="R4066" s="126"/>
    </row>
    <row r="4067" spans="2:18" x14ac:dyDescent="0.3">
      <c r="B4067" s="126"/>
      <c r="G4067" s="137"/>
      <c r="H4067" s="138"/>
      <c r="I4067" s="138"/>
      <c r="J4067" s="139"/>
      <c r="K4067" s="137"/>
      <c r="L4067" s="137"/>
      <c r="P4067" s="137"/>
      <c r="Q4067" s="137"/>
      <c r="R4067" s="126"/>
    </row>
    <row r="4068" spans="2:18" x14ac:dyDescent="0.3">
      <c r="B4068" s="126"/>
      <c r="G4068" s="137"/>
      <c r="H4068" s="138"/>
      <c r="I4068" s="138"/>
      <c r="J4068" s="139"/>
      <c r="K4068" s="137"/>
      <c r="L4068" s="137"/>
      <c r="P4068" s="137"/>
      <c r="Q4068" s="137"/>
      <c r="R4068" s="126"/>
    </row>
    <row r="4069" spans="2:18" x14ac:dyDescent="0.3">
      <c r="B4069" s="126"/>
      <c r="G4069" s="137"/>
      <c r="H4069" s="138"/>
      <c r="I4069" s="138"/>
      <c r="J4069" s="139"/>
      <c r="K4069" s="137"/>
      <c r="L4069" s="137"/>
      <c r="P4069" s="137"/>
      <c r="Q4069" s="137"/>
      <c r="R4069" s="126"/>
    </row>
    <row r="4070" spans="2:18" x14ac:dyDescent="0.3">
      <c r="B4070" s="126"/>
      <c r="G4070" s="137"/>
      <c r="H4070" s="138"/>
      <c r="I4070" s="138"/>
      <c r="J4070" s="139"/>
      <c r="K4070" s="137"/>
      <c r="L4070" s="137"/>
      <c r="P4070" s="137"/>
      <c r="Q4070" s="137"/>
      <c r="R4070" s="126"/>
    </row>
    <row r="4071" spans="2:18" x14ac:dyDescent="0.3">
      <c r="B4071" s="126"/>
      <c r="G4071" s="137"/>
      <c r="H4071" s="138"/>
      <c r="I4071" s="138"/>
      <c r="J4071" s="139"/>
      <c r="K4071" s="137"/>
      <c r="L4071" s="137"/>
      <c r="P4071" s="137"/>
      <c r="Q4071" s="137"/>
      <c r="R4071" s="126"/>
    </row>
    <row r="4072" spans="2:18" x14ac:dyDescent="0.3">
      <c r="B4072" s="126"/>
      <c r="G4072" s="137"/>
      <c r="H4072" s="138"/>
      <c r="I4072" s="138"/>
      <c r="J4072" s="139"/>
      <c r="K4072" s="137"/>
      <c r="L4072" s="137"/>
      <c r="P4072" s="137"/>
      <c r="Q4072" s="137"/>
      <c r="R4072" s="126"/>
    </row>
    <row r="4073" spans="2:18" x14ac:dyDescent="0.3">
      <c r="B4073" s="126"/>
      <c r="G4073" s="137"/>
      <c r="H4073" s="138"/>
      <c r="I4073" s="138"/>
      <c r="J4073" s="139"/>
      <c r="K4073" s="137"/>
      <c r="L4073" s="137"/>
      <c r="P4073" s="137"/>
      <c r="Q4073" s="137"/>
      <c r="R4073" s="126"/>
    </row>
    <row r="4074" spans="2:18" x14ac:dyDescent="0.3">
      <c r="B4074" s="126"/>
      <c r="G4074" s="137"/>
      <c r="H4074" s="138"/>
      <c r="I4074" s="138"/>
      <c r="J4074" s="139"/>
      <c r="K4074" s="137"/>
      <c r="L4074" s="137"/>
      <c r="P4074" s="137"/>
      <c r="Q4074" s="137"/>
      <c r="R4074" s="126"/>
    </row>
    <row r="4075" spans="2:18" x14ac:dyDescent="0.3">
      <c r="B4075" s="126"/>
      <c r="G4075" s="137"/>
      <c r="H4075" s="138"/>
      <c r="I4075" s="138"/>
      <c r="J4075" s="139"/>
      <c r="K4075" s="137"/>
      <c r="L4075" s="137"/>
      <c r="P4075" s="137"/>
      <c r="Q4075" s="137"/>
      <c r="R4075" s="126"/>
    </row>
    <row r="4076" spans="2:18" x14ac:dyDescent="0.3">
      <c r="B4076" s="126"/>
      <c r="G4076" s="137"/>
      <c r="H4076" s="138"/>
      <c r="I4076" s="138"/>
      <c r="J4076" s="139"/>
      <c r="K4076" s="137"/>
      <c r="L4076" s="137"/>
      <c r="P4076" s="137"/>
      <c r="Q4076" s="137"/>
      <c r="R4076" s="126"/>
    </row>
    <row r="4077" spans="2:18" x14ac:dyDescent="0.3">
      <c r="B4077" s="126"/>
      <c r="G4077" s="137"/>
      <c r="H4077" s="138"/>
      <c r="I4077" s="138"/>
      <c r="J4077" s="139"/>
      <c r="K4077" s="137"/>
      <c r="L4077" s="137"/>
      <c r="P4077" s="137"/>
      <c r="Q4077" s="137"/>
      <c r="R4077" s="126"/>
    </row>
    <row r="4078" spans="2:18" x14ac:dyDescent="0.3">
      <c r="B4078" s="126"/>
      <c r="G4078" s="137"/>
      <c r="H4078" s="138"/>
      <c r="I4078" s="138"/>
      <c r="J4078" s="139"/>
      <c r="K4078" s="137"/>
      <c r="L4078" s="137"/>
      <c r="P4078" s="137"/>
      <c r="Q4078" s="137"/>
      <c r="R4078" s="126"/>
    </row>
    <row r="4079" spans="2:18" x14ac:dyDescent="0.3">
      <c r="B4079" s="126"/>
      <c r="G4079" s="137"/>
      <c r="H4079" s="138"/>
      <c r="I4079" s="138"/>
      <c r="J4079" s="139"/>
      <c r="K4079" s="137"/>
      <c r="L4079" s="137"/>
      <c r="P4079" s="137"/>
      <c r="Q4079" s="137"/>
      <c r="R4079" s="126"/>
    </row>
    <row r="4080" spans="2:18" x14ac:dyDescent="0.3">
      <c r="B4080" s="126"/>
      <c r="G4080" s="137"/>
      <c r="H4080" s="138"/>
      <c r="I4080" s="138"/>
      <c r="J4080" s="139"/>
      <c r="K4080" s="137"/>
      <c r="L4080" s="137"/>
      <c r="P4080" s="137"/>
      <c r="Q4080" s="137"/>
      <c r="R4080" s="126"/>
    </row>
    <row r="4081" spans="2:18" x14ac:dyDescent="0.3">
      <c r="B4081" s="126"/>
      <c r="G4081" s="137"/>
      <c r="H4081" s="138"/>
      <c r="I4081" s="138"/>
      <c r="J4081" s="139"/>
      <c r="K4081" s="137"/>
      <c r="L4081" s="137"/>
      <c r="P4081" s="137"/>
      <c r="Q4081" s="137"/>
      <c r="R4081" s="126"/>
    </row>
    <row r="4082" spans="2:18" x14ac:dyDescent="0.3">
      <c r="B4082" s="126"/>
      <c r="G4082" s="137"/>
      <c r="H4082" s="138"/>
      <c r="I4082" s="138"/>
      <c r="J4082" s="139"/>
      <c r="K4082" s="137"/>
      <c r="L4082" s="137"/>
      <c r="P4082" s="137"/>
      <c r="Q4082" s="137"/>
      <c r="R4082" s="126"/>
    </row>
    <row r="4083" spans="2:18" x14ac:dyDescent="0.3">
      <c r="B4083" s="126"/>
      <c r="G4083" s="137"/>
      <c r="H4083" s="138"/>
      <c r="I4083" s="138"/>
      <c r="J4083" s="139"/>
      <c r="K4083" s="137"/>
      <c r="L4083" s="137"/>
      <c r="P4083" s="137"/>
      <c r="Q4083" s="137"/>
      <c r="R4083" s="126"/>
    </row>
    <row r="4084" spans="2:18" x14ac:dyDescent="0.3">
      <c r="B4084" s="126"/>
      <c r="G4084" s="137"/>
      <c r="H4084" s="138"/>
      <c r="I4084" s="138"/>
      <c r="J4084" s="139"/>
      <c r="K4084" s="137"/>
      <c r="L4084" s="137"/>
      <c r="P4084" s="137"/>
      <c r="Q4084" s="137"/>
      <c r="R4084" s="126"/>
    </row>
    <row r="4085" spans="2:18" x14ac:dyDescent="0.3">
      <c r="B4085" s="126"/>
      <c r="G4085" s="137"/>
      <c r="H4085" s="138"/>
      <c r="I4085" s="138"/>
      <c r="J4085" s="139"/>
      <c r="K4085" s="137"/>
      <c r="L4085" s="137"/>
      <c r="P4085" s="137"/>
      <c r="Q4085" s="137"/>
      <c r="R4085" s="126"/>
    </row>
    <row r="4086" spans="2:18" x14ac:dyDescent="0.3">
      <c r="B4086" s="126"/>
      <c r="G4086" s="137"/>
      <c r="H4086" s="138"/>
      <c r="I4086" s="138"/>
      <c r="J4086" s="139"/>
      <c r="K4086" s="137"/>
      <c r="L4086" s="137"/>
      <c r="P4086" s="137"/>
      <c r="Q4086" s="137"/>
      <c r="R4086" s="126"/>
    </row>
    <row r="4087" spans="2:18" x14ac:dyDescent="0.3">
      <c r="B4087" s="126"/>
      <c r="G4087" s="137"/>
      <c r="H4087" s="138"/>
      <c r="I4087" s="138"/>
      <c r="J4087" s="139"/>
      <c r="K4087" s="137"/>
      <c r="L4087" s="137"/>
      <c r="P4087" s="137"/>
      <c r="Q4087" s="137"/>
      <c r="R4087" s="126"/>
    </row>
    <row r="4088" spans="2:18" x14ac:dyDescent="0.3">
      <c r="B4088" s="126"/>
      <c r="G4088" s="137"/>
      <c r="H4088" s="138"/>
      <c r="I4088" s="138"/>
      <c r="J4088" s="139"/>
      <c r="K4088" s="137"/>
      <c r="L4088" s="137"/>
      <c r="P4088" s="137"/>
      <c r="Q4088" s="137"/>
      <c r="R4088" s="126"/>
    </row>
    <row r="4089" spans="2:18" x14ac:dyDescent="0.3">
      <c r="B4089" s="126"/>
      <c r="G4089" s="137"/>
      <c r="H4089" s="138"/>
      <c r="I4089" s="138"/>
      <c r="J4089" s="139"/>
      <c r="K4089" s="137"/>
      <c r="L4089" s="137"/>
      <c r="P4089" s="137"/>
      <c r="Q4089" s="137"/>
      <c r="R4089" s="126"/>
    </row>
    <row r="4090" spans="2:18" x14ac:dyDescent="0.3">
      <c r="B4090" s="126"/>
      <c r="G4090" s="137"/>
      <c r="H4090" s="138"/>
      <c r="I4090" s="138"/>
      <c r="J4090" s="139"/>
      <c r="K4090" s="137"/>
      <c r="L4090" s="137"/>
      <c r="P4090" s="137"/>
      <c r="Q4090" s="137"/>
      <c r="R4090" s="126"/>
    </row>
    <row r="4091" spans="2:18" x14ac:dyDescent="0.3">
      <c r="B4091" s="126"/>
      <c r="G4091" s="137"/>
      <c r="H4091" s="138"/>
      <c r="I4091" s="138"/>
      <c r="J4091" s="139"/>
      <c r="K4091" s="137"/>
      <c r="L4091" s="137"/>
      <c r="P4091" s="137"/>
      <c r="Q4091" s="137"/>
      <c r="R4091" s="126"/>
    </row>
    <row r="4092" spans="2:18" x14ac:dyDescent="0.3">
      <c r="B4092" s="126"/>
      <c r="G4092" s="137"/>
      <c r="H4092" s="138"/>
      <c r="I4092" s="138"/>
      <c r="J4092" s="139"/>
      <c r="K4092" s="137"/>
      <c r="L4092" s="137"/>
      <c r="P4092" s="137"/>
      <c r="Q4092" s="137"/>
      <c r="R4092" s="126"/>
    </row>
    <row r="4093" spans="2:18" x14ac:dyDescent="0.3">
      <c r="B4093" s="126"/>
      <c r="G4093" s="137"/>
      <c r="H4093" s="138"/>
      <c r="I4093" s="138"/>
      <c r="J4093" s="139"/>
      <c r="K4093" s="137"/>
      <c r="L4093" s="137"/>
      <c r="P4093" s="137"/>
      <c r="Q4093" s="137"/>
      <c r="R4093" s="126"/>
    </row>
    <row r="4094" spans="2:18" x14ac:dyDescent="0.3">
      <c r="B4094" s="126"/>
      <c r="G4094" s="137"/>
      <c r="H4094" s="138"/>
      <c r="I4094" s="138"/>
      <c r="J4094" s="139"/>
      <c r="K4094" s="137"/>
      <c r="L4094" s="137"/>
      <c r="P4094" s="137"/>
      <c r="Q4094" s="137"/>
      <c r="R4094" s="126"/>
    </row>
    <row r="4095" spans="2:18" x14ac:dyDescent="0.3">
      <c r="B4095" s="126"/>
      <c r="G4095" s="137"/>
      <c r="H4095" s="138"/>
      <c r="I4095" s="138"/>
      <c r="J4095" s="139"/>
      <c r="K4095" s="137"/>
      <c r="L4095" s="137"/>
      <c r="P4095" s="137"/>
      <c r="Q4095" s="137"/>
      <c r="R4095" s="126"/>
    </row>
    <row r="4096" spans="2:18" x14ac:dyDescent="0.3">
      <c r="B4096" s="126"/>
      <c r="G4096" s="137"/>
      <c r="H4096" s="138"/>
      <c r="I4096" s="138"/>
      <c r="J4096" s="139"/>
      <c r="K4096" s="137"/>
      <c r="L4096" s="137"/>
      <c r="P4096" s="137"/>
      <c r="Q4096" s="137"/>
      <c r="R4096" s="126"/>
    </row>
    <row r="4097" spans="2:18" x14ac:dyDescent="0.3">
      <c r="B4097" s="126"/>
      <c r="G4097" s="137"/>
      <c r="H4097" s="138"/>
      <c r="I4097" s="138"/>
      <c r="J4097" s="139"/>
      <c r="K4097" s="137"/>
      <c r="L4097" s="137"/>
      <c r="P4097" s="137"/>
      <c r="Q4097" s="137"/>
      <c r="R4097" s="126"/>
    </row>
    <row r="4098" spans="2:18" x14ac:dyDescent="0.3">
      <c r="B4098" s="126"/>
      <c r="G4098" s="137"/>
      <c r="H4098" s="138"/>
      <c r="I4098" s="138"/>
      <c r="J4098" s="139"/>
      <c r="K4098" s="137"/>
      <c r="L4098" s="137"/>
      <c r="P4098" s="137"/>
      <c r="Q4098" s="137"/>
      <c r="R4098" s="126"/>
    </row>
    <row r="4099" spans="2:18" x14ac:dyDescent="0.3">
      <c r="B4099" s="126"/>
      <c r="G4099" s="137"/>
      <c r="H4099" s="138"/>
      <c r="I4099" s="138"/>
      <c r="J4099" s="139"/>
      <c r="K4099" s="137"/>
      <c r="L4099" s="137"/>
      <c r="P4099" s="137"/>
      <c r="Q4099" s="137"/>
      <c r="R4099" s="126"/>
    </row>
    <row r="4100" spans="2:18" x14ac:dyDescent="0.3">
      <c r="B4100" s="126"/>
      <c r="G4100" s="137"/>
      <c r="H4100" s="138"/>
      <c r="I4100" s="138"/>
      <c r="J4100" s="139"/>
      <c r="K4100" s="137"/>
      <c r="L4100" s="137"/>
      <c r="P4100" s="137"/>
      <c r="Q4100" s="137"/>
      <c r="R4100" s="126"/>
    </row>
    <row r="4101" spans="2:18" x14ac:dyDescent="0.3">
      <c r="B4101" s="126"/>
      <c r="G4101" s="137"/>
      <c r="H4101" s="138"/>
      <c r="I4101" s="138"/>
      <c r="J4101" s="139"/>
      <c r="K4101" s="137"/>
      <c r="L4101" s="137"/>
      <c r="P4101" s="137"/>
      <c r="Q4101" s="137"/>
      <c r="R4101" s="126"/>
    </row>
    <row r="4102" spans="2:18" x14ac:dyDescent="0.3">
      <c r="B4102" s="126"/>
      <c r="G4102" s="137"/>
      <c r="H4102" s="138"/>
      <c r="I4102" s="138"/>
      <c r="J4102" s="139"/>
      <c r="K4102" s="137"/>
      <c r="L4102" s="137"/>
      <c r="P4102" s="137"/>
      <c r="Q4102" s="137"/>
      <c r="R4102" s="126"/>
    </row>
    <row r="4103" spans="2:18" x14ac:dyDescent="0.3">
      <c r="B4103" s="126"/>
      <c r="G4103" s="137"/>
      <c r="H4103" s="138"/>
      <c r="I4103" s="138"/>
      <c r="J4103" s="139"/>
      <c r="K4103" s="137"/>
      <c r="L4103" s="137"/>
      <c r="P4103" s="137"/>
      <c r="Q4103" s="137"/>
      <c r="R4103" s="126"/>
    </row>
    <row r="4104" spans="2:18" x14ac:dyDescent="0.3">
      <c r="B4104" s="126"/>
      <c r="G4104" s="137"/>
      <c r="H4104" s="138"/>
      <c r="I4104" s="138"/>
      <c r="J4104" s="139"/>
      <c r="K4104" s="137"/>
      <c r="L4104" s="137"/>
      <c r="P4104" s="137"/>
      <c r="Q4104" s="137"/>
      <c r="R4104" s="126"/>
    </row>
    <row r="4105" spans="2:18" x14ac:dyDescent="0.3">
      <c r="B4105" s="126"/>
      <c r="G4105" s="137"/>
      <c r="H4105" s="138"/>
      <c r="I4105" s="138"/>
      <c r="J4105" s="139"/>
      <c r="K4105" s="137"/>
      <c r="L4105" s="137"/>
      <c r="P4105" s="137"/>
      <c r="Q4105" s="137"/>
      <c r="R4105" s="126"/>
    </row>
    <row r="4106" spans="2:18" x14ac:dyDescent="0.3">
      <c r="B4106" s="126"/>
      <c r="G4106" s="137"/>
      <c r="H4106" s="138"/>
      <c r="I4106" s="138"/>
      <c r="J4106" s="139"/>
      <c r="K4106" s="137"/>
      <c r="L4106" s="137"/>
      <c r="P4106" s="137"/>
      <c r="Q4106" s="137"/>
      <c r="R4106" s="126"/>
    </row>
    <row r="4107" spans="2:18" x14ac:dyDescent="0.3">
      <c r="B4107" s="126"/>
      <c r="G4107" s="137"/>
      <c r="H4107" s="138"/>
      <c r="I4107" s="138"/>
      <c r="J4107" s="139"/>
      <c r="K4107" s="137"/>
      <c r="L4107" s="137"/>
      <c r="P4107" s="137"/>
      <c r="Q4107" s="137"/>
      <c r="R4107" s="126"/>
    </row>
    <row r="4108" spans="2:18" x14ac:dyDescent="0.3">
      <c r="B4108" s="126"/>
      <c r="G4108" s="137"/>
      <c r="H4108" s="138"/>
      <c r="I4108" s="138"/>
      <c r="J4108" s="139"/>
      <c r="K4108" s="137"/>
      <c r="L4108" s="137"/>
      <c r="P4108" s="137"/>
      <c r="Q4108" s="137"/>
      <c r="R4108" s="126"/>
    </row>
    <row r="4109" spans="2:18" x14ac:dyDescent="0.3">
      <c r="B4109" s="126"/>
      <c r="G4109" s="137"/>
      <c r="H4109" s="138"/>
      <c r="I4109" s="138"/>
      <c r="J4109" s="139"/>
      <c r="K4109" s="137"/>
      <c r="L4109" s="137"/>
      <c r="P4109" s="137"/>
      <c r="Q4109" s="137"/>
      <c r="R4109" s="126"/>
    </row>
    <row r="4110" spans="2:18" x14ac:dyDescent="0.3">
      <c r="B4110" s="126"/>
      <c r="G4110" s="137"/>
      <c r="H4110" s="138"/>
      <c r="I4110" s="138"/>
      <c r="J4110" s="139"/>
      <c r="K4110" s="137"/>
      <c r="L4110" s="137"/>
      <c r="P4110" s="137"/>
      <c r="Q4110" s="137"/>
      <c r="R4110" s="126"/>
    </row>
    <row r="4111" spans="2:18" x14ac:dyDescent="0.3">
      <c r="B4111" s="126"/>
      <c r="G4111" s="137"/>
      <c r="H4111" s="138"/>
      <c r="I4111" s="138"/>
      <c r="J4111" s="139"/>
      <c r="K4111" s="137"/>
      <c r="L4111" s="137"/>
      <c r="P4111" s="137"/>
      <c r="Q4111" s="137"/>
      <c r="R4111" s="126"/>
    </row>
    <row r="4112" spans="2:18" x14ac:dyDescent="0.3">
      <c r="B4112" s="126"/>
      <c r="G4112" s="137"/>
      <c r="H4112" s="138"/>
      <c r="I4112" s="138"/>
      <c r="J4112" s="139"/>
      <c r="K4112" s="137"/>
      <c r="L4112" s="137"/>
      <c r="P4112" s="137"/>
      <c r="Q4112" s="137"/>
      <c r="R4112" s="126"/>
    </row>
    <row r="4113" spans="2:18" x14ac:dyDescent="0.3">
      <c r="B4113" s="126"/>
      <c r="G4113" s="137"/>
      <c r="H4113" s="138"/>
      <c r="I4113" s="138"/>
      <c r="J4113" s="139"/>
      <c r="K4113" s="137"/>
      <c r="L4113" s="137"/>
      <c r="P4113" s="137"/>
      <c r="Q4113" s="137"/>
      <c r="R4113" s="126"/>
    </row>
    <row r="4114" spans="2:18" x14ac:dyDescent="0.3">
      <c r="B4114" s="126"/>
      <c r="G4114" s="137"/>
      <c r="H4114" s="138"/>
      <c r="I4114" s="138"/>
      <c r="J4114" s="139"/>
      <c r="K4114" s="137"/>
      <c r="L4114" s="137"/>
      <c r="P4114" s="137"/>
      <c r="Q4114" s="137"/>
      <c r="R4114" s="126"/>
    </row>
    <row r="4115" spans="2:18" x14ac:dyDescent="0.3">
      <c r="B4115" s="126"/>
      <c r="G4115" s="137"/>
      <c r="H4115" s="138"/>
      <c r="I4115" s="138"/>
      <c r="J4115" s="139"/>
      <c r="K4115" s="137"/>
      <c r="L4115" s="137"/>
      <c r="P4115" s="137"/>
      <c r="Q4115" s="137"/>
      <c r="R4115" s="126"/>
    </row>
    <row r="4116" spans="2:18" x14ac:dyDescent="0.3">
      <c r="B4116" s="126"/>
      <c r="G4116" s="137"/>
      <c r="H4116" s="138"/>
      <c r="I4116" s="138"/>
      <c r="J4116" s="139"/>
      <c r="K4116" s="137"/>
      <c r="L4116" s="137"/>
      <c r="P4116" s="137"/>
      <c r="Q4116" s="137"/>
      <c r="R4116" s="126"/>
    </row>
    <row r="4117" spans="2:18" x14ac:dyDescent="0.3">
      <c r="B4117" s="126"/>
      <c r="G4117" s="137"/>
      <c r="H4117" s="138"/>
      <c r="I4117" s="138"/>
      <c r="J4117" s="139"/>
      <c r="K4117" s="137"/>
      <c r="L4117" s="137"/>
      <c r="P4117" s="137"/>
      <c r="Q4117" s="137"/>
      <c r="R4117" s="126"/>
    </row>
    <row r="4118" spans="2:18" x14ac:dyDescent="0.3">
      <c r="B4118" s="126"/>
      <c r="G4118" s="137"/>
      <c r="H4118" s="138"/>
      <c r="I4118" s="138"/>
      <c r="J4118" s="139"/>
      <c r="K4118" s="137"/>
      <c r="L4118" s="137"/>
      <c r="P4118" s="137"/>
      <c r="Q4118" s="137"/>
      <c r="R4118" s="126"/>
    </row>
    <row r="4119" spans="2:18" x14ac:dyDescent="0.3">
      <c r="B4119" s="126"/>
      <c r="G4119" s="137"/>
      <c r="H4119" s="138"/>
      <c r="I4119" s="138"/>
      <c r="J4119" s="139"/>
      <c r="K4119" s="137"/>
      <c r="L4119" s="137"/>
      <c r="P4119" s="137"/>
      <c r="Q4119" s="137"/>
      <c r="R4119" s="126"/>
    </row>
    <row r="4120" spans="2:18" x14ac:dyDescent="0.3">
      <c r="B4120" s="126"/>
      <c r="G4120" s="137"/>
      <c r="H4120" s="138"/>
      <c r="I4120" s="138"/>
      <c r="J4120" s="139"/>
      <c r="K4120" s="137"/>
      <c r="L4120" s="137"/>
      <c r="P4120" s="137"/>
      <c r="Q4120" s="137"/>
      <c r="R4120" s="126"/>
    </row>
    <row r="4121" spans="2:18" x14ac:dyDescent="0.3">
      <c r="B4121" s="126"/>
      <c r="G4121" s="137"/>
      <c r="H4121" s="138"/>
      <c r="I4121" s="138"/>
      <c r="J4121" s="139"/>
      <c r="K4121" s="137"/>
      <c r="L4121" s="137"/>
      <c r="P4121" s="137"/>
      <c r="Q4121" s="137"/>
      <c r="R4121" s="126"/>
    </row>
    <row r="4122" spans="2:18" x14ac:dyDescent="0.3">
      <c r="B4122" s="126"/>
      <c r="G4122" s="137"/>
      <c r="H4122" s="138"/>
      <c r="I4122" s="138"/>
      <c r="J4122" s="139"/>
      <c r="K4122" s="137"/>
      <c r="L4122" s="137"/>
      <c r="P4122" s="137"/>
      <c r="Q4122" s="137"/>
      <c r="R4122" s="126"/>
    </row>
    <row r="4123" spans="2:18" x14ac:dyDescent="0.3">
      <c r="B4123" s="126"/>
      <c r="G4123" s="137"/>
      <c r="H4123" s="138"/>
      <c r="I4123" s="138"/>
      <c r="J4123" s="139"/>
      <c r="K4123" s="137"/>
      <c r="L4123" s="137"/>
      <c r="P4123" s="137"/>
      <c r="Q4123" s="137"/>
      <c r="R4123" s="126"/>
    </row>
    <row r="4124" spans="2:18" x14ac:dyDescent="0.3">
      <c r="B4124" s="126"/>
      <c r="G4124" s="137"/>
      <c r="H4124" s="138"/>
      <c r="I4124" s="138"/>
      <c r="J4124" s="139"/>
      <c r="K4124" s="137"/>
      <c r="L4124" s="137"/>
      <c r="P4124" s="137"/>
      <c r="Q4124" s="137"/>
      <c r="R4124" s="126"/>
    </row>
    <row r="4125" spans="2:18" x14ac:dyDescent="0.3">
      <c r="B4125" s="126"/>
      <c r="G4125" s="137"/>
      <c r="H4125" s="138"/>
      <c r="I4125" s="138"/>
      <c r="J4125" s="139"/>
      <c r="K4125" s="137"/>
      <c r="L4125" s="137"/>
      <c r="P4125" s="137"/>
      <c r="Q4125" s="137"/>
      <c r="R4125" s="126"/>
    </row>
    <row r="4126" spans="2:18" x14ac:dyDescent="0.3">
      <c r="B4126" s="126"/>
      <c r="G4126" s="137"/>
      <c r="H4126" s="138"/>
      <c r="I4126" s="138"/>
      <c r="J4126" s="139"/>
      <c r="K4126" s="137"/>
      <c r="L4126" s="137"/>
      <c r="P4126" s="137"/>
      <c r="Q4126" s="137"/>
      <c r="R4126" s="126"/>
    </row>
    <row r="4127" spans="2:18" x14ac:dyDescent="0.3">
      <c r="B4127" s="126"/>
      <c r="G4127" s="137"/>
      <c r="H4127" s="138"/>
      <c r="I4127" s="138"/>
      <c r="J4127" s="139"/>
      <c r="K4127" s="137"/>
      <c r="L4127" s="137"/>
      <c r="P4127" s="137"/>
      <c r="Q4127" s="137"/>
      <c r="R4127" s="126"/>
    </row>
    <row r="4128" spans="2:18" x14ac:dyDescent="0.3">
      <c r="B4128" s="126"/>
      <c r="G4128" s="137"/>
      <c r="H4128" s="138"/>
      <c r="I4128" s="138"/>
      <c r="J4128" s="139"/>
      <c r="K4128" s="137"/>
      <c r="L4128" s="137"/>
      <c r="P4128" s="137"/>
      <c r="Q4128" s="137"/>
      <c r="R4128" s="126"/>
    </row>
    <row r="4129" spans="2:18" x14ac:dyDescent="0.3">
      <c r="B4129" s="126"/>
      <c r="G4129" s="137"/>
      <c r="H4129" s="138"/>
      <c r="I4129" s="138"/>
      <c r="J4129" s="139"/>
      <c r="K4129" s="137"/>
      <c r="L4129" s="137"/>
      <c r="P4129" s="137"/>
      <c r="Q4129" s="137"/>
      <c r="R4129" s="126"/>
    </row>
    <row r="4130" spans="2:18" x14ac:dyDescent="0.3">
      <c r="B4130" s="126"/>
      <c r="G4130" s="137"/>
      <c r="H4130" s="138"/>
      <c r="I4130" s="138"/>
      <c r="J4130" s="139"/>
      <c r="K4130" s="137"/>
      <c r="L4130" s="137"/>
      <c r="P4130" s="137"/>
      <c r="Q4130" s="137"/>
      <c r="R4130" s="126"/>
    </row>
    <row r="4131" spans="2:18" x14ac:dyDescent="0.3">
      <c r="B4131" s="126"/>
      <c r="G4131" s="137"/>
      <c r="H4131" s="138"/>
      <c r="I4131" s="138"/>
      <c r="J4131" s="139"/>
      <c r="K4131" s="137"/>
      <c r="L4131" s="137"/>
      <c r="P4131" s="137"/>
      <c r="Q4131" s="137"/>
      <c r="R4131" s="126"/>
    </row>
    <row r="4132" spans="2:18" x14ac:dyDescent="0.3">
      <c r="B4132" s="126"/>
      <c r="G4132" s="137"/>
      <c r="H4132" s="138"/>
      <c r="I4132" s="138"/>
      <c r="J4132" s="139"/>
      <c r="K4132" s="137"/>
      <c r="L4132" s="137"/>
      <c r="P4132" s="137"/>
      <c r="Q4132" s="137"/>
      <c r="R4132" s="126"/>
    </row>
    <row r="4133" spans="2:18" x14ac:dyDescent="0.3">
      <c r="B4133" s="126"/>
      <c r="G4133" s="137"/>
      <c r="H4133" s="138"/>
      <c r="I4133" s="138"/>
      <c r="J4133" s="139"/>
      <c r="K4133" s="137"/>
      <c r="L4133" s="137"/>
      <c r="P4133" s="137"/>
      <c r="Q4133" s="137"/>
      <c r="R4133" s="126"/>
    </row>
    <row r="4134" spans="2:18" x14ac:dyDescent="0.3">
      <c r="B4134" s="126"/>
      <c r="G4134" s="137"/>
      <c r="H4134" s="138"/>
      <c r="I4134" s="138"/>
      <c r="J4134" s="139"/>
      <c r="K4134" s="137"/>
      <c r="L4134" s="137"/>
      <c r="P4134" s="137"/>
      <c r="Q4134" s="137"/>
      <c r="R4134" s="126"/>
    </row>
    <row r="4135" spans="2:18" x14ac:dyDescent="0.3">
      <c r="B4135" s="126"/>
      <c r="G4135" s="137"/>
      <c r="H4135" s="138"/>
      <c r="I4135" s="138"/>
      <c r="J4135" s="139"/>
      <c r="K4135" s="137"/>
      <c r="L4135" s="137"/>
      <c r="P4135" s="137"/>
      <c r="Q4135" s="137"/>
      <c r="R4135" s="126"/>
    </row>
    <row r="4136" spans="2:18" x14ac:dyDescent="0.3">
      <c r="B4136" s="126"/>
      <c r="G4136" s="137"/>
      <c r="H4136" s="138"/>
      <c r="I4136" s="138"/>
      <c r="J4136" s="139"/>
      <c r="K4136" s="137"/>
      <c r="L4136" s="137"/>
      <c r="P4136" s="137"/>
      <c r="Q4136" s="137"/>
      <c r="R4136" s="126"/>
    </row>
    <row r="4137" spans="2:18" x14ac:dyDescent="0.3">
      <c r="B4137" s="126"/>
      <c r="G4137" s="137"/>
      <c r="H4137" s="138"/>
      <c r="I4137" s="138"/>
      <c r="J4137" s="139"/>
      <c r="K4137" s="137"/>
      <c r="L4137" s="137"/>
      <c r="P4137" s="137"/>
      <c r="Q4137" s="137"/>
      <c r="R4137" s="126"/>
    </row>
    <row r="4138" spans="2:18" x14ac:dyDescent="0.3">
      <c r="B4138" s="126"/>
      <c r="G4138" s="137"/>
      <c r="H4138" s="138"/>
      <c r="I4138" s="138"/>
      <c r="J4138" s="139"/>
      <c r="K4138" s="137"/>
      <c r="L4138" s="137"/>
      <c r="P4138" s="137"/>
      <c r="Q4138" s="137"/>
      <c r="R4138" s="126"/>
    </row>
    <row r="4139" spans="2:18" x14ac:dyDescent="0.3">
      <c r="B4139" s="126"/>
      <c r="G4139" s="137"/>
      <c r="H4139" s="138"/>
      <c r="I4139" s="138"/>
      <c r="J4139" s="139"/>
      <c r="K4139" s="137"/>
      <c r="L4139" s="137"/>
      <c r="P4139" s="137"/>
      <c r="Q4139" s="137"/>
      <c r="R4139" s="126"/>
    </row>
    <row r="4140" spans="2:18" x14ac:dyDescent="0.3">
      <c r="B4140" s="126"/>
      <c r="G4140" s="137"/>
      <c r="H4140" s="138"/>
      <c r="I4140" s="138"/>
      <c r="J4140" s="139"/>
      <c r="K4140" s="137"/>
      <c r="L4140" s="137"/>
      <c r="P4140" s="137"/>
      <c r="Q4140" s="137"/>
      <c r="R4140" s="126"/>
    </row>
    <row r="4141" spans="2:18" x14ac:dyDescent="0.3">
      <c r="B4141" s="126"/>
      <c r="G4141" s="137"/>
      <c r="H4141" s="138"/>
      <c r="I4141" s="138"/>
      <c r="J4141" s="139"/>
      <c r="K4141" s="137"/>
      <c r="L4141" s="137"/>
      <c r="P4141" s="137"/>
      <c r="Q4141" s="137"/>
      <c r="R4141" s="126"/>
    </row>
    <row r="4142" spans="2:18" x14ac:dyDescent="0.3">
      <c r="B4142" s="126"/>
      <c r="G4142" s="137"/>
      <c r="H4142" s="138"/>
      <c r="I4142" s="138"/>
      <c r="J4142" s="139"/>
      <c r="K4142" s="137"/>
      <c r="L4142" s="137"/>
      <c r="P4142" s="137"/>
      <c r="Q4142" s="137"/>
      <c r="R4142" s="126"/>
    </row>
    <row r="4143" spans="2:18" x14ac:dyDescent="0.3">
      <c r="B4143" s="126"/>
      <c r="G4143" s="137"/>
      <c r="H4143" s="138"/>
      <c r="I4143" s="138"/>
      <c r="J4143" s="139"/>
      <c r="K4143" s="137"/>
      <c r="L4143" s="137"/>
      <c r="P4143" s="137"/>
      <c r="Q4143" s="137"/>
      <c r="R4143" s="126"/>
    </row>
    <row r="4144" spans="2:18" x14ac:dyDescent="0.3">
      <c r="B4144" s="126"/>
      <c r="G4144" s="137"/>
      <c r="H4144" s="138"/>
      <c r="I4144" s="138"/>
      <c r="J4144" s="139"/>
      <c r="K4144" s="137"/>
      <c r="L4144" s="137"/>
      <c r="P4144" s="137"/>
      <c r="Q4144" s="137"/>
      <c r="R4144" s="126"/>
    </row>
    <row r="4145" spans="2:18" x14ac:dyDescent="0.3">
      <c r="B4145" s="126"/>
      <c r="G4145" s="137"/>
      <c r="H4145" s="138"/>
      <c r="I4145" s="138"/>
      <c r="J4145" s="139"/>
      <c r="K4145" s="137"/>
      <c r="L4145" s="137"/>
      <c r="P4145" s="137"/>
      <c r="Q4145" s="137"/>
      <c r="R4145" s="126"/>
    </row>
    <row r="4146" spans="2:18" x14ac:dyDescent="0.3">
      <c r="B4146" s="126"/>
      <c r="G4146" s="137"/>
      <c r="H4146" s="138"/>
      <c r="I4146" s="138"/>
      <c r="J4146" s="139"/>
      <c r="K4146" s="137"/>
      <c r="L4146" s="137"/>
      <c r="P4146" s="137"/>
      <c r="Q4146" s="137"/>
      <c r="R4146" s="126"/>
    </row>
    <row r="4147" spans="2:18" x14ac:dyDescent="0.3">
      <c r="B4147" s="126"/>
      <c r="G4147" s="137"/>
      <c r="H4147" s="138"/>
      <c r="I4147" s="138"/>
      <c r="J4147" s="139"/>
      <c r="K4147" s="137"/>
      <c r="L4147" s="137"/>
      <c r="P4147" s="137"/>
      <c r="Q4147" s="137"/>
      <c r="R4147" s="126"/>
    </row>
    <row r="4148" spans="2:18" x14ac:dyDescent="0.3">
      <c r="B4148" s="126"/>
      <c r="G4148" s="137"/>
      <c r="H4148" s="138"/>
      <c r="I4148" s="138"/>
      <c r="J4148" s="139"/>
      <c r="K4148" s="137"/>
      <c r="L4148" s="137"/>
      <c r="P4148" s="137"/>
      <c r="Q4148" s="137"/>
      <c r="R4148" s="126"/>
    </row>
    <row r="4149" spans="2:18" x14ac:dyDescent="0.3">
      <c r="B4149" s="126"/>
      <c r="G4149" s="137"/>
      <c r="H4149" s="138"/>
      <c r="I4149" s="138"/>
      <c r="J4149" s="139"/>
      <c r="K4149" s="137"/>
      <c r="L4149" s="137"/>
      <c r="P4149" s="137"/>
      <c r="Q4149" s="137"/>
      <c r="R4149" s="126"/>
    </row>
    <row r="4150" spans="2:18" x14ac:dyDescent="0.3">
      <c r="B4150" s="126"/>
      <c r="G4150" s="137"/>
      <c r="H4150" s="138"/>
      <c r="I4150" s="138"/>
      <c r="J4150" s="139"/>
      <c r="K4150" s="137"/>
      <c r="L4150" s="137"/>
      <c r="P4150" s="137"/>
      <c r="Q4150" s="137"/>
      <c r="R4150" s="126"/>
    </row>
    <row r="4151" spans="2:18" x14ac:dyDescent="0.3">
      <c r="B4151" s="126"/>
      <c r="G4151" s="137"/>
      <c r="H4151" s="138"/>
      <c r="I4151" s="138"/>
      <c r="J4151" s="139"/>
      <c r="K4151" s="137"/>
      <c r="L4151" s="137"/>
      <c r="P4151" s="137"/>
      <c r="Q4151" s="137"/>
      <c r="R4151" s="126"/>
    </row>
    <row r="4152" spans="2:18" x14ac:dyDescent="0.3">
      <c r="B4152" s="126"/>
      <c r="G4152" s="137"/>
      <c r="H4152" s="138"/>
      <c r="I4152" s="138"/>
      <c r="J4152" s="139"/>
      <c r="K4152" s="137"/>
      <c r="L4152" s="137"/>
      <c r="P4152" s="137"/>
      <c r="Q4152" s="137"/>
      <c r="R4152" s="126"/>
    </row>
    <row r="4153" spans="2:18" x14ac:dyDescent="0.3">
      <c r="B4153" s="126"/>
      <c r="G4153" s="137"/>
      <c r="H4153" s="138"/>
      <c r="I4153" s="138"/>
      <c r="J4153" s="139"/>
      <c r="K4153" s="137"/>
      <c r="L4153" s="137"/>
      <c r="P4153" s="137"/>
      <c r="Q4153" s="137"/>
      <c r="R4153" s="126"/>
    </row>
    <row r="4154" spans="2:18" x14ac:dyDescent="0.3">
      <c r="B4154" s="126"/>
      <c r="G4154" s="137"/>
      <c r="H4154" s="138"/>
      <c r="I4154" s="138"/>
      <c r="J4154" s="139"/>
      <c r="K4154" s="137"/>
      <c r="L4154" s="137"/>
      <c r="P4154" s="137"/>
      <c r="Q4154" s="137"/>
      <c r="R4154" s="126"/>
    </row>
    <row r="4155" spans="2:18" x14ac:dyDescent="0.3">
      <c r="B4155" s="126"/>
      <c r="G4155" s="137"/>
      <c r="H4155" s="138"/>
      <c r="I4155" s="138"/>
      <c r="J4155" s="139"/>
      <c r="K4155" s="137"/>
      <c r="L4155" s="137"/>
      <c r="P4155" s="137"/>
      <c r="Q4155" s="137"/>
      <c r="R4155" s="126"/>
    </row>
    <row r="4156" spans="2:18" x14ac:dyDescent="0.3">
      <c r="B4156" s="126"/>
      <c r="G4156" s="137"/>
      <c r="H4156" s="138"/>
      <c r="I4156" s="138"/>
      <c r="J4156" s="139"/>
      <c r="K4156" s="137"/>
      <c r="L4156" s="137"/>
      <c r="P4156" s="137"/>
      <c r="Q4156" s="137"/>
      <c r="R4156" s="126"/>
    </row>
    <row r="4157" spans="2:18" x14ac:dyDescent="0.3">
      <c r="B4157" s="126"/>
      <c r="G4157" s="137"/>
      <c r="H4157" s="138"/>
      <c r="I4157" s="138"/>
      <c r="J4157" s="139"/>
      <c r="K4157" s="137"/>
      <c r="L4157" s="137"/>
      <c r="P4157" s="137"/>
      <c r="Q4157" s="137"/>
      <c r="R4157" s="126"/>
    </row>
    <row r="4158" spans="2:18" x14ac:dyDescent="0.3">
      <c r="B4158" s="126"/>
      <c r="G4158" s="137"/>
      <c r="H4158" s="138"/>
      <c r="I4158" s="138"/>
      <c r="J4158" s="139"/>
      <c r="K4158" s="137"/>
      <c r="L4158" s="137"/>
      <c r="P4158" s="137"/>
      <c r="Q4158" s="137"/>
      <c r="R4158" s="126"/>
    </row>
    <row r="4159" spans="2:18" x14ac:dyDescent="0.3">
      <c r="B4159" s="126"/>
      <c r="G4159" s="137"/>
      <c r="H4159" s="138"/>
      <c r="I4159" s="138"/>
      <c r="J4159" s="139"/>
      <c r="K4159" s="137"/>
      <c r="L4159" s="137"/>
      <c r="P4159" s="137"/>
      <c r="Q4159" s="137"/>
      <c r="R4159" s="126"/>
    </row>
    <row r="4160" spans="2:18" x14ac:dyDescent="0.3">
      <c r="B4160" s="126"/>
      <c r="G4160" s="137"/>
      <c r="H4160" s="138"/>
      <c r="I4160" s="138"/>
      <c r="J4160" s="139"/>
      <c r="K4160" s="137"/>
      <c r="L4160" s="137"/>
      <c r="P4160" s="137"/>
      <c r="Q4160" s="137"/>
      <c r="R4160" s="126"/>
    </row>
    <row r="4161" spans="2:18" x14ac:dyDescent="0.3">
      <c r="B4161" s="126"/>
      <c r="G4161" s="137"/>
      <c r="H4161" s="138"/>
      <c r="I4161" s="138"/>
      <c r="J4161" s="139"/>
      <c r="K4161" s="137"/>
      <c r="L4161" s="137"/>
      <c r="P4161" s="137"/>
      <c r="Q4161" s="137"/>
      <c r="R4161" s="126"/>
    </row>
    <row r="4162" spans="2:18" x14ac:dyDescent="0.3">
      <c r="B4162" s="126"/>
      <c r="G4162" s="137"/>
      <c r="H4162" s="138"/>
      <c r="I4162" s="138"/>
      <c r="J4162" s="139"/>
      <c r="K4162" s="137"/>
      <c r="L4162" s="137"/>
      <c r="P4162" s="137"/>
      <c r="Q4162" s="137"/>
      <c r="R4162" s="126"/>
    </row>
    <row r="4163" spans="2:18" x14ac:dyDescent="0.3">
      <c r="B4163" s="126"/>
      <c r="G4163" s="137"/>
      <c r="H4163" s="138"/>
      <c r="I4163" s="138"/>
      <c r="J4163" s="139"/>
      <c r="K4163" s="137"/>
      <c r="L4163" s="137"/>
      <c r="P4163" s="137"/>
      <c r="Q4163" s="137"/>
      <c r="R4163" s="126"/>
    </row>
    <row r="4164" spans="2:18" x14ac:dyDescent="0.3">
      <c r="B4164" s="126"/>
      <c r="G4164" s="137"/>
      <c r="H4164" s="138"/>
      <c r="I4164" s="138"/>
      <c r="J4164" s="139"/>
      <c r="K4164" s="137"/>
      <c r="L4164" s="137"/>
      <c r="P4164" s="137"/>
      <c r="Q4164" s="137"/>
      <c r="R4164" s="126"/>
    </row>
    <row r="4165" spans="2:18" x14ac:dyDescent="0.3">
      <c r="B4165" s="126"/>
      <c r="G4165" s="137"/>
      <c r="H4165" s="138"/>
      <c r="I4165" s="138"/>
      <c r="J4165" s="139"/>
      <c r="K4165" s="137"/>
      <c r="L4165" s="137"/>
      <c r="P4165" s="137"/>
      <c r="Q4165" s="137"/>
      <c r="R4165" s="126"/>
    </row>
    <row r="4166" spans="2:18" x14ac:dyDescent="0.3">
      <c r="B4166" s="126"/>
      <c r="G4166" s="137"/>
      <c r="H4166" s="138"/>
      <c r="I4166" s="138"/>
      <c r="J4166" s="139"/>
      <c r="K4166" s="137"/>
      <c r="L4166" s="137"/>
      <c r="P4166" s="137"/>
      <c r="Q4166" s="137"/>
      <c r="R4166" s="126"/>
    </row>
    <row r="4167" spans="2:18" x14ac:dyDescent="0.3">
      <c r="B4167" s="126"/>
      <c r="G4167" s="137"/>
      <c r="H4167" s="138"/>
      <c r="I4167" s="138"/>
      <c r="J4167" s="139"/>
      <c r="K4167" s="137"/>
      <c r="L4167" s="137"/>
      <c r="P4167" s="137"/>
      <c r="Q4167" s="137"/>
      <c r="R4167" s="126"/>
    </row>
    <row r="4168" spans="2:18" x14ac:dyDescent="0.3">
      <c r="B4168" s="126"/>
      <c r="G4168" s="137"/>
      <c r="H4168" s="138"/>
      <c r="I4168" s="138"/>
      <c r="J4168" s="139"/>
      <c r="K4168" s="137"/>
      <c r="L4168" s="137"/>
      <c r="P4168" s="137"/>
      <c r="Q4168" s="137"/>
      <c r="R4168" s="126"/>
    </row>
    <row r="4169" spans="2:18" x14ac:dyDescent="0.3">
      <c r="B4169" s="126"/>
      <c r="G4169" s="137"/>
      <c r="H4169" s="138"/>
      <c r="I4169" s="138"/>
      <c r="J4169" s="139"/>
      <c r="K4169" s="137"/>
      <c r="L4169" s="137"/>
      <c r="P4169" s="137"/>
      <c r="Q4169" s="137"/>
      <c r="R4169" s="126"/>
    </row>
    <row r="4170" spans="2:18" x14ac:dyDescent="0.3">
      <c r="B4170" s="126"/>
      <c r="G4170" s="137"/>
      <c r="H4170" s="138"/>
      <c r="I4170" s="138"/>
      <c r="J4170" s="139"/>
      <c r="K4170" s="137"/>
      <c r="L4170" s="137"/>
      <c r="P4170" s="137"/>
      <c r="Q4170" s="137"/>
      <c r="R4170" s="126"/>
    </row>
    <row r="4171" spans="2:18" x14ac:dyDescent="0.3">
      <c r="B4171" s="126"/>
      <c r="G4171" s="137"/>
      <c r="H4171" s="138"/>
      <c r="I4171" s="138"/>
      <c r="J4171" s="139"/>
      <c r="K4171" s="137"/>
      <c r="L4171" s="137"/>
      <c r="P4171" s="137"/>
      <c r="Q4171" s="137"/>
      <c r="R4171" s="126"/>
    </row>
    <row r="4172" spans="2:18" x14ac:dyDescent="0.3">
      <c r="B4172" s="126"/>
      <c r="G4172" s="137"/>
      <c r="H4172" s="138"/>
      <c r="I4172" s="138"/>
      <c r="J4172" s="139"/>
      <c r="K4172" s="137"/>
      <c r="L4172" s="137"/>
      <c r="P4172" s="137"/>
      <c r="Q4172" s="137"/>
      <c r="R4172" s="126"/>
    </row>
    <row r="4173" spans="2:18" x14ac:dyDescent="0.3">
      <c r="B4173" s="126"/>
      <c r="G4173" s="137"/>
      <c r="H4173" s="138"/>
      <c r="I4173" s="138"/>
      <c r="J4173" s="139"/>
      <c r="K4173" s="137"/>
      <c r="L4173" s="137"/>
      <c r="P4173" s="137"/>
      <c r="Q4173" s="137"/>
      <c r="R4173" s="126"/>
    </row>
    <row r="4174" spans="2:18" x14ac:dyDescent="0.3">
      <c r="B4174" s="126"/>
      <c r="G4174" s="137"/>
      <c r="H4174" s="138"/>
      <c r="I4174" s="138"/>
      <c r="J4174" s="139"/>
      <c r="K4174" s="137"/>
      <c r="L4174" s="137"/>
      <c r="P4174" s="137"/>
      <c r="Q4174" s="137"/>
      <c r="R4174" s="126"/>
    </row>
    <row r="4175" spans="2:18" x14ac:dyDescent="0.3">
      <c r="B4175" s="126"/>
      <c r="G4175" s="137"/>
      <c r="H4175" s="138"/>
      <c r="I4175" s="138"/>
      <c r="J4175" s="139"/>
      <c r="K4175" s="137"/>
      <c r="L4175" s="137"/>
      <c r="P4175" s="137"/>
      <c r="Q4175" s="137"/>
      <c r="R4175" s="126"/>
    </row>
    <row r="4176" spans="2:18" x14ac:dyDescent="0.3">
      <c r="B4176" s="126"/>
      <c r="G4176" s="137"/>
      <c r="H4176" s="138"/>
      <c r="I4176" s="138"/>
      <c r="J4176" s="139"/>
      <c r="K4176" s="137"/>
      <c r="L4176" s="137"/>
      <c r="P4176" s="137"/>
      <c r="Q4176" s="137"/>
      <c r="R4176" s="126"/>
    </row>
    <row r="4177" spans="2:18" x14ac:dyDescent="0.3">
      <c r="B4177" s="126"/>
      <c r="G4177" s="137"/>
      <c r="H4177" s="138"/>
      <c r="I4177" s="138"/>
      <c r="J4177" s="139"/>
      <c r="K4177" s="137"/>
      <c r="L4177" s="137"/>
      <c r="P4177" s="137"/>
      <c r="Q4177" s="137"/>
      <c r="R4177" s="126"/>
    </row>
    <row r="4178" spans="2:18" x14ac:dyDescent="0.3">
      <c r="B4178" s="126"/>
      <c r="G4178" s="137"/>
      <c r="H4178" s="138"/>
      <c r="I4178" s="138"/>
      <c r="J4178" s="139"/>
      <c r="K4178" s="137"/>
      <c r="L4178" s="137"/>
      <c r="P4178" s="137"/>
      <c r="Q4178" s="137"/>
      <c r="R4178" s="126"/>
    </row>
    <row r="4179" spans="2:18" x14ac:dyDescent="0.3">
      <c r="B4179" s="126"/>
      <c r="G4179" s="137"/>
      <c r="H4179" s="138"/>
      <c r="I4179" s="138"/>
      <c r="J4179" s="139"/>
      <c r="K4179" s="137"/>
      <c r="L4179" s="137"/>
      <c r="P4179" s="137"/>
      <c r="Q4179" s="137"/>
      <c r="R4179" s="126"/>
    </row>
    <row r="4180" spans="2:18" x14ac:dyDescent="0.3">
      <c r="B4180" s="126"/>
      <c r="G4180" s="137"/>
      <c r="H4180" s="138"/>
      <c r="I4180" s="138"/>
      <c r="J4180" s="139"/>
      <c r="K4180" s="137"/>
      <c r="L4180" s="137"/>
      <c r="P4180" s="137"/>
      <c r="Q4180" s="137"/>
      <c r="R4180" s="126"/>
    </row>
    <row r="4181" spans="2:18" x14ac:dyDescent="0.3">
      <c r="B4181" s="126"/>
      <c r="G4181" s="137"/>
      <c r="H4181" s="138"/>
      <c r="I4181" s="138"/>
      <c r="J4181" s="139"/>
      <c r="K4181" s="137"/>
      <c r="L4181" s="137"/>
      <c r="P4181" s="137"/>
      <c r="Q4181" s="137"/>
      <c r="R4181" s="126"/>
    </row>
    <row r="4182" spans="2:18" x14ac:dyDescent="0.3">
      <c r="B4182" s="126"/>
      <c r="G4182" s="137"/>
      <c r="H4182" s="138"/>
      <c r="I4182" s="138"/>
      <c r="J4182" s="139"/>
      <c r="K4182" s="137"/>
      <c r="L4182" s="137"/>
      <c r="P4182" s="137"/>
      <c r="Q4182" s="137"/>
      <c r="R4182" s="126"/>
    </row>
    <row r="4183" spans="2:18" x14ac:dyDescent="0.3">
      <c r="B4183" s="126"/>
      <c r="G4183" s="137"/>
      <c r="H4183" s="138"/>
      <c r="I4183" s="138"/>
      <c r="J4183" s="139"/>
      <c r="K4183" s="137"/>
      <c r="L4183" s="137"/>
      <c r="P4183" s="137"/>
      <c r="Q4183" s="137"/>
      <c r="R4183" s="126"/>
    </row>
    <row r="4184" spans="2:18" x14ac:dyDescent="0.3">
      <c r="B4184" s="126"/>
      <c r="G4184" s="137"/>
      <c r="H4184" s="138"/>
      <c r="I4184" s="138"/>
      <c r="J4184" s="139"/>
      <c r="K4184" s="137"/>
      <c r="L4184" s="137"/>
      <c r="P4184" s="137"/>
      <c r="Q4184" s="137"/>
      <c r="R4184" s="126"/>
    </row>
    <row r="4185" spans="2:18" x14ac:dyDescent="0.3">
      <c r="B4185" s="126"/>
      <c r="G4185" s="137"/>
      <c r="H4185" s="138"/>
      <c r="I4185" s="138"/>
      <c r="J4185" s="139"/>
      <c r="K4185" s="137"/>
      <c r="L4185" s="137"/>
      <c r="P4185" s="137"/>
      <c r="Q4185" s="137"/>
      <c r="R4185" s="126"/>
    </row>
    <row r="4186" spans="2:18" x14ac:dyDescent="0.3">
      <c r="B4186" s="126"/>
      <c r="G4186" s="137"/>
      <c r="H4186" s="138"/>
      <c r="I4186" s="138"/>
      <c r="J4186" s="139"/>
      <c r="K4186" s="137"/>
      <c r="L4186" s="137"/>
      <c r="P4186" s="137"/>
      <c r="Q4186" s="137"/>
      <c r="R4186" s="126"/>
    </row>
    <row r="4187" spans="2:18" x14ac:dyDescent="0.3">
      <c r="B4187" s="126"/>
      <c r="G4187" s="137"/>
      <c r="H4187" s="138"/>
      <c r="I4187" s="138"/>
      <c r="J4187" s="139"/>
      <c r="K4187" s="137"/>
      <c r="L4187" s="137"/>
      <c r="P4187" s="137"/>
      <c r="Q4187" s="137"/>
      <c r="R4187" s="126"/>
    </row>
    <row r="4188" spans="2:18" x14ac:dyDescent="0.3">
      <c r="B4188" s="126"/>
      <c r="G4188" s="137"/>
      <c r="H4188" s="138"/>
      <c r="I4188" s="138"/>
      <c r="J4188" s="139"/>
      <c r="K4188" s="137"/>
      <c r="L4188" s="137"/>
      <c r="P4188" s="137"/>
      <c r="Q4188" s="137"/>
      <c r="R4188" s="126"/>
    </row>
    <row r="4189" spans="2:18" x14ac:dyDescent="0.3">
      <c r="B4189" s="126"/>
      <c r="G4189" s="137"/>
      <c r="H4189" s="138"/>
      <c r="I4189" s="138"/>
      <c r="J4189" s="139"/>
      <c r="K4189" s="137"/>
      <c r="L4189" s="137"/>
      <c r="P4189" s="137"/>
      <c r="Q4189" s="137"/>
      <c r="R4189" s="126"/>
    </row>
    <row r="4190" spans="2:18" x14ac:dyDescent="0.3">
      <c r="B4190" s="126"/>
      <c r="G4190" s="137"/>
      <c r="H4190" s="138"/>
      <c r="I4190" s="138"/>
      <c r="J4190" s="139"/>
      <c r="K4190" s="137"/>
      <c r="L4190" s="137"/>
      <c r="P4190" s="137"/>
      <c r="Q4190" s="137"/>
      <c r="R4190" s="126"/>
    </row>
    <row r="4191" spans="2:18" x14ac:dyDescent="0.3">
      <c r="B4191" s="126"/>
      <c r="G4191" s="137"/>
      <c r="H4191" s="138"/>
      <c r="I4191" s="138"/>
      <c r="J4191" s="139"/>
      <c r="K4191" s="137"/>
      <c r="L4191" s="137"/>
      <c r="P4191" s="137"/>
      <c r="Q4191" s="137"/>
      <c r="R4191" s="126"/>
    </row>
    <row r="4192" spans="2:18" x14ac:dyDescent="0.3">
      <c r="B4192" s="126"/>
      <c r="G4192" s="137"/>
      <c r="H4192" s="138"/>
      <c r="I4192" s="138"/>
      <c r="J4192" s="139"/>
      <c r="K4192" s="137"/>
      <c r="L4192" s="137"/>
      <c r="P4192" s="137"/>
      <c r="Q4192" s="137"/>
      <c r="R4192" s="126"/>
    </row>
    <row r="4193" spans="2:18" x14ac:dyDescent="0.3">
      <c r="B4193" s="126"/>
      <c r="G4193" s="137"/>
      <c r="H4193" s="138"/>
      <c r="I4193" s="138"/>
      <c r="J4193" s="139"/>
      <c r="K4193" s="137"/>
      <c r="L4193" s="137"/>
      <c r="P4193" s="137"/>
      <c r="Q4193" s="137"/>
      <c r="R4193" s="126"/>
    </row>
    <row r="4194" spans="2:18" x14ac:dyDescent="0.3">
      <c r="B4194" s="126"/>
      <c r="G4194" s="137"/>
      <c r="H4194" s="138"/>
      <c r="I4194" s="138"/>
      <c r="J4194" s="139"/>
      <c r="K4194" s="137"/>
      <c r="L4194" s="137"/>
      <c r="P4194" s="137"/>
      <c r="Q4194" s="137"/>
      <c r="R4194" s="126"/>
    </row>
    <row r="4195" spans="2:18" x14ac:dyDescent="0.3">
      <c r="B4195" s="126"/>
      <c r="G4195" s="137"/>
      <c r="H4195" s="138"/>
      <c r="I4195" s="138"/>
      <c r="J4195" s="139"/>
      <c r="K4195" s="137"/>
      <c r="L4195" s="137"/>
      <c r="P4195" s="137"/>
      <c r="Q4195" s="137"/>
      <c r="R4195" s="126"/>
    </row>
    <row r="4196" spans="2:18" x14ac:dyDescent="0.3">
      <c r="B4196" s="126"/>
      <c r="G4196" s="137"/>
      <c r="H4196" s="138"/>
      <c r="I4196" s="138"/>
      <c r="J4196" s="139"/>
      <c r="K4196" s="137"/>
      <c r="L4196" s="137"/>
      <c r="P4196" s="137"/>
      <c r="Q4196" s="137"/>
      <c r="R4196" s="126"/>
    </row>
    <row r="4197" spans="2:18" x14ac:dyDescent="0.3">
      <c r="B4197" s="126"/>
      <c r="G4197" s="137"/>
      <c r="H4197" s="138"/>
      <c r="I4197" s="138"/>
      <c r="J4197" s="139"/>
      <c r="K4197" s="137"/>
      <c r="L4197" s="137"/>
      <c r="P4197" s="137"/>
      <c r="Q4197" s="137"/>
      <c r="R4197" s="126"/>
    </row>
    <row r="4198" spans="2:18" x14ac:dyDescent="0.3">
      <c r="B4198" s="126"/>
      <c r="G4198" s="137"/>
      <c r="H4198" s="138"/>
      <c r="I4198" s="138"/>
      <c r="J4198" s="139"/>
      <c r="K4198" s="137"/>
      <c r="L4198" s="137"/>
      <c r="P4198" s="137"/>
      <c r="Q4198" s="137"/>
      <c r="R4198" s="126"/>
    </row>
    <row r="4199" spans="2:18" x14ac:dyDescent="0.3">
      <c r="B4199" s="126"/>
      <c r="G4199" s="137"/>
      <c r="H4199" s="138"/>
      <c r="I4199" s="138"/>
      <c r="J4199" s="139"/>
      <c r="K4199" s="137"/>
      <c r="L4199" s="137"/>
      <c r="P4199" s="137"/>
      <c r="Q4199" s="137"/>
      <c r="R4199" s="126"/>
    </row>
    <row r="4200" spans="2:18" x14ac:dyDescent="0.3">
      <c r="B4200" s="126"/>
      <c r="G4200" s="137"/>
      <c r="H4200" s="138"/>
      <c r="I4200" s="138"/>
      <c r="J4200" s="139"/>
      <c r="K4200" s="137"/>
      <c r="L4200" s="137"/>
      <c r="P4200" s="137"/>
      <c r="Q4200" s="137"/>
      <c r="R4200" s="126"/>
    </row>
    <row r="4201" spans="2:18" x14ac:dyDescent="0.3">
      <c r="B4201" s="126"/>
      <c r="G4201" s="137"/>
      <c r="H4201" s="138"/>
      <c r="I4201" s="138"/>
      <c r="J4201" s="139"/>
      <c r="K4201" s="137"/>
      <c r="L4201" s="137"/>
      <c r="P4201" s="137"/>
      <c r="Q4201" s="137"/>
      <c r="R4201" s="126"/>
    </row>
    <row r="4202" spans="2:18" x14ac:dyDescent="0.3">
      <c r="B4202" s="126"/>
      <c r="G4202" s="137"/>
      <c r="H4202" s="138"/>
      <c r="I4202" s="138"/>
      <c r="J4202" s="139"/>
      <c r="K4202" s="137"/>
      <c r="L4202" s="137"/>
      <c r="P4202" s="137"/>
      <c r="Q4202" s="137"/>
      <c r="R4202" s="126"/>
    </row>
    <row r="4203" spans="2:18" x14ac:dyDescent="0.3">
      <c r="B4203" s="126"/>
      <c r="G4203" s="137"/>
      <c r="H4203" s="138"/>
      <c r="I4203" s="138"/>
      <c r="J4203" s="139"/>
      <c r="K4203" s="137"/>
      <c r="L4203" s="137"/>
      <c r="P4203" s="137"/>
      <c r="Q4203" s="137"/>
      <c r="R4203" s="126"/>
    </row>
    <row r="4204" spans="2:18" x14ac:dyDescent="0.3">
      <c r="B4204" s="126"/>
      <c r="G4204" s="137"/>
      <c r="H4204" s="138"/>
      <c r="I4204" s="138"/>
      <c r="J4204" s="139"/>
      <c r="K4204" s="137"/>
      <c r="L4204" s="137"/>
      <c r="P4204" s="137"/>
      <c r="Q4204" s="137"/>
      <c r="R4204" s="126"/>
    </row>
    <row r="4205" spans="2:18" x14ac:dyDescent="0.3">
      <c r="B4205" s="126"/>
      <c r="G4205" s="137"/>
      <c r="H4205" s="138"/>
      <c r="I4205" s="138"/>
      <c r="J4205" s="139"/>
      <c r="K4205" s="137"/>
      <c r="L4205" s="137"/>
      <c r="P4205" s="137"/>
      <c r="Q4205" s="137"/>
      <c r="R4205" s="126"/>
    </row>
    <row r="4206" spans="2:18" x14ac:dyDescent="0.3">
      <c r="B4206" s="126"/>
      <c r="G4206" s="137"/>
      <c r="H4206" s="138"/>
      <c r="I4206" s="138"/>
      <c r="J4206" s="139"/>
      <c r="K4206" s="137"/>
      <c r="L4206" s="137"/>
      <c r="P4206" s="137"/>
      <c r="Q4206" s="137"/>
      <c r="R4206" s="126"/>
    </row>
    <row r="4207" spans="2:18" x14ac:dyDescent="0.3">
      <c r="B4207" s="126"/>
      <c r="G4207" s="137"/>
      <c r="H4207" s="138"/>
      <c r="I4207" s="138"/>
      <c r="J4207" s="139"/>
      <c r="K4207" s="137"/>
      <c r="L4207" s="137"/>
      <c r="P4207" s="137"/>
      <c r="Q4207" s="137"/>
      <c r="R4207" s="126"/>
    </row>
    <row r="4208" spans="2:18" x14ac:dyDescent="0.3">
      <c r="B4208" s="126"/>
      <c r="G4208" s="137"/>
      <c r="H4208" s="138"/>
      <c r="I4208" s="138"/>
      <c r="J4208" s="139"/>
      <c r="K4208" s="137"/>
      <c r="L4208" s="137"/>
      <c r="P4208" s="137"/>
      <c r="Q4208" s="137"/>
      <c r="R4208" s="126"/>
    </row>
    <row r="4209" spans="2:18" x14ac:dyDescent="0.3">
      <c r="B4209" s="126"/>
      <c r="G4209" s="137"/>
      <c r="H4209" s="138"/>
      <c r="I4209" s="138"/>
      <c r="J4209" s="139"/>
      <c r="K4209" s="137"/>
      <c r="L4209" s="137"/>
      <c r="P4209" s="137"/>
      <c r="Q4209" s="137"/>
      <c r="R4209" s="126"/>
    </row>
    <row r="4210" spans="2:18" x14ac:dyDescent="0.3">
      <c r="B4210" s="126"/>
      <c r="G4210" s="137"/>
      <c r="H4210" s="138"/>
      <c r="I4210" s="138"/>
      <c r="J4210" s="139"/>
      <c r="K4210" s="137"/>
      <c r="L4210" s="137"/>
      <c r="P4210" s="137"/>
      <c r="Q4210" s="137"/>
      <c r="R4210" s="126"/>
    </row>
    <row r="4211" spans="2:18" x14ac:dyDescent="0.3">
      <c r="B4211" s="126"/>
      <c r="G4211" s="137"/>
      <c r="H4211" s="138"/>
      <c r="I4211" s="138"/>
      <c r="J4211" s="139"/>
      <c r="K4211" s="137"/>
      <c r="L4211" s="137"/>
      <c r="P4211" s="137"/>
      <c r="Q4211" s="137"/>
      <c r="R4211" s="126"/>
    </row>
    <row r="4212" spans="2:18" x14ac:dyDescent="0.3">
      <c r="B4212" s="126"/>
      <c r="G4212" s="137"/>
      <c r="H4212" s="138"/>
      <c r="I4212" s="138"/>
      <c r="J4212" s="139"/>
      <c r="K4212" s="137"/>
      <c r="L4212" s="137"/>
      <c r="P4212" s="137"/>
      <c r="Q4212" s="137"/>
      <c r="R4212" s="126"/>
    </row>
    <row r="4213" spans="2:18" x14ac:dyDescent="0.3">
      <c r="B4213" s="126"/>
      <c r="G4213" s="137"/>
      <c r="H4213" s="138"/>
      <c r="I4213" s="138"/>
      <c r="J4213" s="139"/>
      <c r="K4213" s="137"/>
      <c r="L4213" s="137"/>
      <c r="P4213" s="137"/>
      <c r="Q4213" s="137"/>
      <c r="R4213" s="126"/>
    </row>
    <row r="4214" spans="2:18" x14ac:dyDescent="0.3">
      <c r="B4214" s="126"/>
      <c r="G4214" s="137"/>
      <c r="H4214" s="138"/>
      <c r="I4214" s="138"/>
      <c r="J4214" s="139"/>
      <c r="K4214" s="137"/>
      <c r="L4214" s="137"/>
      <c r="P4214" s="137"/>
      <c r="Q4214" s="137"/>
      <c r="R4214" s="126"/>
    </row>
    <row r="4215" spans="2:18" x14ac:dyDescent="0.3">
      <c r="B4215" s="126"/>
      <c r="G4215" s="137"/>
      <c r="H4215" s="138"/>
      <c r="I4215" s="138"/>
      <c r="J4215" s="139"/>
      <c r="K4215" s="137"/>
      <c r="L4215" s="137"/>
      <c r="P4215" s="137"/>
      <c r="Q4215" s="137"/>
      <c r="R4215" s="126"/>
    </row>
    <row r="4216" spans="2:18" x14ac:dyDescent="0.3">
      <c r="B4216" s="126"/>
      <c r="G4216" s="137"/>
      <c r="H4216" s="138"/>
      <c r="I4216" s="138"/>
      <c r="J4216" s="139"/>
      <c r="K4216" s="137"/>
      <c r="L4216" s="137"/>
      <c r="P4216" s="137"/>
      <c r="Q4216" s="137"/>
      <c r="R4216" s="126"/>
    </row>
    <row r="4217" spans="2:18" x14ac:dyDescent="0.3">
      <c r="B4217" s="126"/>
      <c r="G4217" s="137"/>
      <c r="H4217" s="138"/>
      <c r="I4217" s="138"/>
      <c r="J4217" s="139"/>
      <c r="K4217" s="137"/>
      <c r="L4217" s="137"/>
      <c r="P4217" s="137"/>
      <c r="Q4217" s="137"/>
      <c r="R4217" s="126"/>
    </row>
    <row r="4218" spans="2:18" x14ac:dyDescent="0.3">
      <c r="B4218" s="126"/>
      <c r="G4218" s="137"/>
      <c r="H4218" s="138"/>
      <c r="I4218" s="138"/>
      <c r="J4218" s="139"/>
      <c r="K4218" s="137"/>
      <c r="L4218" s="137"/>
      <c r="P4218" s="137"/>
      <c r="Q4218" s="137"/>
      <c r="R4218" s="126"/>
    </row>
    <row r="4219" spans="2:18" x14ac:dyDescent="0.3">
      <c r="B4219" s="126"/>
      <c r="G4219" s="137"/>
      <c r="H4219" s="138"/>
      <c r="I4219" s="138"/>
      <c r="J4219" s="139"/>
      <c r="K4219" s="137"/>
      <c r="L4219" s="137"/>
      <c r="P4219" s="137"/>
      <c r="Q4219" s="137"/>
      <c r="R4219" s="126"/>
    </row>
    <row r="4220" spans="2:18" x14ac:dyDescent="0.3">
      <c r="B4220" s="126"/>
      <c r="G4220" s="137"/>
      <c r="H4220" s="138"/>
      <c r="I4220" s="138"/>
      <c r="J4220" s="139"/>
      <c r="K4220" s="137"/>
      <c r="L4220" s="137"/>
      <c r="P4220" s="137"/>
      <c r="Q4220" s="137"/>
      <c r="R4220" s="126"/>
    </row>
    <row r="4221" spans="2:18" x14ac:dyDescent="0.3">
      <c r="B4221" s="126"/>
      <c r="G4221" s="137"/>
      <c r="H4221" s="138"/>
      <c r="I4221" s="138"/>
      <c r="J4221" s="139"/>
      <c r="K4221" s="137"/>
      <c r="L4221" s="137"/>
      <c r="P4221" s="137"/>
      <c r="Q4221" s="137"/>
      <c r="R4221" s="126"/>
    </row>
    <row r="4222" spans="2:18" x14ac:dyDescent="0.3">
      <c r="B4222" s="126"/>
      <c r="G4222" s="137"/>
      <c r="H4222" s="138"/>
      <c r="I4222" s="138"/>
      <c r="J4222" s="139"/>
      <c r="K4222" s="137"/>
      <c r="L4222" s="137"/>
      <c r="P4222" s="137"/>
      <c r="Q4222" s="137"/>
      <c r="R4222" s="126"/>
    </row>
    <row r="4223" spans="2:18" x14ac:dyDescent="0.3">
      <c r="B4223" s="126"/>
      <c r="G4223" s="137"/>
      <c r="H4223" s="138"/>
      <c r="I4223" s="138"/>
      <c r="J4223" s="139"/>
      <c r="K4223" s="137"/>
      <c r="L4223" s="137"/>
      <c r="P4223" s="137"/>
      <c r="Q4223" s="137"/>
      <c r="R4223" s="126"/>
    </row>
    <row r="4224" spans="2:18" x14ac:dyDescent="0.3">
      <c r="B4224" s="126"/>
      <c r="G4224" s="137"/>
      <c r="H4224" s="138"/>
      <c r="I4224" s="138"/>
      <c r="J4224" s="139"/>
      <c r="K4224" s="137"/>
      <c r="L4224" s="137"/>
      <c r="P4224" s="137"/>
      <c r="Q4224" s="137"/>
      <c r="R4224" s="126"/>
    </row>
    <row r="4225" spans="2:18" x14ac:dyDescent="0.3">
      <c r="B4225" s="126"/>
      <c r="G4225" s="137"/>
      <c r="H4225" s="138"/>
      <c r="I4225" s="138"/>
      <c r="J4225" s="139"/>
      <c r="K4225" s="137"/>
      <c r="L4225" s="137"/>
      <c r="P4225" s="137"/>
      <c r="Q4225" s="137"/>
      <c r="R4225" s="126"/>
    </row>
    <row r="4226" spans="2:18" x14ac:dyDescent="0.3">
      <c r="B4226" s="126"/>
      <c r="G4226" s="137"/>
      <c r="H4226" s="138"/>
      <c r="I4226" s="138"/>
      <c r="J4226" s="139"/>
      <c r="K4226" s="137"/>
      <c r="L4226" s="137"/>
      <c r="P4226" s="137"/>
      <c r="Q4226" s="137"/>
      <c r="R4226" s="126"/>
    </row>
    <row r="4227" spans="2:18" x14ac:dyDescent="0.3">
      <c r="B4227" s="126"/>
      <c r="G4227" s="137"/>
      <c r="H4227" s="138"/>
      <c r="I4227" s="138"/>
      <c r="J4227" s="139"/>
      <c r="K4227" s="137"/>
      <c r="L4227" s="137"/>
      <c r="P4227" s="137"/>
      <c r="Q4227" s="137"/>
      <c r="R4227" s="126"/>
    </row>
    <row r="4228" spans="2:18" x14ac:dyDescent="0.3">
      <c r="B4228" s="126"/>
      <c r="G4228" s="137"/>
      <c r="H4228" s="138"/>
      <c r="I4228" s="138"/>
      <c r="J4228" s="139"/>
      <c r="K4228" s="137"/>
      <c r="L4228" s="137"/>
      <c r="P4228" s="137"/>
      <c r="Q4228" s="137"/>
      <c r="R4228" s="126"/>
    </row>
    <row r="4229" spans="2:18" x14ac:dyDescent="0.3">
      <c r="B4229" s="126"/>
      <c r="G4229" s="137"/>
      <c r="H4229" s="138"/>
      <c r="I4229" s="138"/>
      <c r="J4229" s="139"/>
      <c r="K4229" s="137"/>
      <c r="L4229" s="137"/>
      <c r="P4229" s="137"/>
      <c r="Q4229" s="137"/>
      <c r="R4229" s="126"/>
    </row>
    <row r="4230" spans="2:18" x14ac:dyDescent="0.3">
      <c r="B4230" s="126"/>
      <c r="G4230" s="137"/>
      <c r="H4230" s="138"/>
      <c r="I4230" s="138"/>
      <c r="J4230" s="139"/>
      <c r="K4230" s="137"/>
      <c r="L4230" s="137"/>
      <c r="P4230" s="137"/>
      <c r="Q4230" s="137"/>
      <c r="R4230" s="126"/>
    </row>
    <row r="4231" spans="2:18" x14ac:dyDescent="0.3">
      <c r="B4231" s="126"/>
      <c r="G4231" s="137"/>
      <c r="H4231" s="138"/>
      <c r="I4231" s="138"/>
      <c r="J4231" s="139"/>
      <c r="K4231" s="137"/>
      <c r="L4231" s="137"/>
      <c r="P4231" s="137"/>
      <c r="Q4231" s="137"/>
      <c r="R4231" s="126"/>
    </row>
    <row r="4232" spans="2:18" x14ac:dyDescent="0.3">
      <c r="B4232" s="126"/>
      <c r="G4232" s="137"/>
      <c r="H4232" s="138"/>
      <c r="I4232" s="138"/>
      <c r="J4232" s="139"/>
      <c r="K4232" s="137"/>
      <c r="L4232" s="137"/>
      <c r="P4232" s="137"/>
      <c r="Q4232" s="137"/>
      <c r="R4232" s="126"/>
    </row>
    <row r="4233" spans="2:18" x14ac:dyDescent="0.3">
      <c r="B4233" s="126"/>
      <c r="G4233" s="137"/>
      <c r="H4233" s="138"/>
      <c r="I4233" s="138"/>
      <c r="J4233" s="139"/>
      <c r="K4233" s="137"/>
      <c r="L4233" s="137"/>
      <c r="P4233" s="137"/>
      <c r="Q4233" s="137"/>
      <c r="R4233" s="126"/>
    </row>
    <row r="4234" spans="2:18" x14ac:dyDescent="0.3">
      <c r="B4234" s="126"/>
      <c r="G4234" s="137"/>
      <c r="H4234" s="138"/>
      <c r="I4234" s="138"/>
      <c r="J4234" s="139"/>
      <c r="K4234" s="137"/>
      <c r="L4234" s="137"/>
      <c r="P4234" s="137"/>
      <c r="Q4234" s="137"/>
      <c r="R4234" s="126"/>
    </row>
    <row r="4235" spans="2:18" x14ac:dyDescent="0.3">
      <c r="B4235" s="126"/>
      <c r="G4235" s="137"/>
      <c r="H4235" s="138"/>
      <c r="I4235" s="138"/>
      <c r="J4235" s="139"/>
      <c r="K4235" s="137"/>
      <c r="L4235" s="137"/>
      <c r="P4235" s="137"/>
      <c r="Q4235" s="137"/>
      <c r="R4235" s="126"/>
    </row>
    <row r="4236" spans="2:18" x14ac:dyDescent="0.3">
      <c r="B4236" s="126"/>
      <c r="G4236" s="137"/>
      <c r="H4236" s="138"/>
      <c r="I4236" s="138"/>
      <c r="J4236" s="139"/>
      <c r="K4236" s="137"/>
      <c r="L4236" s="137"/>
      <c r="P4236" s="137"/>
      <c r="Q4236" s="137"/>
      <c r="R4236" s="126"/>
    </row>
    <row r="4237" spans="2:18" x14ac:dyDescent="0.3">
      <c r="B4237" s="126"/>
      <c r="G4237" s="137"/>
      <c r="H4237" s="138"/>
      <c r="I4237" s="138"/>
      <c r="J4237" s="139"/>
      <c r="K4237" s="137"/>
      <c r="L4237" s="137"/>
      <c r="P4237" s="137"/>
      <c r="Q4237" s="137"/>
      <c r="R4237" s="126"/>
    </row>
    <row r="4238" spans="2:18" x14ac:dyDescent="0.3">
      <c r="B4238" s="126"/>
      <c r="G4238" s="137"/>
      <c r="H4238" s="138"/>
      <c r="I4238" s="138"/>
      <c r="J4238" s="139"/>
      <c r="K4238" s="137"/>
      <c r="L4238" s="137"/>
      <c r="P4238" s="137"/>
      <c r="Q4238" s="137"/>
      <c r="R4238" s="126"/>
    </row>
    <row r="4239" spans="2:18" x14ac:dyDescent="0.3">
      <c r="B4239" s="126"/>
      <c r="G4239" s="137"/>
      <c r="H4239" s="138"/>
      <c r="I4239" s="138"/>
      <c r="J4239" s="139"/>
      <c r="K4239" s="137"/>
      <c r="L4239" s="137"/>
      <c r="P4239" s="137"/>
      <c r="Q4239" s="137"/>
      <c r="R4239" s="126"/>
    </row>
    <row r="4240" spans="2:18" x14ac:dyDescent="0.3">
      <c r="B4240" s="126"/>
      <c r="G4240" s="137"/>
      <c r="H4240" s="138"/>
      <c r="I4240" s="138"/>
      <c r="J4240" s="139"/>
      <c r="K4240" s="137"/>
      <c r="L4240" s="137"/>
      <c r="P4240" s="137"/>
      <c r="Q4240" s="137"/>
      <c r="R4240" s="126"/>
    </row>
    <row r="4241" spans="2:18" x14ac:dyDescent="0.3">
      <c r="B4241" s="126"/>
      <c r="G4241" s="137"/>
      <c r="H4241" s="138"/>
      <c r="I4241" s="138"/>
      <c r="J4241" s="139"/>
      <c r="K4241" s="137"/>
      <c r="L4241" s="137"/>
      <c r="P4241" s="137"/>
      <c r="Q4241" s="137"/>
      <c r="R4241" s="126"/>
    </row>
    <row r="4242" spans="2:18" x14ac:dyDescent="0.3">
      <c r="B4242" s="126"/>
      <c r="G4242" s="137"/>
      <c r="H4242" s="138"/>
      <c r="I4242" s="138"/>
      <c r="J4242" s="139"/>
      <c r="K4242" s="137"/>
      <c r="L4242" s="137"/>
      <c r="P4242" s="137"/>
      <c r="Q4242" s="137"/>
      <c r="R4242" s="126"/>
    </row>
    <row r="4243" spans="2:18" x14ac:dyDescent="0.3">
      <c r="B4243" s="126"/>
      <c r="G4243" s="137"/>
      <c r="H4243" s="138"/>
      <c r="I4243" s="138"/>
      <c r="J4243" s="139"/>
      <c r="K4243" s="137"/>
      <c r="L4243" s="137"/>
      <c r="P4243" s="137"/>
      <c r="Q4243" s="137"/>
      <c r="R4243" s="126"/>
    </row>
    <row r="4244" spans="2:18" x14ac:dyDescent="0.3">
      <c r="B4244" s="126"/>
      <c r="G4244" s="137"/>
      <c r="H4244" s="138"/>
      <c r="I4244" s="138"/>
      <c r="J4244" s="139"/>
      <c r="K4244" s="137"/>
      <c r="L4244" s="137"/>
      <c r="P4244" s="137"/>
      <c r="Q4244" s="137"/>
      <c r="R4244" s="126"/>
    </row>
    <row r="4245" spans="2:18" x14ac:dyDescent="0.3">
      <c r="B4245" s="126"/>
      <c r="G4245" s="137"/>
      <c r="H4245" s="138"/>
      <c r="I4245" s="138"/>
      <c r="J4245" s="139"/>
      <c r="K4245" s="137"/>
      <c r="L4245" s="137"/>
      <c r="P4245" s="137"/>
      <c r="Q4245" s="137"/>
      <c r="R4245" s="126"/>
    </row>
    <row r="4246" spans="2:18" x14ac:dyDescent="0.3">
      <c r="B4246" s="126"/>
      <c r="G4246" s="137"/>
      <c r="H4246" s="138"/>
      <c r="I4246" s="138"/>
      <c r="J4246" s="139"/>
      <c r="K4246" s="137"/>
      <c r="L4246" s="137"/>
      <c r="P4246" s="137"/>
      <c r="Q4246" s="137"/>
      <c r="R4246" s="126"/>
    </row>
    <row r="4247" spans="2:18" x14ac:dyDescent="0.3">
      <c r="B4247" s="126"/>
      <c r="G4247" s="137"/>
      <c r="H4247" s="138"/>
      <c r="I4247" s="138"/>
      <c r="J4247" s="139"/>
      <c r="K4247" s="137"/>
      <c r="L4247" s="137"/>
      <c r="P4247" s="137"/>
      <c r="Q4247" s="137"/>
      <c r="R4247" s="126"/>
    </row>
    <row r="4248" spans="2:18" x14ac:dyDescent="0.3">
      <c r="B4248" s="126"/>
      <c r="G4248" s="137"/>
      <c r="H4248" s="138"/>
      <c r="I4248" s="138"/>
      <c r="J4248" s="139"/>
      <c r="K4248" s="137"/>
      <c r="L4248" s="137"/>
      <c r="P4248" s="137"/>
      <c r="Q4248" s="137"/>
      <c r="R4248" s="126"/>
    </row>
    <row r="4249" spans="2:18" x14ac:dyDescent="0.3">
      <c r="B4249" s="126"/>
      <c r="G4249" s="137"/>
      <c r="H4249" s="138"/>
      <c r="I4249" s="138"/>
      <c r="J4249" s="139"/>
      <c r="K4249" s="137"/>
      <c r="L4249" s="137"/>
      <c r="P4249" s="137"/>
      <c r="Q4249" s="137"/>
      <c r="R4249" s="126"/>
    </row>
    <row r="4250" spans="2:18" x14ac:dyDescent="0.3">
      <c r="B4250" s="126"/>
      <c r="G4250" s="137"/>
      <c r="H4250" s="138"/>
      <c r="I4250" s="138"/>
      <c r="J4250" s="139"/>
      <c r="K4250" s="137"/>
      <c r="L4250" s="137"/>
      <c r="P4250" s="137"/>
      <c r="Q4250" s="137"/>
      <c r="R4250" s="126"/>
    </row>
    <row r="4251" spans="2:18" x14ac:dyDescent="0.3">
      <c r="B4251" s="126"/>
      <c r="G4251" s="137"/>
      <c r="H4251" s="138"/>
      <c r="I4251" s="138"/>
      <c r="J4251" s="139"/>
      <c r="K4251" s="137"/>
      <c r="L4251" s="137"/>
      <c r="P4251" s="137"/>
      <c r="Q4251" s="137"/>
      <c r="R4251" s="126"/>
    </row>
    <row r="4252" spans="2:18" x14ac:dyDescent="0.3">
      <c r="B4252" s="126"/>
      <c r="G4252" s="137"/>
      <c r="H4252" s="138"/>
      <c r="I4252" s="138"/>
      <c r="J4252" s="139"/>
      <c r="K4252" s="137"/>
      <c r="L4252" s="137"/>
      <c r="P4252" s="137"/>
      <c r="Q4252" s="137"/>
      <c r="R4252" s="126"/>
    </row>
    <row r="4253" spans="2:18" x14ac:dyDescent="0.3">
      <c r="B4253" s="126"/>
      <c r="G4253" s="137"/>
      <c r="H4253" s="138"/>
      <c r="I4253" s="138"/>
      <c r="J4253" s="139"/>
      <c r="K4253" s="137"/>
      <c r="L4253" s="137"/>
      <c r="P4253" s="137"/>
      <c r="Q4253" s="137"/>
      <c r="R4253" s="126"/>
    </row>
    <row r="4254" spans="2:18" x14ac:dyDescent="0.3">
      <c r="B4254" s="126"/>
      <c r="G4254" s="137"/>
      <c r="H4254" s="138"/>
      <c r="I4254" s="138"/>
      <c r="J4254" s="139"/>
      <c r="K4254" s="137"/>
      <c r="L4254" s="137"/>
      <c r="P4254" s="137"/>
      <c r="Q4254" s="137"/>
      <c r="R4254" s="126"/>
    </row>
    <row r="4255" spans="2:18" x14ac:dyDescent="0.3">
      <c r="B4255" s="126"/>
      <c r="G4255" s="137"/>
      <c r="H4255" s="138"/>
      <c r="I4255" s="138"/>
      <c r="J4255" s="139"/>
      <c r="K4255" s="137"/>
      <c r="L4255" s="137"/>
      <c r="P4255" s="137"/>
      <c r="Q4255" s="137"/>
      <c r="R4255" s="126"/>
    </row>
    <row r="4256" spans="2:18" x14ac:dyDescent="0.3">
      <c r="B4256" s="126"/>
      <c r="G4256" s="137"/>
      <c r="H4256" s="138"/>
      <c r="I4256" s="138"/>
      <c r="J4256" s="139"/>
      <c r="K4256" s="137"/>
      <c r="L4256" s="137"/>
      <c r="P4256" s="137"/>
      <c r="Q4256" s="137"/>
      <c r="R4256" s="126"/>
    </row>
    <row r="4257" spans="2:18" x14ac:dyDescent="0.3">
      <c r="B4257" s="126"/>
      <c r="G4257" s="137"/>
      <c r="H4257" s="138"/>
      <c r="I4257" s="138"/>
      <c r="J4257" s="139"/>
      <c r="K4257" s="137"/>
      <c r="L4257" s="137"/>
      <c r="P4257" s="137"/>
      <c r="Q4257" s="137"/>
      <c r="R4257" s="126"/>
    </row>
    <row r="4258" spans="2:18" x14ac:dyDescent="0.3">
      <c r="B4258" s="126"/>
      <c r="G4258" s="137"/>
      <c r="H4258" s="138"/>
      <c r="I4258" s="138"/>
      <c r="J4258" s="139"/>
      <c r="K4258" s="137"/>
      <c r="L4258" s="137"/>
      <c r="P4258" s="137"/>
      <c r="Q4258" s="137"/>
      <c r="R4258" s="126"/>
    </row>
    <row r="4259" spans="2:18" x14ac:dyDescent="0.3">
      <c r="B4259" s="126"/>
      <c r="G4259" s="137"/>
      <c r="H4259" s="138"/>
      <c r="I4259" s="138"/>
      <c r="J4259" s="139"/>
      <c r="K4259" s="137"/>
      <c r="L4259" s="137"/>
      <c r="P4259" s="137"/>
      <c r="Q4259" s="137"/>
      <c r="R4259" s="126"/>
    </row>
    <row r="4260" spans="2:18" x14ac:dyDescent="0.3">
      <c r="B4260" s="126"/>
      <c r="G4260" s="137"/>
      <c r="H4260" s="138"/>
      <c r="I4260" s="138"/>
      <c r="J4260" s="139"/>
      <c r="K4260" s="137"/>
      <c r="L4260" s="137"/>
      <c r="P4260" s="137"/>
      <c r="Q4260" s="137"/>
      <c r="R4260" s="126"/>
    </row>
    <row r="4261" spans="2:18" x14ac:dyDescent="0.3">
      <c r="B4261" s="126"/>
      <c r="G4261" s="137"/>
      <c r="H4261" s="138"/>
      <c r="I4261" s="138"/>
      <c r="J4261" s="139"/>
      <c r="K4261" s="137"/>
      <c r="L4261" s="137"/>
      <c r="P4261" s="137"/>
      <c r="Q4261" s="137"/>
      <c r="R4261" s="126"/>
    </row>
    <row r="4262" spans="2:18" x14ac:dyDescent="0.3">
      <c r="B4262" s="126"/>
      <c r="G4262" s="137"/>
      <c r="H4262" s="138"/>
      <c r="I4262" s="138"/>
      <c r="J4262" s="139"/>
      <c r="K4262" s="137"/>
      <c r="L4262" s="137"/>
      <c r="P4262" s="137"/>
      <c r="Q4262" s="137"/>
      <c r="R4262" s="126"/>
    </row>
    <row r="4263" spans="2:18" x14ac:dyDescent="0.3">
      <c r="B4263" s="126"/>
      <c r="G4263" s="137"/>
      <c r="H4263" s="138"/>
      <c r="I4263" s="138"/>
      <c r="J4263" s="139"/>
      <c r="K4263" s="137"/>
      <c r="L4263" s="137"/>
      <c r="P4263" s="137"/>
      <c r="Q4263" s="137"/>
      <c r="R4263" s="126"/>
    </row>
    <row r="4264" spans="2:18" x14ac:dyDescent="0.3">
      <c r="B4264" s="126"/>
      <c r="G4264" s="137"/>
      <c r="H4264" s="138"/>
      <c r="I4264" s="138"/>
      <c r="J4264" s="139"/>
      <c r="K4264" s="137"/>
      <c r="L4264" s="137"/>
      <c r="P4264" s="137"/>
      <c r="Q4264" s="137"/>
      <c r="R4264" s="126"/>
    </row>
    <row r="4265" spans="2:18" x14ac:dyDescent="0.3">
      <c r="B4265" s="126"/>
      <c r="G4265" s="137"/>
      <c r="H4265" s="138"/>
      <c r="I4265" s="138"/>
      <c r="J4265" s="139"/>
      <c r="K4265" s="137"/>
      <c r="L4265" s="137"/>
      <c r="P4265" s="137"/>
      <c r="Q4265" s="137"/>
      <c r="R4265" s="126"/>
    </row>
    <row r="4266" spans="2:18" x14ac:dyDescent="0.3">
      <c r="B4266" s="126"/>
      <c r="G4266" s="137"/>
      <c r="H4266" s="138"/>
      <c r="I4266" s="138"/>
      <c r="J4266" s="139"/>
      <c r="K4266" s="137"/>
      <c r="L4266" s="137"/>
      <c r="P4266" s="137"/>
      <c r="Q4266" s="137"/>
      <c r="R4266" s="126"/>
    </row>
    <row r="4267" spans="2:18" x14ac:dyDescent="0.3">
      <c r="B4267" s="126"/>
      <c r="G4267" s="137"/>
      <c r="H4267" s="138"/>
      <c r="I4267" s="138"/>
      <c r="J4267" s="139"/>
      <c r="K4267" s="137"/>
      <c r="L4267" s="137"/>
      <c r="P4267" s="137"/>
      <c r="Q4267" s="137"/>
      <c r="R4267" s="126"/>
    </row>
    <row r="4268" spans="2:18" x14ac:dyDescent="0.3">
      <c r="B4268" s="126"/>
      <c r="G4268" s="137"/>
      <c r="H4268" s="138"/>
      <c r="I4268" s="138"/>
      <c r="J4268" s="139"/>
      <c r="K4268" s="137"/>
      <c r="L4268" s="137"/>
      <c r="P4268" s="137"/>
      <c r="Q4268" s="137"/>
      <c r="R4268" s="126"/>
    </row>
    <row r="4269" spans="2:18" x14ac:dyDescent="0.3">
      <c r="B4269" s="126"/>
      <c r="G4269" s="137"/>
      <c r="H4269" s="138"/>
      <c r="I4269" s="138"/>
      <c r="J4269" s="139"/>
      <c r="K4269" s="137"/>
      <c r="L4269" s="137"/>
      <c r="P4269" s="137"/>
      <c r="Q4269" s="137"/>
      <c r="R4269" s="126"/>
    </row>
    <row r="4270" spans="2:18" x14ac:dyDescent="0.3">
      <c r="B4270" s="126"/>
      <c r="G4270" s="137"/>
      <c r="H4270" s="138"/>
      <c r="I4270" s="138"/>
      <c r="J4270" s="139"/>
      <c r="K4270" s="137"/>
      <c r="L4270" s="137"/>
      <c r="P4270" s="137"/>
      <c r="Q4270" s="137"/>
      <c r="R4270" s="126"/>
    </row>
    <row r="4271" spans="2:18" x14ac:dyDescent="0.3">
      <c r="B4271" s="126"/>
      <c r="G4271" s="137"/>
      <c r="H4271" s="138"/>
      <c r="I4271" s="138"/>
      <c r="J4271" s="139"/>
      <c r="K4271" s="137"/>
      <c r="L4271" s="137"/>
      <c r="P4271" s="137"/>
      <c r="Q4271" s="137"/>
      <c r="R4271" s="126"/>
    </row>
    <row r="4272" spans="2:18" x14ac:dyDescent="0.3">
      <c r="B4272" s="126"/>
      <c r="G4272" s="137"/>
      <c r="H4272" s="138"/>
      <c r="I4272" s="138"/>
      <c r="J4272" s="139"/>
      <c r="K4272" s="137"/>
      <c r="L4272" s="137"/>
      <c r="P4272" s="137"/>
      <c r="Q4272" s="137"/>
      <c r="R4272" s="126"/>
    </row>
    <row r="4273" spans="2:18" x14ac:dyDescent="0.3">
      <c r="B4273" s="126"/>
      <c r="G4273" s="137"/>
      <c r="H4273" s="138"/>
      <c r="I4273" s="138"/>
      <c r="J4273" s="139"/>
      <c r="K4273" s="137"/>
      <c r="L4273" s="137"/>
      <c r="P4273" s="137"/>
      <c r="Q4273" s="137"/>
      <c r="R4273" s="126"/>
    </row>
    <row r="4274" spans="2:18" x14ac:dyDescent="0.3">
      <c r="B4274" s="126"/>
      <c r="G4274" s="137"/>
      <c r="H4274" s="138"/>
      <c r="I4274" s="138"/>
      <c r="J4274" s="139"/>
      <c r="K4274" s="137"/>
      <c r="L4274" s="137"/>
      <c r="P4274" s="137"/>
      <c r="Q4274" s="137"/>
      <c r="R4274" s="126"/>
    </row>
    <row r="4275" spans="2:18" x14ac:dyDescent="0.3">
      <c r="B4275" s="126"/>
      <c r="G4275" s="137"/>
      <c r="H4275" s="138"/>
      <c r="I4275" s="138"/>
      <c r="J4275" s="139"/>
      <c r="K4275" s="137"/>
      <c r="L4275" s="137"/>
      <c r="P4275" s="137"/>
      <c r="Q4275" s="137"/>
      <c r="R4275" s="126"/>
    </row>
    <row r="4276" spans="2:18" x14ac:dyDescent="0.3">
      <c r="B4276" s="126"/>
      <c r="G4276" s="137"/>
      <c r="H4276" s="138"/>
      <c r="I4276" s="138"/>
      <c r="J4276" s="139"/>
      <c r="K4276" s="137"/>
      <c r="L4276" s="137"/>
      <c r="P4276" s="137"/>
      <c r="Q4276" s="137"/>
      <c r="R4276" s="126"/>
    </row>
    <row r="4277" spans="2:18" x14ac:dyDescent="0.3">
      <c r="B4277" s="126"/>
      <c r="G4277" s="137"/>
      <c r="H4277" s="138"/>
      <c r="I4277" s="138"/>
      <c r="J4277" s="139"/>
      <c r="K4277" s="137"/>
      <c r="L4277" s="137"/>
      <c r="P4277" s="137"/>
      <c r="Q4277" s="137"/>
      <c r="R4277" s="126"/>
    </row>
    <row r="4278" spans="2:18" x14ac:dyDescent="0.3">
      <c r="B4278" s="126"/>
      <c r="G4278" s="137"/>
      <c r="H4278" s="138"/>
      <c r="I4278" s="138"/>
      <c r="J4278" s="139"/>
      <c r="K4278" s="137"/>
      <c r="L4278" s="137"/>
      <c r="P4278" s="137"/>
      <c r="Q4278" s="137"/>
      <c r="R4278" s="126"/>
    </row>
    <row r="4279" spans="2:18" x14ac:dyDescent="0.3">
      <c r="B4279" s="126"/>
      <c r="G4279" s="137"/>
      <c r="H4279" s="138"/>
      <c r="I4279" s="138"/>
      <c r="J4279" s="139"/>
      <c r="K4279" s="137"/>
      <c r="L4279" s="137"/>
      <c r="P4279" s="137"/>
      <c r="Q4279" s="137"/>
      <c r="R4279" s="126"/>
    </row>
    <row r="4280" spans="2:18" x14ac:dyDescent="0.3">
      <c r="B4280" s="126"/>
      <c r="G4280" s="137"/>
      <c r="H4280" s="138"/>
      <c r="I4280" s="138"/>
      <c r="J4280" s="139"/>
      <c r="K4280" s="137"/>
      <c r="L4280" s="137"/>
      <c r="P4280" s="137"/>
      <c r="Q4280" s="137"/>
      <c r="R4280" s="126"/>
    </row>
    <row r="4281" spans="2:18" x14ac:dyDescent="0.3">
      <c r="B4281" s="126"/>
      <c r="G4281" s="137"/>
      <c r="H4281" s="138"/>
      <c r="I4281" s="138"/>
      <c r="J4281" s="139"/>
      <c r="K4281" s="137"/>
      <c r="L4281" s="137"/>
      <c r="P4281" s="137"/>
      <c r="Q4281" s="137"/>
      <c r="R4281" s="126"/>
    </row>
    <row r="4282" spans="2:18" x14ac:dyDescent="0.3">
      <c r="B4282" s="126"/>
      <c r="G4282" s="137"/>
      <c r="H4282" s="138"/>
      <c r="I4282" s="138"/>
      <c r="J4282" s="139"/>
      <c r="K4282" s="137"/>
      <c r="L4282" s="137"/>
      <c r="P4282" s="137"/>
      <c r="Q4282" s="137"/>
      <c r="R4282" s="126"/>
    </row>
    <row r="4283" spans="2:18" x14ac:dyDescent="0.3">
      <c r="B4283" s="126"/>
      <c r="G4283" s="137"/>
      <c r="H4283" s="138"/>
      <c r="I4283" s="138"/>
      <c r="J4283" s="139"/>
      <c r="K4283" s="137"/>
      <c r="L4283" s="137"/>
      <c r="P4283" s="137"/>
      <c r="Q4283" s="137"/>
      <c r="R4283" s="126"/>
    </row>
    <row r="4284" spans="2:18" x14ac:dyDescent="0.3">
      <c r="B4284" s="126"/>
      <c r="G4284" s="137"/>
      <c r="H4284" s="138"/>
      <c r="I4284" s="138"/>
      <c r="J4284" s="139"/>
      <c r="K4284" s="137"/>
      <c r="L4284" s="137"/>
      <c r="P4284" s="137"/>
      <c r="Q4284" s="137"/>
      <c r="R4284" s="126"/>
    </row>
    <row r="4285" spans="2:18" x14ac:dyDescent="0.3">
      <c r="B4285" s="126"/>
      <c r="G4285" s="137"/>
      <c r="H4285" s="138"/>
      <c r="I4285" s="138"/>
      <c r="J4285" s="139"/>
      <c r="K4285" s="137"/>
      <c r="L4285" s="137"/>
      <c r="P4285" s="137"/>
      <c r="Q4285" s="137"/>
      <c r="R4285" s="126"/>
    </row>
    <row r="4286" spans="2:18" x14ac:dyDescent="0.3">
      <c r="B4286" s="126"/>
      <c r="G4286" s="137"/>
      <c r="H4286" s="138"/>
      <c r="I4286" s="138"/>
      <c r="J4286" s="139"/>
      <c r="K4286" s="137"/>
      <c r="L4286" s="137"/>
      <c r="P4286" s="137"/>
      <c r="Q4286" s="137"/>
      <c r="R4286" s="126"/>
    </row>
    <row r="4287" spans="2:18" x14ac:dyDescent="0.3">
      <c r="B4287" s="126"/>
      <c r="G4287" s="137"/>
      <c r="H4287" s="138"/>
      <c r="I4287" s="138"/>
      <c r="J4287" s="139"/>
      <c r="K4287" s="137"/>
      <c r="L4287" s="137"/>
      <c r="P4287" s="137"/>
      <c r="Q4287" s="137"/>
      <c r="R4287" s="126"/>
    </row>
    <row r="4288" spans="2:18" x14ac:dyDescent="0.3">
      <c r="B4288" s="126"/>
      <c r="G4288" s="137"/>
      <c r="H4288" s="138"/>
      <c r="I4288" s="138"/>
      <c r="J4288" s="139"/>
      <c r="K4288" s="137"/>
      <c r="L4288" s="137"/>
      <c r="P4288" s="137"/>
      <c r="Q4288" s="137"/>
      <c r="R4288" s="126"/>
    </row>
    <row r="4289" spans="2:18" x14ac:dyDescent="0.3">
      <c r="B4289" s="126"/>
      <c r="G4289" s="137"/>
      <c r="H4289" s="138"/>
      <c r="I4289" s="138"/>
      <c r="J4289" s="139"/>
      <c r="K4289" s="137"/>
      <c r="L4289" s="137"/>
      <c r="P4289" s="137"/>
      <c r="Q4289" s="137"/>
      <c r="R4289" s="126"/>
    </row>
    <row r="4290" spans="2:18" x14ac:dyDescent="0.3">
      <c r="B4290" s="126"/>
      <c r="G4290" s="137"/>
      <c r="H4290" s="138"/>
      <c r="I4290" s="138"/>
      <c r="J4290" s="139"/>
      <c r="K4290" s="137"/>
      <c r="L4290" s="137"/>
      <c r="P4290" s="137"/>
      <c r="Q4290" s="137"/>
      <c r="R4290" s="126"/>
    </row>
    <row r="4291" spans="2:18" x14ac:dyDescent="0.3">
      <c r="B4291" s="126"/>
      <c r="G4291" s="137"/>
      <c r="H4291" s="138"/>
      <c r="I4291" s="138"/>
      <c r="J4291" s="139"/>
      <c r="K4291" s="137"/>
      <c r="L4291" s="137"/>
      <c r="P4291" s="137"/>
      <c r="Q4291" s="137"/>
      <c r="R4291" s="126"/>
    </row>
    <row r="4292" spans="2:18" x14ac:dyDescent="0.3">
      <c r="B4292" s="126"/>
      <c r="G4292" s="137"/>
      <c r="H4292" s="138"/>
      <c r="I4292" s="138"/>
      <c r="J4292" s="139"/>
      <c r="K4292" s="137"/>
      <c r="L4292" s="137"/>
      <c r="P4292" s="137"/>
      <c r="Q4292" s="137"/>
      <c r="R4292" s="126"/>
    </row>
    <row r="4293" spans="2:18" x14ac:dyDescent="0.3">
      <c r="B4293" s="126"/>
      <c r="G4293" s="137"/>
      <c r="H4293" s="138"/>
      <c r="I4293" s="138"/>
      <c r="J4293" s="139"/>
      <c r="K4293" s="137"/>
      <c r="L4293" s="137"/>
      <c r="P4293" s="137"/>
      <c r="Q4293" s="137"/>
      <c r="R4293" s="126"/>
    </row>
    <row r="4294" spans="2:18" x14ac:dyDescent="0.3">
      <c r="B4294" s="126"/>
      <c r="G4294" s="137"/>
      <c r="H4294" s="138"/>
      <c r="I4294" s="138"/>
      <c r="J4294" s="139"/>
      <c r="K4294" s="137"/>
      <c r="L4294" s="137"/>
      <c r="P4294" s="137"/>
      <c r="Q4294" s="137"/>
      <c r="R4294" s="126"/>
    </row>
    <row r="4295" spans="2:18" x14ac:dyDescent="0.3">
      <c r="B4295" s="126"/>
      <c r="G4295" s="137"/>
      <c r="H4295" s="138"/>
      <c r="I4295" s="138"/>
      <c r="J4295" s="139"/>
      <c r="K4295" s="137"/>
      <c r="L4295" s="137"/>
      <c r="P4295" s="137"/>
      <c r="Q4295" s="137"/>
      <c r="R4295" s="126"/>
    </row>
    <row r="4296" spans="2:18" x14ac:dyDescent="0.3">
      <c r="B4296" s="126"/>
      <c r="G4296" s="137"/>
      <c r="H4296" s="138"/>
      <c r="I4296" s="138"/>
      <c r="J4296" s="139"/>
      <c r="K4296" s="137"/>
      <c r="L4296" s="137"/>
      <c r="P4296" s="137"/>
      <c r="Q4296" s="137"/>
      <c r="R4296" s="126"/>
    </row>
    <row r="4297" spans="2:18" x14ac:dyDescent="0.3">
      <c r="B4297" s="126"/>
      <c r="G4297" s="137"/>
      <c r="H4297" s="138"/>
      <c r="I4297" s="138"/>
      <c r="J4297" s="139"/>
      <c r="K4297" s="137"/>
      <c r="L4297" s="137"/>
      <c r="P4297" s="137"/>
      <c r="Q4297" s="137"/>
      <c r="R4297" s="126"/>
    </row>
    <row r="4298" spans="2:18" x14ac:dyDescent="0.3">
      <c r="B4298" s="126"/>
      <c r="G4298" s="137"/>
      <c r="H4298" s="138"/>
      <c r="I4298" s="138"/>
      <c r="J4298" s="139"/>
      <c r="K4298" s="137"/>
      <c r="L4298" s="137"/>
      <c r="P4298" s="137"/>
      <c r="Q4298" s="137"/>
      <c r="R4298" s="126"/>
    </row>
    <row r="4299" spans="2:18" x14ac:dyDescent="0.3">
      <c r="B4299" s="126"/>
      <c r="G4299" s="137"/>
      <c r="H4299" s="138"/>
      <c r="I4299" s="138"/>
      <c r="J4299" s="139"/>
      <c r="K4299" s="137"/>
      <c r="L4299" s="137"/>
      <c r="P4299" s="137"/>
      <c r="Q4299" s="137"/>
      <c r="R4299" s="126"/>
    </row>
    <row r="4300" spans="2:18" x14ac:dyDescent="0.3">
      <c r="B4300" s="126"/>
      <c r="G4300" s="137"/>
      <c r="H4300" s="138"/>
      <c r="I4300" s="138"/>
      <c r="J4300" s="139"/>
      <c r="K4300" s="137"/>
      <c r="L4300" s="137"/>
      <c r="P4300" s="137"/>
      <c r="Q4300" s="137"/>
      <c r="R4300" s="126"/>
    </row>
    <row r="4301" spans="2:18" x14ac:dyDescent="0.3">
      <c r="B4301" s="126"/>
      <c r="G4301" s="137"/>
      <c r="H4301" s="138"/>
      <c r="I4301" s="138"/>
      <c r="J4301" s="139"/>
      <c r="K4301" s="137"/>
      <c r="L4301" s="137"/>
      <c r="P4301" s="137"/>
      <c r="Q4301" s="137"/>
      <c r="R4301" s="126"/>
    </row>
    <row r="4302" spans="2:18" x14ac:dyDescent="0.3">
      <c r="B4302" s="126"/>
      <c r="G4302" s="137"/>
      <c r="H4302" s="138"/>
      <c r="I4302" s="138"/>
      <c r="J4302" s="139"/>
      <c r="K4302" s="137"/>
      <c r="L4302" s="137"/>
      <c r="P4302" s="137"/>
      <c r="Q4302" s="137"/>
      <c r="R4302" s="126"/>
    </row>
    <row r="4303" spans="2:18" x14ac:dyDescent="0.3">
      <c r="B4303" s="126"/>
      <c r="G4303" s="137"/>
      <c r="H4303" s="138"/>
      <c r="I4303" s="138"/>
      <c r="J4303" s="139"/>
      <c r="K4303" s="137"/>
      <c r="L4303" s="137"/>
      <c r="P4303" s="137"/>
      <c r="Q4303" s="137"/>
      <c r="R4303" s="126"/>
    </row>
    <row r="4304" spans="2:18" x14ac:dyDescent="0.3">
      <c r="B4304" s="126"/>
      <c r="G4304" s="137"/>
      <c r="H4304" s="138"/>
      <c r="I4304" s="138"/>
      <c r="J4304" s="139"/>
      <c r="K4304" s="137"/>
      <c r="L4304" s="137"/>
      <c r="P4304" s="137"/>
      <c r="Q4304" s="137"/>
      <c r="R4304" s="126"/>
    </row>
    <row r="4305" spans="2:18" x14ac:dyDescent="0.3">
      <c r="B4305" s="126"/>
      <c r="G4305" s="137"/>
      <c r="H4305" s="138"/>
      <c r="I4305" s="138"/>
      <c r="J4305" s="139"/>
      <c r="K4305" s="137"/>
      <c r="L4305" s="137"/>
      <c r="P4305" s="137"/>
      <c r="Q4305" s="137"/>
      <c r="R4305" s="126"/>
    </row>
    <row r="4306" spans="2:18" x14ac:dyDescent="0.3">
      <c r="B4306" s="126"/>
      <c r="G4306" s="137"/>
      <c r="H4306" s="138"/>
      <c r="I4306" s="138"/>
      <c r="J4306" s="139"/>
      <c r="K4306" s="137"/>
      <c r="L4306" s="137"/>
      <c r="P4306" s="137"/>
      <c r="Q4306" s="137"/>
      <c r="R4306" s="126"/>
    </row>
    <row r="4307" spans="2:18" x14ac:dyDescent="0.3">
      <c r="B4307" s="126"/>
      <c r="G4307" s="137"/>
      <c r="H4307" s="138"/>
      <c r="I4307" s="138"/>
      <c r="J4307" s="139"/>
      <c r="K4307" s="137"/>
      <c r="L4307" s="137"/>
      <c r="P4307" s="137"/>
      <c r="Q4307" s="137"/>
      <c r="R4307" s="126"/>
    </row>
    <row r="4308" spans="2:18" x14ac:dyDescent="0.3">
      <c r="B4308" s="126"/>
      <c r="G4308" s="137"/>
      <c r="H4308" s="138"/>
      <c r="I4308" s="138"/>
      <c r="J4308" s="139"/>
      <c r="K4308" s="137"/>
      <c r="L4308" s="137"/>
      <c r="P4308" s="137"/>
      <c r="Q4308" s="137"/>
      <c r="R4308" s="126"/>
    </row>
    <row r="4309" spans="2:18" x14ac:dyDescent="0.3">
      <c r="B4309" s="126"/>
      <c r="G4309" s="137"/>
      <c r="H4309" s="138"/>
      <c r="I4309" s="138"/>
      <c r="J4309" s="139"/>
      <c r="K4309" s="137"/>
      <c r="L4309" s="137"/>
      <c r="P4309" s="137"/>
      <c r="Q4309" s="137"/>
      <c r="R4309" s="126"/>
    </row>
    <row r="4310" spans="2:18" x14ac:dyDescent="0.3">
      <c r="B4310" s="126"/>
      <c r="G4310" s="137"/>
      <c r="H4310" s="138"/>
      <c r="I4310" s="138"/>
      <c r="J4310" s="139"/>
      <c r="K4310" s="137"/>
      <c r="L4310" s="137"/>
      <c r="P4310" s="137"/>
      <c r="Q4310" s="137"/>
      <c r="R4310" s="126"/>
    </row>
    <row r="4311" spans="2:18" x14ac:dyDescent="0.3">
      <c r="B4311" s="126"/>
      <c r="G4311" s="137"/>
      <c r="H4311" s="138"/>
      <c r="I4311" s="138"/>
      <c r="J4311" s="139"/>
      <c r="K4311" s="137"/>
      <c r="L4311" s="137"/>
      <c r="P4311" s="137"/>
      <c r="Q4311" s="137"/>
      <c r="R4311" s="126"/>
    </row>
    <row r="4312" spans="2:18" x14ac:dyDescent="0.3">
      <c r="B4312" s="126"/>
      <c r="G4312" s="137"/>
      <c r="H4312" s="138"/>
      <c r="I4312" s="138"/>
      <c r="J4312" s="139"/>
      <c r="K4312" s="137"/>
      <c r="L4312" s="137"/>
      <c r="P4312" s="137"/>
      <c r="Q4312" s="137"/>
      <c r="R4312" s="126"/>
    </row>
    <row r="4313" spans="2:18" x14ac:dyDescent="0.3">
      <c r="B4313" s="126"/>
      <c r="G4313" s="137"/>
      <c r="H4313" s="138"/>
      <c r="I4313" s="138"/>
      <c r="J4313" s="139"/>
      <c r="K4313" s="137"/>
      <c r="L4313" s="137"/>
      <c r="P4313" s="137"/>
      <c r="Q4313" s="137"/>
      <c r="R4313" s="126"/>
    </row>
    <row r="4314" spans="2:18" x14ac:dyDescent="0.3">
      <c r="B4314" s="126"/>
      <c r="G4314" s="137"/>
      <c r="H4314" s="138"/>
      <c r="I4314" s="138"/>
      <c r="J4314" s="139"/>
      <c r="K4314" s="137"/>
      <c r="L4314" s="137"/>
      <c r="P4314" s="137"/>
      <c r="Q4314" s="137"/>
      <c r="R4314" s="126"/>
    </row>
    <row r="4315" spans="2:18" x14ac:dyDescent="0.3">
      <c r="B4315" s="126"/>
      <c r="G4315" s="137"/>
      <c r="H4315" s="138"/>
      <c r="I4315" s="138"/>
      <c r="J4315" s="139"/>
      <c r="K4315" s="137"/>
      <c r="L4315" s="137"/>
      <c r="P4315" s="137"/>
      <c r="Q4315" s="137"/>
      <c r="R4315" s="126"/>
    </row>
    <row r="4316" spans="2:18" x14ac:dyDescent="0.3">
      <c r="B4316" s="126"/>
      <c r="G4316" s="137"/>
      <c r="H4316" s="138"/>
      <c r="I4316" s="138"/>
      <c r="J4316" s="139"/>
      <c r="K4316" s="137"/>
      <c r="L4316" s="137"/>
      <c r="P4316" s="137"/>
      <c r="Q4316" s="137"/>
      <c r="R4316" s="126"/>
    </row>
    <row r="4317" spans="2:18" x14ac:dyDescent="0.3">
      <c r="B4317" s="126"/>
      <c r="G4317" s="137"/>
      <c r="H4317" s="138"/>
      <c r="I4317" s="138"/>
      <c r="J4317" s="139"/>
      <c r="K4317" s="137"/>
      <c r="L4317" s="137"/>
      <c r="P4317" s="137"/>
      <c r="Q4317" s="137"/>
      <c r="R4317" s="126"/>
    </row>
    <row r="4318" spans="2:18" x14ac:dyDescent="0.3">
      <c r="B4318" s="126"/>
      <c r="G4318" s="137"/>
      <c r="H4318" s="138"/>
      <c r="I4318" s="138"/>
      <c r="J4318" s="139"/>
      <c r="K4318" s="137"/>
      <c r="L4318" s="137"/>
      <c r="P4318" s="137"/>
      <c r="Q4318" s="137"/>
      <c r="R4318" s="126"/>
    </row>
    <row r="4319" spans="2:18" x14ac:dyDescent="0.3">
      <c r="B4319" s="126"/>
      <c r="G4319" s="137"/>
      <c r="H4319" s="138"/>
      <c r="I4319" s="138"/>
      <c r="J4319" s="139"/>
      <c r="K4319" s="137"/>
      <c r="L4319" s="137"/>
      <c r="P4319" s="137"/>
      <c r="Q4319" s="137"/>
      <c r="R4319" s="126"/>
    </row>
    <row r="4320" spans="2:18" x14ac:dyDescent="0.3">
      <c r="B4320" s="126"/>
      <c r="G4320" s="137"/>
      <c r="H4320" s="138"/>
      <c r="I4320" s="138"/>
      <c r="J4320" s="139"/>
      <c r="K4320" s="137"/>
      <c r="L4320" s="137"/>
      <c r="P4320" s="137"/>
      <c r="Q4320" s="137"/>
      <c r="R4320" s="126"/>
    </row>
    <row r="4321" spans="2:18" x14ac:dyDescent="0.3">
      <c r="B4321" s="126"/>
      <c r="G4321" s="137"/>
      <c r="H4321" s="138"/>
      <c r="I4321" s="138"/>
      <c r="J4321" s="139"/>
      <c r="K4321" s="137"/>
      <c r="L4321" s="137"/>
      <c r="P4321" s="137"/>
      <c r="Q4321" s="137"/>
      <c r="R4321" s="126"/>
    </row>
    <row r="4322" spans="2:18" x14ac:dyDescent="0.3">
      <c r="B4322" s="126"/>
      <c r="G4322" s="137"/>
      <c r="H4322" s="138"/>
      <c r="I4322" s="138"/>
      <c r="J4322" s="139"/>
      <c r="K4322" s="137"/>
      <c r="L4322" s="137"/>
      <c r="P4322" s="137"/>
      <c r="Q4322" s="137"/>
      <c r="R4322" s="126"/>
    </row>
    <row r="4323" spans="2:18" x14ac:dyDescent="0.3">
      <c r="B4323" s="126"/>
      <c r="G4323" s="137"/>
      <c r="H4323" s="138"/>
      <c r="I4323" s="138"/>
      <c r="J4323" s="139"/>
      <c r="K4323" s="137"/>
      <c r="L4323" s="137"/>
      <c r="P4323" s="137"/>
      <c r="Q4323" s="137"/>
      <c r="R4323" s="126"/>
    </row>
    <row r="4324" spans="2:18" x14ac:dyDescent="0.3">
      <c r="B4324" s="126"/>
      <c r="G4324" s="137"/>
      <c r="H4324" s="138"/>
      <c r="I4324" s="138"/>
      <c r="J4324" s="139"/>
      <c r="K4324" s="137"/>
      <c r="L4324" s="137"/>
      <c r="P4324" s="137"/>
      <c r="Q4324" s="137"/>
      <c r="R4324" s="126"/>
    </row>
    <row r="4325" spans="2:18" x14ac:dyDescent="0.3">
      <c r="B4325" s="126"/>
      <c r="G4325" s="137"/>
      <c r="H4325" s="138"/>
      <c r="I4325" s="138"/>
      <c r="J4325" s="139"/>
      <c r="K4325" s="137"/>
      <c r="L4325" s="137"/>
      <c r="P4325" s="137"/>
      <c r="Q4325" s="137"/>
      <c r="R4325" s="126"/>
    </row>
    <row r="4326" spans="2:18" x14ac:dyDescent="0.3">
      <c r="B4326" s="126"/>
      <c r="G4326" s="137"/>
      <c r="H4326" s="138"/>
      <c r="I4326" s="138"/>
      <c r="J4326" s="139"/>
      <c r="K4326" s="137"/>
      <c r="L4326" s="137"/>
      <c r="P4326" s="137"/>
      <c r="Q4326" s="137"/>
      <c r="R4326" s="126"/>
    </row>
    <row r="4327" spans="2:18" x14ac:dyDescent="0.3">
      <c r="B4327" s="126"/>
      <c r="G4327" s="137"/>
      <c r="H4327" s="138"/>
      <c r="I4327" s="138"/>
      <c r="J4327" s="139"/>
      <c r="K4327" s="137"/>
      <c r="L4327" s="137"/>
      <c r="P4327" s="137"/>
      <c r="Q4327" s="137"/>
      <c r="R4327" s="126"/>
    </row>
    <row r="4328" spans="2:18" x14ac:dyDescent="0.3">
      <c r="B4328" s="126"/>
      <c r="G4328" s="137"/>
      <c r="H4328" s="138"/>
      <c r="I4328" s="138"/>
      <c r="J4328" s="139"/>
      <c r="K4328" s="137"/>
      <c r="L4328" s="137"/>
      <c r="P4328" s="137"/>
      <c r="Q4328" s="137"/>
      <c r="R4328" s="126"/>
    </row>
    <row r="4329" spans="2:18" x14ac:dyDescent="0.3">
      <c r="B4329" s="126"/>
      <c r="G4329" s="137"/>
      <c r="H4329" s="138"/>
      <c r="I4329" s="138"/>
      <c r="J4329" s="139"/>
      <c r="K4329" s="137"/>
      <c r="L4329" s="137"/>
      <c r="P4329" s="137"/>
      <c r="Q4329" s="137"/>
      <c r="R4329" s="126"/>
    </row>
    <row r="4330" spans="2:18" x14ac:dyDescent="0.3">
      <c r="B4330" s="126"/>
      <c r="G4330" s="137"/>
      <c r="H4330" s="138"/>
      <c r="I4330" s="138"/>
      <c r="J4330" s="139"/>
      <c r="K4330" s="137"/>
      <c r="L4330" s="137"/>
      <c r="P4330" s="137"/>
      <c r="Q4330" s="137"/>
      <c r="R4330" s="126"/>
    </row>
    <row r="4331" spans="2:18" x14ac:dyDescent="0.3">
      <c r="B4331" s="126"/>
      <c r="G4331" s="137"/>
      <c r="H4331" s="138"/>
      <c r="I4331" s="138"/>
      <c r="J4331" s="139"/>
      <c r="K4331" s="137"/>
      <c r="L4331" s="137"/>
      <c r="P4331" s="137"/>
      <c r="Q4331" s="137"/>
      <c r="R4331" s="126"/>
    </row>
    <row r="4332" spans="2:18" x14ac:dyDescent="0.3">
      <c r="B4332" s="126"/>
      <c r="G4332" s="137"/>
      <c r="H4332" s="138"/>
      <c r="I4332" s="138"/>
      <c r="J4332" s="139"/>
      <c r="K4332" s="137"/>
      <c r="L4332" s="137"/>
      <c r="P4332" s="137"/>
      <c r="Q4332" s="137"/>
      <c r="R4332" s="126"/>
    </row>
    <row r="4333" spans="2:18" x14ac:dyDescent="0.3">
      <c r="B4333" s="126"/>
      <c r="G4333" s="137"/>
      <c r="H4333" s="138"/>
      <c r="I4333" s="138"/>
      <c r="J4333" s="139"/>
      <c r="K4333" s="137"/>
      <c r="L4333" s="137"/>
      <c r="P4333" s="137"/>
      <c r="Q4333" s="137"/>
      <c r="R4333" s="126"/>
    </row>
    <row r="4334" spans="2:18" x14ac:dyDescent="0.3">
      <c r="B4334" s="126"/>
      <c r="G4334" s="137"/>
      <c r="H4334" s="138"/>
      <c r="I4334" s="138"/>
      <c r="J4334" s="139"/>
      <c r="K4334" s="137"/>
      <c r="L4334" s="137"/>
      <c r="P4334" s="137"/>
      <c r="Q4334" s="137"/>
      <c r="R4334" s="126"/>
    </row>
    <row r="4335" spans="2:18" x14ac:dyDescent="0.3">
      <c r="B4335" s="126"/>
      <c r="G4335" s="137"/>
      <c r="H4335" s="138"/>
      <c r="I4335" s="138"/>
      <c r="J4335" s="139"/>
      <c r="K4335" s="137"/>
      <c r="L4335" s="137"/>
      <c r="P4335" s="137"/>
      <c r="Q4335" s="137"/>
      <c r="R4335" s="126"/>
    </row>
    <row r="4336" spans="2:18" x14ac:dyDescent="0.3">
      <c r="B4336" s="126"/>
      <c r="G4336" s="137"/>
      <c r="H4336" s="138"/>
      <c r="I4336" s="138"/>
      <c r="J4336" s="139"/>
      <c r="K4336" s="137"/>
      <c r="L4336" s="137"/>
      <c r="P4336" s="137"/>
      <c r="Q4336" s="137"/>
      <c r="R4336" s="126"/>
    </row>
    <row r="4337" spans="2:18" x14ac:dyDescent="0.3">
      <c r="B4337" s="126"/>
      <c r="G4337" s="137"/>
      <c r="H4337" s="138"/>
      <c r="I4337" s="138"/>
      <c r="J4337" s="139"/>
      <c r="K4337" s="137"/>
      <c r="L4337" s="137"/>
      <c r="P4337" s="137"/>
      <c r="Q4337" s="137"/>
      <c r="R4337" s="126"/>
    </row>
    <row r="4338" spans="2:18" x14ac:dyDescent="0.3">
      <c r="B4338" s="126"/>
      <c r="G4338" s="137"/>
      <c r="H4338" s="138"/>
      <c r="I4338" s="138"/>
      <c r="J4338" s="139"/>
      <c r="K4338" s="137"/>
      <c r="L4338" s="137"/>
      <c r="P4338" s="137"/>
      <c r="Q4338" s="137"/>
      <c r="R4338" s="126"/>
    </row>
    <row r="4339" spans="2:18" x14ac:dyDescent="0.3">
      <c r="B4339" s="126"/>
      <c r="G4339" s="137"/>
      <c r="H4339" s="138"/>
      <c r="I4339" s="138"/>
      <c r="J4339" s="139"/>
      <c r="K4339" s="137"/>
      <c r="L4339" s="137"/>
      <c r="P4339" s="137"/>
      <c r="Q4339" s="137"/>
      <c r="R4339" s="126"/>
    </row>
    <row r="4340" spans="2:18" x14ac:dyDescent="0.3">
      <c r="B4340" s="126"/>
      <c r="G4340" s="137"/>
      <c r="H4340" s="138"/>
      <c r="I4340" s="138"/>
      <c r="J4340" s="139"/>
      <c r="K4340" s="137"/>
      <c r="L4340" s="137"/>
      <c r="P4340" s="137"/>
      <c r="Q4340" s="137"/>
      <c r="R4340" s="126"/>
    </row>
    <row r="4341" spans="2:18" x14ac:dyDescent="0.3">
      <c r="B4341" s="126"/>
      <c r="G4341" s="137"/>
      <c r="H4341" s="138"/>
      <c r="I4341" s="138"/>
      <c r="J4341" s="139"/>
      <c r="K4341" s="137"/>
      <c r="L4341" s="137"/>
      <c r="P4341" s="137"/>
      <c r="Q4341" s="137"/>
      <c r="R4341" s="126"/>
    </row>
    <row r="4342" spans="2:18" x14ac:dyDescent="0.3">
      <c r="B4342" s="126"/>
      <c r="G4342" s="137"/>
      <c r="H4342" s="138"/>
      <c r="I4342" s="138"/>
      <c r="J4342" s="139"/>
      <c r="K4342" s="137"/>
      <c r="L4342" s="137"/>
      <c r="P4342" s="137"/>
      <c r="Q4342" s="137"/>
      <c r="R4342" s="126"/>
    </row>
    <row r="4343" spans="2:18" x14ac:dyDescent="0.3">
      <c r="B4343" s="126"/>
      <c r="G4343" s="137"/>
      <c r="H4343" s="138"/>
      <c r="I4343" s="138"/>
      <c r="J4343" s="139"/>
      <c r="K4343" s="137"/>
      <c r="L4343" s="137"/>
      <c r="P4343" s="137"/>
      <c r="Q4343" s="137"/>
      <c r="R4343" s="126"/>
    </row>
    <row r="4344" spans="2:18" x14ac:dyDescent="0.3">
      <c r="B4344" s="126"/>
      <c r="G4344" s="137"/>
      <c r="H4344" s="138"/>
      <c r="I4344" s="138"/>
      <c r="J4344" s="139"/>
      <c r="K4344" s="137"/>
      <c r="L4344" s="137"/>
      <c r="P4344" s="137"/>
      <c r="Q4344" s="137"/>
      <c r="R4344" s="126"/>
    </row>
    <row r="4345" spans="2:18" x14ac:dyDescent="0.3">
      <c r="B4345" s="126"/>
      <c r="G4345" s="137"/>
      <c r="H4345" s="138"/>
      <c r="I4345" s="138"/>
      <c r="J4345" s="139"/>
      <c r="K4345" s="137"/>
      <c r="L4345" s="137"/>
      <c r="P4345" s="137"/>
      <c r="Q4345" s="137"/>
      <c r="R4345" s="126"/>
    </row>
    <row r="4346" spans="2:18" x14ac:dyDescent="0.3">
      <c r="B4346" s="126"/>
      <c r="G4346" s="137"/>
      <c r="H4346" s="138"/>
      <c r="I4346" s="138"/>
      <c r="J4346" s="139"/>
      <c r="K4346" s="137"/>
      <c r="L4346" s="137"/>
      <c r="P4346" s="137"/>
      <c r="Q4346" s="137"/>
      <c r="R4346" s="126"/>
    </row>
    <row r="4347" spans="2:18" x14ac:dyDescent="0.3">
      <c r="B4347" s="126"/>
      <c r="G4347" s="137"/>
      <c r="H4347" s="138"/>
      <c r="I4347" s="138"/>
      <c r="J4347" s="139"/>
      <c r="K4347" s="137"/>
      <c r="L4347" s="137"/>
      <c r="P4347" s="137"/>
      <c r="Q4347" s="137"/>
      <c r="R4347" s="126"/>
    </row>
    <row r="4348" spans="2:18" x14ac:dyDescent="0.3">
      <c r="B4348" s="126"/>
      <c r="G4348" s="137"/>
      <c r="H4348" s="138"/>
      <c r="I4348" s="138"/>
      <c r="J4348" s="139"/>
      <c r="K4348" s="137"/>
      <c r="L4348" s="137"/>
      <c r="P4348" s="137"/>
      <c r="Q4348" s="137"/>
      <c r="R4348" s="126"/>
    </row>
    <row r="4349" spans="2:18" x14ac:dyDescent="0.3">
      <c r="B4349" s="126"/>
      <c r="G4349" s="137"/>
      <c r="H4349" s="138"/>
      <c r="I4349" s="138"/>
      <c r="J4349" s="139"/>
      <c r="K4349" s="137"/>
      <c r="L4349" s="137"/>
      <c r="P4349" s="137"/>
      <c r="Q4349" s="137"/>
      <c r="R4349" s="126"/>
    </row>
    <row r="4350" spans="2:18" x14ac:dyDescent="0.3">
      <c r="B4350" s="126"/>
      <c r="G4350" s="137"/>
      <c r="H4350" s="138"/>
      <c r="I4350" s="138"/>
      <c r="J4350" s="139"/>
      <c r="K4350" s="137"/>
      <c r="L4350" s="137"/>
      <c r="P4350" s="137"/>
      <c r="Q4350" s="137"/>
      <c r="R4350" s="126"/>
    </row>
    <row r="4351" spans="2:18" x14ac:dyDescent="0.3">
      <c r="B4351" s="126"/>
      <c r="G4351" s="137"/>
      <c r="H4351" s="138"/>
      <c r="I4351" s="138"/>
      <c r="J4351" s="139"/>
      <c r="K4351" s="137"/>
      <c r="L4351" s="137"/>
      <c r="P4351" s="137"/>
      <c r="Q4351" s="137"/>
      <c r="R4351" s="126"/>
    </row>
    <row r="4352" spans="2:18" x14ac:dyDescent="0.3">
      <c r="B4352" s="126"/>
      <c r="G4352" s="137"/>
      <c r="H4352" s="138"/>
      <c r="I4352" s="138"/>
      <c r="J4352" s="139"/>
      <c r="K4352" s="137"/>
      <c r="L4352" s="137"/>
      <c r="P4352" s="137"/>
      <c r="Q4352" s="137"/>
      <c r="R4352" s="126"/>
    </row>
    <row r="4353" spans="2:18" x14ac:dyDescent="0.3">
      <c r="B4353" s="126"/>
      <c r="G4353" s="137"/>
      <c r="H4353" s="138"/>
      <c r="I4353" s="138"/>
      <c r="J4353" s="139"/>
      <c r="K4353" s="137"/>
      <c r="L4353" s="137"/>
      <c r="P4353" s="137"/>
      <c r="Q4353" s="137"/>
      <c r="R4353" s="126"/>
    </row>
    <row r="4354" spans="2:18" x14ac:dyDescent="0.3">
      <c r="B4354" s="126"/>
      <c r="G4354" s="137"/>
      <c r="H4354" s="138"/>
      <c r="I4354" s="138"/>
      <c r="J4354" s="139"/>
      <c r="K4354" s="137"/>
      <c r="L4354" s="137"/>
      <c r="P4354" s="137"/>
      <c r="Q4354" s="137"/>
      <c r="R4354" s="126"/>
    </row>
    <row r="4355" spans="2:18" x14ac:dyDescent="0.3">
      <c r="B4355" s="126"/>
      <c r="G4355" s="137"/>
      <c r="H4355" s="138"/>
      <c r="I4355" s="138"/>
      <c r="J4355" s="139"/>
      <c r="K4355" s="137"/>
      <c r="L4355" s="137"/>
      <c r="P4355" s="137"/>
      <c r="Q4355" s="137"/>
      <c r="R4355" s="126"/>
    </row>
    <row r="4356" spans="2:18" x14ac:dyDescent="0.3">
      <c r="B4356" s="126"/>
      <c r="G4356" s="137"/>
      <c r="H4356" s="138"/>
      <c r="I4356" s="138"/>
      <c r="J4356" s="139"/>
      <c r="K4356" s="137"/>
      <c r="L4356" s="137"/>
      <c r="P4356" s="137"/>
      <c r="Q4356" s="137"/>
      <c r="R4356" s="126"/>
    </row>
    <row r="4357" spans="2:18" x14ac:dyDescent="0.3">
      <c r="B4357" s="126"/>
      <c r="G4357" s="137"/>
      <c r="H4357" s="138"/>
      <c r="I4357" s="138"/>
      <c r="J4357" s="139"/>
      <c r="K4357" s="137"/>
      <c r="L4357" s="137"/>
      <c r="P4357" s="137"/>
      <c r="Q4357" s="137"/>
      <c r="R4357" s="126"/>
    </row>
    <row r="4358" spans="2:18" x14ac:dyDescent="0.3">
      <c r="B4358" s="126"/>
      <c r="G4358" s="137"/>
      <c r="H4358" s="138"/>
      <c r="I4358" s="138"/>
      <c r="J4358" s="139"/>
      <c r="K4358" s="137"/>
      <c r="L4358" s="137"/>
      <c r="P4358" s="137"/>
      <c r="Q4358" s="137"/>
      <c r="R4358" s="126"/>
    </row>
    <row r="4359" spans="2:18" x14ac:dyDescent="0.3">
      <c r="B4359" s="126"/>
      <c r="G4359" s="137"/>
      <c r="H4359" s="138"/>
      <c r="I4359" s="138"/>
      <c r="J4359" s="139"/>
      <c r="K4359" s="137"/>
      <c r="L4359" s="137"/>
      <c r="P4359" s="137"/>
      <c r="Q4359" s="137"/>
      <c r="R4359" s="126"/>
    </row>
    <row r="4360" spans="2:18" x14ac:dyDescent="0.3">
      <c r="B4360" s="126"/>
      <c r="G4360" s="137"/>
      <c r="H4360" s="138"/>
      <c r="I4360" s="138"/>
      <c r="J4360" s="139"/>
      <c r="K4360" s="137"/>
      <c r="L4360" s="137"/>
      <c r="P4360" s="137"/>
      <c r="Q4360" s="137"/>
      <c r="R4360" s="126"/>
    </row>
    <row r="4361" spans="2:18" x14ac:dyDescent="0.3">
      <c r="B4361" s="126"/>
      <c r="G4361" s="137"/>
      <c r="H4361" s="138"/>
      <c r="I4361" s="138"/>
      <c r="J4361" s="139"/>
      <c r="K4361" s="137"/>
      <c r="L4361" s="137"/>
      <c r="P4361" s="137"/>
      <c r="Q4361" s="137"/>
      <c r="R4361" s="126"/>
    </row>
    <row r="4362" spans="2:18" x14ac:dyDescent="0.3">
      <c r="B4362" s="126"/>
      <c r="G4362" s="137"/>
      <c r="H4362" s="138"/>
      <c r="I4362" s="138"/>
      <c r="J4362" s="139"/>
      <c r="K4362" s="137"/>
      <c r="L4362" s="137"/>
      <c r="P4362" s="137"/>
      <c r="Q4362" s="137"/>
      <c r="R4362" s="126"/>
    </row>
    <row r="4363" spans="2:18" x14ac:dyDescent="0.3">
      <c r="B4363" s="126"/>
      <c r="G4363" s="137"/>
      <c r="H4363" s="138"/>
      <c r="I4363" s="138"/>
      <c r="J4363" s="139"/>
      <c r="K4363" s="137"/>
      <c r="L4363" s="137"/>
      <c r="P4363" s="137"/>
      <c r="Q4363" s="137"/>
      <c r="R4363" s="126"/>
    </row>
    <row r="4364" spans="2:18" x14ac:dyDescent="0.3">
      <c r="B4364" s="126"/>
      <c r="G4364" s="137"/>
      <c r="H4364" s="138"/>
      <c r="I4364" s="138"/>
      <c r="J4364" s="139"/>
      <c r="K4364" s="137"/>
      <c r="L4364" s="137"/>
      <c r="P4364" s="137"/>
      <c r="Q4364" s="137"/>
      <c r="R4364" s="126"/>
    </row>
    <row r="4365" spans="2:18" x14ac:dyDescent="0.3">
      <c r="B4365" s="126"/>
      <c r="G4365" s="137"/>
      <c r="H4365" s="138"/>
      <c r="I4365" s="138"/>
      <c r="J4365" s="139"/>
      <c r="K4365" s="137"/>
      <c r="L4365" s="137"/>
      <c r="P4365" s="137"/>
      <c r="Q4365" s="137"/>
      <c r="R4365" s="126"/>
    </row>
    <row r="4366" spans="2:18" x14ac:dyDescent="0.3">
      <c r="B4366" s="126"/>
      <c r="G4366" s="137"/>
      <c r="H4366" s="138"/>
      <c r="I4366" s="138"/>
      <c r="J4366" s="139"/>
      <c r="K4366" s="137"/>
      <c r="L4366" s="137"/>
      <c r="P4366" s="137"/>
      <c r="Q4366" s="137"/>
      <c r="R4366" s="126"/>
    </row>
    <row r="4367" spans="2:18" x14ac:dyDescent="0.3">
      <c r="B4367" s="126"/>
      <c r="G4367" s="137"/>
      <c r="H4367" s="138"/>
      <c r="I4367" s="138"/>
      <c r="J4367" s="139"/>
      <c r="K4367" s="137"/>
      <c r="L4367" s="137"/>
      <c r="P4367" s="137"/>
      <c r="Q4367" s="137"/>
      <c r="R4367" s="126"/>
    </row>
    <row r="4368" spans="2:18" x14ac:dyDescent="0.3">
      <c r="B4368" s="126"/>
      <c r="G4368" s="137"/>
      <c r="H4368" s="138"/>
      <c r="I4368" s="138"/>
      <c r="J4368" s="139"/>
      <c r="K4368" s="137"/>
      <c r="L4368" s="137"/>
      <c r="P4368" s="137"/>
      <c r="Q4368" s="137"/>
      <c r="R4368" s="126"/>
    </row>
    <row r="4369" spans="2:18" x14ac:dyDescent="0.3">
      <c r="B4369" s="126"/>
      <c r="G4369" s="137"/>
      <c r="H4369" s="138"/>
      <c r="I4369" s="138"/>
      <c r="J4369" s="139"/>
      <c r="K4369" s="137"/>
      <c r="L4369" s="137"/>
      <c r="P4369" s="137"/>
      <c r="Q4369" s="137"/>
      <c r="R4369" s="126"/>
    </row>
    <row r="4370" spans="2:18" x14ac:dyDescent="0.3">
      <c r="B4370" s="126"/>
      <c r="G4370" s="137"/>
      <c r="H4370" s="138"/>
      <c r="I4370" s="138"/>
      <c r="J4370" s="139"/>
      <c r="K4370" s="137"/>
      <c r="L4370" s="137"/>
      <c r="P4370" s="137"/>
      <c r="Q4370" s="137"/>
      <c r="R4370" s="126"/>
    </row>
    <row r="4371" spans="2:18" x14ac:dyDescent="0.3">
      <c r="B4371" s="126"/>
      <c r="G4371" s="137"/>
      <c r="H4371" s="138"/>
      <c r="I4371" s="138"/>
      <c r="J4371" s="139"/>
      <c r="K4371" s="137"/>
      <c r="L4371" s="137"/>
      <c r="P4371" s="137"/>
      <c r="Q4371" s="137"/>
      <c r="R4371" s="126"/>
    </row>
    <row r="4372" spans="2:18" x14ac:dyDescent="0.3">
      <c r="B4372" s="126"/>
      <c r="G4372" s="137"/>
      <c r="H4372" s="138"/>
      <c r="I4372" s="138"/>
      <c r="J4372" s="139"/>
      <c r="K4372" s="137"/>
      <c r="L4372" s="137"/>
      <c r="P4372" s="137"/>
      <c r="Q4372" s="137"/>
      <c r="R4372" s="126"/>
    </row>
    <row r="4373" spans="2:18" x14ac:dyDescent="0.3">
      <c r="B4373" s="126"/>
      <c r="G4373" s="137"/>
      <c r="H4373" s="138"/>
      <c r="I4373" s="138"/>
      <c r="J4373" s="139"/>
      <c r="K4373" s="137"/>
      <c r="L4373" s="137"/>
      <c r="P4373" s="137"/>
      <c r="Q4373" s="137"/>
      <c r="R4373" s="126"/>
    </row>
    <row r="4374" spans="2:18" x14ac:dyDescent="0.3">
      <c r="B4374" s="126"/>
      <c r="G4374" s="137"/>
      <c r="H4374" s="138"/>
      <c r="I4374" s="138"/>
      <c r="J4374" s="139"/>
      <c r="K4374" s="137"/>
      <c r="L4374" s="137"/>
      <c r="P4374" s="137"/>
      <c r="Q4374" s="137"/>
      <c r="R4374" s="126"/>
    </row>
    <row r="4375" spans="2:18" x14ac:dyDescent="0.3">
      <c r="B4375" s="126"/>
      <c r="G4375" s="137"/>
      <c r="H4375" s="138"/>
      <c r="I4375" s="138"/>
      <c r="J4375" s="139"/>
      <c r="K4375" s="137"/>
      <c r="L4375" s="137"/>
      <c r="P4375" s="137"/>
      <c r="Q4375" s="137"/>
      <c r="R4375" s="126"/>
    </row>
    <row r="4376" spans="2:18" x14ac:dyDescent="0.3">
      <c r="B4376" s="126"/>
      <c r="G4376" s="137"/>
      <c r="H4376" s="138"/>
      <c r="I4376" s="138"/>
      <c r="J4376" s="139"/>
      <c r="K4376" s="137"/>
      <c r="L4376" s="137"/>
      <c r="P4376" s="137"/>
      <c r="Q4376" s="137"/>
      <c r="R4376" s="126"/>
    </row>
    <row r="4377" spans="2:18" x14ac:dyDescent="0.3">
      <c r="B4377" s="126"/>
      <c r="G4377" s="137"/>
      <c r="H4377" s="138"/>
      <c r="I4377" s="138"/>
      <c r="J4377" s="139"/>
      <c r="K4377" s="137"/>
      <c r="L4377" s="137"/>
      <c r="P4377" s="137"/>
      <c r="Q4377" s="137"/>
      <c r="R4377" s="126"/>
    </row>
    <row r="4378" spans="2:18" x14ac:dyDescent="0.3">
      <c r="B4378" s="126"/>
      <c r="G4378" s="137"/>
      <c r="H4378" s="138"/>
      <c r="I4378" s="138"/>
      <c r="J4378" s="139"/>
      <c r="K4378" s="137"/>
      <c r="L4378" s="137"/>
      <c r="P4378" s="137"/>
      <c r="Q4378" s="137"/>
      <c r="R4378" s="126"/>
    </row>
    <row r="4379" spans="2:18" x14ac:dyDescent="0.3">
      <c r="B4379" s="126"/>
      <c r="G4379" s="137"/>
      <c r="H4379" s="138"/>
      <c r="I4379" s="138"/>
      <c r="J4379" s="139"/>
      <c r="K4379" s="137"/>
      <c r="L4379" s="137"/>
      <c r="P4379" s="137"/>
      <c r="Q4379" s="137"/>
      <c r="R4379" s="126"/>
    </row>
    <row r="4380" spans="2:18" x14ac:dyDescent="0.3">
      <c r="B4380" s="126"/>
      <c r="G4380" s="137"/>
      <c r="H4380" s="138"/>
      <c r="I4380" s="138"/>
      <c r="J4380" s="139"/>
      <c r="K4380" s="137"/>
      <c r="L4380" s="137"/>
      <c r="P4380" s="137"/>
      <c r="Q4380" s="137"/>
      <c r="R4380" s="126"/>
    </row>
    <row r="4381" spans="2:18" x14ac:dyDescent="0.3">
      <c r="B4381" s="126"/>
      <c r="G4381" s="137"/>
      <c r="H4381" s="138"/>
      <c r="I4381" s="138"/>
      <c r="J4381" s="139"/>
      <c r="K4381" s="137"/>
      <c r="L4381" s="137"/>
      <c r="P4381" s="137"/>
      <c r="Q4381" s="137"/>
      <c r="R4381" s="126"/>
    </row>
    <row r="4382" spans="2:18" x14ac:dyDescent="0.3">
      <c r="B4382" s="126"/>
      <c r="G4382" s="137"/>
      <c r="H4382" s="138"/>
      <c r="I4382" s="138"/>
      <c r="J4382" s="139"/>
      <c r="K4382" s="137"/>
      <c r="L4382" s="137"/>
      <c r="P4382" s="137"/>
      <c r="Q4382" s="137"/>
      <c r="R4382" s="126"/>
    </row>
    <row r="4383" spans="2:18" x14ac:dyDescent="0.3">
      <c r="B4383" s="126"/>
      <c r="G4383" s="137"/>
      <c r="H4383" s="138"/>
      <c r="I4383" s="138"/>
      <c r="J4383" s="139"/>
      <c r="K4383" s="137"/>
      <c r="L4383" s="137"/>
      <c r="P4383" s="137"/>
      <c r="Q4383" s="137"/>
      <c r="R4383" s="126"/>
    </row>
    <row r="4384" spans="2:18" x14ac:dyDescent="0.3">
      <c r="B4384" s="126"/>
      <c r="G4384" s="137"/>
      <c r="H4384" s="138"/>
      <c r="I4384" s="138"/>
      <c r="J4384" s="139"/>
      <c r="K4384" s="137"/>
      <c r="L4384" s="137"/>
      <c r="P4384" s="137"/>
      <c r="Q4384" s="137"/>
      <c r="R4384" s="126"/>
    </row>
    <row r="4385" spans="2:18" x14ac:dyDescent="0.3">
      <c r="B4385" s="126"/>
      <c r="G4385" s="137"/>
      <c r="H4385" s="138"/>
      <c r="I4385" s="138"/>
      <c r="J4385" s="139"/>
      <c r="K4385" s="137"/>
      <c r="L4385" s="137"/>
      <c r="P4385" s="137"/>
      <c r="Q4385" s="137"/>
      <c r="R4385" s="126"/>
    </row>
    <row r="4386" spans="2:18" x14ac:dyDescent="0.3">
      <c r="B4386" s="126"/>
      <c r="G4386" s="137"/>
      <c r="H4386" s="138"/>
      <c r="I4386" s="138"/>
      <c r="J4386" s="139"/>
      <c r="K4386" s="137"/>
      <c r="L4386" s="137"/>
      <c r="P4386" s="137"/>
      <c r="Q4386" s="137"/>
      <c r="R4386" s="126"/>
    </row>
    <row r="4387" spans="2:18" x14ac:dyDescent="0.3">
      <c r="B4387" s="126"/>
      <c r="G4387" s="137"/>
      <c r="H4387" s="138"/>
      <c r="I4387" s="138"/>
      <c r="J4387" s="139"/>
      <c r="K4387" s="137"/>
      <c r="L4387" s="137"/>
      <c r="P4387" s="137"/>
      <c r="Q4387" s="137"/>
      <c r="R4387" s="126"/>
    </row>
    <row r="4388" spans="2:18" x14ac:dyDescent="0.3">
      <c r="B4388" s="126"/>
      <c r="G4388" s="137"/>
      <c r="H4388" s="138"/>
      <c r="I4388" s="138"/>
      <c r="J4388" s="139"/>
      <c r="K4388" s="137"/>
      <c r="L4388" s="137"/>
      <c r="P4388" s="137"/>
      <c r="Q4388" s="137"/>
      <c r="R4388" s="126"/>
    </row>
    <row r="4389" spans="2:18" x14ac:dyDescent="0.3">
      <c r="B4389" s="126"/>
      <c r="G4389" s="137"/>
      <c r="H4389" s="138"/>
      <c r="I4389" s="138"/>
      <c r="J4389" s="139"/>
      <c r="K4389" s="137"/>
      <c r="L4389" s="137"/>
      <c r="P4389" s="137"/>
      <c r="Q4389" s="137"/>
      <c r="R4389" s="126"/>
    </row>
    <row r="4390" spans="2:18" x14ac:dyDescent="0.3">
      <c r="B4390" s="126"/>
      <c r="G4390" s="137"/>
      <c r="H4390" s="138"/>
      <c r="I4390" s="138"/>
      <c r="J4390" s="139"/>
      <c r="K4390" s="137"/>
      <c r="L4390" s="137"/>
      <c r="P4390" s="137"/>
      <c r="Q4390" s="137"/>
      <c r="R4390" s="126"/>
    </row>
    <row r="4391" spans="2:18" x14ac:dyDescent="0.3">
      <c r="B4391" s="126"/>
      <c r="G4391" s="137"/>
      <c r="H4391" s="138"/>
      <c r="I4391" s="138"/>
      <c r="J4391" s="139"/>
      <c r="K4391" s="137"/>
      <c r="L4391" s="137"/>
      <c r="P4391" s="137"/>
      <c r="Q4391" s="137"/>
      <c r="R4391" s="126"/>
    </row>
    <row r="4392" spans="2:18" x14ac:dyDescent="0.3">
      <c r="B4392" s="126"/>
      <c r="G4392" s="137"/>
      <c r="H4392" s="138"/>
      <c r="I4392" s="138"/>
      <c r="J4392" s="139"/>
      <c r="K4392" s="137"/>
      <c r="L4392" s="137"/>
      <c r="P4392" s="137"/>
      <c r="Q4392" s="137"/>
      <c r="R4392" s="126"/>
    </row>
    <row r="4393" spans="2:18" x14ac:dyDescent="0.3">
      <c r="B4393" s="126"/>
      <c r="G4393" s="137"/>
      <c r="H4393" s="138"/>
      <c r="I4393" s="138"/>
      <c r="J4393" s="139"/>
      <c r="K4393" s="137"/>
      <c r="L4393" s="137"/>
      <c r="P4393" s="137"/>
      <c r="Q4393" s="137"/>
      <c r="R4393" s="126"/>
    </row>
    <row r="4394" spans="2:18" x14ac:dyDescent="0.3">
      <c r="B4394" s="126"/>
      <c r="G4394" s="137"/>
      <c r="H4394" s="138"/>
      <c r="I4394" s="138"/>
      <c r="J4394" s="139"/>
      <c r="K4394" s="137"/>
      <c r="L4394" s="137"/>
      <c r="P4394" s="137"/>
      <c r="Q4394" s="137"/>
      <c r="R4394" s="126"/>
    </row>
    <row r="4395" spans="2:18" x14ac:dyDescent="0.3">
      <c r="B4395" s="126"/>
      <c r="G4395" s="137"/>
      <c r="H4395" s="138"/>
      <c r="I4395" s="138"/>
      <c r="J4395" s="139"/>
      <c r="K4395" s="137"/>
      <c r="L4395" s="137"/>
      <c r="P4395" s="137"/>
      <c r="Q4395" s="137"/>
      <c r="R4395" s="126"/>
    </row>
    <row r="4396" spans="2:18" x14ac:dyDescent="0.3">
      <c r="B4396" s="126"/>
      <c r="G4396" s="137"/>
      <c r="H4396" s="138"/>
      <c r="I4396" s="138"/>
      <c r="J4396" s="139"/>
      <c r="K4396" s="137"/>
      <c r="L4396" s="137"/>
      <c r="P4396" s="137"/>
      <c r="Q4396" s="137"/>
      <c r="R4396" s="126"/>
    </row>
    <row r="4397" spans="2:18" x14ac:dyDescent="0.3">
      <c r="B4397" s="126"/>
      <c r="G4397" s="137"/>
      <c r="H4397" s="138"/>
      <c r="I4397" s="138"/>
      <c r="J4397" s="139"/>
      <c r="K4397" s="137"/>
      <c r="L4397" s="137"/>
      <c r="P4397" s="137"/>
      <c r="Q4397" s="137"/>
      <c r="R4397" s="126"/>
    </row>
    <row r="4398" spans="2:18" x14ac:dyDescent="0.3">
      <c r="B4398" s="126"/>
      <c r="G4398" s="137"/>
      <c r="H4398" s="138"/>
      <c r="I4398" s="138"/>
      <c r="J4398" s="139"/>
      <c r="K4398" s="137"/>
      <c r="L4398" s="137"/>
      <c r="P4398" s="137"/>
      <c r="Q4398" s="137"/>
      <c r="R4398" s="126"/>
    </row>
    <row r="4399" spans="2:18" x14ac:dyDescent="0.3">
      <c r="B4399" s="126"/>
      <c r="G4399" s="137"/>
      <c r="H4399" s="138"/>
      <c r="I4399" s="138"/>
      <c r="J4399" s="139"/>
      <c r="K4399" s="137"/>
      <c r="L4399" s="137"/>
      <c r="P4399" s="137"/>
      <c r="Q4399" s="137"/>
      <c r="R4399" s="126"/>
    </row>
    <row r="4400" spans="2:18" x14ac:dyDescent="0.3">
      <c r="B4400" s="126"/>
      <c r="G4400" s="137"/>
      <c r="H4400" s="138"/>
      <c r="I4400" s="138"/>
      <c r="J4400" s="139"/>
      <c r="K4400" s="137"/>
      <c r="L4400" s="137"/>
      <c r="P4400" s="137"/>
      <c r="Q4400" s="137"/>
      <c r="R4400" s="126"/>
    </row>
    <row r="4401" spans="2:18" x14ac:dyDescent="0.3">
      <c r="B4401" s="126"/>
      <c r="G4401" s="137"/>
      <c r="H4401" s="138"/>
      <c r="I4401" s="138"/>
      <c r="J4401" s="139"/>
      <c r="K4401" s="137"/>
      <c r="L4401" s="137"/>
      <c r="P4401" s="137"/>
      <c r="Q4401" s="137"/>
      <c r="R4401" s="126"/>
    </row>
    <row r="4402" spans="2:18" x14ac:dyDescent="0.3">
      <c r="B4402" s="126"/>
      <c r="G4402" s="137"/>
      <c r="H4402" s="138"/>
      <c r="I4402" s="138"/>
      <c r="J4402" s="139"/>
      <c r="K4402" s="137"/>
      <c r="L4402" s="137"/>
      <c r="P4402" s="137"/>
      <c r="Q4402" s="137"/>
      <c r="R4402" s="126"/>
    </row>
    <row r="4403" spans="2:18" x14ac:dyDescent="0.3">
      <c r="B4403" s="126"/>
      <c r="G4403" s="137"/>
      <c r="H4403" s="138"/>
      <c r="I4403" s="138"/>
      <c r="J4403" s="139"/>
      <c r="K4403" s="137"/>
      <c r="L4403" s="137"/>
      <c r="P4403" s="137"/>
      <c r="Q4403" s="137"/>
      <c r="R4403" s="126"/>
    </row>
    <row r="4404" spans="2:18" x14ac:dyDescent="0.3">
      <c r="B4404" s="126"/>
      <c r="G4404" s="137"/>
      <c r="H4404" s="138"/>
      <c r="I4404" s="138"/>
      <c r="J4404" s="139"/>
      <c r="K4404" s="137"/>
      <c r="L4404" s="137"/>
      <c r="P4404" s="137"/>
      <c r="Q4404" s="137"/>
      <c r="R4404" s="126"/>
    </row>
    <row r="4405" spans="2:18" x14ac:dyDescent="0.3">
      <c r="B4405" s="126"/>
      <c r="G4405" s="137"/>
      <c r="H4405" s="138"/>
      <c r="I4405" s="138"/>
      <c r="J4405" s="139"/>
      <c r="K4405" s="137"/>
      <c r="L4405" s="137"/>
      <c r="P4405" s="137"/>
      <c r="Q4405" s="137"/>
      <c r="R4405" s="126"/>
    </row>
    <row r="4406" spans="2:18" x14ac:dyDescent="0.3">
      <c r="B4406" s="126"/>
      <c r="G4406" s="137"/>
      <c r="H4406" s="138"/>
      <c r="I4406" s="138"/>
      <c r="J4406" s="139"/>
      <c r="K4406" s="137"/>
      <c r="L4406" s="137"/>
      <c r="P4406" s="137"/>
      <c r="Q4406" s="137"/>
      <c r="R4406" s="126"/>
    </row>
    <row r="4407" spans="2:18" x14ac:dyDescent="0.3">
      <c r="B4407" s="126"/>
      <c r="G4407" s="137"/>
      <c r="H4407" s="138"/>
      <c r="I4407" s="138"/>
      <c r="J4407" s="139"/>
      <c r="K4407" s="137"/>
      <c r="L4407" s="137"/>
      <c r="P4407" s="137"/>
      <c r="Q4407" s="137"/>
      <c r="R4407" s="126"/>
    </row>
    <row r="4408" spans="2:18" x14ac:dyDescent="0.3">
      <c r="B4408" s="126"/>
      <c r="G4408" s="137"/>
      <c r="H4408" s="138"/>
      <c r="I4408" s="138"/>
      <c r="J4408" s="139"/>
      <c r="K4408" s="137"/>
      <c r="L4408" s="137"/>
      <c r="P4408" s="137"/>
      <c r="Q4408" s="137"/>
      <c r="R4408" s="126"/>
    </row>
    <row r="4409" spans="2:18" x14ac:dyDescent="0.3">
      <c r="B4409" s="126"/>
      <c r="G4409" s="137"/>
      <c r="H4409" s="138"/>
      <c r="I4409" s="138"/>
      <c r="J4409" s="139"/>
      <c r="K4409" s="137"/>
      <c r="L4409" s="137"/>
      <c r="P4409" s="137"/>
      <c r="Q4409" s="137"/>
      <c r="R4409" s="126"/>
    </row>
    <row r="4410" spans="2:18" x14ac:dyDescent="0.3">
      <c r="B4410" s="126"/>
      <c r="G4410" s="137"/>
      <c r="H4410" s="138"/>
      <c r="I4410" s="138"/>
      <c r="J4410" s="139"/>
      <c r="K4410" s="137"/>
      <c r="L4410" s="137"/>
      <c r="P4410" s="137"/>
      <c r="Q4410" s="137"/>
      <c r="R4410" s="126"/>
    </row>
    <row r="4411" spans="2:18" x14ac:dyDescent="0.3">
      <c r="B4411" s="126"/>
      <c r="G4411" s="137"/>
      <c r="H4411" s="138"/>
      <c r="I4411" s="138"/>
      <c r="J4411" s="139"/>
      <c r="K4411" s="137"/>
      <c r="L4411" s="137"/>
      <c r="P4411" s="137"/>
      <c r="Q4411" s="137"/>
      <c r="R4411" s="126"/>
    </row>
    <row r="4412" spans="2:18" x14ac:dyDescent="0.3">
      <c r="B4412" s="126"/>
      <c r="G4412" s="137"/>
      <c r="H4412" s="138"/>
      <c r="I4412" s="138"/>
      <c r="J4412" s="139"/>
      <c r="K4412" s="137"/>
      <c r="L4412" s="137"/>
      <c r="P4412" s="137"/>
      <c r="Q4412" s="137"/>
      <c r="R4412" s="126"/>
    </row>
    <row r="4413" spans="2:18" x14ac:dyDescent="0.3">
      <c r="B4413" s="126"/>
      <c r="G4413" s="137"/>
      <c r="H4413" s="138"/>
      <c r="I4413" s="138"/>
      <c r="J4413" s="139"/>
      <c r="K4413" s="137"/>
      <c r="L4413" s="137"/>
      <c r="P4413" s="137"/>
      <c r="Q4413" s="137"/>
      <c r="R4413" s="126"/>
    </row>
    <row r="4414" spans="2:18" x14ac:dyDescent="0.3">
      <c r="B4414" s="126"/>
      <c r="G4414" s="137"/>
      <c r="H4414" s="138"/>
      <c r="I4414" s="138"/>
      <c r="J4414" s="139"/>
      <c r="K4414" s="137"/>
      <c r="L4414" s="137"/>
      <c r="P4414" s="137"/>
      <c r="Q4414" s="137"/>
      <c r="R4414" s="126"/>
    </row>
    <row r="4415" spans="2:18" x14ac:dyDescent="0.3">
      <c r="B4415" s="126"/>
      <c r="G4415" s="137"/>
      <c r="H4415" s="138"/>
      <c r="I4415" s="138"/>
      <c r="J4415" s="139"/>
      <c r="K4415" s="137"/>
      <c r="L4415" s="137"/>
      <c r="P4415" s="137"/>
      <c r="Q4415" s="137"/>
      <c r="R4415" s="126"/>
    </row>
    <row r="4416" spans="2:18" x14ac:dyDescent="0.3">
      <c r="B4416" s="126"/>
      <c r="G4416" s="137"/>
      <c r="H4416" s="138"/>
      <c r="I4416" s="138"/>
      <c r="J4416" s="139"/>
      <c r="K4416" s="137"/>
      <c r="L4416" s="137"/>
      <c r="P4416" s="137"/>
      <c r="Q4416" s="137"/>
      <c r="R4416" s="126"/>
    </row>
    <row r="4417" spans="2:18" x14ac:dyDescent="0.3">
      <c r="B4417" s="126"/>
      <c r="G4417" s="137"/>
      <c r="H4417" s="138"/>
      <c r="I4417" s="138"/>
      <c r="J4417" s="139"/>
      <c r="K4417" s="137"/>
      <c r="L4417" s="137"/>
      <c r="P4417" s="137"/>
      <c r="Q4417" s="137"/>
      <c r="R4417" s="126"/>
    </row>
    <row r="4418" spans="2:18" x14ac:dyDescent="0.3">
      <c r="B4418" s="126"/>
      <c r="G4418" s="137"/>
      <c r="H4418" s="138"/>
      <c r="I4418" s="138"/>
      <c r="J4418" s="139"/>
      <c r="K4418" s="137"/>
      <c r="L4418" s="137"/>
      <c r="P4418" s="137"/>
      <c r="Q4418" s="137"/>
      <c r="R4418" s="126"/>
    </row>
    <row r="4419" spans="2:18" x14ac:dyDescent="0.3">
      <c r="B4419" s="126"/>
      <c r="G4419" s="137"/>
      <c r="H4419" s="138"/>
      <c r="I4419" s="138"/>
      <c r="J4419" s="139"/>
      <c r="K4419" s="137"/>
      <c r="L4419" s="137"/>
      <c r="P4419" s="137"/>
      <c r="Q4419" s="137"/>
      <c r="R4419" s="126"/>
    </row>
    <row r="4420" spans="2:18" x14ac:dyDescent="0.3">
      <c r="B4420" s="126"/>
      <c r="G4420" s="137"/>
      <c r="H4420" s="138"/>
      <c r="I4420" s="138"/>
      <c r="J4420" s="139"/>
      <c r="K4420" s="137"/>
      <c r="L4420" s="137"/>
      <c r="P4420" s="137"/>
      <c r="Q4420" s="137"/>
      <c r="R4420" s="126"/>
    </row>
    <row r="4421" spans="2:18" x14ac:dyDescent="0.3">
      <c r="B4421" s="126"/>
      <c r="G4421" s="137"/>
      <c r="H4421" s="138"/>
      <c r="I4421" s="138"/>
      <c r="J4421" s="139"/>
      <c r="K4421" s="137"/>
      <c r="L4421" s="137"/>
      <c r="P4421" s="137"/>
      <c r="Q4421" s="137"/>
      <c r="R4421" s="126"/>
    </row>
    <row r="4422" spans="2:18" x14ac:dyDescent="0.3">
      <c r="B4422" s="126"/>
      <c r="G4422" s="137"/>
      <c r="H4422" s="138"/>
      <c r="I4422" s="138"/>
      <c r="J4422" s="139"/>
      <c r="K4422" s="137"/>
      <c r="L4422" s="137"/>
      <c r="P4422" s="137"/>
      <c r="Q4422" s="137"/>
      <c r="R4422" s="126"/>
    </row>
    <row r="4423" spans="2:18" x14ac:dyDescent="0.3">
      <c r="B4423" s="126"/>
      <c r="G4423" s="137"/>
      <c r="H4423" s="138"/>
      <c r="I4423" s="138"/>
      <c r="J4423" s="139"/>
      <c r="K4423" s="137"/>
      <c r="L4423" s="137"/>
      <c r="P4423" s="137"/>
      <c r="Q4423" s="137"/>
      <c r="R4423" s="126"/>
    </row>
    <row r="4424" spans="2:18" x14ac:dyDescent="0.3">
      <c r="B4424" s="126"/>
      <c r="G4424" s="137"/>
      <c r="H4424" s="138"/>
      <c r="I4424" s="138"/>
      <c r="J4424" s="139"/>
      <c r="K4424" s="137"/>
      <c r="L4424" s="137"/>
      <c r="P4424" s="137"/>
      <c r="Q4424" s="137"/>
      <c r="R4424" s="126"/>
    </row>
    <row r="4425" spans="2:18" x14ac:dyDescent="0.3">
      <c r="B4425" s="126"/>
      <c r="G4425" s="137"/>
      <c r="H4425" s="138"/>
      <c r="I4425" s="138"/>
      <c r="J4425" s="139"/>
      <c r="K4425" s="137"/>
      <c r="L4425" s="137"/>
      <c r="P4425" s="137"/>
      <c r="Q4425" s="137"/>
      <c r="R4425" s="126"/>
    </row>
    <row r="4426" spans="2:18" x14ac:dyDescent="0.3">
      <c r="B4426" s="126"/>
      <c r="G4426" s="137"/>
      <c r="H4426" s="138"/>
      <c r="I4426" s="138"/>
      <c r="J4426" s="139"/>
      <c r="K4426" s="137"/>
      <c r="L4426" s="137"/>
      <c r="P4426" s="137"/>
      <c r="Q4426" s="137"/>
      <c r="R4426" s="126"/>
    </row>
    <row r="4427" spans="2:18" x14ac:dyDescent="0.3">
      <c r="B4427" s="126"/>
      <c r="G4427" s="137"/>
      <c r="H4427" s="138"/>
      <c r="I4427" s="138"/>
      <c r="J4427" s="139"/>
      <c r="K4427" s="137"/>
      <c r="L4427" s="137"/>
      <c r="P4427" s="137"/>
      <c r="Q4427" s="137"/>
      <c r="R4427" s="126"/>
    </row>
    <row r="4428" spans="2:18" x14ac:dyDescent="0.3">
      <c r="B4428" s="126"/>
      <c r="G4428" s="137"/>
      <c r="H4428" s="138"/>
      <c r="I4428" s="138"/>
      <c r="J4428" s="139"/>
      <c r="K4428" s="137"/>
      <c r="L4428" s="137"/>
      <c r="P4428" s="137"/>
      <c r="Q4428" s="137"/>
      <c r="R4428" s="126"/>
    </row>
    <row r="4429" spans="2:18" x14ac:dyDescent="0.3">
      <c r="B4429" s="126"/>
      <c r="G4429" s="137"/>
      <c r="H4429" s="138"/>
      <c r="I4429" s="138"/>
      <c r="J4429" s="139"/>
      <c r="K4429" s="137"/>
      <c r="L4429" s="137"/>
      <c r="P4429" s="137"/>
      <c r="Q4429" s="137"/>
      <c r="R4429" s="126"/>
    </row>
    <row r="4430" spans="2:18" x14ac:dyDescent="0.3">
      <c r="B4430" s="126"/>
      <c r="G4430" s="137"/>
      <c r="H4430" s="138"/>
      <c r="I4430" s="138"/>
      <c r="J4430" s="139"/>
      <c r="K4430" s="137"/>
      <c r="L4430" s="137"/>
      <c r="P4430" s="137"/>
      <c r="Q4430" s="137"/>
      <c r="R4430" s="126"/>
    </row>
    <row r="4431" spans="2:18" x14ac:dyDescent="0.3">
      <c r="B4431" s="126"/>
      <c r="G4431" s="137"/>
      <c r="H4431" s="138"/>
      <c r="I4431" s="138"/>
      <c r="J4431" s="139"/>
      <c r="K4431" s="137"/>
      <c r="L4431" s="137"/>
      <c r="P4431" s="137"/>
      <c r="Q4431" s="137"/>
      <c r="R4431" s="126"/>
    </row>
    <row r="4432" spans="2:18" x14ac:dyDescent="0.3">
      <c r="B4432" s="126"/>
      <c r="G4432" s="137"/>
      <c r="H4432" s="138"/>
      <c r="I4432" s="138"/>
      <c r="J4432" s="139"/>
      <c r="K4432" s="137"/>
      <c r="L4432" s="137"/>
      <c r="P4432" s="137"/>
      <c r="Q4432" s="137"/>
      <c r="R4432" s="126"/>
    </row>
    <row r="4433" spans="2:18" x14ac:dyDescent="0.3">
      <c r="B4433" s="126"/>
      <c r="G4433" s="137"/>
      <c r="H4433" s="138"/>
      <c r="I4433" s="138"/>
      <c r="J4433" s="139"/>
      <c r="K4433" s="137"/>
      <c r="L4433" s="137"/>
      <c r="P4433" s="137"/>
      <c r="Q4433" s="137"/>
      <c r="R4433" s="126"/>
    </row>
    <row r="4434" spans="2:18" x14ac:dyDescent="0.3">
      <c r="B4434" s="126"/>
      <c r="G4434" s="137"/>
      <c r="H4434" s="138"/>
      <c r="I4434" s="138"/>
      <c r="J4434" s="139"/>
      <c r="K4434" s="137"/>
      <c r="L4434" s="137"/>
      <c r="P4434" s="137"/>
      <c r="Q4434" s="137"/>
      <c r="R4434" s="126"/>
    </row>
    <row r="4435" spans="2:18" x14ac:dyDescent="0.3">
      <c r="B4435" s="126"/>
      <c r="G4435" s="137"/>
      <c r="H4435" s="138"/>
      <c r="I4435" s="138"/>
      <c r="J4435" s="139"/>
      <c r="K4435" s="137"/>
      <c r="L4435" s="137"/>
      <c r="P4435" s="137"/>
      <c r="Q4435" s="137"/>
      <c r="R4435" s="126"/>
    </row>
    <row r="4436" spans="2:18" x14ac:dyDescent="0.3">
      <c r="B4436" s="126"/>
      <c r="G4436" s="137"/>
      <c r="H4436" s="138"/>
      <c r="I4436" s="138"/>
      <c r="J4436" s="139"/>
      <c r="K4436" s="137"/>
      <c r="L4436" s="137"/>
      <c r="P4436" s="137"/>
      <c r="Q4436" s="137"/>
      <c r="R4436" s="126"/>
    </row>
    <row r="4437" spans="2:18" x14ac:dyDescent="0.3">
      <c r="B4437" s="126"/>
      <c r="G4437" s="137"/>
      <c r="H4437" s="138"/>
      <c r="I4437" s="138"/>
      <c r="J4437" s="139"/>
      <c r="K4437" s="137"/>
      <c r="L4437" s="137"/>
      <c r="P4437" s="137"/>
      <c r="Q4437" s="137"/>
      <c r="R4437" s="126"/>
    </row>
    <row r="4438" spans="2:18" x14ac:dyDescent="0.3">
      <c r="B4438" s="126"/>
      <c r="G4438" s="137"/>
      <c r="H4438" s="138"/>
      <c r="I4438" s="138"/>
      <c r="J4438" s="139"/>
      <c r="K4438" s="137"/>
      <c r="L4438" s="137"/>
      <c r="P4438" s="137"/>
      <c r="Q4438" s="137"/>
      <c r="R4438" s="126"/>
    </row>
    <row r="4439" spans="2:18" x14ac:dyDescent="0.3">
      <c r="B4439" s="126"/>
      <c r="G4439" s="137"/>
      <c r="H4439" s="138"/>
      <c r="I4439" s="138"/>
      <c r="J4439" s="139"/>
      <c r="K4439" s="137"/>
      <c r="L4439" s="137"/>
      <c r="P4439" s="137"/>
      <c r="Q4439" s="137"/>
      <c r="R4439" s="126"/>
    </row>
    <row r="4440" spans="2:18" x14ac:dyDescent="0.3">
      <c r="B4440" s="126"/>
      <c r="G4440" s="137"/>
      <c r="H4440" s="138"/>
      <c r="I4440" s="138"/>
      <c r="J4440" s="139"/>
      <c r="K4440" s="137"/>
      <c r="L4440" s="137"/>
      <c r="P4440" s="137"/>
      <c r="Q4440" s="137"/>
      <c r="R4440" s="126"/>
    </row>
    <row r="4441" spans="2:18" x14ac:dyDescent="0.3">
      <c r="B4441" s="126"/>
      <c r="G4441" s="137"/>
      <c r="H4441" s="138"/>
      <c r="I4441" s="138"/>
      <c r="J4441" s="139"/>
      <c r="K4441" s="137"/>
      <c r="L4441" s="137"/>
      <c r="P4441" s="137"/>
      <c r="Q4441" s="137"/>
      <c r="R4441" s="126"/>
    </row>
    <row r="4442" spans="2:18" x14ac:dyDescent="0.3">
      <c r="B4442" s="126"/>
      <c r="G4442" s="137"/>
      <c r="H4442" s="138"/>
      <c r="I4442" s="138"/>
      <c r="J4442" s="139"/>
      <c r="K4442" s="137"/>
      <c r="L4442" s="137"/>
      <c r="P4442" s="137"/>
      <c r="Q4442" s="137"/>
      <c r="R4442" s="126"/>
    </row>
    <row r="4443" spans="2:18" x14ac:dyDescent="0.3">
      <c r="B4443" s="126"/>
      <c r="G4443" s="137"/>
      <c r="H4443" s="138"/>
      <c r="I4443" s="138"/>
      <c r="J4443" s="139"/>
      <c r="K4443" s="137"/>
      <c r="L4443" s="137"/>
      <c r="P4443" s="137"/>
      <c r="Q4443" s="137"/>
      <c r="R4443" s="126"/>
    </row>
    <row r="4444" spans="2:18" x14ac:dyDescent="0.3">
      <c r="B4444" s="126"/>
      <c r="G4444" s="137"/>
      <c r="H4444" s="138"/>
      <c r="I4444" s="138"/>
      <c r="J4444" s="139"/>
      <c r="K4444" s="137"/>
      <c r="L4444" s="137"/>
      <c r="P4444" s="137"/>
      <c r="Q4444" s="137"/>
      <c r="R4444" s="126"/>
    </row>
    <row r="4445" spans="2:18" x14ac:dyDescent="0.3">
      <c r="B4445" s="126"/>
      <c r="G4445" s="137"/>
      <c r="H4445" s="138"/>
      <c r="I4445" s="138"/>
      <c r="J4445" s="139"/>
      <c r="K4445" s="137"/>
      <c r="L4445" s="137"/>
      <c r="P4445" s="137"/>
      <c r="Q4445" s="137"/>
      <c r="R4445" s="126"/>
    </row>
    <row r="4446" spans="2:18" x14ac:dyDescent="0.3">
      <c r="B4446" s="126"/>
      <c r="G4446" s="137"/>
      <c r="H4446" s="138"/>
      <c r="I4446" s="138"/>
      <c r="J4446" s="139"/>
      <c r="K4446" s="137"/>
      <c r="L4446" s="137"/>
      <c r="P4446" s="137"/>
      <c r="Q4446" s="137"/>
      <c r="R4446" s="126"/>
    </row>
    <row r="4447" spans="2:18" x14ac:dyDescent="0.3">
      <c r="B4447" s="126"/>
      <c r="G4447" s="137"/>
      <c r="H4447" s="138"/>
      <c r="I4447" s="138"/>
      <c r="J4447" s="139"/>
      <c r="K4447" s="137"/>
      <c r="L4447" s="137"/>
      <c r="P4447" s="137"/>
      <c r="Q4447" s="137"/>
      <c r="R4447" s="126"/>
    </row>
    <row r="4448" spans="2:18" x14ac:dyDescent="0.3">
      <c r="B4448" s="126"/>
      <c r="G4448" s="137"/>
      <c r="H4448" s="138"/>
      <c r="I4448" s="138"/>
      <c r="J4448" s="139"/>
      <c r="K4448" s="137"/>
      <c r="L4448" s="137"/>
      <c r="P4448" s="137"/>
      <c r="Q4448" s="137"/>
      <c r="R4448" s="126"/>
    </row>
    <row r="4449" spans="2:18" x14ac:dyDescent="0.3">
      <c r="B4449" s="126"/>
      <c r="G4449" s="137"/>
      <c r="H4449" s="138"/>
      <c r="I4449" s="138"/>
      <c r="J4449" s="139"/>
      <c r="K4449" s="137"/>
      <c r="L4449" s="137"/>
      <c r="P4449" s="137"/>
      <c r="Q4449" s="137"/>
      <c r="R4449" s="126"/>
    </row>
    <row r="4450" spans="2:18" x14ac:dyDescent="0.3">
      <c r="B4450" s="126"/>
      <c r="G4450" s="137"/>
      <c r="H4450" s="138"/>
      <c r="I4450" s="138"/>
      <c r="J4450" s="139"/>
      <c r="K4450" s="137"/>
      <c r="L4450" s="137"/>
      <c r="P4450" s="137"/>
      <c r="Q4450" s="137"/>
      <c r="R4450" s="126"/>
    </row>
    <row r="4451" spans="2:18" x14ac:dyDescent="0.3">
      <c r="B4451" s="126"/>
      <c r="G4451" s="137"/>
      <c r="H4451" s="138"/>
      <c r="I4451" s="138"/>
      <c r="J4451" s="139"/>
      <c r="K4451" s="137"/>
      <c r="L4451" s="137"/>
      <c r="P4451" s="137"/>
      <c r="Q4451" s="137"/>
      <c r="R4451" s="126"/>
    </row>
    <row r="4452" spans="2:18" x14ac:dyDescent="0.3">
      <c r="B4452" s="126"/>
      <c r="G4452" s="137"/>
      <c r="H4452" s="138"/>
      <c r="I4452" s="138"/>
      <c r="J4452" s="139"/>
      <c r="K4452" s="137"/>
      <c r="L4452" s="137"/>
      <c r="P4452" s="137"/>
      <c r="Q4452" s="137"/>
      <c r="R4452" s="126"/>
    </row>
    <row r="4453" spans="2:18" x14ac:dyDescent="0.3">
      <c r="B4453" s="126"/>
      <c r="G4453" s="137"/>
      <c r="H4453" s="138"/>
      <c r="I4453" s="138"/>
      <c r="J4453" s="139"/>
      <c r="K4453" s="137"/>
      <c r="L4453" s="137"/>
      <c r="P4453" s="137"/>
      <c r="Q4453" s="137"/>
      <c r="R4453" s="126"/>
    </row>
    <row r="4454" spans="2:18" x14ac:dyDescent="0.3">
      <c r="B4454" s="126"/>
      <c r="G4454" s="137"/>
      <c r="H4454" s="138"/>
      <c r="I4454" s="138"/>
      <c r="J4454" s="139"/>
      <c r="K4454" s="137"/>
      <c r="L4454" s="137"/>
      <c r="P4454" s="137"/>
      <c r="Q4454" s="137"/>
      <c r="R4454" s="126"/>
    </row>
    <row r="4455" spans="2:18" x14ac:dyDescent="0.3">
      <c r="B4455" s="126"/>
      <c r="G4455" s="137"/>
      <c r="H4455" s="138"/>
      <c r="I4455" s="138"/>
      <c r="J4455" s="139"/>
      <c r="K4455" s="137"/>
      <c r="L4455" s="137"/>
      <c r="P4455" s="137"/>
      <c r="Q4455" s="137"/>
      <c r="R4455" s="126"/>
    </row>
    <row r="4456" spans="2:18" x14ac:dyDescent="0.3">
      <c r="B4456" s="126"/>
      <c r="G4456" s="137"/>
      <c r="H4456" s="138"/>
      <c r="I4456" s="138"/>
      <c r="J4456" s="139"/>
      <c r="K4456" s="137"/>
      <c r="L4456" s="137"/>
      <c r="P4456" s="137"/>
      <c r="Q4456" s="137"/>
      <c r="R4456" s="126"/>
    </row>
    <row r="4457" spans="2:18" x14ac:dyDescent="0.3">
      <c r="B4457" s="126"/>
      <c r="G4457" s="137"/>
      <c r="H4457" s="138"/>
      <c r="I4457" s="138"/>
      <c r="J4457" s="139"/>
      <c r="K4457" s="137"/>
      <c r="L4457" s="137"/>
      <c r="P4457" s="137"/>
      <c r="Q4457" s="137"/>
      <c r="R4457" s="126"/>
    </row>
    <row r="4458" spans="2:18" x14ac:dyDescent="0.3">
      <c r="B4458" s="126"/>
      <c r="G4458" s="137"/>
      <c r="H4458" s="138"/>
      <c r="I4458" s="138"/>
      <c r="J4458" s="139"/>
      <c r="K4458" s="137"/>
      <c r="L4458" s="137"/>
      <c r="P4458" s="137"/>
      <c r="Q4458" s="137"/>
      <c r="R4458" s="126"/>
    </row>
    <row r="4459" spans="2:18" x14ac:dyDescent="0.3">
      <c r="B4459" s="126"/>
      <c r="G4459" s="137"/>
      <c r="H4459" s="138"/>
      <c r="I4459" s="138"/>
      <c r="J4459" s="139"/>
      <c r="K4459" s="137"/>
      <c r="L4459" s="137"/>
      <c r="P4459" s="137"/>
      <c r="Q4459" s="137"/>
      <c r="R4459" s="126"/>
    </row>
    <row r="4460" spans="2:18" x14ac:dyDescent="0.3">
      <c r="B4460" s="126"/>
      <c r="G4460" s="137"/>
      <c r="H4460" s="138"/>
      <c r="I4460" s="138"/>
      <c r="J4460" s="139"/>
      <c r="K4460" s="137"/>
      <c r="L4460" s="137"/>
      <c r="P4460" s="137"/>
      <c r="Q4460" s="137"/>
      <c r="R4460" s="126"/>
    </row>
    <row r="4461" spans="2:18" x14ac:dyDescent="0.3">
      <c r="B4461" s="126"/>
      <c r="G4461" s="137"/>
      <c r="H4461" s="138"/>
      <c r="I4461" s="138"/>
      <c r="J4461" s="139"/>
      <c r="K4461" s="137"/>
      <c r="L4461" s="137"/>
      <c r="P4461" s="137"/>
      <c r="Q4461" s="137"/>
      <c r="R4461" s="126"/>
    </row>
    <row r="4462" spans="2:18" x14ac:dyDescent="0.3">
      <c r="B4462" s="126"/>
      <c r="G4462" s="137"/>
      <c r="H4462" s="138"/>
      <c r="I4462" s="138"/>
      <c r="J4462" s="139"/>
      <c r="K4462" s="137"/>
      <c r="L4462" s="137"/>
      <c r="P4462" s="137"/>
      <c r="Q4462" s="137"/>
      <c r="R4462" s="126"/>
    </row>
    <row r="4463" spans="2:18" x14ac:dyDescent="0.3">
      <c r="B4463" s="126"/>
      <c r="G4463" s="137"/>
      <c r="H4463" s="138"/>
      <c r="I4463" s="138"/>
      <c r="J4463" s="139"/>
      <c r="K4463" s="137"/>
      <c r="L4463" s="137"/>
      <c r="P4463" s="137"/>
      <c r="Q4463" s="137"/>
      <c r="R4463" s="126"/>
    </row>
    <row r="4464" spans="2:18" x14ac:dyDescent="0.3">
      <c r="B4464" s="126"/>
      <c r="G4464" s="137"/>
      <c r="H4464" s="138"/>
      <c r="I4464" s="138"/>
      <c r="J4464" s="139"/>
      <c r="K4464" s="137"/>
      <c r="L4464" s="137"/>
      <c r="P4464" s="137"/>
      <c r="Q4464" s="137"/>
      <c r="R4464" s="126"/>
    </row>
    <row r="4465" spans="2:18" x14ac:dyDescent="0.3">
      <c r="B4465" s="126"/>
      <c r="G4465" s="137"/>
      <c r="H4465" s="138"/>
      <c r="I4465" s="138"/>
      <c r="J4465" s="139"/>
      <c r="K4465" s="137"/>
      <c r="L4465" s="137"/>
      <c r="P4465" s="137"/>
      <c r="Q4465" s="137"/>
      <c r="R4465" s="126"/>
    </row>
    <row r="4466" spans="2:18" x14ac:dyDescent="0.3">
      <c r="B4466" s="126"/>
      <c r="G4466" s="137"/>
      <c r="H4466" s="138"/>
      <c r="I4466" s="138"/>
      <c r="J4466" s="139"/>
      <c r="K4466" s="137"/>
      <c r="L4466" s="137"/>
      <c r="P4466" s="137"/>
      <c r="Q4466" s="137"/>
      <c r="R4466" s="126"/>
    </row>
    <row r="4467" spans="2:18" x14ac:dyDescent="0.3">
      <c r="B4467" s="126"/>
      <c r="G4467" s="137"/>
      <c r="H4467" s="138"/>
      <c r="I4467" s="138"/>
      <c r="J4467" s="139"/>
      <c r="K4467" s="137"/>
      <c r="L4467" s="137"/>
      <c r="P4467" s="137"/>
      <c r="Q4467" s="137"/>
      <c r="R4467" s="126"/>
    </row>
    <row r="4468" spans="2:18" x14ac:dyDescent="0.3">
      <c r="B4468" s="126"/>
      <c r="G4468" s="137"/>
      <c r="H4468" s="138"/>
      <c r="I4468" s="138"/>
      <c r="J4468" s="139"/>
      <c r="K4468" s="137"/>
      <c r="L4468" s="137"/>
      <c r="P4468" s="137"/>
      <c r="Q4468" s="137"/>
      <c r="R4468" s="126"/>
    </row>
    <row r="4469" spans="2:18" x14ac:dyDescent="0.3">
      <c r="B4469" s="126"/>
      <c r="G4469" s="137"/>
      <c r="H4469" s="138"/>
      <c r="I4469" s="138"/>
      <c r="J4469" s="139"/>
      <c r="K4469" s="137"/>
      <c r="L4469" s="137"/>
      <c r="P4469" s="137"/>
      <c r="Q4469" s="137"/>
      <c r="R4469" s="126"/>
    </row>
    <row r="4470" spans="2:18" x14ac:dyDescent="0.3">
      <c r="B4470" s="126"/>
      <c r="G4470" s="137"/>
      <c r="H4470" s="138"/>
      <c r="I4470" s="138"/>
      <c r="J4470" s="139"/>
      <c r="K4470" s="137"/>
      <c r="L4470" s="137"/>
      <c r="P4470" s="137"/>
      <c r="Q4470" s="137"/>
      <c r="R4470" s="126"/>
    </row>
    <row r="4471" spans="2:18" x14ac:dyDescent="0.3">
      <c r="B4471" s="126"/>
      <c r="G4471" s="137"/>
      <c r="H4471" s="138"/>
      <c r="I4471" s="138"/>
      <c r="J4471" s="139"/>
      <c r="K4471" s="137"/>
      <c r="L4471" s="137"/>
      <c r="P4471" s="137"/>
      <c r="Q4471" s="137"/>
      <c r="R4471" s="126"/>
    </row>
    <row r="4472" spans="2:18" x14ac:dyDescent="0.3">
      <c r="B4472" s="126"/>
      <c r="G4472" s="137"/>
      <c r="H4472" s="138"/>
      <c r="I4472" s="138"/>
      <c r="J4472" s="139"/>
      <c r="K4472" s="137"/>
      <c r="L4472" s="137"/>
      <c r="P4472" s="137"/>
      <c r="Q4472" s="137"/>
      <c r="R4472" s="126"/>
    </row>
    <row r="4473" spans="2:18" x14ac:dyDescent="0.3">
      <c r="B4473" s="126"/>
      <c r="G4473" s="137"/>
      <c r="H4473" s="138"/>
      <c r="I4473" s="138"/>
      <c r="J4473" s="139"/>
      <c r="K4473" s="137"/>
      <c r="L4473" s="137"/>
      <c r="P4473" s="137"/>
      <c r="Q4473" s="137"/>
      <c r="R4473" s="126"/>
    </row>
    <row r="4474" spans="2:18" x14ac:dyDescent="0.3">
      <c r="B4474" s="126"/>
      <c r="G4474" s="137"/>
      <c r="H4474" s="138"/>
      <c r="I4474" s="138"/>
      <c r="J4474" s="139"/>
      <c r="K4474" s="137"/>
      <c r="L4474" s="137"/>
      <c r="P4474" s="137"/>
      <c r="Q4474" s="137"/>
      <c r="R4474" s="126"/>
    </row>
    <row r="4475" spans="2:18" x14ac:dyDescent="0.3">
      <c r="B4475" s="126"/>
      <c r="G4475" s="137"/>
      <c r="H4475" s="138"/>
      <c r="I4475" s="138"/>
      <c r="J4475" s="139"/>
      <c r="K4475" s="137"/>
      <c r="L4475" s="137"/>
      <c r="P4475" s="137"/>
      <c r="Q4475" s="137"/>
      <c r="R4475" s="126"/>
    </row>
    <row r="4476" spans="2:18" x14ac:dyDescent="0.3">
      <c r="B4476" s="126"/>
      <c r="G4476" s="137"/>
      <c r="H4476" s="138"/>
      <c r="I4476" s="138"/>
      <c r="J4476" s="139"/>
      <c r="K4476" s="137"/>
      <c r="L4476" s="137"/>
      <c r="P4476" s="137"/>
      <c r="Q4476" s="137"/>
      <c r="R4476" s="126"/>
    </row>
    <row r="4477" spans="2:18" x14ac:dyDescent="0.3">
      <c r="B4477" s="126"/>
      <c r="G4477" s="137"/>
      <c r="H4477" s="138"/>
      <c r="I4477" s="138"/>
      <c r="J4477" s="139"/>
      <c r="K4477" s="137"/>
      <c r="L4477" s="137"/>
      <c r="P4477" s="137"/>
      <c r="Q4477" s="137"/>
      <c r="R4477" s="126"/>
    </row>
    <row r="4478" spans="2:18" x14ac:dyDescent="0.3">
      <c r="B4478" s="126"/>
      <c r="G4478" s="137"/>
      <c r="H4478" s="138"/>
      <c r="I4478" s="138"/>
      <c r="J4478" s="139"/>
      <c r="K4478" s="137"/>
      <c r="L4478" s="137"/>
      <c r="P4478" s="137"/>
      <c r="Q4478" s="137"/>
      <c r="R4478" s="126"/>
    </row>
    <row r="4479" spans="2:18" x14ac:dyDescent="0.3">
      <c r="B4479" s="126"/>
      <c r="G4479" s="137"/>
      <c r="H4479" s="138"/>
      <c r="I4479" s="138"/>
      <c r="J4479" s="139"/>
      <c r="K4479" s="137"/>
      <c r="L4479" s="137"/>
      <c r="P4479" s="137"/>
      <c r="Q4479" s="137"/>
      <c r="R4479" s="126"/>
    </row>
    <row r="4480" spans="2:18" x14ac:dyDescent="0.3">
      <c r="B4480" s="126"/>
      <c r="G4480" s="137"/>
      <c r="H4480" s="138"/>
      <c r="I4480" s="138"/>
      <c r="J4480" s="139"/>
      <c r="K4480" s="137"/>
      <c r="L4480" s="137"/>
      <c r="P4480" s="137"/>
      <c r="Q4480" s="137"/>
      <c r="R4480" s="126"/>
    </row>
    <row r="4481" spans="2:18" x14ac:dyDescent="0.3">
      <c r="B4481" s="126"/>
      <c r="G4481" s="137"/>
      <c r="H4481" s="138"/>
      <c r="I4481" s="138"/>
      <c r="J4481" s="139"/>
      <c r="K4481" s="137"/>
      <c r="L4481" s="137"/>
      <c r="P4481" s="137"/>
      <c r="Q4481" s="137"/>
      <c r="R4481" s="126"/>
    </row>
    <row r="4482" spans="2:18" x14ac:dyDescent="0.3">
      <c r="B4482" s="126"/>
      <c r="G4482" s="137"/>
      <c r="H4482" s="138"/>
      <c r="I4482" s="138"/>
      <c r="J4482" s="139"/>
      <c r="K4482" s="137"/>
      <c r="L4482" s="137"/>
      <c r="P4482" s="137"/>
      <c r="Q4482" s="137"/>
      <c r="R4482" s="126"/>
    </row>
    <row r="4483" spans="2:18" x14ac:dyDescent="0.3">
      <c r="B4483" s="126"/>
      <c r="G4483" s="137"/>
      <c r="H4483" s="138"/>
      <c r="I4483" s="138"/>
      <c r="J4483" s="139"/>
      <c r="K4483" s="137"/>
      <c r="L4483" s="137"/>
      <c r="P4483" s="137"/>
      <c r="Q4483" s="137"/>
      <c r="R4483" s="126"/>
    </row>
    <row r="4484" spans="2:18" x14ac:dyDescent="0.3">
      <c r="B4484" s="126"/>
      <c r="G4484" s="137"/>
      <c r="H4484" s="138"/>
      <c r="I4484" s="138"/>
      <c r="J4484" s="139"/>
      <c r="K4484" s="137"/>
      <c r="L4484" s="137"/>
      <c r="P4484" s="137"/>
      <c r="Q4484" s="137"/>
      <c r="R4484" s="126"/>
    </row>
    <row r="4485" spans="2:18" x14ac:dyDescent="0.3">
      <c r="B4485" s="126"/>
      <c r="G4485" s="137"/>
      <c r="H4485" s="138"/>
      <c r="I4485" s="138"/>
      <c r="J4485" s="139"/>
      <c r="K4485" s="137"/>
      <c r="L4485" s="137"/>
      <c r="P4485" s="137"/>
      <c r="Q4485" s="137"/>
      <c r="R4485" s="126"/>
    </row>
    <row r="4486" spans="2:18" x14ac:dyDescent="0.3">
      <c r="B4486" s="126"/>
      <c r="G4486" s="137"/>
      <c r="H4486" s="138"/>
      <c r="I4486" s="138"/>
      <c r="J4486" s="139"/>
      <c r="K4486" s="137"/>
      <c r="L4486" s="137"/>
      <c r="P4486" s="137"/>
      <c r="Q4486" s="137"/>
      <c r="R4486" s="126"/>
    </row>
    <row r="4487" spans="2:18" x14ac:dyDescent="0.3">
      <c r="B4487" s="126"/>
      <c r="G4487" s="137"/>
      <c r="H4487" s="138"/>
      <c r="I4487" s="138"/>
      <c r="J4487" s="139"/>
      <c r="K4487" s="137"/>
      <c r="L4487" s="137"/>
      <c r="P4487" s="137"/>
      <c r="Q4487" s="137"/>
      <c r="R4487" s="126"/>
    </row>
    <row r="4488" spans="2:18" x14ac:dyDescent="0.3">
      <c r="B4488" s="126"/>
      <c r="G4488" s="137"/>
      <c r="H4488" s="138"/>
      <c r="I4488" s="138"/>
      <c r="J4488" s="139"/>
      <c r="K4488" s="137"/>
      <c r="L4488" s="137"/>
      <c r="P4488" s="137"/>
      <c r="Q4488" s="137"/>
      <c r="R4488" s="126"/>
    </row>
    <row r="4489" spans="2:18" x14ac:dyDescent="0.3">
      <c r="B4489" s="126"/>
      <c r="G4489" s="137"/>
      <c r="H4489" s="138"/>
      <c r="I4489" s="138"/>
      <c r="J4489" s="139"/>
      <c r="K4489" s="137"/>
      <c r="L4489" s="137"/>
      <c r="P4489" s="137"/>
      <c r="Q4489" s="137"/>
      <c r="R4489" s="126"/>
    </row>
    <row r="4490" spans="2:18" x14ac:dyDescent="0.3">
      <c r="B4490" s="126"/>
      <c r="G4490" s="137"/>
      <c r="H4490" s="138"/>
      <c r="I4490" s="138"/>
      <c r="J4490" s="139"/>
      <c r="K4490" s="137"/>
      <c r="L4490" s="137"/>
      <c r="P4490" s="137"/>
      <c r="Q4490" s="137"/>
      <c r="R4490" s="126"/>
    </row>
    <row r="4491" spans="2:18" x14ac:dyDescent="0.3">
      <c r="B4491" s="126"/>
      <c r="G4491" s="137"/>
      <c r="H4491" s="138"/>
      <c r="I4491" s="138"/>
      <c r="J4491" s="139"/>
      <c r="K4491" s="137"/>
      <c r="L4491" s="137"/>
      <c r="P4491" s="137"/>
      <c r="Q4491" s="137"/>
      <c r="R4491" s="126"/>
    </row>
    <row r="4492" spans="2:18" x14ac:dyDescent="0.3">
      <c r="B4492" s="126"/>
      <c r="G4492" s="137"/>
      <c r="H4492" s="138"/>
      <c r="I4492" s="138"/>
      <c r="J4492" s="139"/>
      <c r="K4492" s="137"/>
      <c r="L4492" s="137"/>
      <c r="P4492" s="137"/>
      <c r="Q4492" s="137"/>
      <c r="R4492" s="126"/>
    </row>
    <row r="4493" spans="2:18" x14ac:dyDescent="0.3">
      <c r="B4493" s="126"/>
      <c r="G4493" s="137"/>
      <c r="H4493" s="138"/>
      <c r="I4493" s="138"/>
      <c r="J4493" s="139"/>
      <c r="K4493" s="137"/>
      <c r="L4493" s="137"/>
      <c r="P4493" s="137"/>
      <c r="Q4493" s="137"/>
      <c r="R4493" s="126"/>
    </row>
    <row r="4494" spans="2:18" x14ac:dyDescent="0.3">
      <c r="B4494" s="126"/>
      <c r="G4494" s="137"/>
      <c r="H4494" s="138"/>
      <c r="I4494" s="138"/>
      <c r="J4494" s="139"/>
      <c r="K4494" s="137"/>
      <c r="L4494" s="137"/>
      <c r="P4494" s="137"/>
      <c r="Q4494" s="137"/>
      <c r="R4494" s="126"/>
    </row>
    <row r="4495" spans="2:18" x14ac:dyDescent="0.3">
      <c r="B4495" s="126"/>
      <c r="G4495" s="137"/>
      <c r="H4495" s="138"/>
      <c r="I4495" s="138"/>
      <c r="J4495" s="139"/>
      <c r="K4495" s="137"/>
      <c r="L4495" s="137"/>
      <c r="P4495" s="137"/>
      <c r="Q4495" s="137"/>
      <c r="R4495" s="126"/>
    </row>
    <row r="4496" spans="2:18" x14ac:dyDescent="0.3">
      <c r="B4496" s="126"/>
      <c r="G4496" s="137"/>
      <c r="H4496" s="138"/>
      <c r="I4496" s="138"/>
      <c r="J4496" s="139"/>
      <c r="K4496" s="137"/>
      <c r="L4496" s="137"/>
      <c r="P4496" s="137"/>
      <c r="Q4496" s="137"/>
      <c r="R4496" s="126"/>
    </row>
    <row r="4497" spans="2:18" x14ac:dyDescent="0.3">
      <c r="B4497" s="126"/>
      <c r="G4497" s="137"/>
      <c r="H4497" s="138"/>
      <c r="I4497" s="138"/>
      <c r="J4497" s="139"/>
      <c r="K4497" s="137"/>
      <c r="L4497" s="137"/>
      <c r="P4497" s="137"/>
      <c r="Q4497" s="137"/>
      <c r="R4497" s="126"/>
    </row>
    <row r="4498" spans="2:18" x14ac:dyDescent="0.3">
      <c r="B4498" s="126"/>
      <c r="G4498" s="137"/>
      <c r="H4498" s="138"/>
      <c r="I4498" s="138"/>
      <c r="J4498" s="139"/>
      <c r="K4498" s="137"/>
      <c r="L4498" s="137"/>
      <c r="P4498" s="137"/>
      <c r="Q4498" s="137"/>
      <c r="R4498" s="126"/>
    </row>
    <row r="4499" spans="2:18" x14ac:dyDescent="0.3">
      <c r="B4499" s="126"/>
      <c r="G4499" s="137"/>
      <c r="H4499" s="138"/>
      <c r="I4499" s="138"/>
      <c r="J4499" s="139"/>
      <c r="K4499" s="137"/>
      <c r="L4499" s="137"/>
      <c r="P4499" s="137"/>
      <c r="Q4499" s="137"/>
      <c r="R4499" s="126"/>
    </row>
    <row r="4500" spans="2:18" x14ac:dyDescent="0.3">
      <c r="B4500" s="126"/>
      <c r="G4500" s="137"/>
      <c r="H4500" s="138"/>
      <c r="I4500" s="138"/>
      <c r="J4500" s="139"/>
      <c r="K4500" s="137"/>
      <c r="L4500" s="137"/>
      <c r="P4500" s="137"/>
      <c r="Q4500" s="137"/>
      <c r="R4500" s="126"/>
    </row>
    <row r="4501" spans="2:18" x14ac:dyDescent="0.3">
      <c r="B4501" s="126"/>
      <c r="G4501" s="137"/>
      <c r="H4501" s="138"/>
      <c r="I4501" s="138"/>
      <c r="J4501" s="139"/>
      <c r="K4501" s="137"/>
      <c r="L4501" s="137"/>
      <c r="P4501" s="137"/>
      <c r="Q4501" s="137"/>
      <c r="R4501" s="126"/>
    </row>
    <row r="4502" spans="2:18" x14ac:dyDescent="0.3">
      <c r="B4502" s="126"/>
      <c r="G4502" s="137"/>
      <c r="H4502" s="138"/>
      <c r="I4502" s="138"/>
      <c r="J4502" s="139"/>
      <c r="K4502" s="137"/>
      <c r="L4502" s="137"/>
      <c r="P4502" s="137"/>
      <c r="Q4502" s="137"/>
      <c r="R4502" s="126"/>
    </row>
    <row r="4503" spans="2:18" x14ac:dyDescent="0.3">
      <c r="B4503" s="126"/>
      <c r="G4503" s="137"/>
      <c r="H4503" s="138"/>
      <c r="I4503" s="138"/>
      <c r="J4503" s="139"/>
      <c r="K4503" s="137"/>
      <c r="L4503" s="137"/>
      <c r="P4503" s="137"/>
      <c r="Q4503" s="137"/>
      <c r="R4503" s="126"/>
    </row>
    <row r="4504" spans="2:18" x14ac:dyDescent="0.3">
      <c r="B4504" s="126"/>
      <c r="G4504" s="137"/>
      <c r="H4504" s="138"/>
      <c r="I4504" s="138"/>
      <c r="J4504" s="139"/>
      <c r="K4504" s="137"/>
      <c r="L4504" s="137"/>
      <c r="P4504" s="137"/>
      <c r="Q4504" s="137"/>
      <c r="R4504" s="126"/>
    </row>
    <row r="4505" spans="2:18" x14ac:dyDescent="0.3">
      <c r="B4505" s="126"/>
      <c r="G4505" s="137"/>
      <c r="H4505" s="138"/>
      <c r="I4505" s="138"/>
      <c r="J4505" s="139"/>
      <c r="K4505" s="137"/>
      <c r="L4505" s="137"/>
      <c r="P4505" s="137"/>
      <c r="Q4505" s="137"/>
      <c r="R4505" s="126"/>
    </row>
    <row r="4506" spans="2:18" x14ac:dyDescent="0.3">
      <c r="B4506" s="126"/>
      <c r="G4506" s="137"/>
      <c r="H4506" s="138"/>
      <c r="I4506" s="138"/>
      <c r="J4506" s="139"/>
      <c r="K4506" s="137"/>
      <c r="L4506" s="137"/>
      <c r="P4506" s="137"/>
      <c r="Q4506" s="137"/>
      <c r="R4506" s="126"/>
    </row>
    <row r="4507" spans="2:18" x14ac:dyDescent="0.3">
      <c r="B4507" s="126"/>
      <c r="G4507" s="137"/>
      <c r="H4507" s="138"/>
      <c r="I4507" s="138"/>
      <c r="J4507" s="139"/>
      <c r="K4507" s="137"/>
      <c r="L4507" s="137"/>
      <c r="P4507" s="137"/>
      <c r="Q4507" s="137"/>
      <c r="R4507" s="126"/>
    </row>
    <row r="4508" spans="2:18" x14ac:dyDescent="0.3">
      <c r="B4508" s="126"/>
      <c r="G4508" s="137"/>
      <c r="H4508" s="138"/>
      <c r="I4508" s="138"/>
      <c r="J4508" s="139"/>
      <c r="K4508" s="137"/>
      <c r="L4508" s="137"/>
      <c r="P4508" s="137"/>
      <c r="Q4508" s="137"/>
      <c r="R4508" s="126"/>
    </row>
    <row r="4509" spans="2:18" x14ac:dyDescent="0.3">
      <c r="B4509" s="126"/>
      <c r="G4509" s="137"/>
      <c r="H4509" s="138"/>
      <c r="I4509" s="138"/>
      <c r="J4509" s="139"/>
      <c r="K4509" s="137"/>
      <c r="L4509" s="137"/>
      <c r="P4509" s="137"/>
      <c r="Q4509" s="137"/>
      <c r="R4509" s="126"/>
    </row>
    <row r="4510" spans="2:18" x14ac:dyDescent="0.3">
      <c r="B4510" s="126"/>
      <c r="G4510" s="137"/>
      <c r="H4510" s="138"/>
      <c r="I4510" s="138"/>
      <c r="J4510" s="139"/>
      <c r="K4510" s="137"/>
      <c r="L4510" s="137"/>
      <c r="P4510" s="137"/>
      <c r="Q4510" s="137"/>
      <c r="R4510" s="126"/>
    </row>
    <row r="4511" spans="2:18" x14ac:dyDescent="0.3">
      <c r="B4511" s="126"/>
      <c r="G4511" s="137"/>
      <c r="H4511" s="138"/>
      <c r="I4511" s="138"/>
      <c r="J4511" s="139"/>
      <c r="K4511" s="137"/>
      <c r="L4511" s="137"/>
      <c r="P4511" s="137"/>
      <c r="Q4511" s="137"/>
      <c r="R4511" s="126"/>
    </row>
    <row r="4512" spans="2:18" x14ac:dyDescent="0.3">
      <c r="B4512" s="126"/>
      <c r="G4512" s="137"/>
      <c r="H4512" s="138"/>
      <c r="I4512" s="138"/>
      <c r="J4512" s="139"/>
      <c r="K4512" s="137"/>
      <c r="L4512" s="137"/>
      <c r="P4512" s="137"/>
      <c r="Q4512" s="137"/>
      <c r="R4512" s="126"/>
    </row>
    <row r="4513" spans="2:18" x14ac:dyDescent="0.3">
      <c r="B4513" s="126"/>
      <c r="G4513" s="137"/>
      <c r="H4513" s="138"/>
      <c r="I4513" s="138"/>
      <c r="J4513" s="139"/>
      <c r="K4513" s="137"/>
      <c r="L4513" s="137"/>
      <c r="P4513" s="137"/>
      <c r="Q4513" s="137"/>
      <c r="R4513" s="126"/>
    </row>
    <row r="4514" spans="2:18" x14ac:dyDescent="0.3">
      <c r="B4514" s="126"/>
      <c r="G4514" s="137"/>
      <c r="H4514" s="138"/>
      <c r="I4514" s="138"/>
      <c r="J4514" s="139"/>
      <c r="K4514" s="137"/>
      <c r="L4514" s="137"/>
      <c r="P4514" s="137"/>
      <c r="Q4514" s="137"/>
      <c r="R4514" s="126"/>
    </row>
    <row r="4515" spans="2:18" x14ac:dyDescent="0.3">
      <c r="B4515" s="126"/>
      <c r="G4515" s="137"/>
      <c r="H4515" s="138"/>
      <c r="I4515" s="138"/>
      <c r="J4515" s="139"/>
      <c r="K4515" s="137"/>
      <c r="L4515" s="137"/>
      <c r="P4515" s="137"/>
      <c r="Q4515" s="137"/>
      <c r="R4515" s="126"/>
    </row>
    <row r="4516" spans="2:18" x14ac:dyDescent="0.3">
      <c r="B4516" s="126"/>
      <c r="G4516" s="137"/>
      <c r="H4516" s="138"/>
      <c r="I4516" s="138"/>
      <c r="J4516" s="139"/>
      <c r="K4516" s="137"/>
      <c r="L4516" s="137"/>
      <c r="P4516" s="137"/>
      <c r="Q4516" s="137"/>
      <c r="R4516" s="126"/>
    </row>
    <row r="4517" spans="2:18" x14ac:dyDescent="0.3">
      <c r="B4517" s="126"/>
      <c r="G4517" s="137"/>
      <c r="H4517" s="138"/>
      <c r="I4517" s="138"/>
      <c r="J4517" s="139"/>
      <c r="K4517" s="137"/>
      <c r="L4517" s="137"/>
      <c r="P4517" s="137"/>
      <c r="Q4517" s="137"/>
      <c r="R4517" s="126"/>
    </row>
    <row r="4518" spans="2:18" x14ac:dyDescent="0.3">
      <c r="B4518" s="126"/>
      <c r="G4518" s="137"/>
      <c r="H4518" s="138"/>
      <c r="I4518" s="138"/>
      <c r="J4518" s="139"/>
      <c r="K4518" s="137"/>
      <c r="L4518" s="137"/>
      <c r="P4518" s="137"/>
      <c r="Q4518" s="137"/>
      <c r="R4518" s="126"/>
    </row>
    <row r="4519" spans="2:18" x14ac:dyDescent="0.3">
      <c r="B4519" s="126"/>
      <c r="G4519" s="137"/>
      <c r="H4519" s="138"/>
      <c r="I4519" s="138"/>
      <c r="J4519" s="139"/>
      <c r="K4519" s="137"/>
      <c r="L4519" s="137"/>
      <c r="P4519" s="137"/>
      <c r="Q4519" s="137"/>
      <c r="R4519" s="126"/>
    </row>
    <row r="4520" spans="2:18" x14ac:dyDescent="0.3">
      <c r="B4520" s="126"/>
      <c r="G4520" s="137"/>
      <c r="H4520" s="138"/>
      <c r="I4520" s="138"/>
      <c r="J4520" s="139"/>
      <c r="K4520" s="137"/>
      <c r="L4520" s="137"/>
      <c r="P4520" s="137"/>
      <c r="Q4520" s="137"/>
      <c r="R4520" s="126"/>
    </row>
    <row r="4521" spans="2:18" x14ac:dyDescent="0.3">
      <c r="B4521" s="126"/>
      <c r="G4521" s="137"/>
      <c r="H4521" s="138"/>
      <c r="I4521" s="138"/>
      <c r="J4521" s="139"/>
      <c r="K4521" s="137"/>
      <c r="L4521" s="137"/>
      <c r="P4521" s="137"/>
      <c r="Q4521" s="137"/>
      <c r="R4521" s="126"/>
    </row>
    <row r="4522" spans="2:18" x14ac:dyDescent="0.3">
      <c r="B4522" s="126"/>
      <c r="G4522" s="137"/>
      <c r="H4522" s="138"/>
      <c r="I4522" s="138"/>
      <c r="J4522" s="139"/>
      <c r="K4522" s="137"/>
      <c r="L4522" s="137"/>
      <c r="P4522" s="137"/>
      <c r="Q4522" s="137"/>
      <c r="R4522" s="126"/>
    </row>
    <row r="4523" spans="2:18" x14ac:dyDescent="0.3">
      <c r="B4523" s="126"/>
      <c r="G4523" s="137"/>
      <c r="H4523" s="138"/>
      <c r="I4523" s="138"/>
      <c r="J4523" s="139"/>
      <c r="K4523" s="137"/>
      <c r="L4523" s="137"/>
      <c r="P4523" s="137"/>
      <c r="Q4523" s="137"/>
      <c r="R4523" s="126"/>
    </row>
    <row r="4524" spans="2:18" x14ac:dyDescent="0.3">
      <c r="B4524" s="126"/>
      <c r="G4524" s="137"/>
      <c r="H4524" s="138"/>
      <c r="I4524" s="138"/>
      <c r="J4524" s="139"/>
      <c r="K4524" s="137"/>
      <c r="L4524" s="137"/>
      <c r="P4524" s="137"/>
      <c r="Q4524" s="137"/>
      <c r="R4524" s="126"/>
    </row>
    <row r="4525" spans="2:18" x14ac:dyDescent="0.3">
      <c r="B4525" s="126"/>
      <c r="G4525" s="137"/>
      <c r="H4525" s="138"/>
      <c r="I4525" s="138"/>
      <c r="J4525" s="139"/>
      <c r="K4525" s="137"/>
      <c r="L4525" s="137"/>
      <c r="P4525" s="137"/>
      <c r="Q4525" s="137"/>
      <c r="R4525" s="126"/>
    </row>
    <row r="4526" spans="2:18" x14ac:dyDescent="0.3">
      <c r="B4526" s="126"/>
      <c r="G4526" s="137"/>
      <c r="H4526" s="138"/>
      <c r="I4526" s="138"/>
      <c r="J4526" s="139"/>
      <c r="K4526" s="137"/>
      <c r="L4526" s="137"/>
      <c r="P4526" s="137"/>
      <c r="Q4526" s="137"/>
      <c r="R4526" s="126"/>
    </row>
    <row r="4527" spans="2:18" x14ac:dyDescent="0.3">
      <c r="B4527" s="126"/>
      <c r="G4527" s="137"/>
      <c r="H4527" s="138"/>
      <c r="I4527" s="138"/>
      <c r="J4527" s="139"/>
      <c r="K4527" s="137"/>
      <c r="L4527" s="137"/>
      <c r="P4527" s="137"/>
      <c r="Q4527" s="137"/>
      <c r="R4527" s="126"/>
    </row>
    <row r="4528" spans="2:18" x14ac:dyDescent="0.3">
      <c r="B4528" s="126"/>
      <c r="G4528" s="137"/>
      <c r="H4528" s="138"/>
      <c r="I4528" s="138"/>
      <c r="J4528" s="139"/>
      <c r="K4528" s="137"/>
      <c r="L4528" s="137"/>
      <c r="P4528" s="137"/>
      <c r="Q4528" s="137"/>
      <c r="R4528" s="126"/>
    </row>
    <row r="4529" spans="2:18" x14ac:dyDescent="0.3">
      <c r="B4529" s="126"/>
      <c r="G4529" s="137"/>
      <c r="H4529" s="138"/>
      <c r="I4529" s="138"/>
      <c r="J4529" s="139"/>
      <c r="K4529" s="137"/>
      <c r="L4529" s="137"/>
      <c r="P4529" s="137"/>
      <c r="Q4529" s="137"/>
      <c r="R4529" s="126"/>
    </row>
    <row r="4530" spans="2:18" x14ac:dyDescent="0.3">
      <c r="B4530" s="126"/>
      <c r="G4530" s="137"/>
      <c r="H4530" s="138"/>
      <c r="I4530" s="138"/>
      <c r="J4530" s="139"/>
      <c r="K4530" s="137"/>
      <c r="L4530" s="137"/>
      <c r="P4530" s="137"/>
      <c r="Q4530" s="137"/>
      <c r="R4530" s="126"/>
    </row>
    <row r="4531" spans="2:18" x14ac:dyDescent="0.3">
      <c r="B4531" s="126"/>
      <c r="G4531" s="137"/>
      <c r="H4531" s="138"/>
      <c r="I4531" s="138"/>
      <c r="J4531" s="139"/>
      <c r="K4531" s="137"/>
      <c r="L4531" s="137"/>
      <c r="P4531" s="137"/>
      <c r="Q4531" s="137"/>
      <c r="R4531" s="126"/>
    </row>
    <row r="4532" spans="2:18" x14ac:dyDescent="0.3">
      <c r="B4532" s="126"/>
      <c r="G4532" s="137"/>
      <c r="H4532" s="138"/>
      <c r="I4532" s="138"/>
      <c r="J4532" s="139"/>
      <c r="K4532" s="137"/>
      <c r="L4532" s="137"/>
      <c r="P4532" s="137"/>
      <c r="Q4532" s="137"/>
      <c r="R4532" s="126"/>
    </row>
    <row r="4533" spans="2:18" x14ac:dyDescent="0.3">
      <c r="B4533" s="126"/>
      <c r="G4533" s="137"/>
      <c r="H4533" s="138"/>
      <c r="I4533" s="138"/>
      <c r="J4533" s="139"/>
      <c r="K4533" s="137"/>
      <c r="L4533" s="137"/>
      <c r="P4533" s="137"/>
      <c r="Q4533" s="137"/>
      <c r="R4533" s="126"/>
    </row>
    <row r="4534" spans="2:18" x14ac:dyDescent="0.3">
      <c r="B4534" s="126"/>
      <c r="G4534" s="137"/>
      <c r="H4534" s="138"/>
      <c r="I4534" s="138"/>
      <c r="J4534" s="139"/>
      <c r="K4534" s="137"/>
      <c r="L4534" s="137"/>
      <c r="P4534" s="137"/>
      <c r="Q4534" s="137"/>
      <c r="R4534" s="126"/>
    </row>
    <row r="4535" spans="2:18" x14ac:dyDescent="0.3">
      <c r="B4535" s="126"/>
      <c r="G4535" s="137"/>
      <c r="H4535" s="138"/>
      <c r="I4535" s="138"/>
      <c r="J4535" s="139"/>
      <c r="K4535" s="137"/>
      <c r="L4535" s="137"/>
      <c r="P4535" s="137"/>
      <c r="Q4535" s="137"/>
      <c r="R4535" s="126"/>
    </row>
    <row r="4536" spans="2:18" x14ac:dyDescent="0.3">
      <c r="B4536" s="126"/>
      <c r="G4536" s="137"/>
      <c r="H4536" s="138"/>
      <c r="I4536" s="138"/>
      <c r="J4536" s="139"/>
      <c r="K4536" s="137"/>
      <c r="L4536" s="137"/>
      <c r="P4536" s="137"/>
      <c r="Q4536" s="137"/>
      <c r="R4536" s="126"/>
    </row>
    <row r="4537" spans="2:18" x14ac:dyDescent="0.3">
      <c r="B4537" s="126"/>
      <c r="G4537" s="137"/>
      <c r="H4537" s="138"/>
      <c r="I4537" s="138"/>
      <c r="J4537" s="139"/>
      <c r="K4537" s="137"/>
      <c r="L4537" s="137"/>
      <c r="P4537" s="137"/>
      <c r="Q4537" s="137"/>
      <c r="R4537" s="126"/>
    </row>
    <row r="4538" spans="2:18" x14ac:dyDescent="0.3">
      <c r="B4538" s="126"/>
      <c r="G4538" s="137"/>
      <c r="H4538" s="138"/>
      <c r="I4538" s="138"/>
      <c r="J4538" s="139"/>
      <c r="K4538" s="137"/>
      <c r="L4538" s="137"/>
      <c r="P4538" s="137"/>
      <c r="Q4538" s="137"/>
      <c r="R4538" s="126"/>
    </row>
    <row r="4539" spans="2:18" x14ac:dyDescent="0.3">
      <c r="B4539" s="126"/>
      <c r="G4539" s="137"/>
      <c r="H4539" s="138"/>
      <c r="I4539" s="138"/>
      <c r="J4539" s="139"/>
      <c r="K4539" s="137"/>
      <c r="L4539" s="137"/>
      <c r="P4539" s="137"/>
      <c r="Q4539" s="137"/>
      <c r="R4539" s="126"/>
    </row>
    <row r="4540" spans="2:18" x14ac:dyDescent="0.3">
      <c r="B4540" s="126"/>
      <c r="G4540" s="137"/>
      <c r="H4540" s="138"/>
      <c r="I4540" s="138"/>
      <c r="J4540" s="139"/>
      <c r="K4540" s="137"/>
      <c r="L4540" s="137"/>
      <c r="P4540" s="137"/>
      <c r="Q4540" s="137"/>
      <c r="R4540" s="126"/>
    </row>
    <row r="4541" spans="2:18" x14ac:dyDescent="0.3">
      <c r="B4541" s="126"/>
      <c r="G4541" s="137"/>
      <c r="H4541" s="138"/>
      <c r="I4541" s="138"/>
      <c r="J4541" s="139"/>
      <c r="K4541" s="137"/>
      <c r="L4541" s="137"/>
      <c r="P4541" s="137"/>
      <c r="Q4541" s="137"/>
      <c r="R4541" s="126"/>
    </row>
    <row r="4542" spans="2:18" x14ac:dyDescent="0.3">
      <c r="B4542" s="126"/>
      <c r="G4542" s="137"/>
      <c r="H4542" s="138"/>
      <c r="I4542" s="138"/>
      <c r="J4542" s="139"/>
      <c r="K4542" s="137"/>
      <c r="L4542" s="137"/>
      <c r="P4542" s="137"/>
      <c r="Q4542" s="137"/>
      <c r="R4542" s="126"/>
    </row>
    <row r="4543" spans="2:18" x14ac:dyDescent="0.3">
      <c r="B4543" s="126"/>
      <c r="G4543" s="137"/>
      <c r="H4543" s="138"/>
      <c r="I4543" s="138"/>
      <c r="J4543" s="139"/>
      <c r="K4543" s="137"/>
      <c r="L4543" s="137"/>
      <c r="P4543" s="137"/>
      <c r="Q4543" s="137"/>
      <c r="R4543" s="126"/>
    </row>
    <row r="4544" spans="2:18" x14ac:dyDescent="0.3">
      <c r="B4544" s="126"/>
      <c r="G4544" s="137"/>
      <c r="H4544" s="138"/>
      <c r="I4544" s="138"/>
      <c r="J4544" s="139"/>
      <c r="K4544" s="137"/>
      <c r="L4544" s="137"/>
      <c r="P4544" s="137"/>
      <c r="Q4544" s="137"/>
      <c r="R4544" s="126"/>
    </row>
    <row r="4545" spans="2:18" x14ac:dyDescent="0.3">
      <c r="B4545" s="126"/>
      <c r="G4545" s="137"/>
      <c r="H4545" s="138"/>
      <c r="I4545" s="138"/>
      <c r="J4545" s="139"/>
      <c r="K4545" s="137"/>
      <c r="L4545" s="137"/>
      <c r="P4545" s="137"/>
      <c r="Q4545" s="137"/>
      <c r="R4545" s="126"/>
    </row>
    <row r="4546" spans="2:18" x14ac:dyDescent="0.3">
      <c r="B4546" s="126"/>
      <c r="G4546" s="137"/>
      <c r="H4546" s="138"/>
      <c r="I4546" s="138"/>
      <c r="J4546" s="139"/>
      <c r="K4546" s="137"/>
      <c r="L4546" s="137"/>
      <c r="P4546" s="137"/>
      <c r="Q4546" s="137"/>
      <c r="R4546" s="126"/>
    </row>
    <row r="4547" spans="2:18" x14ac:dyDescent="0.3">
      <c r="B4547" s="126"/>
      <c r="G4547" s="137"/>
      <c r="H4547" s="138"/>
      <c r="I4547" s="138"/>
      <c r="J4547" s="139"/>
      <c r="K4547" s="137"/>
      <c r="L4547" s="137"/>
      <c r="P4547" s="137"/>
      <c r="Q4547" s="137"/>
      <c r="R4547" s="126"/>
    </row>
    <row r="4548" spans="2:18" x14ac:dyDescent="0.3">
      <c r="B4548" s="126"/>
      <c r="G4548" s="137"/>
      <c r="H4548" s="138"/>
      <c r="I4548" s="138"/>
      <c r="J4548" s="139"/>
      <c r="K4548" s="137"/>
      <c r="L4548" s="137"/>
      <c r="P4548" s="137"/>
      <c r="Q4548" s="137"/>
      <c r="R4548" s="126"/>
    </row>
    <row r="4549" spans="2:18" x14ac:dyDescent="0.3">
      <c r="B4549" s="126"/>
      <c r="G4549" s="137"/>
      <c r="H4549" s="138"/>
      <c r="I4549" s="138"/>
      <c r="J4549" s="139"/>
      <c r="K4549" s="137"/>
      <c r="L4549" s="137"/>
      <c r="P4549" s="137"/>
      <c r="Q4549" s="137"/>
      <c r="R4549" s="126"/>
    </row>
    <row r="4550" spans="2:18" x14ac:dyDescent="0.3">
      <c r="B4550" s="126"/>
      <c r="G4550" s="137"/>
      <c r="H4550" s="138"/>
      <c r="I4550" s="138"/>
      <c r="J4550" s="139"/>
      <c r="K4550" s="137"/>
      <c r="L4550" s="137"/>
      <c r="P4550" s="137"/>
      <c r="Q4550" s="137"/>
      <c r="R4550" s="126"/>
    </row>
    <row r="4551" spans="2:18" x14ac:dyDescent="0.3">
      <c r="B4551" s="126"/>
      <c r="G4551" s="137"/>
      <c r="H4551" s="138"/>
      <c r="I4551" s="138"/>
      <c r="J4551" s="139"/>
      <c r="K4551" s="137"/>
      <c r="L4551" s="137"/>
      <c r="P4551" s="137"/>
      <c r="Q4551" s="137"/>
      <c r="R4551" s="126"/>
    </row>
    <row r="4552" spans="2:18" x14ac:dyDescent="0.3">
      <c r="B4552" s="126"/>
      <c r="G4552" s="137"/>
      <c r="H4552" s="138"/>
      <c r="I4552" s="138"/>
      <c r="J4552" s="139"/>
      <c r="K4552" s="137"/>
      <c r="L4552" s="137"/>
      <c r="P4552" s="137"/>
      <c r="Q4552" s="137"/>
      <c r="R4552" s="126"/>
    </row>
    <row r="4553" spans="2:18" x14ac:dyDescent="0.3">
      <c r="B4553" s="126"/>
      <c r="G4553" s="137"/>
      <c r="H4553" s="138"/>
      <c r="I4553" s="138"/>
      <c r="J4553" s="139"/>
      <c r="K4553" s="137"/>
      <c r="L4553" s="137"/>
      <c r="P4553" s="137"/>
      <c r="Q4553" s="137"/>
      <c r="R4553" s="126"/>
    </row>
    <row r="4554" spans="2:18" x14ac:dyDescent="0.3">
      <c r="B4554" s="126"/>
      <c r="G4554" s="137"/>
      <c r="H4554" s="138"/>
      <c r="I4554" s="138"/>
      <c r="J4554" s="139"/>
      <c r="K4554" s="137"/>
      <c r="L4554" s="137"/>
      <c r="P4554" s="137"/>
      <c r="Q4554" s="137"/>
      <c r="R4554" s="126"/>
    </row>
    <row r="4555" spans="2:18" x14ac:dyDescent="0.3">
      <c r="B4555" s="126"/>
      <c r="G4555" s="137"/>
      <c r="H4555" s="138"/>
      <c r="I4555" s="138"/>
      <c r="J4555" s="139"/>
      <c r="K4555" s="137"/>
      <c r="L4555" s="137"/>
      <c r="P4555" s="137"/>
      <c r="Q4555" s="137"/>
      <c r="R4555" s="126"/>
    </row>
    <row r="4556" spans="2:18" x14ac:dyDescent="0.3">
      <c r="B4556" s="126"/>
      <c r="G4556" s="137"/>
      <c r="H4556" s="138"/>
      <c r="I4556" s="138"/>
      <c r="J4556" s="139"/>
      <c r="K4556" s="137"/>
      <c r="L4556" s="137"/>
      <c r="P4556" s="137"/>
      <c r="Q4556" s="137"/>
      <c r="R4556" s="126"/>
    </row>
    <row r="4557" spans="2:18" x14ac:dyDescent="0.3">
      <c r="B4557" s="126"/>
      <c r="G4557" s="137"/>
      <c r="H4557" s="138"/>
      <c r="I4557" s="138"/>
      <c r="J4557" s="139"/>
      <c r="K4557" s="137"/>
      <c r="L4557" s="137"/>
      <c r="P4557" s="137"/>
      <c r="Q4557" s="137"/>
      <c r="R4557" s="126"/>
    </row>
    <row r="4558" spans="2:18" x14ac:dyDescent="0.3">
      <c r="B4558" s="126"/>
      <c r="G4558" s="137"/>
      <c r="H4558" s="138"/>
      <c r="I4558" s="138"/>
      <c r="J4558" s="139"/>
      <c r="K4558" s="137"/>
      <c r="L4558" s="137"/>
      <c r="P4558" s="137"/>
      <c r="Q4558" s="137"/>
      <c r="R4558" s="126"/>
    </row>
    <row r="4559" spans="2:18" x14ac:dyDescent="0.3">
      <c r="B4559" s="126"/>
      <c r="G4559" s="137"/>
      <c r="H4559" s="138"/>
      <c r="I4559" s="138"/>
      <c r="J4559" s="139"/>
      <c r="K4559" s="137"/>
      <c r="L4559" s="137"/>
      <c r="P4559" s="137"/>
      <c r="Q4559" s="137"/>
      <c r="R4559" s="126"/>
    </row>
    <row r="4560" spans="2:18" x14ac:dyDescent="0.3">
      <c r="B4560" s="126"/>
      <c r="G4560" s="137"/>
      <c r="H4560" s="138"/>
      <c r="I4560" s="138"/>
      <c r="J4560" s="139"/>
      <c r="K4560" s="137"/>
      <c r="L4560" s="137"/>
      <c r="P4560" s="137"/>
      <c r="Q4560" s="137"/>
      <c r="R4560" s="126"/>
    </row>
    <row r="4561" spans="2:18" x14ac:dyDescent="0.3">
      <c r="B4561" s="126"/>
      <c r="G4561" s="137"/>
      <c r="H4561" s="138"/>
      <c r="I4561" s="138"/>
      <c r="J4561" s="139"/>
      <c r="K4561" s="137"/>
      <c r="L4561" s="137"/>
      <c r="P4561" s="137"/>
      <c r="Q4561" s="137"/>
      <c r="R4561" s="126"/>
    </row>
    <row r="4562" spans="2:18" x14ac:dyDescent="0.3">
      <c r="B4562" s="126"/>
      <c r="G4562" s="137"/>
      <c r="H4562" s="138"/>
      <c r="I4562" s="138"/>
      <c r="J4562" s="139"/>
      <c r="K4562" s="137"/>
      <c r="L4562" s="137"/>
      <c r="P4562" s="137"/>
      <c r="Q4562" s="137"/>
      <c r="R4562" s="126"/>
    </row>
    <row r="4563" spans="2:18" x14ac:dyDescent="0.3">
      <c r="B4563" s="126"/>
      <c r="G4563" s="137"/>
      <c r="H4563" s="138"/>
      <c r="I4563" s="138"/>
      <c r="J4563" s="139"/>
      <c r="K4563" s="137"/>
      <c r="L4563" s="137"/>
      <c r="P4563" s="137"/>
      <c r="Q4563" s="137"/>
      <c r="R4563" s="126"/>
    </row>
    <row r="4564" spans="2:18" x14ac:dyDescent="0.3">
      <c r="B4564" s="126"/>
      <c r="G4564" s="137"/>
      <c r="H4564" s="138"/>
      <c r="I4564" s="138"/>
      <c r="J4564" s="139"/>
      <c r="K4564" s="137"/>
      <c r="L4564" s="137"/>
      <c r="P4564" s="137"/>
      <c r="Q4564" s="137"/>
      <c r="R4564" s="126"/>
    </row>
    <row r="4565" spans="2:18" x14ac:dyDescent="0.3">
      <c r="B4565" s="126"/>
      <c r="G4565" s="137"/>
      <c r="H4565" s="138"/>
      <c r="I4565" s="138"/>
      <c r="J4565" s="139"/>
      <c r="K4565" s="137"/>
      <c r="L4565" s="137"/>
      <c r="P4565" s="137"/>
      <c r="Q4565" s="137"/>
      <c r="R4565" s="126"/>
    </row>
    <row r="4566" spans="2:18" x14ac:dyDescent="0.3">
      <c r="B4566" s="126"/>
      <c r="G4566" s="137"/>
      <c r="H4566" s="138"/>
      <c r="I4566" s="138"/>
      <c r="J4566" s="139"/>
      <c r="K4566" s="137"/>
      <c r="L4566" s="137"/>
      <c r="P4566" s="137"/>
      <c r="Q4566" s="137"/>
      <c r="R4566" s="126"/>
    </row>
    <row r="4567" spans="2:18" x14ac:dyDescent="0.3">
      <c r="B4567" s="126"/>
      <c r="G4567" s="137"/>
      <c r="H4567" s="138"/>
      <c r="I4567" s="138"/>
      <c r="J4567" s="139"/>
      <c r="K4567" s="137"/>
      <c r="L4567" s="137"/>
      <c r="P4567" s="137"/>
      <c r="Q4567" s="137"/>
      <c r="R4567" s="126"/>
    </row>
    <row r="4568" spans="2:18" x14ac:dyDescent="0.3">
      <c r="B4568" s="126"/>
      <c r="G4568" s="137"/>
      <c r="H4568" s="138"/>
      <c r="I4568" s="138"/>
      <c r="J4568" s="139"/>
      <c r="K4568" s="137"/>
      <c r="L4568" s="137"/>
      <c r="P4568" s="137"/>
      <c r="Q4568" s="137"/>
      <c r="R4568" s="126"/>
    </row>
    <row r="4569" spans="2:18" x14ac:dyDescent="0.3">
      <c r="B4569" s="126"/>
      <c r="G4569" s="137"/>
      <c r="H4569" s="138"/>
      <c r="I4569" s="138"/>
      <c r="J4569" s="139"/>
      <c r="K4569" s="137"/>
      <c r="L4569" s="137"/>
      <c r="P4569" s="137"/>
      <c r="Q4569" s="137"/>
      <c r="R4569" s="126"/>
    </row>
    <row r="4570" spans="2:18" x14ac:dyDescent="0.3">
      <c r="B4570" s="126"/>
      <c r="G4570" s="137"/>
      <c r="H4570" s="138"/>
      <c r="I4570" s="138"/>
      <c r="J4570" s="139"/>
      <c r="K4570" s="137"/>
      <c r="L4570" s="137"/>
      <c r="P4570" s="137"/>
      <c r="Q4570" s="137"/>
      <c r="R4570" s="126"/>
    </row>
    <row r="4571" spans="2:18" x14ac:dyDescent="0.3">
      <c r="B4571" s="126"/>
      <c r="G4571" s="137"/>
      <c r="H4571" s="138"/>
      <c r="I4571" s="138"/>
      <c r="J4571" s="139"/>
      <c r="K4571" s="137"/>
      <c r="L4571" s="137"/>
      <c r="P4571" s="137"/>
      <c r="Q4571" s="137"/>
      <c r="R4571" s="126"/>
    </row>
    <row r="4572" spans="2:18" x14ac:dyDescent="0.3">
      <c r="B4572" s="126"/>
      <c r="G4572" s="137"/>
      <c r="H4572" s="138"/>
      <c r="I4572" s="138"/>
      <c r="J4572" s="139"/>
      <c r="K4572" s="137"/>
      <c r="L4572" s="137"/>
      <c r="P4572" s="137"/>
      <c r="Q4572" s="137"/>
      <c r="R4572" s="126"/>
    </row>
    <row r="4573" spans="2:18" x14ac:dyDescent="0.3">
      <c r="B4573" s="126"/>
      <c r="G4573" s="137"/>
      <c r="H4573" s="138"/>
      <c r="I4573" s="138"/>
      <c r="J4573" s="139"/>
      <c r="K4573" s="137"/>
      <c r="L4573" s="137"/>
      <c r="P4573" s="137"/>
      <c r="Q4573" s="137"/>
      <c r="R4573" s="126"/>
    </row>
    <row r="4574" spans="2:18" x14ac:dyDescent="0.3">
      <c r="B4574" s="126"/>
      <c r="G4574" s="137"/>
      <c r="H4574" s="138"/>
      <c r="I4574" s="138"/>
      <c r="J4574" s="139"/>
      <c r="K4574" s="137"/>
      <c r="L4574" s="137"/>
      <c r="P4574" s="137"/>
      <c r="Q4574" s="137"/>
      <c r="R4574" s="126"/>
    </row>
    <row r="4575" spans="2:18" x14ac:dyDescent="0.3">
      <c r="B4575" s="126"/>
      <c r="G4575" s="137"/>
      <c r="H4575" s="138"/>
      <c r="I4575" s="138"/>
      <c r="J4575" s="139"/>
      <c r="K4575" s="137"/>
      <c r="L4575" s="137"/>
      <c r="P4575" s="137"/>
      <c r="Q4575" s="137"/>
      <c r="R4575" s="126"/>
    </row>
    <row r="4576" spans="2:18" x14ac:dyDescent="0.3">
      <c r="B4576" s="126"/>
      <c r="G4576" s="137"/>
      <c r="H4576" s="138"/>
      <c r="I4576" s="138"/>
      <c r="J4576" s="139"/>
      <c r="K4576" s="137"/>
      <c r="L4576" s="137"/>
      <c r="P4576" s="137"/>
      <c r="Q4576" s="137"/>
      <c r="R4576" s="126"/>
    </row>
    <row r="4577" spans="2:18" x14ac:dyDescent="0.3">
      <c r="B4577" s="126"/>
      <c r="G4577" s="137"/>
      <c r="H4577" s="138"/>
      <c r="I4577" s="138"/>
      <c r="J4577" s="139"/>
      <c r="K4577" s="137"/>
      <c r="L4577" s="137"/>
      <c r="P4577" s="137"/>
      <c r="Q4577" s="137"/>
      <c r="R4577" s="126"/>
    </row>
    <row r="4578" spans="2:18" x14ac:dyDescent="0.3">
      <c r="B4578" s="126"/>
      <c r="G4578" s="137"/>
      <c r="H4578" s="138"/>
      <c r="I4578" s="138"/>
      <c r="J4578" s="139"/>
      <c r="K4578" s="137"/>
      <c r="L4578" s="137"/>
      <c r="P4578" s="137"/>
      <c r="Q4578" s="137"/>
      <c r="R4578" s="126"/>
    </row>
    <row r="4579" spans="2:18" x14ac:dyDescent="0.3">
      <c r="B4579" s="126"/>
      <c r="G4579" s="137"/>
      <c r="H4579" s="138"/>
      <c r="I4579" s="138"/>
      <c r="J4579" s="139"/>
      <c r="K4579" s="137"/>
      <c r="L4579" s="137"/>
      <c r="P4579" s="137"/>
      <c r="Q4579" s="137"/>
      <c r="R4579" s="126"/>
    </row>
    <row r="4580" spans="2:18" x14ac:dyDescent="0.3">
      <c r="B4580" s="126"/>
      <c r="G4580" s="137"/>
      <c r="H4580" s="138"/>
      <c r="I4580" s="138"/>
      <c r="J4580" s="139"/>
      <c r="K4580" s="137"/>
      <c r="L4580" s="137"/>
      <c r="P4580" s="137"/>
      <c r="Q4580" s="137"/>
      <c r="R4580" s="126"/>
    </row>
    <row r="4581" spans="2:18" x14ac:dyDescent="0.3">
      <c r="B4581" s="126"/>
      <c r="G4581" s="137"/>
      <c r="H4581" s="138"/>
      <c r="I4581" s="138"/>
      <c r="J4581" s="139"/>
      <c r="K4581" s="137"/>
      <c r="L4581" s="137"/>
      <c r="P4581" s="137"/>
      <c r="Q4581" s="137"/>
      <c r="R4581" s="126"/>
    </row>
    <row r="4582" spans="2:18" x14ac:dyDescent="0.3">
      <c r="B4582" s="126"/>
      <c r="G4582" s="137"/>
      <c r="H4582" s="138"/>
      <c r="I4582" s="138"/>
      <c r="J4582" s="139"/>
      <c r="K4582" s="137"/>
      <c r="L4582" s="137"/>
      <c r="P4582" s="137"/>
      <c r="Q4582" s="137"/>
      <c r="R4582" s="126"/>
    </row>
    <row r="4583" spans="2:18" x14ac:dyDescent="0.3">
      <c r="B4583" s="126"/>
      <c r="G4583" s="137"/>
      <c r="H4583" s="138"/>
      <c r="I4583" s="138"/>
      <c r="J4583" s="139"/>
      <c r="K4583" s="137"/>
      <c r="L4583" s="137"/>
      <c r="P4583" s="137"/>
      <c r="Q4583" s="137"/>
      <c r="R4583" s="126"/>
    </row>
    <row r="4584" spans="2:18" x14ac:dyDescent="0.3">
      <c r="B4584" s="126"/>
      <c r="G4584" s="137"/>
      <c r="H4584" s="138"/>
      <c r="I4584" s="138"/>
      <c r="J4584" s="139"/>
      <c r="K4584" s="137"/>
      <c r="L4584" s="137"/>
      <c r="P4584" s="137"/>
      <c r="Q4584" s="137"/>
      <c r="R4584" s="126"/>
    </row>
    <row r="4585" spans="2:18" x14ac:dyDescent="0.3">
      <c r="B4585" s="126"/>
      <c r="G4585" s="137"/>
      <c r="H4585" s="138"/>
      <c r="I4585" s="138"/>
      <c r="J4585" s="139"/>
      <c r="K4585" s="137"/>
      <c r="L4585" s="137"/>
      <c r="P4585" s="137"/>
      <c r="Q4585" s="137"/>
      <c r="R4585" s="126"/>
    </row>
    <row r="4586" spans="2:18" x14ac:dyDescent="0.3">
      <c r="B4586" s="126"/>
      <c r="G4586" s="137"/>
      <c r="H4586" s="138"/>
      <c r="I4586" s="138"/>
      <c r="J4586" s="139"/>
      <c r="K4586" s="137"/>
      <c r="L4586" s="137"/>
      <c r="P4586" s="137"/>
      <c r="Q4586" s="137"/>
      <c r="R4586" s="126"/>
    </row>
    <row r="4587" spans="2:18" x14ac:dyDescent="0.3">
      <c r="B4587" s="126"/>
      <c r="G4587" s="137"/>
      <c r="H4587" s="138"/>
      <c r="I4587" s="138"/>
      <c r="J4587" s="139"/>
      <c r="K4587" s="137"/>
      <c r="L4587" s="137"/>
      <c r="P4587" s="137"/>
      <c r="Q4587" s="137"/>
      <c r="R4587" s="126"/>
    </row>
    <row r="4588" spans="2:18" x14ac:dyDescent="0.3">
      <c r="B4588" s="126"/>
      <c r="G4588" s="137"/>
      <c r="H4588" s="138"/>
      <c r="I4588" s="138"/>
      <c r="J4588" s="139"/>
      <c r="K4588" s="137"/>
      <c r="L4588" s="137"/>
      <c r="P4588" s="137"/>
      <c r="Q4588" s="137"/>
      <c r="R4588" s="126"/>
    </row>
    <row r="4589" spans="2:18" x14ac:dyDescent="0.3">
      <c r="B4589" s="126"/>
      <c r="G4589" s="137"/>
      <c r="H4589" s="138"/>
      <c r="I4589" s="138"/>
      <c r="J4589" s="139"/>
      <c r="K4589" s="137"/>
      <c r="L4589" s="137"/>
      <c r="P4589" s="137"/>
      <c r="Q4589" s="137"/>
      <c r="R4589" s="126"/>
    </row>
    <row r="4590" spans="2:18" x14ac:dyDescent="0.3">
      <c r="B4590" s="126"/>
      <c r="G4590" s="137"/>
      <c r="H4590" s="138"/>
      <c r="I4590" s="138"/>
      <c r="J4590" s="139"/>
      <c r="K4590" s="137"/>
      <c r="L4590" s="137"/>
      <c r="P4590" s="137"/>
      <c r="Q4590" s="137"/>
      <c r="R4590" s="126"/>
    </row>
    <row r="4591" spans="2:18" x14ac:dyDescent="0.3">
      <c r="B4591" s="126"/>
      <c r="G4591" s="137"/>
      <c r="H4591" s="138"/>
      <c r="I4591" s="138"/>
      <c r="J4591" s="139"/>
      <c r="K4591" s="137"/>
      <c r="L4591" s="137"/>
      <c r="P4591" s="137"/>
      <c r="Q4591" s="137"/>
      <c r="R4591" s="126"/>
    </row>
    <row r="4592" spans="2:18" x14ac:dyDescent="0.3">
      <c r="B4592" s="126"/>
      <c r="G4592" s="137"/>
      <c r="H4592" s="138"/>
      <c r="I4592" s="138"/>
      <c r="J4592" s="139"/>
      <c r="K4592" s="137"/>
      <c r="L4592" s="137"/>
      <c r="P4592" s="137"/>
      <c r="Q4592" s="137"/>
      <c r="R4592" s="126"/>
    </row>
    <row r="4593" spans="2:18" x14ac:dyDescent="0.3">
      <c r="B4593" s="126"/>
      <c r="G4593" s="137"/>
      <c r="H4593" s="138"/>
      <c r="I4593" s="138"/>
      <c r="J4593" s="139"/>
      <c r="K4593" s="137"/>
      <c r="L4593" s="137"/>
      <c r="P4593" s="137"/>
      <c r="Q4593" s="137"/>
      <c r="R4593" s="126"/>
    </row>
    <row r="4594" spans="2:18" x14ac:dyDescent="0.3">
      <c r="B4594" s="126"/>
      <c r="G4594" s="137"/>
      <c r="H4594" s="138"/>
      <c r="I4594" s="138"/>
      <c r="J4594" s="139"/>
      <c r="K4594" s="137"/>
      <c r="L4594" s="137"/>
      <c r="P4594" s="137"/>
      <c r="Q4594" s="137"/>
      <c r="R4594" s="126"/>
    </row>
    <row r="4595" spans="2:18" x14ac:dyDescent="0.3">
      <c r="B4595" s="126"/>
      <c r="G4595" s="137"/>
      <c r="H4595" s="138"/>
      <c r="I4595" s="138"/>
      <c r="J4595" s="139"/>
      <c r="K4595" s="137"/>
      <c r="L4595" s="137"/>
      <c r="P4595" s="137"/>
      <c r="Q4595" s="137"/>
      <c r="R4595" s="126"/>
    </row>
    <row r="4596" spans="2:18" x14ac:dyDescent="0.3">
      <c r="B4596" s="126"/>
      <c r="G4596" s="137"/>
      <c r="H4596" s="138"/>
      <c r="I4596" s="138"/>
      <c r="J4596" s="139"/>
      <c r="K4596" s="137"/>
      <c r="L4596" s="137"/>
      <c r="P4596" s="137"/>
      <c r="Q4596" s="137"/>
      <c r="R4596" s="126"/>
    </row>
    <row r="4597" spans="2:18" x14ac:dyDescent="0.3">
      <c r="B4597" s="126"/>
      <c r="G4597" s="137"/>
      <c r="H4597" s="138"/>
      <c r="I4597" s="138"/>
      <c r="J4597" s="139"/>
      <c r="K4597" s="137"/>
      <c r="L4597" s="137"/>
      <c r="P4597" s="137"/>
      <c r="Q4597" s="137"/>
      <c r="R4597" s="126"/>
    </row>
    <row r="4598" spans="2:18" x14ac:dyDescent="0.3">
      <c r="B4598" s="126"/>
      <c r="G4598" s="137"/>
      <c r="H4598" s="138"/>
      <c r="I4598" s="138"/>
      <c r="J4598" s="139"/>
      <c r="K4598" s="137"/>
      <c r="L4598" s="137"/>
      <c r="P4598" s="137"/>
      <c r="Q4598" s="137"/>
      <c r="R4598" s="126"/>
    </row>
    <row r="4599" spans="2:18" x14ac:dyDescent="0.3">
      <c r="B4599" s="126"/>
      <c r="G4599" s="137"/>
      <c r="H4599" s="138"/>
      <c r="I4599" s="138"/>
      <c r="J4599" s="139"/>
      <c r="K4599" s="137"/>
      <c r="L4599" s="137"/>
      <c r="P4599" s="137"/>
      <c r="Q4599" s="137"/>
      <c r="R4599" s="126"/>
    </row>
    <row r="4600" spans="2:18" x14ac:dyDescent="0.3">
      <c r="B4600" s="126"/>
      <c r="G4600" s="137"/>
      <c r="H4600" s="138"/>
      <c r="I4600" s="138"/>
      <c r="J4600" s="139"/>
      <c r="K4600" s="137"/>
      <c r="L4600" s="137"/>
      <c r="P4600" s="137"/>
      <c r="Q4600" s="137"/>
      <c r="R4600" s="126"/>
    </row>
    <row r="4601" spans="2:18" x14ac:dyDescent="0.3">
      <c r="B4601" s="126"/>
      <c r="G4601" s="137"/>
      <c r="H4601" s="138"/>
      <c r="I4601" s="138"/>
      <c r="J4601" s="139"/>
      <c r="K4601" s="137"/>
      <c r="L4601" s="137"/>
      <c r="P4601" s="137"/>
      <c r="Q4601" s="137"/>
      <c r="R4601" s="126"/>
    </row>
    <row r="4602" spans="2:18" x14ac:dyDescent="0.3">
      <c r="B4602" s="126"/>
      <c r="G4602" s="137"/>
      <c r="H4602" s="138"/>
      <c r="I4602" s="138"/>
      <c r="J4602" s="139"/>
      <c r="K4602" s="137"/>
      <c r="L4602" s="137"/>
      <c r="P4602" s="137"/>
      <c r="Q4602" s="137"/>
      <c r="R4602" s="126"/>
    </row>
    <row r="4603" spans="2:18" x14ac:dyDescent="0.3">
      <c r="B4603" s="126"/>
      <c r="G4603" s="137"/>
      <c r="H4603" s="138"/>
      <c r="I4603" s="138"/>
      <c r="J4603" s="139"/>
      <c r="K4603" s="137"/>
      <c r="L4603" s="137"/>
      <c r="P4603" s="137"/>
      <c r="Q4603" s="137"/>
      <c r="R4603" s="126"/>
    </row>
    <row r="4604" spans="2:18" x14ac:dyDescent="0.3">
      <c r="B4604" s="126"/>
      <c r="G4604" s="137"/>
      <c r="H4604" s="138"/>
      <c r="I4604" s="138"/>
      <c r="J4604" s="139"/>
      <c r="K4604" s="137"/>
      <c r="L4604" s="137"/>
      <c r="P4604" s="137"/>
      <c r="Q4604" s="137"/>
      <c r="R4604" s="126"/>
    </row>
    <row r="4605" spans="2:18" x14ac:dyDescent="0.3">
      <c r="B4605" s="126"/>
      <c r="G4605" s="137"/>
      <c r="H4605" s="138"/>
      <c r="I4605" s="138"/>
      <c r="J4605" s="139"/>
      <c r="K4605" s="137"/>
      <c r="L4605" s="137"/>
      <c r="P4605" s="137"/>
      <c r="Q4605" s="137"/>
      <c r="R4605" s="126"/>
    </row>
    <row r="4606" spans="2:18" x14ac:dyDescent="0.3">
      <c r="B4606" s="126"/>
      <c r="G4606" s="137"/>
      <c r="H4606" s="138"/>
      <c r="I4606" s="138"/>
      <c r="J4606" s="139"/>
      <c r="K4606" s="137"/>
      <c r="L4606" s="137"/>
      <c r="P4606" s="137"/>
      <c r="Q4606" s="137"/>
      <c r="R4606" s="126"/>
    </row>
    <row r="4607" spans="2:18" x14ac:dyDescent="0.3">
      <c r="B4607" s="126"/>
      <c r="G4607" s="137"/>
      <c r="H4607" s="138"/>
      <c r="I4607" s="138"/>
      <c r="J4607" s="139"/>
      <c r="K4607" s="137"/>
      <c r="L4607" s="137"/>
      <c r="P4607" s="137"/>
      <c r="Q4607" s="137"/>
      <c r="R4607" s="126"/>
    </row>
    <row r="4608" spans="2:18" x14ac:dyDescent="0.3">
      <c r="B4608" s="126"/>
      <c r="G4608" s="137"/>
      <c r="H4608" s="138"/>
      <c r="I4608" s="138"/>
      <c r="J4608" s="139"/>
      <c r="K4608" s="137"/>
      <c r="L4608" s="137"/>
      <c r="P4608" s="137"/>
      <c r="Q4608" s="137"/>
      <c r="R4608" s="126"/>
    </row>
    <row r="4609" spans="2:18" x14ac:dyDescent="0.3">
      <c r="B4609" s="126"/>
      <c r="G4609" s="137"/>
      <c r="H4609" s="138"/>
      <c r="I4609" s="138"/>
      <c r="J4609" s="139"/>
      <c r="K4609" s="137"/>
      <c r="L4609" s="137"/>
      <c r="P4609" s="137"/>
      <c r="Q4609" s="137"/>
      <c r="R4609" s="126"/>
    </row>
    <row r="4610" spans="2:18" x14ac:dyDescent="0.3">
      <c r="B4610" s="126"/>
      <c r="G4610" s="137"/>
      <c r="H4610" s="138"/>
      <c r="I4610" s="138"/>
      <c r="J4610" s="139"/>
      <c r="K4610" s="137"/>
      <c r="L4610" s="137"/>
      <c r="P4610" s="137"/>
      <c r="Q4610" s="137"/>
      <c r="R4610" s="126"/>
    </row>
    <row r="4611" spans="2:18" x14ac:dyDescent="0.3">
      <c r="B4611" s="126"/>
      <c r="G4611" s="137"/>
      <c r="H4611" s="138"/>
      <c r="I4611" s="138"/>
      <c r="J4611" s="139"/>
      <c r="K4611" s="137"/>
      <c r="L4611" s="137"/>
      <c r="P4611" s="137"/>
      <c r="Q4611" s="137"/>
      <c r="R4611" s="126"/>
    </row>
    <row r="4612" spans="2:18" x14ac:dyDescent="0.3">
      <c r="B4612" s="126"/>
      <c r="G4612" s="137"/>
      <c r="H4612" s="138"/>
      <c r="I4612" s="138"/>
      <c r="J4612" s="139"/>
      <c r="K4612" s="137"/>
      <c r="L4612" s="137"/>
      <c r="P4612" s="137"/>
      <c r="Q4612" s="137"/>
      <c r="R4612" s="126"/>
    </row>
    <row r="4613" spans="2:18" x14ac:dyDescent="0.3">
      <c r="B4613" s="126"/>
      <c r="G4613" s="137"/>
      <c r="H4613" s="138"/>
      <c r="I4613" s="138"/>
      <c r="J4613" s="139"/>
      <c r="K4613" s="137"/>
      <c r="L4613" s="137"/>
      <c r="P4613" s="137"/>
      <c r="Q4613" s="137"/>
      <c r="R4613" s="126"/>
    </row>
    <row r="4614" spans="2:18" x14ac:dyDescent="0.3">
      <c r="B4614" s="126"/>
      <c r="G4614" s="137"/>
      <c r="H4614" s="138"/>
      <c r="I4614" s="138"/>
      <c r="J4614" s="139"/>
      <c r="K4614" s="137"/>
      <c r="L4614" s="137"/>
      <c r="P4614" s="137"/>
      <c r="Q4614" s="137"/>
      <c r="R4614" s="126"/>
    </row>
    <row r="4615" spans="2:18" x14ac:dyDescent="0.3">
      <c r="B4615" s="126"/>
      <c r="G4615" s="137"/>
      <c r="H4615" s="138"/>
      <c r="I4615" s="138"/>
      <c r="J4615" s="139"/>
      <c r="K4615" s="137"/>
      <c r="L4615" s="137"/>
      <c r="P4615" s="137"/>
      <c r="Q4615" s="137"/>
      <c r="R4615" s="126"/>
    </row>
    <row r="4616" spans="2:18" x14ac:dyDescent="0.3">
      <c r="B4616" s="126"/>
      <c r="G4616" s="137"/>
      <c r="H4616" s="138"/>
      <c r="I4616" s="138"/>
      <c r="J4616" s="139"/>
      <c r="K4616" s="137"/>
      <c r="L4616" s="137"/>
      <c r="P4616" s="137"/>
      <c r="Q4616" s="137"/>
      <c r="R4616" s="126"/>
    </row>
    <row r="4617" spans="2:18" x14ac:dyDescent="0.3">
      <c r="B4617" s="126"/>
      <c r="G4617" s="137"/>
      <c r="H4617" s="138"/>
      <c r="I4617" s="138"/>
      <c r="J4617" s="139"/>
      <c r="K4617" s="137"/>
      <c r="L4617" s="137"/>
      <c r="P4617" s="137"/>
      <c r="Q4617" s="137"/>
      <c r="R4617" s="126"/>
    </row>
    <row r="4618" spans="2:18" x14ac:dyDescent="0.3">
      <c r="B4618" s="126"/>
      <c r="G4618" s="137"/>
      <c r="H4618" s="138"/>
      <c r="I4618" s="138"/>
      <c r="J4618" s="139"/>
      <c r="K4618" s="137"/>
      <c r="L4618" s="137"/>
      <c r="P4618" s="137"/>
      <c r="Q4618" s="137"/>
      <c r="R4618" s="126"/>
    </row>
    <row r="4619" spans="2:18" x14ac:dyDescent="0.3">
      <c r="B4619" s="126"/>
      <c r="G4619" s="137"/>
      <c r="H4619" s="138"/>
      <c r="I4619" s="138"/>
      <c r="J4619" s="139"/>
      <c r="K4619" s="137"/>
      <c r="L4619" s="137"/>
      <c r="P4619" s="137"/>
      <c r="Q4619" s="137"/>
      <c r="R4619" s="126"/>
    </row>
    <row r="4620" spans="2:18" x14ac:dyDescent="0.3">
      <c r="B4620" s="126"/>
      <c r="G4620" s="137"/>
      <c r="H4620" s="138"/>
      <c r="I4620" s="138"/>
      <c r="J4620" s="139"/>
      <c r="K4620" s="137"/>
      <c r="L4620" s="137"/>
      <c r="P4620" s="137"/>
      <c r="Q4620" s="137"/>
      <c r="R4620" s="126"/>
    </row>
    <row r="4621" spans="2:18" x14ac:dyDescent="0.3">
      <c r="B4621" s="126"/>
      <c r="G4621" s="137"/>
      <c r="H4621" s="138"/>
      <c r="I4621" s="138"/>
      <c r="J4621" s="139"/>
      <c r="K4621" s="137"/>
      <c r="L4621" s="137"/>
      <c r="P4621" s="137"/>
      <c r="Q4621" s="137"/>
      <c r="R4621" s="126"/>
    </row>
    <row r="4622" spans="2:18" x14ac:dyDescent="0.3">
      <c r="B4622" s="126"/>
      <c r="G4622" s="137"/>
      <c r="H4622" s="138"/>
      <c r="I4622" s="138"/>
      <c r="J4622" s="139"/>
      <c r="K4622" s="137"/>
      <c r="L4622" s="137"/>
      <c r="P4622" s="137"/>
      <c r="Q4622" s="137"/>
      <c r="R4622" s="126"/>
    </row>
    <row r="4623" spans="2:18" x14ac:dyDescent="0.3">
      <c r="B4623" s="126"/>
      <c r="G4623" s="137"/>
      <c r="H4623" s="138"/>
      <c r="I4623" s="138"/>
      <c r="J4623" s="139"/>
      <c r="K4623" s="137"/>
      <c r="L4623" s="137"/>
      <c r="P4623" s="137"/>
      <c r="Q4623" s="137"/>
      <c r="R4623" s="126"/>
    </row>
    <row r="4624" spans="2:18" x14ac:dyDescent="0.3">
      <c r="B4624" s="126"/>
      <c r="G4624" s="137"/>
      <c r="H4624" s="138"/>
      <c r="I4624" s="138"/>
      <c r="J4624" s="139"/>
      <c r="K4624" s="137"/>
      <c r="L4624" s="137"/>
      <c r="P4624" s="137"/>
      <c r="Q4624" s="137"/>
      <c r="R4624" s="126"/>
    </row>
    <row r="4625" spans="2:18" x14ac:dyDescent="0.3">
      <c r="B4625" s="126"/>
      <c r="G4625" s="137"/>
      <c r="H4625" s="138"/>
      <c r="I4625" s="138"/>
      <c r="J4625" s="139"/>
      <c r="K4625" s="137"/>
      <c r="L4625" s="137"/>
      <c r="P4625" s="137"/>
      <c r="Q4625" s="137"/>
      <c r="R4625" s="126"/>
    </row>
    <row r="4626" spans="2:18" x14ac:dyDescent="0.3">
      <c r="B4626" s="126"/>
      <c r="G4626" s="137"/>
      <c r="H4626" s="138"/>
      <c r="I4626" s="138"/>
      <c r="J4626" s="139"/>
      <c r="K4626" s="137"/>
      <c r="L4626" s="137"/>
      <c r="P4626" s="137"/>
      <c r="Q4626" s="137"/>
      <c r="R4626" s="126"/>
    </row>
    <row r="4627" spans="2:18" x14ac:dyDescent="0.3">
      <c r="B4627" s="126"/>
      <c r="G4627" s="137"/>
      <c r="H4627" s="138"/>
      <c r="I4627" s="138"/>
      <c r="J4627" s="139"/>
      <c r="K4627" s="137"/>
      <c r="L4627" s="137"/>
      <c r="P4627" s="137"/>
      <c r="Q4627" s="137"/>
      <c r="R4627" s="126"/>
    </row>
    <row r="4628" spans="2:18" x14ac:dyDescent="0.3">
      <c r="B4628" s="126"/>
      <c r="G4628" s="137"/>
      <c r="H4628" s="138"/>
      <c r="I4628" s="138"/>
      <c r="J4628" s="139"/>
      <c r="K4628" s="137"/>
      <c r="L4628" s="137"/>
      <c r="P4628" s="137"/>
      <c r="Q4628" s="137"/>
      <c r="R4628" s="126"/>
    </row>
    <row r="4629" spans="2:18" x14ac:dyDescent="0.3">
      <c r="B4629" s="126"/>
      <c r="G4629" s="137"/>
      <c r="H4629" s="138"/>
      <c r="I4629" s="138"/>
      <c r="J4629" s="139"/>
      <c r="K4629" s="137"/>
      <c r="L4629" s="137"/>
      <c r="P4629" s="137"/>
      <c r="Q4629" s="137"/>
      <c r="R4629" s="126"/>
    </row>
    <row r="4630" spans="2:18" x14ac:dyDescent="0.3">
      <c r="B4630" s="126"/>
      <c r="G4630" s="137"/>
      <c r="H4630" s="138"/>
      <c r="I4630" s="138"/>
      <c r="J4630" s="139"/>
      <c r="K4630" s="137"/>
      <c r="L4630" s="137"/>
      <c r="P4630" s="137"/>
      <c r="Q4630" s="137"/>
      <c r="R4630" s="126"/>
    </row>
    <row r="4631" spans="2:18" x14ac:dyDescent="0.3">
      <c r="B4631" s="126"/>
      <c r="G4631" s="137"/>
      <c r="H4631" s="138"/>
      <c r="I4631" s="138"/>
      <c r="J4631" s="139"/>
      <c r="K4631" s="137"/>
      <c r="L4631" s="137"/>
      <c r="P4631" s="137"/>
      <c r="Q4631" s="137"/>
      <c r="R4631" s="126"/>
    </row>
    <row r="4632" spans="2:18" x14ac:dyDescent="0.3">
      <c r="B4632" s="126"/>
      <c r="G4632" s="137"/>
      <c r="H4632" s="138"/>
      <c r="I4632" s="138"/>
      <c r="J4632" s="139"/>
      <c r="K4632" s="137"/>
      <c r="L4632" s="137"/>
      <c r="P4632" s="137"/>
      <c r="Q4632" s="137"/>
      <c r="R4632" s="126"/>
    </row>
    <row r="4633" spans="2:18" x14ac:dyDescent="0.3">
      <c r="B4633" s="126"/>
      <c r="G4633" s="137"/>
      <c r="H4633" s="138"/>
      <c r="I4633" s="138"/>
      <c r="J4633" s="139"/>
      <c r="K4633" s="137"/>
      <c r="L4633" s="137"/>
      <c r="P4633" s="137"/>
      <c r="Q4633" s="137"/>
      <c r="R4633" s="126"/>
    </row>
    <row r="4634" spans="2:18" x14ac:dyDescent="0.3">
      <c r="B4634" s="126"/>
      <c r="G4634" s="137"/>
      <c r="H4634" s="138"/>
      <c r="I4634" s="138"/>
      <c r="J4634" s="139"/>
      <c r="K4634" s="137"/>
      <c r="L4634" s="137"/>
      <c r="P4634" s="137"/>
      <c r="Q4634" s="137"/>
      <c r="R4634" s="126"/>
    </row>
    <row r="4635" spans="2:18" x14ac:dyDescent="0.3">
      <c r="B4635" s="126"/>
      <c r="G4635" s="137"/>
      <c r="H4635" s="138"/>
      <c r="I4635" s="138"/>
      <c r="J4635" s="139"/>
      <c r="K4635" s="137"/>
      <c r="L4635" s="137"/>
      <c r="P4635" s="137"/>
      <c r="Q4635" s="137"/>
      <c r="R4635" s="126"/>
    </row>
    <row r="4636" spans="2:18" x14ac:dyDescent="0.3">
      <c r="B4636" s="126"/>
      <c r="G4636" s="137"/>
      <c r="H4636" s="138"/>
      <c r="I4636" s="138"/>
      <c r="J4636" s="139"/>
      <c r="K4636" s="137"/>
      <c r="L4636" s="137"/>
      <c r="P4636" s="137"/>
      <c r="Q4636" s="137"/>
      <c r="R4636" s="126"/>
    </row>
    <row r="4637" spans="2:18" x14ac:dyDescent="0.3">
      <c r="B4637" s="126"/>
      <c r="G4637" s="137"/>
      <c r="H4637" s="138"/>
      <c r="I4637" s="138"/>
      <c r="J4637" s="139"/>
      <c r="K4637" s="137"/>
      <c r="L4637" s="137"/>
      <c r="P4637" s="137"/>
      <c r="Q4637" s="137"/>
      <c r="R4637" s="126"/>
    </row>
    <row r="4638" spans="2:18" x14ac:dyDescent="0.3">
      <c r="B4638" s="126"/>
      <c r="G4638" s="137"/>
      <c r="H4638" s="138"/>
      <c r="I4638" s="138"/>
      <c r="J4638" s="139"/>
      <c r="K4638" s="137"/>
      <c r="L4638" s="137"/>
      <c r="P4638" s="137"/>
      <c r="Q4638" s="137"/>
      <c r="R4638" s="126"/>
    </row>
    <row r="4639" spans="2:18" x14ac:dyDescent="0.3">
      <c r="B4639" s="126"/>
      <c r="G4639" s="137"/>
      <c r="H4639" s="138"/>
      <c r="I4639" s="138"/>
      <c r="J4639" s="139"/>
      <c r="K4639" s="137"/>
      <c r="L4639" s="137"/>
      <c r="P4639" s="137"/>
      <c r="Q4639" s="137"/>
      <c r="R4639" s="126"/>
    </row>
    <row r="4640" spans="2:18" x14ac:dyDescent="0.3">
      <c r="B4640" s="126"/>
      <c r="G4640" s="137"/>
      <c r="H4640" s="138"/>
      <c r="I4640" s="138"/>
      <c r="J4640" s="139"/>
      <c r="K4640" s="137"/>
      <c r="L4640" s="137"/>
      <c r="P4640" s="137"/>
      <c r="Q4640" s="137"/>
      <c r="R4640" s="126"/>
    </row>
    <row r="4641" spans="2:18" x14ac:dyDescent="0.3">
      <c r="B4641" s="126"/>
      <c r="G4641" s="137"/>
      <c r="H4641" s="138"/>
      <c r="I4641" s="138"/>
      <c r="J4641" s="139"/>
      <c r="K4641" s="137"/>
      <c r="L4641" s="137"/>
      <c r="P4641" s="137"/>
      <c r="Q4641" s="137"/>
      <c r="R4641" s="126"/>
    </row>
    <row r="4642" spans="2:18" x14ac:dyDescent="0.3">
      <c r="B4642" s="126"/>
      <c r="G4642" s="137"/>
      <c r="H4642" s="138"/>
      <c r="I4642" s="138"/>
      <c r="J4642" s="139"/>
      <c r="K4642" s="137"/>
      <c r="L4642" s="137"/>
      <c r="P4642" s="137"/>
      <c r="Q4642" s="137"/>
      <c r="R4642" s="126"/>
    </row>
    <row r="4643" spans="2:18" x14ac:dyDescent="0.3">
      <c r="B4643" s="126"/>
      <c r="G4643" s="137"/>
      <c r="H4643" s="138"/>
      <c r="I4643" s="138"/>
      <c r="J4643" s="139"/>
      <c r="K4643" s="137"/>
      <c r="L4643" s="137"/>
      <c r="P4643" s="137"/>
      <c r="Q4643" s="137"/>
      <c r="R4643" s="126"/>
    </row>
    <row r="4644" spans="2:18" x14ac:dyDescent="0.3">
      <c r="B4644" s="126"/>
      <c r="G4644" s="137"/>
      <c r="H4644" s="138"/>
      <c r="I4644" s="138"/>
      <c r="J4644" s="139"/>
      <c r="K4644" s="137"/>
      <c r="L4644" s="137"/>
      <c r="P4644" s="137"/>
      <c r="Q4644" s="137"/>
      <c r="R4644" s="126"/>
    </row>
    <row r="4645" spans="2:18" x14ac:dyDescent="0.3">
      <c r="B4645" s="126"/>
      <c r="G4645" s="137"/>
      <c r="H4645" s="138"/>
      <c r="I4645" s="138"/>
      <c r="J4645" s="139"/>
      <c r="K4645" s="137"/>
      <c r="L4645" s="137"/>
      <c r="P4645" s="137"/>
      <c r="Q4645" s="137"/>
      <c r="R4645" s="126"/>
    </row>
    <row r="4646" spans="2:18" x14ac:dyDescent="0.3">
      <c r="B4646" s="126"/>
      <c r="G4646" s="137"/>
      <c r="H4646" s="138"/>
      <c r="I4646" s="138"/>
      <c r="J4646" s="139"/>
      <c r="K4646" s="137"/>
      <c r="L4646" s="137"/>
      <c r="P4646" s="137"/>
      <c r="Q4646" s="137"/>
      <c r="R4646" s="126"/>
    </row>
    <row r="4647" spans="2:18" x14ac:dyDescent="0.3">
      <c r="B4647" s="126"/>
      <c r="G4647" s="137"/>
      <c r="H4647" s="138"/>
      <c r="I4647" s="138"/>
      <c r="J4647" s="139"/>
      <c r="K4647" s="137"/>
      <c r="L4647" s="137"/>
      <c r="P4647" s="137"/>
      <c r="Q4647" s="137"/>
      <c r="R4647" s="126"/>
    </row>
    <row r="4648" spans="2:18" x14ac:dyDescent="0.3">
      <c r="B4648" s="126"/>
      <c r="G4648" s="137"/>
      <c r="H4648" s="138"/>
      <c r="I4648" s="138"/>
      <c r="J4648" s="139"/>
      <c r="K4648" s="137"/>
      <c r="L4648" s="137"/>
      <c r="P4648" s="137"/>
      <c r="Q4648" s="137"/>
      <c r="R4648" s="126"/>
    </row>
    <row r="4649" spans="2:18" x14ac:dyDescent="0.3">
      <c r="B4649" s="126"/>
      <c r="G4649" s="137"/>
      <c r="H4649" s="138"/>
      <c r="I4649" s="138"/>
      <c r="J4649" s="139"/>
      <c r="K4649" s="137"/>
      <c r="L4649" s="137"/>
      <c r="P4649" s="137"/>
      <c r="Q4649" s="137"/>
      <c r="R4649" s="126"/>
    </row>
    <row r="4650" spans="2:18" x14ac:dyDescent="0.3">
      <c r="B4650" s="126"/>
      <c r="G4650" s="137"/>
      <c r="H4650" s="138"/>
      <c r="I4650" s="138"/>
      <c r="J4650" s="139"/>
      <c r="K4650" s="137"/>
      <c r="L4650" s="137"/>
      <c r="P4650" s="137"/>
      <c r="Q4650" s="137"/>
      <c r="R4650" s="126"/>
    </row>
    <row r="4651" spans="2:18" x14ac:dyDescent="0.3">
      <c r="B4651" s="126"/>
      <c r="G4651" s="137"/>
      <c r="H4651" s="138"/>
      <c r="I4651" s="138"/>
      <c r="J4651" s="139"/>
      <c r="K4651" s="137"/>
      <c r="L4651" s="137"/>
      <c r="P4651" s="137"/>
      <c r="Q4651" s="137"/>
      <c r="R4651" s="126"/>
    </row>
    <row r="4652" spans="2:18" x14ac:dyDescent="0.3">
      <c r="B4652" s="126"/>
      <c r="G4652" s="137"/>
      <c r="H4652" s="138"/>
      <c r="I4652" s="138"/>
      <c r="J4652" s="139"/>
      <c r="K4652" s="137"/>
      <c r="L4652" s="137"/>
      <c r="P4652" s="137"/>
      <c r="Q4652" s="137"/>
      <c r="R4652" s="126"/>
    </row>
    <row r="4653" spans="2:18" x14ac:dyDescent="0.3">
      <c r="B4653" s="126"/>
      <c r="G4653" s="137"/>
      <c r="H4653" s="138"/>
      <c r="I4653" s="138"/>
      <c r="J4653" s="139"/>
      <c r="K4653" s="137"/>
      <c r="L4653" s="137"/>
      <c r="P4653" s="137"/>
      <c r="Q4653" s="137"/>
      <c r="R4653" s="126"/>
    </row>
    <row r="4654" spans="2:18" x14ac:dyDescent="0.3">
      <c r="B4654" s="126"/>
      <c r="G4654" s="137"/>
      <c r="H4654" s="138"/>
      <c r="I4654" s="138"/>
      <c r="J4654" s="139"/>
      <c r="K4654" s="137"/>
      <c r="L4654" s="137"/>
      <c r="P4654" s="137"/>
      <c r="Q4654" s="137"/>
      <c r="R4654" s="126"/>
    </row>
    <row r="4655" spans="2:18" x14ac:dyDescent="0.3">
      <c r="B4655" s="126"/>
      <c r="G4655" s="137"/>
      <c r="H4655" s="138"/>
      <c r="I4655" s="138"/>
      <c r="J4655" s="139"/>
      <c r="K4655" s="137"/>
      <c r="L4655" s="137"/>
      <c r="P4655" s="137"/>
      <c r="Q4655" s="137"/>
      <c r="R4655" s="126"/>
    </row>
    <row r="4656" spans="2:18" x14ac:dyDescent="0.3">
      <c r="B4656" s="126"/>
      <c r="G4656" s="137"/>
      <c r="H4656" s="138"/>
      <c r="I4656" s="138"/>
      <c r="J4656" s="139"/>
      <c r="K4656" s="137"/>
      <c r="L4656" s="137"/>
      <c r="P4656" s="137"/>
      <c r="Q4656" s="137"/>
      <c r="R4656" s="126"/>
    </row>
    <row r="4657" spans="2:18" x14ac:dyDescent="0.3">
      <c r="B4657" s="126"/>
      <c r="G4657" s="137"/>
      <c r="H4657" s="138"/>
      <c r="I4657" s="138"/>
      <c r="J4657" s="139"/>
      <c r="K4657" s="137"/>
      <c r="L4657" s="137"/>
      <c r="P4657" s="137"/>
      <c r="Q4657" s="137"/>
      <c r="R4657" s="126"/>
    </row>
    <row r="4658" spans="2:18" x14ac:dyDescent="0.3">
      <c r="B4658" s="126"/>
      <c r="G4658" s="137"/>
      <c r="H4658" s="138"/>
      <c r="I4658" s="138"/>
      <c r="J4658" s="139"/>
      <c r="K4658" s="137"/>
      <c r="L4658" s="137"/>
      <c r="P4658" s="137"/>
      <c r="Q4658" s="137"/>
      <c r="R4658" s="126"/>
    </row>
    <row r="4659" spans="2:18" x14ac:dyDescent="0.3">
      <c r="B4659" s="126"/>
      <c r="G4659" s="137"/>
      <c r="H4659" s="138"/>
      <c r="I4659" s="138"/>
      <c r="J4659" s="139"/>
      <c r="K4659" s="137"/>
      <c r="L4659" s="137"/>
      <c r="P4659" s="137"/>
      <c r="Q4659" s="137"/>
      <c r="R4659" s="126"/>
    </row>
    <row r="4660" spans="2:18" x14ac:dyDescent="0.3">
      <c r="B4660" s="126"/>
      <c r="G4660" s="137"/>
      <c r="H4660" s="138"/>
      <c r="I4660" s="138"/>
      <c r="J4660" s="139"/>
      <c r="K4660" s="137"/>
      <c r="L4660" s="137"/>
      <c r="P4660" s="137"/>
      <c r="Q4660" s="137"/>
      <c r="R4660" s="126"/>
    </row>
    <row r="4661" spans="2:18" x14ac:dyDescent="0.3">
      <c r="B4661" s="126"/>
      <c r="G4661" s="137"/>
      <c r="H4661" s="138"/>
      <c r="I4661" s="138"/>
      <c r="J4661" s="139"/>
      <c r="K4661" s="137"/>
      <c r="L4661" s="137"/>
      <c r="P4661" s="137"/>
      <c r="Q4661" s="137"/>
      <c r="R4661" s="126"/>
    </row>
    <row r="4662" spans="2:18" x14ac:dyDescent="0.3">
      <c r="B4662" s="126"/>
      <c r="G4662" s="137"/>
      <c r="H4662" s="138"/>
      <c r="I4662" s="138"/>
      <c r="J4662" s="139"/>
      <c r="K4662" s="137"/>
      <c r="L4662" s="137"/>
      <c r="P4662" s="137"/>
      <c r="Q4662" s="137"/>
      <c r="R4662" s="126"/>
    </row>
    <row r="4663" spans="2:18" x14ac:dyDescent="0.3">
      <c r="B4663" s="126"/>
      <c r="G4663" s="137"/>
      <c r="H4663" s="138"/>
      <c r="I4663" s="138"/>
      <c r="J4663" s="139"/>
      <c r="K4663" s="137"/>
      <c r="L4663" s="137"/>
      <c r="P4663" s="137"/>
      <c r="Q4663" s="137"/>
      <c r="R4663" s="126"/>
    </row>
    <row r="4664" spans="2:18" x14ac:dyDescent="0.3">
      <c r="B4664" s="126"/>
      <c r="G4664" s="137"/>
      <c r="H4664" s="138"/>
      <c r="I4664" s="138"/>
      <c r="J4664" s="139"/>
      <c r="K4664" s="137"/>
      <c r="L4664" s="137"/>
      <c r="P4664" s="137"/>
      <c r="Q4664" s="137"/>
      <c r="R4664" s="126"/>
    </row>
    <row r="4665" spans="2:18" x14ac:dyDescent="0.3">
      <c r="B4665" s="126"/>
      <c r="G4665" s="137"/>
      <c r="H4665" s="138"/>
      <c r="I4665" s="138"/>
      <c r="J4665" s="139"/>
      <c r="K4665" s="137"/>
      <c r="L4665" s="137"/>
      <c r="P4665" s="137"/>
      <c r="Q4665" s="137"/>
      <c r="R4665" s="126"/>
    </row>
    <row r="4666" spans="2:18" x14ac:dyDescent="0.3">
      <c r="B4666" s="126"/>
      <c r="G4666" s="137"/>
      <c r="H4666" s="138"/>
      <c r="I4666" s="138"/>
      <c r="J4666" s="139"/>
      <c r="K4666" s="137"/>
      <c r="L4666" s="137"/>
      <c r="P4666" s="137"/>
      <c r="Q4666" s="137"/>
      <c r="R4666" s="126"/>
    </row>
    <row r="4667" spans="2:18" x14ac:dyDescent="0.3">
      <c r="B4667" s="126"/>
      <c r="G4667" s="137"/>
      <c r="H4667" s="138"/>
      <c r="I4667" s="138"/>
      <c r="J4667" s="139"/>
      <c r="K4667" s="137"/>
      <c r="L4667" s="137"/>
      <c r="P4667" s="137"/>
      <c r="Q4667" s="137"/>
      <c r="R4667" s="126"/>
    </row>
    <row r="4668" spans="2:18" x14ac:dyDescent="0.3">
      <c r="B4668" s="126"/>
      <c r="G4668" s="137"/>
      <c r="H4668" s="138"/>
      <c r="I4668" s="138"/>
      <c r="J4668" s="139"/>
      <c r="K4668" s="137"/>
      <c r="L4668" s="137"/>
      <c r="P4668" s="137"/>
      <c r="Q4668" s="137"/>
      <c r="R4668" s="126"/>
    </row>
    <row r="4669" spans="2:18" x14ac:dyDescent="0.3">
      <c r="B4669" s="126"/>
      <c r="G4669" s="137"/>
      <c r="H4669" s="138"/>
      <c r="I4669" s="138"/>
      <c r="J4669" s="139"/>
      <c r="K4669" s="137"/>
      <c r="L4669" s="137"/>
      <c r="P4669" s="137"/>
      <c r="Q4669" s="137"/>
      <c r="R4669" s="126"/>
    </row>
    <row r="4670" spans="2:18" x14ac:dyDescent="0.3">
      <c r="B4670" s="126"/>
      <c r="G4670" s="137"/>
      <c r="H4670" s="138"/>
      <c r="I4670" s="138"/>
      <c r="J4670" s="139"/>
      <c r="K4670" s="137"/>
      <c r="L4670" s="137"/>
      <c r="P4670" s="137"/>
      <c r="Q4670" s="137"/>
      <c r="R4670" s="126"/>
    </row>
    <row r="4671" spans="2:18" x14ac:dyDescent="0.3">
      <c r="B4671" s="126"/>
      <c r="G4671" s="137"/>
      <c r="H4671" s="138"/>
      <c r="I4671" s="138"/>
      <c r="J4671" s="139"/>
      <c r="K4671" s="137"/>
      <c r="L4671" s="137"/>
      <c r="P4671" s="137"/>
      <c r="Q4671" s="137"/>
      <c r="R4671" s="126"/>
    </row>
    <row r="4672" spans="2:18" x14ac:dyDescent="0.3">
      <c r="B4672" s="126"/>
      <c r="G4672" s="137"/>
      <c r="H4672" s="138"/>
      <c r="I4672" s="138"/>
      <c r="J4672" s="139"/>
      <c r="K4672" s="137"/>
      <c r="L4672" s="137"/>
      <c r="P4672" s="137"/>
      <c r="Q4672" s="137"/>
      <c r="R4672" s="126"/>
    </row>
    <row r="4673" spans="2:18" x14ac:dyDescent="0.3">
      <c r="B4673" s="126"/>
      <c r="G4673" s="137"/>
      <c r="H4673" s="138"/>
      <c r="I4673" s="138"/>
      <c r="J4673" s="139"/>
      <c r="K4673" s="137"/>
      <c r="L4673" s="137"/>
      <c r="P4673" s="137"/>
      <c r="Q4673" s="137"/>
      <c r="R4673" s="126"/>
    </row>
    <row r="4674" spans="2:18" x14ac:dyDescent="0.3">
      <c r="B4674" s="126"/>
      <c r="G4674" s="137"/>
      <c r="H4674" s="138"/>
      <c r="I4674" s="138"/>
      <c r="J4674" s="139"/>
      <c r="K4674" s="137"/>
      <c r="L4674" s="137"/>
      <c r="P4674" s="137"/>
      <c r="Q4674" s="137"/>
      <c r="R4674" s="126"/>
    </row>
    <row r="4675" spans="2:18" x14ac:dyDescent="0.3">
      <c r="B4675" s="126"/>
      <c r="G4675" s="137"/>
      <c r="H4675" s="138"/>
      <c r="I4675" s="138"/>
      <c r="J4675" s="139"/>
      <c r="K4675" s="137"/>
      <c r="L4675" s="137"/>
      <c r="P4675" s="137"/>
      <c r="Q4675" s="137"/>
      <c r="R4675" s="126"/>
    </row>
    <row r="4676" spans="2:18" x14ac:dyDescent="0.3">
      <c r="B4676" s="126"/>
      <c r="G4676" s="137"/>
      <c r="H4676" s="138"/>
      <c r="I4676" s="138"/>
      <c r="J4676" s="139"/>
      <c r="K4676" s="137"/>
      <c r="L4676" s="137"/>
      <c r="P4676" s="137"/>
      <c r="Q4676" s="137"/>
      <c r="R4676" s="126"/>
    </row>
    <row r="4677" spans="2:18" x14ac:dyDescent="0.3">
      <c r="B4677" s="126"/>
      <c r="G4677" s="137"/>
      <c r="H4677" s="138"/>
      <c r="I4677" s="138"/>
      <c r="J4677" s="139"/>
      <c r="K4677" s="137"/>
      <c r="L4677" s="137"/>
      <c r="P4677" s="137"/>
      <c r="Q4677" s="137"/>
      <c r="R4677" s="126"/>
    </row>
    <row r="4678" spans="2:18" x14ac:dyDescent="0.3">
      <c r="B4678" s="126"/>
      <c r="G4678" s="137"/>
      <c r="H4678" s="138"/>
      <c r="I4678" s="138"/>
      <c r="J4678" s="139"/>
      <c r="K4678" s="137"/>
      <c r="L4678" s="137"/>
      <c r="P4678" s="137"/>
      <c r="Q4678" s="137"/>
      <c r="R4678" s="126"/>
    </row>
    <row r="4679" spans="2:18" x14ac:dyDescent="0.3">
      <c r="B4679" s="126"/>
      <c r="G4679" s="137"/>
      <c r="H4679" s="138"/>
      <c r="I4679" s="138"/>
      <c r="J4679" s="139"/>
      <c r="K4679" s="137"/>
      <c r="L4679" s="137"/>
      <c r="P4679" s="137"/>
      <c r="Q4679" s="137"/>
      <c r="R4679" s="126"/>
    </row>
    <row r="4680" spans="2:18" x14ac:dyDescent="0.3">
      <c r="B4680" s="126"/>
      <c r="G4680" s="137"/>
      <c r="H4680" s="138"/>
      <c r="I4680" s="138"/>
      <c r="J4680" s="139"/>
      <c r="K4680" s="137"/>
      <c r="L4680" s="137"/>
      <c r="P4680" s="137"/>
      <c r="Q4680" s="137"/>
      <c r="R4680" s="126"/>
    </row>
    <row r="4681" spans="2:18" x14ac:dyDescent="0.3">
      <c r="B4681" s="126"/>
      <c r="G4681" s="137"/>
      <c r="H4681" s="138"/>
      <c r="I4681" s="138"/>
      <c r="J4681" s="139"/>
      <c r="K4681" s="137"/>
      <c r="L4681" s="137"/>
      <c r="P4681" s="137"/>
      <c r="Q4681" s="137"/>
      <c r="R4681" s="126"/>
    </row>
    <row r="4682" spans="2:18" x14ac:dyDescent="0.3">
      <c r="B4682" s="126"/>
      <c r="G4682" s="137"/>
      <c r="H4682" s="138"/>
      <c r="I4682" s="138"/>
      <c r="J4682" s="139"/>
      <c r="K4682" s="137"/>
      <c r="L4682" s="137"/>
      <c r="P4682" s="137"/>
      <c r="Q4682" s="137"/>
      <c r="R4682" s="126"/>
    </row>
    <row r="4683" spans="2:18" x14ac:dyDescent="0.3">
      <c r="B4683" s="126"/>
      <c r="G4683" s="137"/>
      <c r="H4683" s="138"/>
      <c r="I4683" s="138"/>
      <c r="J4683" s="139"/>
      <c r="K4683" s="137"/>
      <c r="L4683" s="137"/>
      <c r="P4683" s="137"/>
      <c r="Q4683" s="137"/>
      <c r="R4683" s="126"/>
    </row>
    <row r="4684" spans="2:18" x14ac:dyDescent="0.3">
      <c r="B4684" s="126"/>
      <c r="G4684" s="137"/>
      <c r="H4684" s="138"/>
      <c r="I4684" s="138"/>
      <c r="J4684" s="139"/>
      <c r="K4684" s="137"/>
      <c r="L4684" s="137"/>
      <c r="P4684" s="137"/>
      <c r="Q4684" s="137"/>
      <c r="R4684" s="126"/>
    </row>
    <row r="4685" spans="2:18" x14ac:dyDescent="0.3">
      <c r="B4685" s="126"/>
      <c r="G4685" s="137"/>
      <c r="H4685" s="138"/>
      <c r="I4685" s="138"/>
      <c r="J4685" s="139"/>
      <c r="K4685" s="137"/>
      <c r="L4685" s="137"/>
      <c r="P4685" s="137"/>
      <c r="Q4685" s="137"/>
      <c r="R4685" s="126"/>
    </row>
    <row r="4686" spans="2:18" x14ac:dyDescent="0.3">
      <c r="B4686" s="126"/>
      <c r="G4686" s="137"/>
      <c r="H4686" s="138"/>
      <c r="I4686" s="138"/>
      <c r="J4686" s="139"/>
      <c r="K4686" s="137"/>
      <c r="L4686" s="137"/>
      <c r="P4686" s="137"/>
      <c r="Q4686" s="137"/>
      <c r="R4686" s="126"/>
    </row>
    <row r="4687" spans="2:18" x14ac:dyDescent="0.3">
      <c r="B4687" s="126"/>
      <c r="G4687" s="137"/>
      <c r="H4687" s="138"/>
      <c r="I4687" s="138"/>
      <c r="J4687" s="139"/>
      <c r="K4687" s="137"/>
      <c r="L4687" s="137"/>
      <c r="P4687" s="137"/>
      <c r="Q4687" s="137"/>
      <c r="R4687" s="126"/>
    </row>
    <row r="4688" spans="2:18" x14ac:dyDescent="0.3">
      <c r="B4688" s="126"/>
      <c r="G4688" s="137"/>
      <c r="H4688" s="138"/>
      <c r="I4688" s="138"/>
      <c r="J4688" s="139"/>
      <c r="K4688" s="137"/>
      <c r="L4688" s="137"/>
      <c r="P4688" s="137"/>
      <c r="Q4688" s="137"/>
      <c r="R4688" s="126"/>
    </row>
    <row r="4689" spans="2:18" x14ac:dyDescent="0.3">
      <c r="B4689" s="126"/>
      <c r="G4689" s="137"/>
      <c r="H4689" s="138"/>
      <c r="I4689" s="138"/>
      <c r="J4689" s="139"/>
      <c r="K4689" s="137"/>
      <c r="L4689" s="137"/>
      <c r="P4689" s="137"/>
      <c r="Q4689" s="137"/>
      <c r="R4689" s="126"/>
    </row>
    <row r="4690" spans="2:18" x14ac:dyDescent="0.3">
      <c r="B4690" s="126"/>
      <c r="G4690" s="137"/>
      <c r="H4690" s="138"/>
      <c r="I4690" s="138"/>
      <c r="J4690" s="139"/>
      <c r="K4690" s="137"/>
      <c r="L4690" s="137"/>
      <c r="P4690" s="137"/>
      <c r="Q4690" s="137"/>
      <c r="R4690" s="126"/>
    </row>
    <row r="4691" spans="2:18" x14ac:dyDescent="0.3">
      <c r="B4691" s="126"/>
      <c r="G4691" s="137"/>
      <c r="H4691" s="138"/>
      <c r="I4691" s="138"/>
      <c r="J4691" s="139"/>
      <c r="K4691" s="137"/>
      <c r="L4691" s="137"/>
      <c r="P4691" s="137"/>
      <c r="Q4691" s="137"/>
      <c r="R4691" s="126"/>
    </row>
    <row r="4692" spans="2:18" x14ac:dyDescent="0.3">
      <c r="B4692" s="126"/>
      <c r="G4692" s="137"/>
      <c r="H4692" s="138"/>
      <c r="I4692" s="138"/>
      <c r="J4692" s="139"/>
      <c r="K4692" s="137"/>
      <c r="L4692" s="137"/>
      <c r="P4692" s="137"/>
      <c r="Q4692" s="137"/>
      <c r="R4692" s="126"/>
    </row>
    <row r="4693" spans="2:18" x14ac:dyDescent="0.3">
      <c r="B4693" s="126"/>
      <c r="G4693" s="137"/>
      <c r="H4693" s="138"/>
      <c r="I4693" s="138"/>
      <c r="J4693" s="139"/>
      <c r="K4693" s="137"/>
      <c r="L4693" s="137"/>
      <c r="P4693" s="137"/>
      <c r="Q4693" s="137"/>
      <c r="R4693" s="126"/>
    </row>
    <row r="4694" spans="2:18" x14ac:dyDescent="0.3">
      <c r="B4694" s="126"/>
      <c r="G4694" s="137"/>
      <c r="H4694" s="138"/>
      <c r="I4694" s="138"/>
      <c r="J4694" s="139"/>
      <c r="K4694" s="137"/>
      <c r="L4694" s="137"/>
      <c r="P4694" s="137"/>
      <c r="Q4694" s="137"/>
      <c r="R4694" s="126"/>
    </row>
    <row r="4695" spans="2:18" x14ac:dyDescent="0.3">
      <c r="B4695" s="126"/>
      <c r="G4695" s="137"/>
      <c r="H4695" s="138"/>
      <c r="I4695" s="138"/>
      <c r="J4695" s="139"/>
      <c r="K4695" s="137"/>
      <c r="L4695" s="137"/>
      <c r="P4695" s="137"/>
      <c r="Q4695" s="137"/>
      <c r="R4695" s="126"/>
    </row>
    <row r="4696" spans="2:18" x14ac:dyDescent="0.3">
      <c r="B4696" s="126"/>
      <c r="G4696" s="137"/>
      <c r="H4696" s="138"/>
      <c r="I4696" s="138"/>
      <c r="J4696" s="139"/>
      <c r="K4696" s="137"/>
      <c r="L4696" s="137"/>
      <c r="P4696" s="137"/>
      <c r="Q4696" s="137"/>
      <c r="R4696" s="126"/>
    </row>
    <row r="4697" spans="2:18" x14ac:dyDescent="0.3">
      <c r="B4697" s="126"/>
      <c r="G4697" s="137"/>
      <c r="H4697" s="138"/>
      <c r="I4697" s="138"/>
      <c r="J4697" s="139"/>
      <c r="K4697" s="137"/>
      <c r="L4697" s="137"/>
      <c r="P4697" s="137"/>
      <c r="Q4697" s="137"/>
      <c r="R4697" s="126"/>
    </row>
    <row r="4698" spans="2:18" x14ac:dyDescent="0.3">
      <c r="B4698" s="126"/>
      <c r="G4698" s="137"/>
      <c r="H4698" s="138"/>
      <c r="I4698" s="138"/>
      <c r="J4698" s="139"/>
      <c r="K4698" s="137"/>
      <c r="L4698" s="137"/>
      <c r="P4698" s="137"/>
      <c r="Q4698" s="137"/>
      <c r="R4698" s="126"/>
    </row>
    <row r="4699" spans="2:18" x14ac:dyDescent="0.3">
      <c r="B4699" s="126"/>
      <c r="G4699" s="137"/>
      <c r="H4699" s="138"/>
      <c r="I4699" s="138"/>
      <c r="J4699" s="139"/>
      <c r="K4699" s="137"/>
      <c r="L4699" s="137"/>
      <c r="P4699" s="137"/>
      <c r="Q4699" s="137"/>
      <c r="R4699" s="126"/>
    </row>
    <row r="4700" spans="2:18" x14ac:dyDescent="0.3">
      <c r="B4700" s="126"/>
      <c r="G4700" s="137"/>
      <c r="H4700" s="138"/>
      <c r="I4700" s="138"/>
      <c r="J4700" s="139"/>
      <c r="K4700" s="137"/>
      <c r="L4700" s="137"/>
      <c r="P4700" s="137"/>
      <c r="Q4700" s="137"/>
      <c r="R4700" s="126"/>
    </row>
    <row r="4701" spans="2:18" x14ac:dyDescent="0.3">
      <c r="B4701" s="126"/>
      <c r="G4701" s="137"/>
      <c r="H4701" s="138"/>
      <c r="I4701" s="138"/>
      <c r="J4701" s="139"/>
      <c r="K4701" s="137"/>
      <c r="L4701" s="137"/>
      <c r="P4701" s="137"/>
      <c r="Q4701" s="137"/>
      <c r="R4701" s="126"/>
    </row>
    <row r="4702" spans="2:18" x14ac:dyDescent="0.3">
      <c r="B4702" s="126"/>
      <c r="G4702" s="137"/>
      <c r="H4702" s="138"/>
      <c r="I4702" s="138"/>
      <c r="J4702" s="139"/>
      <c r="K4702" s="137"/>
      <c r="L4702" s="137"/>
      <c r="P4702" s="137"/>
      <c r="Q4702" s="137"/>
      <c r="R4702" s="126"/>
    </row>
    <row r="4703" spans="2:18" x14ac:dyDescent="0.3">
      <c r="B4703" s="126"/>
      <c r="G4703" s="137"/>
      <c r="H4703" s="138"/>
      <c r="I4703" s="138"/>
      <c r="J4703" s="139"/>
      <c r="K4703" s="137"/>
      <c r="L4703" s="137"/>
      <c r="P4703" s="137"/>
      <c r="Q4703" s="137"/>
      <c r="R4703" s="126"/>
    </row>
    <row r="4704" spans="2:18" x14ac:dyDescent="0.3">
      <c r="B4704" s="126"/>
      <c r="G4704" s="137"/>
      <c r="H4704" s="138"/>
      <c r="I4704" s="138"/>
      <c r="J4704" s="139"/>
      <c r="K4704" s="137"/>
      <c r="L4704" s="137"/>
      <c r="P4704" s="137"/>
      <c r="Q4704" s="137"/>
      <c r="R4704" s="126"/>
    </row>
    <row r="4705" spans="2:18" x14ac:dyDescent="0.3">
      <c r="B4705" s="126"/>
      <c r="G4705" s="137"/>
      <c r="H4705" s="138"/>
      <c r="I4705" s="138"/>
      <c r="J4705" s="139"/>
      <c r="K4705" s="137"/>
      <c r="L4705" s="137"/>
      <c r="P4705" s="137"/>
      <c r="Q4705" s="137"/>
      <c r="R4705" s="126"/>
    </row>
    <row r="4706" spans="2:18" x14ac:dyDescent="0.3">
      <c r="B4706" s="126"/>
      <c r="G4706" s="137"/>
      <c r="H4706" s="138"/>
      <c r="I4706" s="138"/>
      <c r="J4706" s="139"/>
      <c r="K4706" s="137"/>
      <c r="L4706" s="137"/>
      <c r="P4706" s="137"/>
      <c r="Q4706" s="137"/>
      <c r="R4706" s="126"/>
    </row>
    <row r="4707" spans="2:18" x14ac:dyDescent="0.3">
      <c r="B4707" s="126"/>
      <c r="G4707" s="137"/>
      <c r="H4707" s="138"/>
      <c r="I4707" s="138"/>
      <c r="J4707" s="139"/>
      <c r="K4707" s="137"/>
      <c r="L4707" s="137"/>
      <c r="P4707" s="137"/>
      <c r="Q4707" s="137"/>
      <c r="R4707" s="126"/>
    </row>
    <row r="4708" spans="2:18" x14ac:dyDescent="0.3">
      <c r="B4708" s="126"/>
      <c r="G4708" s="137"/>
      <c r="H4708" s="138"/>
      <c r="I4708" s="138"/>
      <c r="J4708" s="139"/>
      <c r="K4708" s="137"/>
      <c r="L4708" s="137"/>
      <c r="P4708" s="137"/>
      <c r="Q4708" s="137"/>
      <c r="R4708" s="126"/>
    </row>
    <row r="4709" spans="2:18" x14ac:dyDescent="0.3">
      <c r="B4709" s="126"/>
      <c r="G4709" s="137"/>
      <c r="H4709" s="138"/>
      <c r="I4709" s="138"/>
      <c r="J4709" s="139"/>
      <c r="K4709" s="137"/>
      <c r="L4709" s="137"/>
      <c r="P4709" s="137"/>
      <c r="Q4709" s="137"/>
      <c r="R4709" s="126"/>
    </row>
    <row r="4710" spans="2:18" x14ac:dyDescent="0.3">
      <c r="B4710" s="126"/>
      <c r="G4710" s="137"/>
      <c r="H4710" s="138"/>
      <c r="I4710" s="138"/>
      <c r="J4710" s="139"/>
      <c r="K4710" s="137"/>
      <c r="L4710" s="137"/>
      <c r="P4710" s="137"/>
      <c r="Q4710" s="137"/>
      <c r="R4710" s="126"/>
    </row>
    <row r="4711" spans="2:18" x14ac:dyDescent="0.3">
      <c r="B4711" s="126"/>
      <c r="G4711" s="137"/>
      <c r="H4711" s="138"/>
      <c r="I4711" s="138"/>
      <c r="J4711" s="139"/>
      <c r="K4711" s="137"/>
      <c r="L4711" s="137"/>
      <c r="P4711" s="137"/>
      <c r="Q4711" s="137"/>
      <c r="R4711" s="126"/>
    </row>
    <row r="4712" spans="2:18" x14ac:dyDescent="0.3">
      <c r="B4712" s="126"/>
      <c r="G4712" s="137"/>
      <c r="H4712" s="138"/>
      <c r="I4712" s="138"/>
      <c r="J4712" s="139"/>
      <c r="K4712" s="137"/>
      <c r="L4712" s="137"/>
      <c r="P4712" s="137"/>
      <c r="Q4712" s="137"/>
      <c r="R4712" s="126"/>
    </row>
    <row r="4713" spans="2:18" x14ac:dyDescent="0.3">
      <c r="B4713" s="126"/>
      <c r="G4713" s="137"/>
      <c r="H4713" s="138"/>
      <c r="I4713" s="138"/>
      <c r="J4713" s="139"/>
      <c r="K4713" s="137"/>
      <c r="L4713" s="137"/>
      <c r="P4713" s="137"/>
      <c r="Q4713" s="137"/>
      <c r="R4713" s="126"/>
    </row>
    <row r="4714" spans="2:18" x14ac:dyDescent="0.3">
      <c r="B4714" s="126"/>
      <c r="G4714" s="137"/>
      <c r="H4714" s="138"/>
      <c r="I4714" s="138"/>
      <c r="J4714" s="139"/>
      <c r="K4714" s="137"/>
      <c r="L4714" s="137"/>
      <c r="P4714" s="137"/>
      <c r="Q4714" s="137"/>
      <c r="R4714" s="126"/>
    </row>
    <row r="4715" spans="2:18" x14ac:dyDescent="0.3">
      <c r="B4715" s="126"/>
      <c r="G4715" s="137"/>
      <c r="H4715" s="138"/>
      <c r="I4715" s="138"/>
      <c r="J4715" s="139"/>
      <c r="K4715" s="137"/>
      <c r="L4715" s="137"/>
      <c r="P4715" s="137"/>
      <c r="Q4715" s="137"/>
      <c r="R4715" s="126"/>
    </row>
    <row r="4716" spans="2:18" x14ac:dyDescent="0.3">
      <c r="B4716" s="126"/>
      <c r="G4716" s="137"/>
      <c r="H4716" s="138"/>
      <c r="I4716" s="138"/>
      <c r="J4716" s="139"/>
      <c r="K4716" s="137"/>
      <c r="L4716" s="137"/>
      <c r="P4716" s="137"/>
      <c r="Q4716" s="137"/>
      <c r="R4716" s="126"/>
    </row>
    <row r="4717" spans="2:18" x14ac:dyDescent="0.3">
      <c r="B4717" s="126"/>
      <c r="G4717" s="137"/>
      <c r="H4717" s="138"/>
      <c r="I4717" s="138"/>
      <c r="J4717" s="139"/>
      <c r="K4717" s="137"/>
      <c r="L4717" s="137"/>
      <c r="P4717" s="137"/>
      <c r="Q4717" s="137"/>
      <c r="R4717" s="126"/>
    </row>
    <row r="4718" spans="2:18" x14ac:dyDescent="0.3">
      <c r="B4718" s="126"/>
      <c r="G4718" s="137"/>
      <c r="H4718" s="138"/>
      <c r="I4718" s="138"/>
      <c r="J4718" s="139"/>
      <c r="K4718" s="137"/>
      <c r="L4718" s="137"/>
      <c r="P4718" s="137"/>
      <c r="Q4718" s="137"/>
      <c r="R4718" s="126"/>
    </row>
    <row r="4719" spans="2:18" x14ac:dyDescent="0.3">
      <c r="B4719" s="126"/>
      <c r="G4719" s="137"/>
      <c r="H4719" s="138"/>
      <c r="I4719" s="138"/>
      <c r="J4719" s="139"/>
      <c r="K4719" s="137"/>
      <c r="L4719" s="137"/>
      <c r="P4719" s="137"/>
      <c r="Q4719" s="137"/>
      <c r="R4719" s="126"/>
    </row>
    <row r="4720" spans="2:18" x14ac:dyDescent="0.3">
      <c r="B4720" s="126"/>
      <c r="G4720" s="137"/>
      <c r="H4720" s="138"/>
      <c r="I4720" s="138"/>
      <c r="J4720" s="139"/>
      <c r="K4720" s="137"/>
      <c r="L4720" s="137"/>
      <c r="P4720" s="137"/>
      <c r="Q4720" s="137"/>
      <c r="R4720" s="126"/>
    </row>
    <row r="4721" spans="2:18" x14ac:dyDescent="0.3">
      <c r="B4721" s="126"/>
      <c r="G4721" s="137"/>
      <c r="H4721" s="138"/>
      <c r="I4721" s="138"/>
      <c r="J4721" s="139"/>
      <c r="K4721" s="137"/>
      <c r="L4721" s="137"/>
      <c r="P4721" s="137"/>
      <c r="Q4721" s="137"/>
      <c r="R4721" s="126"/>
    </row>
    <row r="4722" spans="2:18" x14ac:dyDescent="0.3">
      <c r="B4722" s="126"/>
      <c r="G4722" s="137"/>
      <c r="H4722" s="138"/>
      <c r="I4722" s="138"/>
      <c r="J4722" s="139"/>
      <c r="K4722" s="137"/>
      <c r="L4722" s="137"/>
      <c r="P4722" s="137"/>
      <c r="Q4722" s="137"/>
      <c r="R4722" s="126"/>
    </row>
    <row r="4723" spans="2:18" x14ac:dyDescent="0.3">
      <c r="B4723" s="126"/>
      <c r="G4723" s="137"/>
      <c r="H4723" s="138"/>
      <c r="I4723" s="138"/>
      <c r="J4723" s="139"/>
      <c r="K4723" s="137"/>
      <c r="L4723" s="137"/>
      <c r="P4723" s="137"/>
      <c r="Q4723" s="137"/>
      <c r="R4723" s="126"/>
    </row>
    <row r="4724" spans="2:18" x14ac:dyDescent="0.3">
      <c r="B4724" s="126"/>
      <c r="G4724" s="137"/>
      <c r="H4724" s="138"/>
      <c r="I4724" s="138"/>
      <c r="J4724" s="139"/>
      <c r="K4724" s="137"/>
      <c r="L4724" s="137"/>
      <c r="P4724" s="137"/>
      <c r="Q4724" s="137"/>
      <c r="R4724" s="126"/>
    </row>
    <row r="4725" spans="2:18" x14ac:dyDescent="0.3">
      <c r="B4725" s="126"/>
      <c r="G4725" s="137"/>
      <c r="H4725" s="138"/>
      <c r="I4725" s="138"/>
      <c r="J4725" s="139"/>
      <c r="K4725" s="137"/>
      <c r="L4725" s="137"/>
      <c r="P4725" s="137"/>
      <c r="Q4725" s="137"/>
      <c r="R4725" s="126"/>
    </row>
    <row r="4726" spans="2:18" x14ac:dyDescent="0.3">
      <c r="B4726" s="126"/>
      <c r="G4726" s="137"/>
      <c r="H4726" s="138"/>
      <c r="I4726" s="138"/>
      <c r="J4726" s="139"/>
      <c r="K4726" s="137"/>
      <c r="L4726" s="137"/>
      <c r="P4726" s="137"/>
      <c r="Q4726" s="137"/>
      <c r="R4726" s="126"/>
    </row>
    <row r="4727" spans="2:18" x14ac:dyDescent="0.3">
      <c r="B4727" s="126"/>
      <c r="G4727" s="137"/>
      <c r="H4727" s="138"/>
      <c r="I4727" s="138"/>
      <c r="J4727" s="139"/>
      <c r="K4727" s="137"/>
      <c r="L4727" s="137"/>
      <c r="P4727" s="137"/>
      <c r="Q4727" s="137"/>
      <c r="R4727" s="126"/>
    </row>
    <row r="4728" spans="2:18" x14ac:dyDescent="0.3">
      <c r="B4728" s="126"/>
      <c r="G4728" s="137"/>
      <c r="H4728" s="138"/>
      <c r="I4728" s="138"/>
      <c r="J4728" s="139"/>
      <c r="K4728" s="137"/>
      <c r="L4728" s="137"/>
      <c r="P4728" s="137"/>
      <c r="Q4728" s="137"/>
      <c r="R4728" s="126"/>
    </row>
    <row r="4729" spans="2:18" x14ac:dyDescent="0.3">
      <c r="B4729" s="126"/>
      <c r="G4729" s="137"/>
      <c r="H4729" s="138"/>
      <c r="I4729" s="138"/>
      <c r="J4729" s="139"/>
      <c r="K4729" s="137"/>
      <c r="L4729" s="137"/>
      <c r="P4729" s="137"/>
      <c r="Q4729" s="137"/>
      <c r="R4729" s="126"/>
    </row>
    <row r="4730" spans="2:18" x14ac:dyDescent="0.3">
      <c r="B4730" s="126"/>
      <c r="G4730" s="137"/>
      <c r="H4730" s="138"/>
      <c r="I4730" s="138"/>
      <c r="J4730" s="139"/>
      <c r="K4730" s="137"/>
      <c r="L4730" s="137"/>
      <c r="P4730" s="137"/>
      <c r="Q4730" s="137"/>
      <c r="R4730" s="126"/>
    </row>
    <row r="4731" spans="2:18" x14ac:dyDescent="0.3">
      <c r="B4731" s="126"/>
      <c r="G4731" s="137"/>
      <c r="H4731" s="138"/>
      <c r="I4731" s="138"/>
      <c r="J4731" s="139"/>
      <c r="K4731" s="137"/>
      <c r="L4731" s="137"/>
      <c r="P4731" s="137"/>
      <c r="Q4731" s="137"/>
      <c r="R4731" s="126"/>
    </row>
    <row r="4732" spans="2:18" x14ac:dyDescent="0.3">
      <c r="B4732" s="126"/>
      <c r="G4732" s="137"/>
      <c r="H4732" s="138"/>
      <c r="I4732" s="138"/>
      <c r="J4732" s="139"/>
      <c r="K4732" s="137"/>
      <c r="L4732" s="137"/>
      <c r="P4732" s="137"/>
      <c r="Q4732" s="137"/>
      <c r="R4732" s="126"/>
    </row>
    <row r="4733" spans="2:18" x14ac:dyDescent="0.3">
      <c r="B4733" s="126"/>
      <c r="G4733" s="137"/>
      <c r="H4733" s="138"/>
      <c r="I4733" s="138"/>
      <c r="J4733" s="139"/>
      <c r="K4733" s="137"/>
      <c r="L4733" s="137"/>
      <c r="P4733" s="137"/>
      <c r="Q4733" s="137"/>
      <c r="R4733" s="126"/>
    </row>
    <row r="4734" spans="2:18" x14ac:dyDescent="0.3">
      <c r="B4734" s="126"/>
      <c r="G4734" s="137"/>
      <c r="H4734" s="138"/>
      <c r="I4734" s="138"/>
      <c r="J4734" s="139"/>
      <c r="K4734" s="137"/>
      <c r="L4734" s="137"/>
      <c r="P4734" s="137"/>
      <c r="Q4734" s="137"/>
      <c r="R4734" s="126"/>
    </row>
    <row r="4735" spans="2:18" x14ac:dyDescent="0.3">
      <c r="B4735" s="126"/>
      <c r="G4735" s="137"/>
      <c r="H4735" s="138"/>
      <c r="I4735" s="138"/>
      <c r="J4735" s="139"/>
      <c r="K4735" s="137"/>
      <c r="L4735" s="137"/>
      <c r="P4735" s="137"/>
      <c r="Q4735" s="137"/>
      <c r="R4735" s="126"/>
    </row>
    <row r="4736" spans="2:18" x14ac:dyDescent="0.3">
      <c r="B4736" s="126"/>
      <c r="G4736" s="137"/>
      <c r="H4736" s="138"/>
      <c r="I4736" s="138"/>
      <c r="J4736" s="139"/>
      <c r="K4736" s="137"/>
      <c r="L4736" s="137"/>
      <c r="P4736" s="137"/>
      <c r="Q4736" s="137"/>
      <c r="R4736" s="126"/>
    </row>
    <row r="4737" spans="2:18" x14ac:dyDescent="0.3">
      <c r="B4737" s="126"/>
      <c r="G4737" s="137"/>
      <c r="H4737" s="138"/>
      <c r="I4737" s="138"/>
      <c r="J4737" s="139"/>
      <c r="K4737" s="137"/>
      <c r="L4737" s="137"/>
      <c r="P4737" s="137"/>
      <c r="Q4737" s="137"/>
      <c r="R4737" s="126"/>
    </row>
    <row r="4738" spans="2:18" x14ac:dyDescent="0.3">
      <c r="B4738" s="126"/>
      <c r="G4738" s="137"/>
      <c r="H4738" s="138"/>
      <c r="I4738" s="138"/>
      <c r="J4738" s="139"/>
      <c r="K4738" s="137"/>
      <c r="L4738" s="137"/>
      <c r="P4738" s="137"/>
      <c r="Q4738" s="137"/>
      <c r="R4738" s="126"/>
    </row>
    <row r="4739" spans="2:18" x14ac:dyDescent="0.3">
      <c r="B4739" s="126"/>
      <c r="G4739" s="137"/>
      <c r="H4739" s="138"/>
      <c r="I4739" s="138"/>
      <c r="J4739" s="139"/>
      <c r="K4739" s="137"/>
      <c r="L4739" s="137"/>
      <c r="P4739" s="137"/>
      <c r="Q4739" s="137"/>
      <c r="R4739" s="126"/>
    </row>
    <row r="4740" spans="2:18" x14ac:dyDescent="0.3">
      <c r="B4740" s="126"/>
      <c r="G4740" s="137"/>
      <c r="H4740" s="138"/>
      <c r="I4740" s="138"/>
      <c r="J4740" s="139"/>
      <c r="K4740" s="137"/>
      <c r="L4740" s="137"/>
      <c r="P4740" s="137"/>
      <c r="Q4740" s="137"/>
      <c r="R4740" s="126"/>
    </row>
    <row r="4741" spans="2:18" x14ac:dyDescent="0.3">
      <c r="B4741" s="126"/>
      <c r="G4741" s="137"/>
      <c r="H4741" s="138"/>
      <c r="I4741" s="138"/>
      <c r="J4741" s="139"/>
      <c r="K4741" s="137"/>
      <c r="L4741" s="137"/>
      <c r="P4741" s="137"/>
      <c r="Q4741" s="137"/>
      <c r="R4741" s="126"/>
    </row>
    <row r="4742" spans="2:18" x14ac:dyDescent="0.3">
      <c r="B4742" s="126"/>
      <c r="G4742" s="137"/>
      <c r="H4742" s="138"/>
      <c r="I4742" s="138"/>
      <c r="J4742" s="139"/>
      <c r="K4742" s="137"/>
      <c r="L4742" s="137"/>
      <c r="P4742" s="137"/>
      <c r="Q4742" s="137"/>
      <c r="R4742" s="126"/>
    </row>
    <row r="4743" spans="2:18" x14ac:dyDescent="0.3">
      <c r="B4743" s="126"/>
      <c r="G4743" s="137"/>
      <c r="H4743" s="138"/>
      <c r="I4743" s="138"/>
      <c r="J4743" s="139"/>
      <c r="K4743" s="137"/>
      <c r="L4743" s="137"/>
      <c r="P4743" s="137"/>
      <c r="Q4743" s="137"/>
      <c r="R4743" s="126"/>
    </row>
    <row r="4744" spans="2:18" x14ac:dyDescent="0.3">
      <c r="B4744" s="126"/>
      <c r="G4744" s="137"/>
      <c r="H4744" s="138"/>
      <c r="I4744" s="138"/>
      <c r="J4744" s="139"/>
      <c r="K4744" s="137"/>
      <c r="L4744" s="137"/>
      <c r="P4744" s="137"/>
      <c r="Q4744" s="137"/>
      <c r="R4744" s="126"/>
    </row>
    <row r="4745" spans="2:18" x14ac:dyDescent="0.3">
      <c r="B4745" s="126"/>
      <c r="G4745" s="137"/>
      <c r="H4745" s="138"/>
      <c r="I4745" s="138"/>
      <c r="J4745" s="139"/>
      <c r="K4745" s="137"/>
      <c r="L4745" s="137"/>
      <c r="P4745" s="137"/>
      <c r="Q4745" s="137"/>
      <c r="R4745" s="126"/>
    </row>
    <row r="4746" spans="2:18" x14ac:dyDescent="0.3">
      <c r="B4746" s="126"/>
      <c r="G4746" s="137"/>
      <c r="H4746" s="138"/>
      <c r="I4746" s="138"/>
      <c r="J4746" s="139"/>
      <c r="K4746" s="137"/>
      <c r="L4746" s="137"/>
      <c r="P4746" s="137"/>
      <c r="Q4746" s="137"/>
      <c r="R4746" s="126"/>
    </row>
    <row r="4747" spans="2:18" x14ac:dyDescent="0.3">
      <c r="B4747" s="126"/>
      <c r="G4747" s="137"/>
      <c r="H4747" s="138"/>
      <c r="I4747" s="138"/>
      <c r="J4747" s="139"/>
      <c r="K4747" s="137"/>
      <c r="L4747" s="137"/>
      <c r="P4747" s="137"/>
      <c r="Q4747" s="137"/>
      <c r="R4747" s="126"/>
    </row>
    <row r="4748" spans="2:18" x14ac:dyDescent="0.3">
      <c r="B4748" s="126"/>
      <c r="G4748" s="137"/>
      <c r="H4748" s="138"/>
      <c r="I4748" s="138"/>
      <c r="J4748" s="139"/>
      <c r="K4748" s="137"/>
      <c r="L4748" s="137"/>
      <c r="P4748" s="137"/>
      <c r="Q4748" s="137"/>
      <c r="R4748" s="126"/>
    </row>
    <row r="4749" spans="2:18" x14ac:dyDescent="0.3">
      <c r="B4749" s="126"/>
      <c r="G4749" s="137"/>
      <c r="H4749" s="138"/>
      <c r="I4749" s="138"/>
      <c r="J4749" s="139"/>
      <c r="K4749" s="137"/>
      <c r="L4749" s="137"/>
      <c r="P4749" s="137"/>
      <c r="Q4749" s="137"/>
      <c r="R4749" s="126"/>
    </row>
    <row r="4750" spans="2:18" x14ac:dyDescent="0.3">
      <c r="B4750" s="126"/>
      <c r="G4750" s="137"/>
      <c r="H4750" s="138"/>
      <c r="I4750" s="138"/>
      <c r="J4750" s="139"/>
      <c r="K4750" s="137"/>
      <c r="L4750" s="137"/>
      <c r="P4750" s="137"/>
      <c r="Q4750" s="137"/>
      <c r="R4750" s="126"/>
    </row>
    <row r="4751" spans="2:18" x14ac:dyDescent="0.3">
      <c r="B4751" s="126"/>
      <c r="G4751" s="137"/>
      <c r="H4751" s="138"/>
      <c r="I4751" s="138"/>
      <c r="J4751" s="139"/>
      <c r="K4751" s="137"/>
      <c r="L4751" s="137"/>
      <c r="P4751" s="137"/>
      <c r="Q4751" s="137"/>
      <c r="R4751" s="126"/>
    </row>
    <row r="4752" spans="2:18" x14ac:dyDescent="0.3">
      <c r="B4752" s="126"/>
      <c r="G4752" s="137"/>
      <c r="H4752" s="138"/>
      <c r="I4752" s="138"/>
      <c r="J4752" s="139"/>
      <c r="K4752" s="137"/>
      <c r="L4752" s="137"/>
      <c r="P4752" s="137"/>
      <c r="Q4752" s="137"/>
      <c r="R4752" s="126"/>
    </row>
    <row r="4753" spans="2:18" x14ac:dyDescent="0.3">
      <c r="B4753" s="126"/>
      <c r="G4753" s="137"/>
      <c r="H4753" s="138"/>
      <c r="I4753" s="138"/>
      <c r="J4753" s="139"/>
      <c r="K4753" s="137"/>
      <c r="L4753" s="137"/>
      <c r="P4753" s="137"/>
      <c r="Q4753" s="137"/>
      <c r="R4753" s="126"/>
    </row>
    <row r="4754" spans="2:18" x14ac:dyDescent="0.3">
      <c r="B4754" s="126"/>
      <c r="G4754" s="137"/>
      <c r="H4754" s="138"/>
      <c r="I4754" s="138"/>
      <c r="J4754" s="139"/>
      <c r="K4754" s="137"/>
      <c r="L4754" s="137"/>
      <c r="P4754" s="137"/>
      <c r="Q4754" s="137"/>
      <c r="R4754" s="126"/>
    </row>
    <row r="4755" spans="2:18" x14ac:dyDescent="0.3">
      <c r="B4755" s="126"/>
      <c r="G4755" s="137"/>
      <c r="H4755" s="138"/>
      <c r="I4755" s="138"/>
      <c r="J4755" s="139"/>
      <c r="K4755" s="137"/>
      <c r="L4755" s="137"/>
      <c r="P4755" s="137"/>
      <c r="Q4755" s="137"/>
      <c r="R4755" s="126"/>
    </row>
    <row r="4756" spans="2:18" x14ac:dyDescent="0.3">
      <c r="B4756" s="126"/>
      <c r="G4756" s="137"/>
      <c r="H4756" s="138"/>
      <c r="I4756" s="138"/>
      <c r="J4756" s="139"/>
      <c r="K4756" s="137"/>
      <c r="L4756" s="137"/>
      <c r="P4756" s="137"/>
      <c r="Q4756" s="137"/>
      <c r="R4756" s="126"/>
    </row>
    <row r="4757" spans="2:18" x14ac:dyDescent="0.3">
      <c r="B4757" s="126"/>
      <c r="G4757" s="137"/>
      <c r="H4757" s="138"/>
      <c r="I4757" s="138"/>
      <c r="J4757" s="139"/>
      <c r="K4757" s="137"/>
      <c r="L4757" s="137"/>
      <c r="P4757" s="137"/>
      <c r="Q4757" s="137"/>
      <c r="R4757" s="126"/>
    </row>
    <row r="4758" spans="2:18" x14ac:dyDescent="0.3">
      <c r="B4758" s="126"/>
      <c r="G4758" s="137"/>
      <c r="H4758" s="138"/>
      <c r="I4758" s="138"/>
      <c r="J4758" s="139"/>
      <c r="K4758" s="137"/>
      <c r="L4758" s="137"/>
      <c r="P4758" s="137"/>
      <c r="Q4758" s="137"/>
      <c r="R4758" s="126"/>
    </row>
    <row r="4759" spans="2:18" x14ac:dyDescent="0.3">
      <c r="B4759" s="126"/>
      <c r="G4759" s="137"/>
      <c r="H4759" s="138"/>
      <c r="I4759" s="138"/>
      <c r="J4759" s="139"/>
      <c r="K4759" s="137"/>
      <c r="L4759" s="137"/>
      <c r="P4759" s="137"/>
      <c r="Q4759" s="137"/>
      <c r="R4759" s="126"/>
    </row>
    <row r="4760" spans="2:18" x14ac:dyDescent="0.3">
      <c r="B4760" s="126"/>
      <c r="G4760" s="137"/>
      <c r="H4760" s="138"/>
      <c r="I4760" s="138"/>
      <c r="J4760" s="139"/>
      <c r="K4760" s="137"/>
      <c r="L4760" s="137"/>
      <c r="P4760" s="137"/>
      <c r="Q4760" s="137"/>
      <c r="R4760" s="126"/>
    </row>
    <row r="4761" spans="2:18" x14ac:dyDescent="0.3">
      <c r="B4761" s="126"/>
      <c r="G4761" s="137"/>
      <c r="H4761" s="138"/>
      <c r="I4761" s="138"/>
      <c r="J4761" s="139"/>
      <c r="K4761" s="137"/>
      <c r="L4761" s="137"/>
      <c r="P4761" s="137"/>
      <c r="Q4761" s="137"/>
      <c r="R4761" s="126"/>
    </row>
    <row r="4762" spans="2:18" x14ac:dyDescent="0.3">
      <c r="B4762" s="126"/>
      <c r="G4762" s="137"/>
      <c r="H4762" s="138"/>
      <c r="I4762" s="138"/>
      <c r="J4762" s="139"/>
      <c r="K4762" s="137"/>
      <c r="L4762" s="137"/>
      <c r="P4762" s="137"/>
      <c r="Q4762" s="137"/>
      <c r="R4762" s="126"/>
    </row>
    <row r="4763" spans="2:18" x14ac:dyDescent="0.3">
      <c r="B4763" s="126"/>
      <c r="G4763" s="137"/>
      <c r="H4763" s="138"/>
      <c r="I4763" s="138"/>
      <c r="J4763" s="139"/>
      <c r="K4763" s="137"/>
      <c r="L4763" s="137"/>
      <c r="P4763" s="137"/>
      <c r="Q4763" s="137"/>
      <c r="R4763" s="126"/>
    </row>
    <row r="4764" spans="2:18" x14ac:dyDescent="0.3">
      <c r="B4764" s="126"/>
      <c r="G4764" s="137"/>
      <c r="H4764" s="138"/>
      <c r="I4764" s="138"/>
      <c r="J4764" s="139"/>
      <c r="K4764" s="137"/>
      <c r="L4764" s="137"/>
      <c r="P4764" s="137"/>
      <c r="Q4764" s="137"/>
      <c r="R4764" s="126"/>
    </row>
    <row r="4765" spans="2:18" x14ac:dyDescent="0.3">
      <c r="B4765" s="126"/>
      <c r="G4765" s="137"/>
      <c r="H4765" s="138"/>
      <c r="I4765" s="138"/>
      <c r="J4765" s="139"/>
      <c r="K4765" s="137"/>
      <c r="L4765" s="137"/>
      <c r="P4765" s="137"/>
      <c r="Q4765" s="137"/>
      <c r="R4765" s="126"/>
    </row>
    <row r="4766" spans="2:18" x14ac:dyDescent="0.3">
      <c r="B4766" s="126"/>
      <c r="G4766" s="137"/>
      <c r="H4766" s="138"/>
      <c r="I4766" s="138"/>
      <c r="J4766" s="139"/>
      <c r="K4766" s="137"/>
      <c r="L4766" s="137"/>
      <c r="P4766" s="137"/>
      <c r="Q4766" s="137"/>
      <c r="R4766" s="126"/>
    </row>
    <row r="4767" spans="2:18" x14ac:dyDescent="0.3">
      <c r="B4767" s="126"/>
      <c r="G4767" s="137"/>
      <c r="H4767" s="138"/>
      <c r="I4767" s="138"/>
      <c r="J4767" s="139"/>
      <c r="K4767" s="137"/>
      <c r="L4767" s="137"/>
      <c r="P4767" s="137"/>
      <c r="Q4767" s="137"/>
      <c r="R4767" s="126"/>
    </row>
    <row r="4768" spans="2:18" x14ac:dyDescent="0.3">
      <c r="B4768" s="126"/>
      <c r="G4768" s="137"/>
      <c r="H4768" s="138"/>
      <c r="I4768" s="138"/>
      <c r="J4768" s="139"/>
      <c r="K4768" s="137"/>
      <c r="L4768" s="137"/>
      <c r="P4768" s="137"/>
      <c r="Q4768" s="137"/>
      <c r="R4768" s="126"/>
    </row>
    <row r="4769" spans="2:18" x14ac:dyDescent="0.3">
      <c r="B4769" s="126"/>
      <c r="G4769" s="137"/>
      <c r="H4769" s="138"/>
      <c r="I4769" s="138"/>
      <c r="J4769" s="139"/>
      <c r="K4769" s="137"/>
      <c r="L4769" s="137"/>
      <c r="P4769" s="137"/>
      <c r="Q4769" s="137"/>
      <c r="R4769" s="126"/>
    </row>
    <row r="4770" spans="2:18" x14ac:dyDescent="0.3">
      <c r="B4770" s="126"/>
      <c r="G4770" s="137"/>
      <c r="H4770" s="138"/>
      <c r="I4770" s="138"/>
      <c r="J4770" s="139"/>
      <c r="K4770" s="137"/>
      <c r="L4770" s="137"/>
      <c r="P4770" s="137"/>
      <c r="Q4770" s="137"/>
      <c r="R4770" s="126"/>
    </row>
    <row r="4771" spans="2:18" x14ac:dyDescent="0.3">
      <c r="B4771" s="126"/>
      <c r="G4771" s="137"/>
      <c r="H4771" s="138"/>
      <c r="I4771" s="138"/>
      <c r="J4771" s="139"/>
      <c r="K4771" s="137"/>
      <c r="L4771" s="137"/>
      <c r="P4771" s="137"/>
      <c r="Q4771" s="137"/>
      <c r="R4771" s="126"/>
    </row>
    <row r="4772" spans="2:18" x14ac:dyDescent="0.3">
      <c r="B4772" s="126"/>
      <c r="G4772" s="137"/>
      <c r="H4772" s="138"/>
      <c r="I4772" s="138"/>
      <c r="J4772" s="139"/>
      <c r="K4772" s="137"/>
      <c r="L4772" s="137"/>
      <c r="P4772" s="137"/>
      <c r="Q4772" s="137"/>
      <c r="R4772" s="126"/>
    </row>
    <row r="4773" spans="2:18" x14ac:dyDescent="0.3">
      <c r="B4773" s="126"/>
      <c r="G4773" s="137"/>
      <c r="H4773" s="138"/>
      <c r="I4773" s="138"/>
      <c r="J4773" s="139"/>
      <c r="K4773" s="137"/>
      <c r="L4773" s="137"/>
      <c r="P4773" s="137"/>
      <c r="Q4773" s="137"/>
      <c r="R4773" s="126"/>
    </row>
    <row r="4774" spans="2:18" x14ac:dyDescent="0.3">
      <c r="B4774" s="126"/>
      <c r="G4774" s="137"/>
      <c r="H4774" s="138"/>
      <c r="I4774" s="138"/>
      <c r="J4774" s="139"/>
      <c r="K4774" s="137"/>
      <c r="L4774" s="137"/>
      <c r="P4774" s="137"/>
      <c r="Q4774" s="137"/>
      <c r="R4774" s="126"/>
    </row>
    <row r="4775" spans="2:18" x14ac:dyDescent="0.3">
      <c r="B4775" s="126"/>
      <c r="G4775" s="137"/>
      <c r="H4775" s="138"/>
      <c r="I4775" s="138"/>
      <c r="J4775" s="139"/>
      <c r="K4775" s="137"/>
      <c r="L4775" s="137"/>
      <c r="P4775" s="137"/>
      <c r="Q4775" s="137"/>
      <c r="R4775" s="126"/>
    </row>
    <row r="4776" spans="2:18" x14ac:dyDescent="0.3">
      <c r="B4776" s="126"/>
      <c r="G4776" s="137"/>
      <c r="H4776" s="138"/>
      <c r="I4776" s="138"/>
      <c r="J4776" s="139"/>
      <c r="K4776" s="137"/>
      <c r="L4776" s="137"/>
      <c r="P4776" s="137"/>
      <c r="Q4776" s="137"/>
      <c r="R4776" s="126"/>
    </row>
    <row r="4777" spans="2:18" x14ac:dyDescent="0.3">
      <c r="B4777" s="126"/>
      <c r="G4777" s="137"/>
      <c r="H4777" s="138"/>
      <c r="I4777" s="138"/>
      <c r="J4777" s="139"/>
      <c r="K4777" s="137"/>
      <c r="L4777" s="137"/>
      <c r="P4777" s="137"/>
      <c r="Q4777" s="137"/>
      <c r="R4777" s="126"/>
    </row>
    <row r="4778" spans="2:18" x14ac:dyDescent="0.3">
      <c r="B4778" s="126"/>
      <c r="G4778" s="137"/>
      <c r="H4778" s="138"/>
      <c r="I4778" s="138"/>
      <c r="J4778" s="139"/>
      <c r="K4778" s="137"/>
      <c r="L4778" s="137"/>
      <c r="P4778" s="137"/>
      <c r="Q4778" s="137"/>
      <c r="R4778" s="126"/>
    </row>
    <row r="4779" spans="2:18" x14ac:dyDescent="0.3">
      <c r="B4779" s="126"/>
      <c r="G4779" s="137"/>
      <c r="H4779" s="138"/>
      <c r="I4779" s="138"/>
      <c r="J4779" s="139"/>
      <c r="K4779" s="137"/>
      <c r="L4779" s="137"/>
      <c r="P4779" s="137"/>
      <c r="Q4779" s="137"/>
      <c r="R4779" s="126"/>
    </row>
    <row r="4780" spans="2:18" x14ac:dyDescent="0.3">
      <c r="B4780" s="126"/>
      <c r="G4780" s="137"/>
      <c r="H4780" s="138"/>
      <c r="I4780" s="138"/>
      <c r="J4780" s="139"/>
      <c r="K4780" s="137"/>
      <c r="L4780" s="137"/>
      <c r="P4780" s="137"/>
      <c r="Q4780" s="137"/>
      <c r="R4780" s="126"/>
    </row>
    <row r="4781" spans="2:18" x14ac:dyDescent="0.3">
      <c r="B4781" s="126"/>
      <c r="G4781" s="137"/>
      <c r="H4781" s="138"/>
      <c r="I4781" s="138"/>
      <c r="J4781" s="139"/>
      <c r="K4781" s="137"/>
      <c r="L4781" s="137"/>
      <c r="P4781" s="137"/>
      <c r="Q4781" s="137"/>
      <c r="R4781" s="126"/>
    </row>
    <row r="4782" spans="2:18" x14ac:dyDescent="0.3">
      <c r="B4782" s="126"/>
      <c r="G4782" s="137"/>
      <c r="H4782" s="138"/>
      <c r="I4782" s="138"/>
      <c r="J4782" s="139"/>
      <c r="K4782" s="137"/>
      <c r="L4782" s="137"/>
      <c r="P4782" s="137"/>
      <c r="Q4782" s="137"/>
      <c r="R4782" s="126"/>
    </row>
    <row r="4783" spans="2:18" x14ac:dyDescent="0.3">
      <c r="B4783" s="126"/>
      <c r="G4783" s="137"/>
      <c r="H4783" s="138"/>
      <c r="I4783" s="138"/>
      <c r="J4783" s="139"/>
      <c r="K4783" s="137"/>
      <c r="L4783" s="137"/>
      <c r="P4783" s="137"/>
      <c r="Q4783" s="137"/>
      <c r="R4783" s="126"/>
    </row>
    <row r="4784" spans="2:18" x14ac:dyDescent="0.3">
      <c r="B4784" s="126"/>
      <c r="G4784" s="137"/>
      <c r="H4784" s="138"/>
      <c r="I4784" s="138"/>
      <c r="J4784" s="139"/>
      <c r="K4784" s="137"/>
      <c r="L4784" s="137"/>
      <c r="P4784" s="137"/>
      <c r="Q4784" s="137"/>
      <c r="R4784" s="126"/>
    </row>
    <row r="4785" spans="2:18" x14ac:dyDescent="0.3">
      <c r="B4785" s="126"/>
      <c r="G4785" s="137"/>
      <c r="H4785" s="138"/>
      <c r="I4785" s="138"/>
      <c r="J4785" s="139"/>
      <c r="K4785" s="137"/>
      <c r="L4785" s="137"/>
      <c r="P4785" s="137"/>
      <c r="Q4785" s="137"/>
      <c r="R4785" s="126"/>
    </row>
    <row r="4786" spans="2:18" x14ac:dyDescent="0.3">
      <c r="B4786" s="126"/>
      <c r="G4786" s="137"/>
      <c r="H4786" s="138"/>
      <c r="I4786" s="138"/>
      <c r="J4786" s="139"/>
      <c r="K4786" s="137"/>
      <c r="L4786" s="137"/>
      <c r="P4786" s="137"/>
      <c r="Q4786" s="137"/>
      <c r="R4786" s="126"/>
    </row>
    <row r="4787" spans="2:18" x14ac:dyDescent="0.3">
      <c r="B4787" s="126"/>
      <c r="G4787" s="137"/>
      <c r="H4787" s="138"/>
      <c r="I4787" s="138"/>
      <c r="J4787" s="139"/>
      <c r="K4787" s="137"/>
      <c r="L4787" s="137"/>
      <c r="P4787" s="137"/>
      <c r="Q4787" s="137"/>
      <c r="R4787" s="126"/>
    </row>
    <row r="4788" spans="2:18" x14ac:dyDescent="0.3">
      <c r="B4788" s="126"/>
      <c r="G4788" s="137"/>
      <c r="H4788" s="138"/>
      <c r="I4788" s="138"/>
      <c r="J4788" s="139"/>
      <c r="K4788" s="137"/>
      <c r="L4788" s="137"/>
      <c r="P4788" s="137"/>
      <c r="Q4788" s="137"/>
      <c r="R4788" s="126"/>
    </row>
    <row r="4789" spans="2:18" x14ac:dyDescent="0.3">
      <c r="B4789" s="126"/>
      <c r="G4789" s="137"/>
      <c r="H4789" s="138"/>
      <c r="I4789" s="138"/>
      <c r="J4789" s="139"/>
      <c r="K4789" s="137"/>
      <c r="L4789" s="137"/>
      <c r="P4789" s="137"/>
      <c r="Q4789" s="137"/>
      <c r="R4789" s="126"/>
    </row>
    <row r="4790" spans="2:18" x14ac:dyDescent="0.3">
      <c r="B4790" s="126"/>
      <c r="G4790" s="137"/>
      <c r="H4790" s="138"/>
      <c r="I4790" s="138"/>
      <c r="J4790" s="139"/>
      <c r="K4790" s="137"/>
      <c r="L4790" s="137"/>
      <c r="P4790" s="137"/>
      <c r="Q4790" s="137"/>
      <c r="R4790" s="126"/>
    </row>
    <row r="4791" spans="2:18" x14ac:dyDescent="0.3">
      <c r="B4791" s="126"/>
      <c r="G4791" s="137"/>
      <c r="H4791" s="138"/>
      <c r="I4791" s="138"/>
      <c r="J4791" s="139"/>
      <c r="K4791" s="137"/>
      <c r="L4791" s="137"/>
      <c r="P4791" s="137"/>
      <c r="Q4791" s="137"/>
      <c r="R4791" s="126"/>
    </row>
    <row r="4792" spans="2:18" x14ac:dyDescent="0.3">
      <c r="B4792" s="126"/>
      <c r="G4792" s="137"/>
      <c r="H4792" s="138"/>
      <c r="I4792" s="138"/>
      <c r="J4792" s="139"/>
      <c r="K4792" s="137"/>
      <c r="L4792" s="137"/>
      <c r="P4792" s="137"/>
      <c r="Q4792" s="137"/>
      <c r="R4792" s="126"/>
    </row>
    <row r="4793" spans="2:18" x14ac:dyDescent="0.3">
      <c r="B4793" s="126"/>
      <c r="G4793" s="137"/>
      <c r="H4793" s="138"/>
      <c r="I4793" s="138"/>
      <c r="J4793" s="139"/>
      <c r="K4793" s="137"/>
      <c r="L4793" s="137"/>
      <c r="P4793" s="137"/>
      <c r="Q4793" s="137"/>
      <c r="R4793" s="126"/>
    </row>
    <row r="4794" spans="2:18" x14ac:dyDescent="0.3">
      <c r="B4794" s="126"/>
      <c r="G4794" s="137"/>
      <c r="H4794" s="138"/>
      <c r="I4794" s="138"/>
      <c r="J4794" s="139"/>
      <c r="K4794" s="137"/>
      <c r="L4794" s="137"/>
      <c r="P4794" s="137"/>
      <c r="Q4794" s="137"/>
      <c r="R4794" s="126"/>
    </row>
    <row r="4795" spans="2:18" x14ac:dyDescent="0.3">
      <c r="B4795" s="126"/>
      <c r="G4795" s="137"/>
      <c r="H4795" s="138"/>
      <c r="I4795" s="138"/>
      <c r="J4795" s="139"/>
      <c r="K4795" s="137"/>
      <c r="L4795" s="137"/>
      <c r="P4795" s="137"/>
      <c r="Q4795" s="137"/>
      <c r="R4795" s="126"/>
    </row>
    <row r="4796" spans="2:18" x14ac:dyDescent="0.3">
      <c r="B4796" s="126"/>
      <c r="G4796" s="137"/>
      <c r="H4796" s="138"/>
      <c r="I4796" s="138"/>
      <c r="J4796" s="139"/>
      <c r="K4796" s="137"/>
      <c r="L4796" s="137"/>
      <c r="P4796" s="137"/>
      <c r="Q4796" s="137"/>
      <c r="R4796" s="126"/>
    </row>
    <row r="4797" spans="2:18" x14ac:dyDescent="0.3">
      <c r="B4797" s="126"/>
      <c r="G4797" s="137"/>
      <c r="H4797" s="138"/>
      <c r="I4797" s="138"/>
      <c r="J4797" s="139"/>
      <c r="K4797" s="137"/>
      <c r="L4797" s="137"/>
      <c r="P4797" s="137"/>
      <c r="Q4797" s="137"/>
      <c r="R4797" s="126"/>
    </row>
    <row r="4798" spans="2:18" x14ac:dyDescent="0.3">
      <c r="B4798" s="126"/>
      <c r="G4798" s="137"/>
      <c r="H4798" s="138"/>
      <c r="I4798" s="138"/>
      <c r="J4798" s="139"/>
      <c r="K4798" s="137"/>
      <c r="L4798" s="137"/>
      <c r="P4798" s="137"/>
      <c r="Q4798" s="137"/>
      <c r="R4798" s="126"/>
    </row>
    <row r="4799" spans="2:18" x14ac:dyDescent="0.3">
      <c r="B4799" s="126"/>
      <c r="G4799" s="137"/>
      <c r="H4799" s="138"/>
      <c r="I4799" s="138"/>
      <c r="J4799" s="139"/>
      <c r="K4799" s="137"/>
      <c r="L4799" s="137"/>
      <c r="P4799" s="137"/>
      <c r="Q4799" s="137"/>
      <c r="R4799" s="126"/>
    </row>
    <row r="4800" spans="2:18" x14ac:dyDescent="0.3">
      <c r="B4800" s="126"/>
      <c r="G4800" s="137"/>
      <c r="H4800" s="138"/>
      <c r="I4800" s="138"/>
      <c r="J4800" s="139"/>
      <c r="K4800" s="137"/>
      <c r="L4800" s="137"/>
      <c r="P4800" s="137"/>
      <c r="Q4800" s="137"/>
      <c r="R4800" s="126"/>
    </row>
    <row r="4801" spans="2:18" x14ac:dyDescent="0.3">
      <c r="B4801" s="126"/>
      <c r="G4801" s="137"/>
      <c r="H4801" s="138"/>
      <c r="I4801" s="138"/>
      <c r="J4801" s="139"/>
      <c r="K4801" s="137"/>
      <c r="L4801" s="137"/>
      <c r="P4801" s="137"/>
      <c r="Q4801" s="137"/>
      <c r="R4801" s="126"/>
    </row>
    <row r="4802" spans="2:18" x14ac:dyDescent="0.3">
      <c r="B4802" s="126"/>
      <c r="G4802" s="137"/>
      <c r="H4802" s="138"/>
      <c r="I4802" s="138"/>
      <c r="J4802" s="139"/>
      <c r="K4802" s="137"/>
      <c r="L4802" s="137"/>
      <c r="P4802" s="137"/>
      <c r="Q4802" s="137"/>
      <c r="R4802" s="126"/>
    </row>
    <row r="4803" spans="2:18" x14ac:dyDescent="0.3">
      <c r="B4803" s="126"/>
      <c r="G4803" s="137"/>
      <c r="H4803" s="138"/>
      <c r="I4803" s="138"/>
      <c r="J4803" s="139"/>
      <c r="K4803" s="137"/>
      <c r="L4803" s="137"/>
      <c r="P4803" s="137"/>
      <c r="Q4803" s="137"/>
      <c r="R4803" s="126"/>
    </row>
    <row r="4804" spans="2:18" x14ac:dyDescent="0.3">
      <c r="B4804" s="126"/>
      <c r="G4804" s="137"/>
      <c r="H4804" s="138"/>
      <c r="I4804" s="138"/>
      <c r="J4804" s="139"/>
      <c r="K4804" s="137"/>
      <c r="L4804" s="137"/>
      <c r="P4804" s="137"/>
      <c r="Q4804" s="137"/>
      <c r="R4804" s="126"/>
    </row>
    <row r="4805" spans="2:18" x14ac:dyDescent="0.3">
      <c r="B4805" s="126"/>
      <c r="G4805" s="137"/>
      <c r="H4805" s="138"/>
      <c r="I4805" s="138"/>
      <c r="J4805" s="139"/>
      <c r="K4805" s="137"/>
      <c r="L4805" s="137"/>
      <c r="P4805" s="137"/>
      <c r="Q4805" s="137"/>
      <c r="R4805" s="126"/>
    </row>
    <row r="4806" spans="2:18" x14ac:dyDescent="0.3">
      <c r="B4806" s="126"/>
      <c r="G4806" s="137"/>
      <c r="H4806" s="138"/>
      <c r="I4806" s="138"/>
      <c r="J4806" s="139"/>
      <c r="K4806" s="137"/>
      <c r="L4806" s="137"/>
      <c r="P4806" s="137"/>
      <c r="Q4806" s="137"/>
      <c r="R4806" s="126"/>
    </row>
    <row r="4807" spans="2:18" x14ac:dyDescent="0.3">
      <c r="B4807" s="126"/>
      <c r="G4807" s="137"/>
      <c r="H4807" s="138"/>
      <c r="I4807" s="138"/>
      <c r="J4807" s="139"/>
      <c r="K4807" s="137"/>
      <c r="L4807" s="137"/>
      <c r="P4807" s="137"/>
      <c r="Q4807" s="137"/>
      <c r="R4807" s="126"/>
    </row>
    <row r="4808" spans="2:18" x14ac:dyDescent="0.3">
      <c r="B4808" s="126"/>
      <c r="G4808" s="137"/>
      <c r="H4808" s="138"/>
      <c r="I4808" s="138"/>
      <c r="J4808" s="139"/>
      <c r="K4808" s="137"/>
      <c r="L4808" s="137"/>
      <c r="P4808" s="137"/>
      <c r="Q4808" s="137"/>
      <c r="R4808" s="126"/>
    </row>
    <row r="4809" spans="2:18" x14ac:dyDescent="0.3">
      <c r="B4809" s="126"/>
      <c r="G4809" s="137"/>
      <c r="H4809" s="138"/>
      <c r="I4809" s="138"/>
      <c r="J4809" s="139"/>
      <c r="K4809" s="137"/>
      <c r="L4809" s="137"/>
      <c r="P4809" s="137"/>
      <c r="Q4809" s="137"/>
      <c r="R4809" s="126"/>
    </row>
    <row r="4810" spans="2:18" x14ac:dyDescent="0.3">
      <c r="B4810" s="126"/>
      <c r="G4810" s="137"/>
      <c r="H4810" s="138"/>
      <c r="I4810" s="138"/>
      <c r="J4810" s="139"/>
      <c r="K4810" s="137"/>
      <c r="L4810" s="137"/>
      <c r="P4810" s="137"/>
      <c r="Q4810" s="137"/>
      <c r="R4810" s="126"/>
    </row>
    <row r="4811" spans="2:18" x14ac:dyDescent="0.3">
      <c r="B4811" s="126"/>
      <c r="G4811" s="137"/>
      <c r="H4811" s="138"/>
      <c r="I4811" s="138"/>
      <c r="J4811" s="139"/>
      <c r="K4811" s="137"/>
      <c r="L4811" s="137"/>
      <c r="P4811" s="137"/>
      <c r="Q4811" s="137"/>
      <c r="R4811" s="126"/>
    </row>
    <row r="4812" spans="2:18" x14ac:dyDescent="0.3">
      <c r="B4812" s="126"/>
      <c r="G4812" s="137"/>
      <c r="H4812" s="138"/>
      <c r="I4812" s="138"/>
      <c r="J4812" s="139"/>
      <c r="K4812" s="137"/>
      <c r="L4812" s="137"/>
      <c r="P4812" s="137"/>
      <c r="Q4812" s="137"/>
      <c r="R4812" s="126"/>
    </row>
    <row r="4813" spans="2:18" x14ac:dyDescent="0.3">
      <c r="B4813" s="126"/>
      <c r="G4813" s="137"/>
      <c r="H4813" s="138"/>
      <c r="I4813" s="138"/>
      <c r="J4813" s="139"/>
      <c r="K4813" s="137"/>
      <c r="L4813" s="137"/>
      <c r="P4813" s="137"/>
      <c r="Q4813" s="137"/>
      <c r="R4813" s="126"/>
    </row>
    <row r="4814" spans="2:18" x14ac:dyDescent="0.3">
      <c r="B4814" s="126"/>
      <c r="G4814" s="137"/>
      <c r="H4814" s="138"/>
      <c r="I4814" s="138"/>
      <c r="J4814" s="139"/>
      <c r="K4814" s="137"/>
      <c r="L4814" s="137"/>
      <c r="P4814" s="137"/>
      <c r="Q4814" s="137"/>
      <c r="R4814" s="126"/>
    </row>
    <row r="4815" spans="2:18" x14ac:dyDescent="0.3">
      <c r="B4815" s="126"/>
      <c r="G4815" s="137"/>
      <c r="H4815" s="138"/>
      <c r="I4815" s="138"/>
      <c r="J4815" s="139"/>
      <c r="K4815" s="137"/>
      <c r="L4815" s="137"/>
      <c r="P4815" s="137"/>
      <c r="Q4815" s="137"/>
      <c r="R4815" s="126"/>
    </row>
    <row r="4816" spans="2:18" x14ac:dyDescent="0.3">
      <c r="B4816" s="126"/>
      <c r="G4816" s="137"/>
      <c r="H4816" s="138"/>
      <c r="I4816" s="138"/>
      <c r="J4816" s="139"/>
      <c r="K4816" s="137"/>
      <c r="L4816" s="137"/>
      <c r="P4816" s="137"/>
      <c r="Q4816" s="137"/>
      <c r="R4816" s="126"/>
    </row>
    <row r="4817" spans="2:18" x14ac:dyDescent="0.3">
      <c r="B4817" s="126"/>
      <c r="G4817" s="137"/>
      <c r="H4817" s="138"/>
      <c r="I4817" s="138"/>
      <c r="J4817" s="139"/>
      <c r="K4817" s="137"/>
      <c r="L4817" s="137"/>
      <c r="P4817" s="137"/>
      <c r="Q4817" s="137"/>
      <c r="R4817" s="126"/>
    </row>
    <row r="4818" spans="2:18" x14ac:dyDescent="0.3">
      <c r="B4818" s="126"/>
      <c r="G4818" s="137"/>
      <c r="H4818" s="138"/>
      <c r="I4818" s="138"/>
      <c r="J4818" s="139"/>
      <c r="K4818" s="137"/>
      <c r="L4818" s="137"/>
      <c r="P4818" s="137"/>
      <c r="Q4818" s="137"/>
      <c r="R4818" s="126"/>
    </row>
    <row r="4819" spans="2:18" x14ac:dyDescent="0.3">
      <c r="B4819" s="126"/>
      <c r="G4819" s="137"/>
      <c r="H4819" s="138"/>
      <c r="I4819" s="138"/>
      <c r="J4819" s="139"/>
      <c r="K4819" s="137"/>
      <c r="L4819" s="137"/>
      <c r="P4819" s="137"/>
      <c r="Q4819" s="137"/>
      <c r="R4819" s="126"/>
    </row>
    <row r="4820" spans="2:18" x14ac:dyDescent="0.3">
      <c r="B4820" s="126"/>
      <c r="G4820" s="137"/>
      <c r="H4820" s="138"/>
      <c r="I4820" s="138"/>
      <c r="J4820" s="139"/>
      <c r="K4820" s="137"/>
      <c r="L4820" s="137"/>
      <c r="P4820" s="137"/>
      <c r="Q4820" s="137"/>
      <c r="R4820" s="126"/>
    </row>
    <row r="4821" spans="2:18" x14ac:dyDescent="0.3">
      <c r="B4821" s="126"/>
      <c r="G4821" s="137"/>
      <c r="H4821" s="138"/>
      <c r="I4821" s="138"/>
      <c r="J4821" s="139"/>
      <c r="K4821" s="137"/>
      <c r="L4821" s="137"/>
      <c r="P4821" s="137"/>
      <c r="Q4821" s="137"/>
      <c r="R4821" s="126"/>
    </row>
    <row r="4822" spans="2:18" x14ac:dyDescent="0.3">
      <c r="B4822" s="126"/>
      <c r="G4822" s="137"/>
      <c r="H4822" s="138"/>
      <c r="I4822" s="138"/>
      <c r="J4822" s="139"/>
      <c r="K4822" s="137"/>
      <c r="L4822" s="137"/>
      <c r="P4822" s="137"/>
      <c r="Q4822" s="137"/>
      <c r="R4822" s="126"/>
    </row>
    <row r="4823" spans="2:18" x14ac:dyDescent="0.3">
      <c r="B4823" s="126"/>
      <c r="G4823" s="137"/>
      <c r="H4823" s="138"/>
      <c r="I4823" s="138"/>
      <c r="J4823" s="139"/>
      <c r="K4823" s="137"/>
      <c r="L4823" s="137"/>
      <c r="P4823" s="137"/>
      <c r="Q4823" s="137"/>
      <c r="R4823" s="126"/>
    </row>
    <row r="4824" spans="2:18" x14ac:dyDescent="0.3">
      <c r="B4824" s="126"/>
      <c r="G4824" s="137"/>
      <c r="H4824" s="138"/>
      <c r="I4824" s="138"/>
      <c r="J4824" s="139"/>
      <c r="K4824" s="137"/>
      <c r="L4824" s="137"/>
      <c r="P4824" s="137"/>
      <c r="Q4824" s="137"/>
      <c r="R4824" s="126"/>
    </row>
    <row r="4825" spans="2:18" x14ac:dyDescent="0.3">
      <c r="B4825" s="126"/>
      <c r="G4825" s="137"/>
      <c r="H4825" s="138"/>
      <c r="I4825" s="138"/>
      <c r="J4825" s="139"/>
      <c r="K4825" s="137"/>
      <c r="L4825" s="137"/>
      <c r="P4825" s="137"/>
      <c r="Q4825" s="137"/>
      <c r="R4825" s="126"/>
    </row>
    <row r="4826" spans="2:18" x14ac:dyDescent="0.3">
      <c r="B4826" s="126"/>
      <c r="G4826" s="137"/>
      <c r="H4826" s="138"/>
      <c r="I4826" s="138"/>
      <c r="J4826" s="139"/>
      <c r="K4826" s="137"/>
      <c r="L4826" s="137"/>
      <c r="P4826" s="137"/>
      <c r="Q4826" s="137"/>
      <c r="R4826" s="126"/>
    </row>
    <row r="4827" spans="2:18" x14ac:dyDescent="0.3">
      <c r="B4827" s="126"/>
      <c r="G4827" s="137"/>
      <c r="H4827" s="138"/>
      <c r="I4827" s="138"/>
      <c r="J4827" s="139"/>
      <c r="K4827" s="137"/>
      <c r="L4827" s="137"/>
      <c r="P4827" s="137"/>
      <c r="Q4827" s="137"/>
      <c r="R4827" s="126"/>
    </row>
    <row r="4828" spans="2:18" x14ac:dyDescent="0.3">
      <c r="B4828" s="126"/>
      <c r="G4828" s="137"/>
      <c r="H4828" s="138"/>
      <c r="I4828" s="138"/>
      <c r="J4828" s="139"/>
      <c r="K4828" s="137"/>
      <c r="L4828" s="137"/>
      <c r="P4828" s="137"/>
      <c r="Q4828" s="137"/>
      <c r="R4828" s="126"/>
    </row>
    <row r="4829" spans="2:18" x14ac:dyDescent="0.3">
      <c r="B4829" s="126"/>
      <c r="G4829" s="137"/>
      <c r="H4829" s="138"/>
      <c r="I4829" s="138"/>
      <c r="J4829" s="139"/>
      <c r="K4829" s="137"/>
      <c r="L4829" s="137"/>
      <c r="P4829" s="137"/>
      <c r="Q4829" s="137"/>
      <c r="R4829" s="126"/>
    </row>
    <row r="4830" spans="2:18" x14ac:dyDescent="0.3">
      <c r="B4830" s="126"/>
      <c r="G4830" s="137"/>
      <c r="H4830" s="138"/>
      <c r="I4830" s="138"/>
      <c r="J4830" s="139"/>
      <c r="K4830" s="137"/>
      <c r="L4830" s="137"/>
      <c r="P4830" s="137"/>
      <c r="Q4830" s="137"/>
      <c r="R4830" s="126"/>
    </row>
    <row r="4831" spans="2:18" x14ac:dyDescent="0.3">
      <c r="B4831" s="126"/>
      <c r="G4831" s="137"/>
      <c r="H4831" s="138"/>
      <c r="I4831" s="138"/>
      <c r="J4831" s="139"/>
      <c r="K4831" s="137"/>
      <c r="L4831" s="137"/>
      <c r="P4831" s="137"/>
      <c r="Q4831" s="137"/>
      <c r="R4831" s="126"/>
    </row>
    <row r="4832" spans="2:18" x14ac:dyDescent="0.3">
      <c r="B4832" s="126"/>
      <c r="G4832" s="137"/>
      <c r="H4832" s="138"/>
      <c r="I4832" s="138"/>
      <c r="J4832" s="139"/>
      <c r="K4832" s="137"/>
      <c r="L4832" s="137"/>
      <c r="P4832" s="137"/>
      <c r="Q4832" s="137"/>
      <c r="R4832" s="126"/>
    </row>
    <row r="4833" spans="2:18" x14ac:dyDescent="0.3">
      <c r="B4833" s="126"/>
      <c r="G4833" s="137"/>
      <c r="H4833" s="138"/>
      <c r="I4833" s="138"/>
      <c r="J4833" s="139"/>
      <c r="K4833" s="137"/>
      <c r="L4833" s="137"/>
      <c r="P4833" s="137"/>
      <c r="Q4833" s="137"/>
      <c r="R4833" s="126"/>
    </row>
    <row r="4834" spans="2:18" x14ac:dyDescent="0.3">
      <c r="B4834" s="126"/>
      <c r="G4834" s="137"/>
      <c r="H4834" s="138"/>
      <c r="I4834" s="138"/>
      <c r="J4834" s="139"/>
      <c r="K4834" s="137"/>
      <c r="L4834" s="137"/>
      <c r="P4834" s="137"/>
      <c r="Q4834" s="137"/>
      <c r="R4834" s="126"/>
    </row>
    <row r="4835" spans="2:18" x14ac:dyDescent="0.3">
      <c r="B4835" s="126"/>
      <c r="G4835" s="137"/>
      <c r="H4835" s="138"/>
      <c r="I4835" s="138"/>
      <c r="J4835" s="139"/>
      <c r="K4835" s="137"/>
      <c r="L4835" s="137"/>
      <c r="P4835" s="137"/>
      <c r="Q4835" s="137"/>
      <c r="R4835" s="126"/>
    </row>
    <row r="4836" spans="2:18" x14ac:dyDescent="0.3">
      <c r="B4836" s="126"/>
      <c r="G4836" s="137"/>
      <c r="H4836" s="138"/>
      <c r="I4836" s="138"/>
      <c r="J4836" s="139"/>
      <c r="K4836" s="137"/>
      <c r="L4836" s="137"/>
      <c r="P4836" s="137"/>
      <c r="Q4836" s="137"/>
      <c r="R4836" s="126"/>
    </row>
    <row r="4837" spans="2:18" x14ac:dyDescent="0.3">
      <c r="B4837" s="126"/>
      <c r="G4837" s="137"/>
      <c r="H4837" s="138"/>
      <c r="I4837" s="138"/>
      <c r="J4837" s="139"/>
      <c r="K4837" s="137"/>
      <c r="L4837" s="137"/>
      <c r="P4837" s="137"/>
      <c r="Q4837" s="137"/>
      <c r="R4837" s="126"/>
    </row>
    <row r="4838" spans="2:18" x14ac:dyDescent="0.3">
      <c r="B4838" s="126"/>
      <c r="G4838" s="137"/>
      <c r="H4838" s="138"/>
      <c r="I4838" s="138"/>
      <c r="J4838" s="139"/>
      <c r="K4838" s="137"/>
      <c r="L4838" s="137"/>
      <c r="P4838" s="137"/>
      <c r="Q4838" s="137"/>
      <c r="R4838" s="126"/>
    </row>
    <row r="4839" spans="2:18" x14ac:dyDescent="0.3">
      <c r="B4839" s="126"/>
      <c r="G4839" s="137"/>
      <c r="H4839" s="138"/>
      <c r="I4839" s="138"/>
      <c r="J4839" s="139"/>
      <c r="K4839" s="137"/>
      <c r="L4839" s="137"/>
      <c r="P4839" s="137"/>
      <c r="Q4839" s="137"/>
      <c r="R4839" s="126"/>
    </row>
    <row r="4840" spans="2:18" x14ac:dyDescent="0.3">
      <c r="B4840" s="126"/>
      <c r="G4840" s="137"/>
      <c r="H4840" s="138"/>
      <c r="I4840" s="138"/>
      <c r="J4840" s="139"/>
      <c r="K4840" s="137"/>
      <c r="L4840" s="137"/>
      <c r="P4840" s="137"/>
      <c r="Q4840" s="137"/>
      <c r="R4840" s="126"/>
    </row>
    <row r="4841" spans="2:18" x14ac:dyDescent="0.3">
      <c r="B4841" s="126"/>
      <c r="G4841" s="137"/>
      <c r="H4841" s="138"/>
      <c r="I4841" s="138"/>
      <c r="J4841" s="139"/>
      <c r="K4841" s="137"/>
      <c r="L4841" s="137"/>
      <c r="P4841" s="137"/>
      <c r="Q4841" s="137"/>
      <c r="R4841" s="126"/>
    </row>
    <row r="4842" spans="2:18" x14ac:dyDescent="0.3">
      <c r="B4842" s="126"/>
      <c r="G4842" s="137"/>
      <c r="H4842" s="138"/>
      <c r="I4842" s="138"/>
      <c r="J4842" s="139"/>
      <c r="K4842" s="137"/>
      <c r="L4842" s="137"/>
      <c r="P4842" s="137"/>
      <c r="Q4842" s="137"/>
      <c r="R4842" s="126"/>
    </row>
    <row r="4843" spans="2:18" x14ac:dyDescent="0.3">
      <c r="B4843" s="126"/>
      <c r="G4843" s="137"/>
      <c r="H4843" s="138"/>
      <c r="I4843" s="138"/>
      <c r="J4843" s="139"/>
      <c r="K4843" s="137"/>
      <c r="L4843" s="137"/>
      <c r="P4843" s="137"/>
      <c r="Q4843" s="137"/>
      <c r="R4843" s="126"/>
    </row>
    <row r="4844" spans="2:18" x14ac:dyDescent="0.3">
      <c r="B4844" s="126"/>
      <c r="G4844" s="137"/>
      <c r="H4844" s="138"/>
      <c r="I4844" s="138"/>
      <c r="J4844" s="139"/>
      <c r="K4844" s="137"/>
      <c r="L4844" s="137"/>
      <c r="P4844" s="137"/>
      <c r="Q4844" s="137"/>
      <c r="R4844" s="126"/>
    </row>
    <row r="4845" spans="2:18" x14ac:dyDescent="0.3">
      <c r="B4845" s="126"/>
      <c r="G4845" s="137"/>
      <c r="H4845" s="138"/>
      <c r="I4845" s="138"/>
      <c r="J4845" s="139"/>
      <c r="K4845" s="137"/>
      <c r="L4845" s="137"/>
      <c r="P4845" s="137"/>
      <c r="Q4845" s="137"/>
      <c r="R4845" s="126"/>
    </row>
    <row r="4846" spans="2:18" x14ac:dyDescent="0.3">
      <c r="B4846" s="126"/>
      <c r="G4846" s="137"/>
      <c r="H4846" s="138"/>
      <c r="I4846" s="138"/>
      <c r="J4846" s="139"/>
      <c r="K4846" s="137"/>
      <c r="L4846" s="137"/>
      <c r="P4846" s="137"/>
      <c r="Q4846" s="137"/>
      <c r="R4846" s="126"/>
    </row>
    <row r="4847" spans="2:18" x14ac:dyDescent="0.3">
      <c r="B4847" s="126"/>
      <c r="G4847" s="137"/>
      <c r="H4847" s="138"/>
      <c r="I4847" s="138"/>
      <c r="J4847" s="139"/>
      <c r="K4847" s="137"/>
      <c r="L4847" s="137"/>
      <c r="P4847" s="137"/>
      <c r="Q4847" s="137"/>
      <c r="R4847" s="126"/>
    </row>
    <row r="4848" spans="2:18" x14ac:dyDescent="0.3">
      <c r="B4848" s="126"/>
      <c r="G4848" s="137"/>
      <c r="H4848" s="138"/>
      <c r="I4848" s="138"/>
      <c r="J4848" s="139"/>
      <c r="K4848" s="137"/>
      <c r="L4848" s="137"/>
      <c r="P4848" s="137"/>
      <c r="Q4848" s="137"/>
      <c r="R4848" s="126"/>
    </row>
    <row r="4849" spans="2:18" x14ac:dyDescent="0.3">
      <c r="B4849" s="126"/>
      <c r="G4849" s="137"/>
      <c r="H4849" s="138"/>
      <c r="I4849" s="138"/>
      <c r="J4849" s="139"/>
      <c r="K4849" s="137"/>
      <c r="L4849" s="137"/>
      <c r="P4849" s="137"/>
      <c r="Q4849" s="137"/>
      <c r="R4849" s="126"/>
    </row>
    <row r="4850" spans="2:18" x14ac:dyDescent="0.3">
      <c r="B4850" s="126"/>
      <c r="G4850" s="137"/>
      <c r="H4850" s="138"/>
      <c r="I4850" s="138"/>
      <c r="J4850" s="139"/>
      <c r="K4850" s="137"/>
      <c r="L4850" s="137"/>
      <c r="P4850" s="137"/>
      <c r="Q4850" s="137"/>
      <c r="R4850" s="126"/>
    </row>
    <row r="4851" spans="2:18" x14ac:dyDescent="0.3">
      <c r="B4851" s="126"/>
      <c r="G4851" s="137"/>
      <c r="H4851" s="138"/>
      <c r="I4851" s="138"/>
      <c r="J4851" s="139"/>
      <c r="K4851" s="137"/>
      <c r="L4851" s="137"/>
      <c r="P4851" s="137"/>
      <c r="Q4851" s="137"/>
      <c r="R4851" s="126"/>
    </row>
    <row r="4852" spans="2:18" x14ac:dyDescent="0.3">
      <c r="B4852" s="126"/>
      <c r="G4852" s="137"/>
      <c r="H4852" s="138"/>
      <c r="I4852" s="138"/>
      <c r="J4852" s="139"/>
      <c r="K4852" s="137"/>
      <c r="L4852" s="137"/>
      <c r="P4852" s="137"/>
      <c r="Q4852" s="137"/>
      <c r="R4852" s="126"/>
    </row>
    <row r="4853" spans="2:18" x14ac:dyDescent="0.3">
      <c r="B4853" s="126"/>
      <c r="G4853" s="137"/>
      <c r="H4853" s="138"/>
      <c r="I4853" s="138"/>
      <c r="J4853" s="139"/>
      <c r="K4853" s="137"/>
      <c r="L4853" s="137"/>
      <c r="P4853" s="137"/>
      <c r="Q4853" s="137"/>
      <c r="R4853" s="126"/>
    </row>
    <row r="4854" spans="2:18" x14ac:dyDescent="0.3">
      <c r="B4854" s="126"/>
      <c r="G4854" s="137"/>
      <c r="H4854" s="138"/>
      <c r="I4854" s="138"/>
      <c r="J4854" s="139"/>
      <c r="K4854" s="137"/>
      <c r="L4854" s="137"/>
      <c r="P4854" s="137"/>
      <c r="Q4854" s="137"/>
      <c r="R4854" s="126"/>
    </row>
    <row r="4855" spans="2:18" x14ac:dyDescent="0.3">
      <c r="B4855" s="126"/>
      <c r="G4855" s="137"/>
      <c r="H4855" s="138"/>
      <c r="I4855" s="138"/>
      <c r="J4855" s="139"/>
      <c r="K4855" s="137"/>
      <c r="L4855" s="137"/>
      <c r="P4855" s="137"/>
      <c r="Q4855" s="137"/>
      <c r="R4855" s="126"/>
    </row>
    <row r="4856" spans="2:18" x14ac:dyDescent="0.3">
      <c r="B4856" s="126"/>
      <c r="G4856" s="137"/>
      <c r="H4856" s="138"/>
      <c r="I4856" s="138"/>
      <c r="J4856" s="139"/>
      <c r="K4856" s="137"/>
      <c r="L4856" s="137"/>
      <c r="P4856" s="137"/>
      <c r="Q4856" s="137"/>
      <c r="R4856" s="126"/>
    </row>
    <row r="4857" spans="2:18" x14ac:dyDescent="0.3">
      <c r="B4857" s="126"/>
      <c r="G4857" s="137"/>
      <c r="H4857" s="138"/>
      <c r="I4857" s="138"/>
      <c r="J4857" s="139"/>
      <c r="K4857" s="137"/>
      <c r="L4857" s="137"/>
      <c r="P4857" s="137"/>
      <c r="Q4857" s="137"/>
      <c r="R4857" s="126"/>
    </row>
    <row r="4858" spans="2:18" x14ac:dyDescent="0.3">
      <c r="B4858" s="126"/>
      <c r="G4858" s="137"/>
      <c r="H4858" s="138"/>
      <c r="I4858" s="138"/>
      <c r="J4858" s="139"/>
      <c r="K4858" s="137"/>
      <c r="L4858" s="137"/>
      <c r="P4858" s="137"/>
      <c r="Q4858" s="137"/>
      <c r="R4858" s="126"/>
    </row>
    <row r="4859" spans="2:18" x14ac:dyDescent="0.3">
      <c r="B4859" s="126"/>
      <c r="G4859" s="137"/>
      <c r="H4859" s="138"/>
      <c r="I4859" s="138"/>
      <c r="J4859" s="139"/>
      <c r="K4859" s="137"/>
      <c r="L4859" s="137"/>
      <c r="P4859" s="137"/>
      <c r="Q4859" s="137"/>
      <c r="R4859" s="126"/>
    </row>
    <row r="4860" spans="2:18" x14ac:dyDescent="0.3">
      <c r="B4860" s="126"/>
      <c r="G4860" s="137"/>
      <c r="H4860" s="138"/>
      <c r="I4860" s="138"/>
      <c r="J4860" s="139"/>
      <c r="K4860" s="137"/>
      <c r="L4860" s="137"/>
      <c r="P4860" s="137"/>
      <c r="Q4860" s="137"/>
      <c r="R4860" s="126"/>
    </row>
    <row r="4861" spans="2:18" x14ac:dyDescent="0.3">
      <c r="B4861" s="126"/>
      <c r="G4861" s="137"/>
      <c r="H4861" s="138"/>
      <c r="I4861" s="138"/>
      <c r="J4861" s="139"/>
      <c r="K4861" s="137"/>
      <c r="L4861" s="137"/>
      <c r="P4861" s="137"/>
      <c r="Q4861" s="137"/>
      <c r="R4861" s="126"/>
    </row>
    <row r="4862" spans="2:18" x14ac:dyDescent="0.3">
      <c r="B4862" s="126"/>
      <c r="G4862" s="137"/>
      <c r="H4862" s="138"/>
      <c r="I4862" s="138"/>
      <c r="J4862" s="139"/>
      <c r="K4862" s="137"/>
      <c r="L4862" s="137"/>
      <c r="P4862" s="137"/>
      <c r="Q4862" s="137"/>
      <c r="R4862" s="126"/>
    </row>
    <row r="4863" spans="2:18" x14ac:dyDescent="0.3">
      <c r="B4863" s="126"/>
      <c r="G4863" s="137"/>
      <c r="H4863" s="138"/>
      <c r="I4863" s="138"/>
      <c r="J4863" s="139"/>
      <c r="K4863" s="137"/>
      <c r="L4863" s="137"/>
      <c r="P4863" s="137"/>
      <c r="Q4863" s="137"/>
      <c r="R4863" s="126"/>
    </row>
    <row r="4864" spans="2:18" x14ac:dyDescent="0.3">
      <c r="B4864" s="126"/>
      <c r="G4864" s="137"/>
      <c r="H4864" s="138"/>
      <c r="I4864" s="138"/>
      <c r="J4864" s="139"/>
      <c r="K4864" s="137"/>
      <c r="L4864" s="137"/>
      <c r="P4864" s="137"/>
      <c r="Q4864" s="137"/>
      <c r="R4864" s="126"/>
    </row>
    <row r="4865" spans="2:18" x14ac:dyDescent="0.3">
      <c r="B4865" s="126"/>
      <c r="G4865" s="137"/>
      <c r="H4865" s="138"/>
      <c r="I4865" s="138"/>
      <c r="J4865" s="139"/>
      <c r="K4865" s="137"/>
      <c r="L4865" s="137"/>
      <c r="P4865" s="137"/>
      <c r="Q4865" s="137"/>
      <c r="R4865" s="126"/>
    </row>
    <row r="4866" spans="2:18" x14ac:dyDescent="0.3">
      <c r="B4866" s="126"/>
      <c r="G4866" s="137"/>
      <c r="H4866" s="138"/>
      <c r="I4866" s="138"/>
      <c r="J4866" s="139"/>
      <c r="K4866" s="137"/>
      <c r="L4866" s="137"/>
      <c r="P4866" s="137"/>
      <c r="Q4866" s="137"/>
      <c r="R4866" s="126"/>
    </row>
    <row r="4867" spans="2:18" x14ac:dyDescent="0.3">
      <c r="B4867" s="126"/>
      <c r="G4867" s="137"/>
      <c r="H4867" s="138"/>
      <c r="I4867" s="138"/>
      <c r="J4867" s="139"/>
      <c r="K4867" s="137"/>
      <c r="L4867" s="137"/>
      <c r="P4867" s="137"/>
      <c r="Q4867" s="137"/>
      <c r="R4867" s="126"/>
    </row>
    <row r="4868" spans="2:18" x14ac:dyDescent="0.3">
      <c r="B4868" s="126"/>
      <c r="G4868" s="137"/>
      <c r="H4868" s="138"/>
      <c r="I4868" s="138"/>
      <c r="J4868" s="139"/>
      <c r="K4868" s="137"/>
      <c r="L4868" s="137"/>
      <c r="P4868" s="137"/>
      <c r="Q4868" s="137"/>
      <c r="R4868" s="126"/>
    </row>
    <row r="4869" spans="2:18" x14ac:dyDescent="0.3">
      <c r="B4869" s="126"/>
      <c r="G4869" s="137"/>
      <c r="H4869" s="138"/>
      <c r="I4869" s="138"/>
      <c r="J4869" s="139"/>
      <c r="K4869" s="137"/>
      <c r="L4869" s="137"/>
      <c r="P4869" s="137"/>
      <c r="Q4869" s="137"/>
      <c r="R4869" s="126"/>
    </row>
    <row r="4870" spans="2:18" x14ac:dyDescent="0.3">
      <c r="B4870" s="126"/>
      <c r="G4870" s="137"/>
      <c r="H4870" s="138"/>
      <c r="I4870" s="138"/>
      <c r="J4870" s="139"/>
      <c r="K4870" s="137"/>
      <c r="L4870" s="137"/>
      <c r="P4870" s="137"/>
      <c r="Q4870" s="137"/>
      <c r="R4870" s="126"/>
    </row>
    <row r="4871" spans="2:18" x14ac:dyDescent="0.3">
      <c r="B4871" s="126"/>
      <c r="G4871" s="137"/>
      <c r="H4871" s="138"/>
      <c r="I4871" s="138"/>
      <c r="J4871" s="139"/>
      <c r="K4871" s="137"/>
      <c r="L4871" s="137"/>
      <c r="P4871" s="137"/>
      <c r="Q4871" s="137"/>
      <c r="R4871" s="126"/>
    </row>
    <row r="4872" spans="2:18" x14ac:dyDescent="0.3">
      <c r="B4872" s="126"/>
      <c r="G4872" s="137"/>
      <c r="H4872" s="138"/>
      <c r="I4872" s="138"/>
      <c r="J4872" s="139"/>
      <c r="K4872" s="137"/>
      <c r="L4872" s="137"/>
      <c r="P4872" s="137"/>
      <c r="Q4872" s="137"/>
      <c r="R4872" s="126"/>
    </row>
    <row r="4873" spans="2:18" x14ac:dyDescent="0.3">
      <c r="B4873" s="126"/>
      <c r="G4873" s="137"/>
      <c r="H4873" s="138"/>
      <c r="I4873" s="138"/>
      <c r="J4873" s="139"/>
      <c r="K4873" s="137"/>
      <c r="L4873" s="137"/>
      <c r="P4873" s="137"/>
      <c r="Q4873" s="137"/>
      <c r="R4873" s="126"/>
    </row>
    <row r="4874" spans="2:18" x14ac:dyDescent="0.3">
      <c r="B4874" s="126"/>
      <c r="G4874" s="137"/>
      <c r="H4874" s="138"/>
      <c r="I4874" s="138"/>
      <c r="J4874" s="139"/>
      <c r="K4874" s="137"/>
      <c r="L4874" s="137"/>
      <c r="P4874" s="137"/>
      <c r="Q4874" s="137"/>
      <c r="R4874" s="126"/>
    </row>
    <row r="4875" spans="2:18" x14ac:dyDescent="0.3">
      <c r="B4875" s="126"/>
      <c r="G4875" s="137"/>
      <c r="H4875" s="138"/>
      <c r="I4875" s="138"/>
      <c r="J4875" s="139"/>
      <c r="K4875" s="137"/>
      <c r="L4875" s="137"/>
      <c r="P4875" s="137"/>
      <c r="Q4875" s="137"/>
      <c r="R4875" s="126"/>
    </row>
    <row r="4876" spans="2:18" x14ac:dyDescent="0.3">
      <c r="B4876" s="126"/>
      <c r="G4876" s="137"/>
      <c r="H4876" s="138"/>
      <c r="I4876" s="138"/>
      <c r="J4876" s="139"/>
      <c r="K4876" s="137"/>
      <c r="L4876" s="137"/>
      <c r="P4876" s="137"/>
      <c r="Q4876" s="137"/>
      <c r="R4876" s="126"/>
    </row>
    <row r="4877" spans="2:18" x14ac:dyDescent="0.3">
      <c r="B4877" s="126"/>
      <c r="G4877" s="137"/>
      <c r="H4877" s="138"/>
      <c r="I4877" s="138"/>
      <c r="J4877" s="139"/>
      <c r="K4877" s="137"/>
      <c r="L4877" s="137"/>
      <c r="P4877" s="137"/>
      <c r="Q4877" s="137"/>
      <c r="R4877" s="126"/>
    </row>
    <row r="4878" spans="2:18" x14ac:dyDescent="0.3">
      <c r="B4878" s="126"/>
      <c r="G4878" s="137"/>
      <c r="H4878" s="138"/>
      <c r="I4878" s="138"/>
      <c r="J4878" s="139"/>
      <c r="K4878" s="137"/>
      <c r="L4878" s="137"/>
      <c r="P4878" s="137"/>
      <c r="Q4878" s="137"/>
      <c r="R4878" s="126"/>
    </row>
    <row r="4879" spans="2:18" x14ac:dyDescent="0.3">
      <c r="B4879" s="126"/>
      <c r="G4879" s="137"/>
      <c r="H4879" s="138"/>
      <c r="I4879" s="138"/>
      <c r="J4879" s="139"/>
      <c r="K4879" s="137"/>
      <c r="L4879" s="137"/>
      <c r="P4879" s="137"/>
      <c r="Q4879" s="137"/>
      <c r="R4879" s="126"/>
    </row>
    <row r="4880" spans="2:18" x14ac:dyDescent="0.3">
      <c r="B4880" s="126"/>
      <c r="G4880" s="137"/>
      <c r="H4880" s="138"/>
      <c r="I4880" s="138"/>
      <c r="J4880" s="139"/>
      <c r="K4880" s="137"/>
      <c r="L4880" s="137"/>
      <c r="P4880" s="137"/>
      <c r="Q4880" s="137"/>
      <c r="R4880" s="126"/>
    </row>
    <row r="4881" spans="2:18" x14ac:dyDescent="0.3">
      <c r="B4881" s="126"/>
      <c r="G4881" s="137"/>
      <c r="H4881" s="138"/>
      <c r="I4881" s="138"/>
      <c r="J4881" s="139"/>
      <c r="K4881" s="137"/>
      <c r="L4881" s="137"/>
      <c r="P4881" s="137"/>
      <c r="Q4881" s="137"/>
      <c r="R4881" s="126"/>
    </row>
    <row r="4882" spans="2:18" x14ac:dyDescent="0.3">
      <c r="B4882" s="126"/>
      <c r="G4882" s="137"/>
      <c r="H4882" s="138"/>
      <c r="I4882" s="138"/>
      <c r="J4882" s="139"/>
      <c r="K4882" s="137"/>
      <c r="L4882" s="137"/>
      <c r="P4882" s="137"/>
      <c r="Q4882" s="137"/>
      <c r="R4882" s="126"/>
    </row>
    <row r="4883" spans="2:18" x14ac:dyDescent="0.3">
      <c r="B4883" s="126"/>
      <c r="G4883" s="137"/>
      <c r="H4883" s="138"/>
      <c r="I4883" s="138"/>
      <c r="J4883" s="139"/>
      <c r="K4883" s="137"/>
      <c r="L4883" s="137"/>
      <c r="P4883" s="137"/>
      <c r="Q4883" s="137"/>
      <c r="R4883" s="126"/>
    </row>
    <row r="4884" spans="2:18" x14ac:dyDescent="0.3">
      <c r="B4884" s="126"/>
      <c r="G4884" s="137"/>
      <c r="H4884" s="138"/>
      <c r="I4884" s="138"/>
      <c r="J4884" s="139"/>
      <c r="K4884" s="137"/>
      <c r="L4884" s="137"/>
      <c r="P4884" s="137"/>
      <c r="Q4884" s="137"/>
      <c r="R4884" s="126"/>
    </row>
    <row r="4885" spans="2:18" x14ac:dyDescent="0.3">
      <c r="B4885" s="126"/>
      <c r="G4885" s="137"/>
      <c r="H4885" s="138"/>
      <c r="I4885" s="138"/>
      <c r="J4885" s="139"/>
      <c r="K4885" s="137"/>
      <c r="L4885" s="137"/>
      <c r="P4885" s="137"/>
      <c r="Q4885" s="137"/>
      <c r="R4885" s="126"/>
    </row>
    <row r="4886" spans="2:18" x14ac:dyDescent="0.3">
      <c r="B4886" s="126"/>
      <c r="G4886" s="137"/>
      <c r="H4886" s="138"/>
      <c r="I4886" s="138"/>
      <c r="J4886" s="139"/>
      <c r="K4886" s="137"/>
      <c r="L4886" s="137"/>
      <c r="P4886" s="137"/>
      <c r="Q4886" s="137"/>
      <c r="R4886" s="126"/>
    </row>
    <row r="4887" spans="2:18" x14ac:dyDescent="0.3">
      <c r="B4887" s="126"/>
      <c r="G4887" s="137"/>
      <c r="H4887" s="138"/>
      <c r="I4887" s="138"/>
      <c r="J4887" s="139"/>
      <c r="K4887" s="137"/>
      <c r="L4887" s="137"/>
      <c r="P4887" s="137"/>
      <c r="Q4887" s="137"/>
      <c r="R4887" s="126"/>
    </row>
    <row r="4888" spans="2:18" x14ac:dyDescent="0.3">
      <c r="B4888" s="126"/>
      <c r="G4888" s="137"/>
      <c r="H4888" s="138"/>
      <c r="I4888" s="138"/>
      <c r="J4888" s="139"/>
      <c r="K4888" s="137"/>
      <c r="L4888" s="137"/>
      <c r="P4888" s="137"/>
      <c r="Q4888" s="137"/>
      <c r="R4888" s="126"/>
    </row>
    <row r="4889" spans="2:18" x14ac:dyDescent="0.3">
      <c r="B4889" s="126"/>
      <c r="G4889" s="137"/>
      <c r="H4889" s="138"/>
      <c r="I4889" s="138"/>
      <c r="J4889" s="139"/>
      <c r="K4889" s="137"/>
      <c r="L4889" s="137"/>
      <c r="P4889" s="137"/>
      <c r="Q4889" s="137"/>
      <c r="R4889" s="126"/>
    </row>
    <row r="4890" spans="2:18" x14ac:dyDescent="0.3">
      <c r="B4890" s="126"/>
      <c r="G4890" s="137"/>
      <c r="H4890" s="138"/>
      <c r="I4890" s="138"/>
      <c r="J4890" s="139"/>
      <c r="K4890" s="137"/>
      <c r="L4890" s="137"/>
      <c r="P4890" s="137"/>
      <c r="Q4890" s="137"/>
      <c r="R4890" s="126"/>
    </row>
    <row r="4891" spans="2:18" x14ac:dyDescent="0.3">
      <c r="B4891" s="126"/>
      <c r="G4891" s="137"/>
      <c r="H4891" s="138"/>
      <c r="I4891" s="138"/>
      <c r="J4891" s="139"/>
      <c r="K4891" s="137"/>
      <c r="L4891" s="137"/>
      <c r="P4891" s="137"/>
      <c r="Q4891" s="137"/>
      <c r="R4891" s="126"/>
    </row>
    <row r="4892" spans="2:18" x14ac:dyDescent="0.3">
      <c r="B4892" s="126"/>
      <c r="G4892" s="137"/>
      <c r="H4892" s="138"/>
      <c r="I4892" s="138"/>
      <c r="J4892" s="139"/>
      <c r="K4892" s="137"/>
      <c r="L4892" s="137"/>
      <c r="P4892" s="137"/>
      <c r="Q4892" s="137"/>
      <c r="R4892" s="126"/>
    </row>
    <row r="4893" spans="2:18" x14ac:dyDescent="0.3">
      <c r="B4893" s="126"/>
      <c r="G4893" s="137"/>
      <c r="H4893" s="138"/>
      <c r="I4893" s="138"/>
      <c r="J4893" s="139"/>
      <c r="K4893" s="137"/>
      <c r="L4893" s="137"/>
      <c r="P4893" s="137"/>
      <c r="Q4893" s="137"/>
      <c r="R4893" s="126"/>
    </row>
    <row r="4894" spans="2:18" x14ac:dyDescent="0.3">
      <c r="B4894" s="126"/>
      <c r="G4894" s="137"/>
      <c r="H4894" s="138"/>
      <c r="I4894" s="138"/>
      <c r="J4894" s="139"/>
      <c r="K4894" s="137"/>
      <c r="L4894" s="137"/>
      <c r="P4894" s="137"/>
      <c r="Q4894" s="137"/>
      <c r="R4894" s="126"/>
    </row>
    <row r="4895" spans="2:18" x14ac:dyDescent="0.3">
      <c r="B4895" s="126"/>
      <c r="G4895" s="137"/>
      <c r="H4895" s="138"/>
      <c r="I4895" s="138"/>
      <c r="J4895" s="139"/>
      <c r="K4895" s="137"/>
      <c r="L4895" s="137"/>
      <c r="P4895" s="137"/>
      <c r="Q4895" s="137"/>
      <c r="R4895" s="126"/>
    </row>
    <row r="4896" spans="2:18" x14ac:dyDescent="0.3">
      <c r="B4896" s="126"/>
      <c r="G4896" s="137"/>
      <c r="H4896" s="138"/>
      <c r="I4896" s="138"/>
      <c r="J4896" s="139"/>
      <c r="K4896" s="137"/>
      <c r="L4896" s="137"/>
      <c r="P4896" s="137"/>
      <c r="Q4896" s="137"/>
      <c r="R4896" s="126"/>
    </row>
    <row r="4897" spans="2:18" x14ac:dyDescent="0.3">
      <c r="B4897" s="126"/>
      <c r="G4897" s="137"/>
      <c r="H4897" s="138"/>
      <c r="I4897" s="138"/>
      <c r="J4897" s="139"/>
      <c r="K4897" s="137"/>
      <c r="L4897" s="137"/>
      <c r="P4897" s="137"/>
      <c r="Q4897" s="137"/>
      <c r="R4897" s="126"/>
    </row>
    <row r="4898" spans="2:18" x14ac:dyDescent="0.3">
      <c r="B4898" s="126"/>
      <c r="G4898" s="137"/>
      <c r="H4898" s="138"/>
      <c r="I4898" s="138"/>
      <c r="J4898" s="139"/>
      <c r="K4898" s="137"/>
      <c r="L4898" s="137"/>
      <c r="P4898" s="137"/>
      <c r="Q4898" s="137"/>
      <c r="R4898" s="126"/>
    </row>
    <row r="4899" spans="2:18" x14ac:dyDescent="0.3">
      <c r="B4899" s="126"/>
      <c r="G4899" s="137"/>
      <c r="H4899" s="138"/>
      <c r="I4899" s="138"/>
      <c r="J4899" s="139"/>
      <c r="K4899" s="137"/>
      <c r="L4899" s="137"/>
      <c r="P4899" s="137"/>
      <c r="Q4899" s="137"/>
      <c r="R4899" s="126"/>
    </row>
    <row r="4900" spans="2:18" x14ac:dyDescent="0.3">
      <c r="B4900" s="126"/>
      <c r="G4900" s="137"/>
      <c r="H4900" s="138"/>
      <c r="I4900" s="138"/>
      <c r="J4900" s="139"/>
      <c r="K4900" s="137"/>
      <c r="L4900" s="137"/>
      <c r="P4900" s="137"/>
      <c r="Q4900" s="137"/>
      <c r="R4900" s="126"/>
    </row>
    <row r="4901" spans="2:18" x14ac:dyDescent="0.3">
      <c r="B4901" s="126"/>
      <c r="G4901" s="137"/>
      <c r="H4901" s="138"/>
      <c r="I4901" s="138"/>
      <c r="J4901" s="139"/>
      <c r="K4901" s="137"/>
      <c r="L4901" s="137"/>
      <c r="P4901" s="137"/>
      <c r="Q4901" s="137"/>
      <c r="R4901" s="126"/>
    </row>
    <row r="4902" spans="2:18" x14ac:dyDescent="0.3">
      <c r="B4902" s="126"/>
      <c r="G4902" s="137"/>
      <c r="H4902" s="138"/>
      <c r="I4902" s="138"/>
      <c r="J4902" s="139"/>
      <c r="K4902" s="137"/>
      <c r="L4902" s="137"/>
      <c r="P4902" s="137"/>
      <c r="Q4902" s="137"/>
      <c r="R4902" s="126"/>
    </row>
    <row r="4903" spans="2:18" x14ac:dyDescent="0.3">
      <c r="B4903" s="126"/>
      <c r="G4903" s="137"/>
      <c r="H4903" s="138"/>
      <c r="I4903" s="138"/>
      <c r="J4903" s="139"/>
      <c r="K4903" s="137"/>
      <c r="L4903" s="137"/>
      <c r="P4903" s="137"/>
      <c r="Q4903" s="137"/>
      <c r="R4903" s="126"/>
    </row>
    <row r="4904" spans="2:18" x14ac:dyDescent="0.3">
      <c r="B4904" s="126"/>
      <c r="G4904" s="137"/>
      <c r="H4904" s="138"/>
      <c r="I4904" s="138"/>
      <c r="J4904" s="139"/>
      <c r="K4904" s="137"/>
      <c r="L4904" s="137"/>
      <c r="P4904" s="137"/>
      <c r="Q4904" s="137"/>
      <c r="R4904" s="126"/>
    </row>
    <row r="4905" spans="2:18" x14ac:dyDescent="0.3">
      <c r="B4905" s="126"/>
      <c r="G4905" s="137"/>
      <c r="H4905" s="138"/>
      <c r="I4905" s="138"/>
      <c r="J4905" s="139"/>
      <c r="K4905" s="137"/>
      <c r="L4905" s="137"/>
      <c r="P4905" s="137"/>
      <c r="Q4905" s="137"/>
      <c r="R4905" s="126"/>
    </row>
    <row r="4906" spans="2:18" x14ac:dyDescent="0.3">
      <c r="B4906" s="126"/>
      <c r="G4906" s="137"/>
      <c r="H4906" s="138"/>
      <c r="I4906" s="138"/>
      <c r="J4906" s="139"/>
      <c r="K4906" s="137"/>
      <c r="L4906" s="137"/>
      <c r="P4906" s="137"/>
      <c r="Q4906" s="137"/>
      <c r="R4906" s="126"/>
    </row>
    <row r="4907" spans="2:18" x14ac:dyDescent="0.3">
      <c r="B4907" s="126"/>
      <c r="G4907" s="137"/>
      <c r="H4907" s="138"/>
      <c r="I4907" s="138"/>
      <c r="J4907" s="139"/>
      <c r="K4907" s="137"/>
      <c r="L4907" s="137"/>
      <c r="P4907" s="137"/>
      <c r="Q4907" s="137"/>
      <c r="R4907" s="126"/>
    </row>
    <row r="4908" spans="2:18" x14ac:dyDescent="0.3">
      <c r="B4908" s="126"/>
      <c r="G4908" s="137"/>
      <c r="H4908" s="138"/>
      <c r="I4908" s="138"/>
      <c r="J4908" s="139"/>
      <c r="K4908" s="137"/>
      <c r="L4908" s="137"/>
      <c r="P4908" s="137"/>
      <c r="Q4908" s="137"/>
      <c r="R4908" s="126"/>
    </row>
    <row r="4909" spans="2:18" x14ac:dyDescent="0.3">
      <c r="B4909" s="126"/>
      <c r="G4909" s="137"/>
      <c r="H4909" s="138"/>
      <c r="I4909" s="138"/>
      <c r="J4909" s="139"/>
      <c r="K4909" s="137"/>
      <c r="L4909" s="137"/>
      <c r="P4909" s="137"/>
      <c r="Q4909" s="137"/>
      <c r="R4909" s="126"/>
    </row>
    <row r="4910" spans="2:18" x14ac:dyDescent="0.3">
      <c r="B4910" s="126"/>
      <c r="G4910" s="137"/>
      <c r="H4910" s="138"/>
      <c r="I4910" s="138"/>
      <c r="J4910" s="139"/>
      <c r="K4910" s="137"/>
      <c r="L4910" s="137"/>
      <c r="P4910" s="137"/>
      <c r="Q4910" s="137"/>
      <c r="R4910" s="126"/>
    </row>
    <row r="4911" spans="2:18" x14ac:dyDescent="0.3">
      <c r="B4911" s="126"/>
      <c r="G4911" s="137"/>
      <c r="H4911" s="138"/>
      <c r="I4911" s="138"/>
      <c r="J4911" s="139"/>
      <c r="K4911" s="137"/>
      <c r="L4911" s="137"/>
      <c r="P4911" s="137"/>
      <c r="Q4911" s="137"/>
      <c r="R4911" s="126"/>
    </row>
    <row r="4912" spans="2:18" x14ac:dyDescent="0.3">
      <c r="B4912" s="126"/>
      <c r="G4912" s="137"/>
      <c r="H4912" s="138"/>
      <c r="I4912" s="138"/>
      <c r="J4912" s="139"/>
      <c r="K4912" s="137"/>
      <c r="L4912" s="137"/>
      <c r="P4912" s="137"/>
      <c r="Q4912" s="137"/>
      <c r="R4912" s="126"/>
    </row>
    <row r="4913" spans="2:18" x14ac:dyDescent="0.3">
      <c r="B4913" s="126"/>
      <c r="G4913" s="137"/>
      <c r="H4913" s="138"/>
      <c r="I4913" s="138"/>
      <c r="J4913" s="139"/>
      <c r="K4913" s="137"/>
      <c r="L4913" s="137"/>
      <c r="P4913" s="137"/>
      <c r="Q4913" s="137"/>
      <c r="R4913" s="126"/>
    </row>
    <row r="4914" spans="2:18" x14ac:dyDescent="0.3">
      <c r="B4914" s="126"/>
      <c r="G4914" s="137"/>
      <c r="H4914" s="138"/>
      <c r="I4914" s="138"/>
      <c r="J4914" s="139"/>
      <c r="K4914" s="137"/>
      <c r="L4914" s="137"/>
      <c r="P4914" s="137"/>
      <c r="Q4914" s="137"/>
      <c r="R4914" s="126"/>
    </row>
    <row r="4915" spans="2:18" x14ac:dyDescent="0.3">
      <c r="B4915" s="126"/>
      <c r="G4915" s="137"/>
      <c r="H4915" s="138"/>
      <c r="I4915" s="138"/>
      <c r="J4915" s="139"/>
      <c r="K4915" s="137"/>
      <c r="L4915" s="137"/>
      <c r="P4915" s="137"/>
      <c r="Q4915" s="137"/>
      <c r="R4915" s="126"/>
    </row>
    <row r="4916" spans="2:18" x14ac:dyDescent="0.3">
      <c r="B4916" s="126"/>
      <c r="G4916" s="137"/>
      <c r="H4916" s="138"/>
      <c r="I4916" s="138"/>
      <c r="J4916" s="139"/>
      <c r="K4916" s="137"/>
      <c r="L4916" s="137"/>
      <c r="P4916" s="137"/>
      <c r="Q4916" s="137"/>
      <c r="R4916" s="126"/>
    </row>
    <row r="4917" spans="2:18" x14ac:dyDescent="0.3">
      <c r="B4917" s="126"/>
      <c r="G4917" s="137"/>
      <c r="H4917" s="138"/>
      <c r="I4917" s="138"/>
      <c r="J4917" s="139"/>
      <c r="K4917" s="137"/>
      <c r="L4917" s="137"/>
      <c r="P4917" s="137"/>
      <c r="Q4917" s="137"/>
      <c r="R4917" s="126"/>
    </row>
    <row r="4918" spans="2:18" x14ac:dyDescent="0.3">
      <c r="B4918" s="126"/>
      <c r="G4918" s="137"/>
      <c r="H4918" s="138"/>
      <c r="I4918" s="138"/>
      <c r="J4918" s="139"/>
      <c r="K4918" s="137"/>
      <c r="L4918" s="137"/>
      <c r="P4918" s="137"/>
      <c r="Q4918" s="137"/>
      <c r="R4918" s="126"/>
    </row>
    <row r="4919" spans="2:18" x14ac:dyDescent="0.3">
      <c r="B4919" s="126"/>
      <c r="G4919" s="137"/>
      <c r="H4919" s="138"/>
      <c r="I4919" s="138"/>
      <c r="J4919" s="139"/>
      <c r="K4919" s="137"/>
      <c r="L4919" s="137"/>
      <c r="P4919" s="137"/>
      <c r="Q4919" s="137"/>
      <c r="R4919" s="126"/>
    </row>
    <row r="4920" spans="2:18" x14ac:dyDescent="0.3">
      <c r="B4920" s="126"/>
      <c r="G4920" s="137"/>
      <c r="H4920" s="138"/>
      <c r="I4920" s="138"/>
      <c r="J4920" s="139"/>
      <c r="K4920" s="137"/>
      <c r="L4920" s="137"/>
      <c r="P4920" s="137"/>
      <c r="Q4920" s="137"/>
      <c r="R4920" s="126"/>
    </row>
    <row r="4921" spans="2:18" x14ac:dyDescent="0.3">
      <c r="B4921" s="126"/>
      <c r="G4921" s="137"/>
      <c r="H4921" s="138"/>
      <c r="I4921" s="138"/>
      <c r="J4921" s="139"/>
      <c r="K4921" s="137"/>
      <c r="L4921" s="137"/>
      <c r="P4921" s="137"/>
      <c r="Q4921" s="137"/>
      <c r="R4921" s="126"/>
    </row>
    <row r="4922" spans="2:18" x14ac:dyDescent="0.3">
      <c r="B4922" s="126"/>
      <c r="G4922" s="137"/>
      <c r="H4922" s="138"/>
      <c r="I4922" s="138"/>
      <c r="J4922" s="139"/>
      <c r="K4922" s="137"/>
      <c r="L4922" s="137"/>
      <c r="P4922" s="137"/>
      <c r="Q4922" s="137"/>
      <c r="R4922" s="126"/>
    </row>
    <row r="4923" spans="2:18" x14ac:dyDescent="0.3">
      <c r="B4923" s="126"/>
      <c r="G4923" s="137"/>
      <c r="H4923" s="138"/>
      <c r="I4923" s="138"/>
      <c r="J4923" s="139"/>
      <c r="K4923" s="137"/>
      <c r="L4923" s="137"/>
      <c r="P4923" s="137"/>
      <c r="Q4923" s="137"/>
      <c r="R4923" s="126"/>
    </row>
    <row r="4924" spans="2:18" x14ac:dyDescent="0.3">
      <c r="B4924" s="126"/>
      <c r="G4924" s="137"/>
      <c r="H4924" s="138"/>
      <c r="I4924" s="138"/>
      <c r="J4924" s="139"/>
      <c r="K4924" s="137"/>
      <c r="L4924" s="137"/>
      <c r="P4924" s="137"/>
      <c r="Q4924" s="137"/>
      <c r="R4924" s="126"/>
    </row>
    <row r="4925" spans="2:18" x14ac:dyDescent="0.3">
      <c r="B4925" s="126"/>
      <c r="G4925" s="137"/>
      <c r="H4925" s="138"/>
      <c r="I4925" s="138"/>
      <c r="J4925" s="139"/>
      <c r="K4925" s="137"/>
      <c r="L4925" s="137"/>
      <c r="P4925" s="137"/>
      <c r="Q4925" s="137"/>
      <c r="R4925" s="126"/>
    </row>
    <row r="4926" spans="2:18" x14ac:dyDescent="0.3">
      <c r="B4926" s="126"/>
      <c r="G4926" s="137"/>
      <c r="H4926" s="138"/>
      <c r="I4926" s="138"/>
      <c r="J4926" s="139"/>
      <c r="K4926" s="137"/>
      <c r="L4926" s="137"/>
      <c r="P4926" s="137"/>
      <c r="Q4926" s="137"/>
      <c r="R4926" s="126"/>
    </row>
    <row r="4927" spans="2:18" x14ac:dyDescent="0.3">
      <c r="B4927" s="126"/>
      <c r="G4927" s="137"/>
      <c r="H4927" s="138"/>
      <c r="I4927" s="138"/>
      <c r="J4927" s="139"/>
      <c r="K4927" s="137"/>
      <c r="L4927" s="137"/>
      <c r="P4927" s="137"/>
      <c r="Q4927" s="137"/>
      <c r="R4927" s="126"/>
    </row>
    <row r="4928" spans="2:18" x14ac:dyDescent="0.3">
      <c r="B4928" s="126"/>
      <c r="G4928" s="137"/>
      <c r="H4928" s="138"/>
      <c r="I4928" s="138"/>
      <c r="J4928" s="139"/>
      <c r="K4928" s="137"/>
      <c r="L4928" s="137"/>
      <c r="P4928" s="137"/>
      <c r="Q4928" s="137"/>
      <c r="R4928" s="126"/>
    </row>
    <row r="4929" spans="2:18" x14ac:dyDescent="0.3">
      <c r="B4929" s="126"/>
      <c r="G4929" s="137"/>
      <c r="H4929" s="138"/>
      <c r="I4929" s="138"/>
      <c r="J4929" s="139"/>
      <c r="K4929" s="137"/>
      <c r="L4929" s="137"/>
      <c r="P4929" s="137"/>
      <c r="Q4929" s="137"/>
      <c r="R4929" s="126"/>
    </row>
    <row r="4930" spans="2:18" x14ac:dyDescent="0.3">
      <c r="B4930" s="126"/>
      <c r="G4930" s="137"/>
      <c r="H4930" s="138"/>
      <c r="I4930" s="138"/>
      <c r="J4930" s="139"/>
      <c r="K4930" s="137"/>
      <c r="L4930" s="137"/>
      <c r="P4930" s="137"/>
      <c r="Q4930" s="137"/>
      <c r="R4930" s="126"/>
    </row>
    <row r="4931" spans="2:18" x14ac:dyDescent="0.3">
      <c r="B4931" s="126"/>
      <c r="G4931" s="137"/>
      <c r="H4931" s="138"/>
      <c r="I4931" s="138"/>
      <c r="J4931" s="139"/>
      <c r="K4931" s="137"/>
      <c r="L4931" s="137"/>
      <c r="P4931" s="137"/>
      <c r="Q4931" s="137"/>
      <c r="R4931" s="126"/>
    </row>
    <row r="4932" spans="2:18" x14ac:dyDescent="0.3">
      <c r="B4932" s="126"/>
      <c r="G4932" s="137"/>
      <c r="H4932" s="138"/>
      <c r="I4932" s="138"/>
      <c r="J4932" s="139"/>
      <c r="K4932" s="137"/>
      <c r="L4932" s="137"/>
      <c r="P4932" s="137"/>
      <c r="Q4932" s="137"/>
      <c r="R4932" s="126"/>
    </row>
    <row r="4933" spans="2:18" x14ac:dyDescent="0.3">
      <c r="B4933" s="126"/>
      <c r="G4933" s="137"/>
      <c r="H4933" s="138"/>
      <c r="I4933" s="138"/>
      <c r="J4933" s="139"/>
      <c r="K4933" s="137"/>
      <c r="L4933" s="137"/>
      <c r="P4933" s="137"/>
      <c r="Q4933" s="137"/>
      <c r="R4933" s="126"/>
    </row>
    <row r="4934" spans="2:18" x14ac:dyDescent="0.3">
      <c r="B4934" s="126"/>
      <c r="G4934" s="137"/>
      <c r="H4934" s="138"/>
      <c r="I4934" s="138"/>
      <c r="J4934" s="139"/>
      <c r="K4934" s="137"/>
      <c r="L4934" s="137"/>
      <c r="P4934" s="137"/>
      <c r="Q4934" s="137"/>
      <c r="R4934" s="126"/>
    </row>
    <row r="4935" spans="2:18" x14ac:dyDescent="0.3">
      <c r="B4935" s="126"/>
      <c r="G4935" s="137"/>
      <c r="H4935" s="138"/>
      <c r="I4935" s="138"/>
      <c r="J4935" s="139"/>
      <c r="K4935" s="137"/>
      <c r="L4935" s="137"/>
      <c r="P4935" s="137"/>
      <c r="Q4935" s="137"/>
      <c r="R4935" s="126"/>
    </row>
    <row r="4936" spans="2:18" x14ac:dyDescent="0.3">
      <c r="B4936" s="126"/>
      <c r="G4936" s="137"/>
      <c r="H4936" s="138"/>
      <c r="I4936" s="138"/>
      <c r="J4936" s="139"/>
      <c r="K4936" s="137"/>
      <c r="L4936" s="137"/>
      <c r="P4936" s="137"/>
      <c r="Q4936" s="137"/>
      <c r="R4936" s="126"/>
    </row>
    <row r="4937" spans="2:18" x14ac:dyDescent="0.3">
      <c r="B4937" s="126"/>
      <c r="G4937" s="137"/>
      <c r="H4937" s="138"/>
      <c r="I4937" s="138"/>
      <c r="J4937" s="139"/>
      <c r="K4937" s="137"/>
      <c r="L4937" s="137"/>
      <c r="P4937" s="137"/>
      <c r="Q4937" s="137"/>
      <c r="R4937" s="126"/>
    </row>
    <row r="4938" spans="2:18" x14ac:dyDescent="0.3">
      <c r="B4938" s="126"/>
      <c r="G4938" s="137"/>
      <c r="H4938" s="138"/>
      <c r="I4938" s="138"/>
      <c r="J4938" s="139"/>
      <c r="K4938" s="137"/>
      <c r="L4938" s="137"/>
      <c r="P4938" s="137"/>
      <c r="Q4938" s="137"/>
      <c r="R4938" s="126"/>
    </row>
    <row r="4939" spans="2:18" x14ac:dyDescent="0.3">
      <c r="B4939" s="126"/>
      <c r="G4939" s="137"/>
      <c r="H4939" s="138"/>
      <c r="I4939" s="138"/>
      <c r="J4939" s="139"/>
      <c r="K4939" s="137"/>
      <c r="L4939" s="137"/>
      <c r="P4939" s="137"/>
      <c r="Q4939" s="137"/>
      <c r="R4939" s="126"/>
    </row>
    <row r="4940" spans="2:18" x14ac:dyDescent="0.3">
      <c r="B4940" s="126"/>
      <c r="G4940" s="137"/>
      <c r="H4940" s="138"/>
      <c r="I4940" s="138"/>
      <c r="J4940" s="139"/>
      <c r="K4940" s="137"/>
      <c r="L4940" s="137"/>
      <c r="P4940" s="137"/>
      <c r="Q4940" s="137"/>
      <c r="R4940" s="126"/>
    </row>
    <row r="4941" spans="2:18" x14ac:dyDescent="0.3">
      <c r="B4941" s="126"/>
      <c r="G4941" s="137"/>
      <c r="H4941" s="138"/>
      <c r="I4941" s="138"/>
      <c r="J4941" s="139"/>
      <c r="K4941" s="137"/>
      <c r="L4941" s="137"/>
      <c r="P4941" s="137"/>
      <c r="Q4941" s="137"/>
      <c r="R4941" s="126"/>
    </row>
    <row r="4942" spans="2:18" x14ac:dyDescent="0.3">
      <c r="B4942" s="126"/>
      <c r="G4942" s="137"/>
      <c r="H4942" s="138"/>
      <c r="I4942" s="138"/>
      <c r="J4942" s="139"/>
      <c r="K4942" s="137"/>
      <c r="L4942" s="137"/>
      <c r="P4942" s="137"/>
      <c r="Q4942" s="137"/>
      <c r="R4942" s="126"/>
    </row>
    <row r="4943" spans="2:18" x14ac:dyDescent="0.3">
      <c r="B4943" s="126"/>
      <c r="G4943" s="137"/>
      <c r="H4943" s="138"/>
      <c r="I4943" s="138"/>
      <c r="J4943" s="139"/>
      <c r="K4943" s="137"/>
      <c r="L4943" s="137"/>
      <c r="P4943" s="137"/>
      <c r="Q4943" s="137"/>
      <c r="R4943" s="126"/>
    </row>
    <row r="4944" spans="2:18" x14ac:dyDescent="0.3">
      <c r="B4944" s="126"/>
      <c r="G4944" s="137"/>
      <c r="H4944" s="138"/>
      <c r="I4944" s="138"/>
      <c r="J4944" s="139"/>
      <c r="K4944" s="137"/>
      <c r="L4944" s="137"/>
      <c r="P4944" s="137"/>
      <c r="Q4944" s="137"/>
      <c r="R4944" s="126"/>
    </row>
    <row r="4945" spans="2:18" x14ac:dyDescent="0.3">
      <c r="B4945" s="126"/>
      <c r="G4945" s="137"/>
      <c r="H4945" s="138"/>
      <c r="I4945" s="138"/>
      <c r="J4945" s="139"/>
      <c r="K4945" s="137"/>
      <c r="L4945" s="137"/>
      <c r="P4945" s="137"/>
      <c r="Q4945" s="137"/>
      <c r="R4945" s="126"/>
    </row>
    <row r="4946" spans="2:18" x14ac:dyDescent="0.3">
      <c r="B4946" s="126"/>
      <c r="G4946" s="137"/>
      <c r="H4946" s="138"/>
      <c r="I4946" s="138"/>
      <c r="J4946" s="139"/>
      <c r="K4946" s="137"/>
      <c r="L4946" s="137"/>
      <c r="P4946" s="137"/>
      <c r="Q4946" s="137"/>
      <c r="R4946" s="126"/>
    </row>
    <row r="4947" spans="2:18" x14ac:dyDescent="0.3">
      <c r="B4947" s="126"/>
      <c r="G4947" s="137"/>
      <c r="H4947" s="138"/>
      <c r="I4947" s="138"/>
      <c r="J4947" s="139"/>
      <c r="K4947" s="137"/>
      <c r="L4947" s="137"/>
      <c r="P4947" s="137"/>
      <c r="Q4947" s="137"/>
      <c r="R4947" s="126"/>
    </row>
    <row r="4948" spans="2:18" x14ac:dyDescent="0.3">
      <c r="B4948" s="126"/>
      <c r="G4948" s="137"/>
      <c r="H4948" s="138"/>
      <c r="I4948" s="138"/>
      <c r="J4948" s="139"/>
      <c r="K4948" s="137"/>
      <c r="L4948" s="137"/>
      <c r="P4948" s="137"/>
      <c r="Q4948" s="137"/>
      <c r="R4948" s="126"/>
    </row>
    <row r="4949" spans="2:18" x14ac:dyDescent="0.3">
      <c r="B4949" s="126"/>
      <c r="G4949" s="137"/>
      <c r="H4949" s="138"/>
      <c r="I4949" s="138"/>
      <c r="J4949" s="139"/>
      <c r="K4949" s="137"/>
      <c r="L4949" s="137"/>
      <c r="P4949" s="137"/>
      <c r="Q4949" s="137"/>
      <c r="R4949" s="126"/>
    </row>
    <row r="4950" spans="2:18" x14ac:dyDescent="0.3">
      <c r="B4950" s="126"/>
      <c r="G4950" s="137"/>
      <c r="H4950" s="138"/>
      <c r="I4950" s="138"/>
      <c r="J4950" s="139"/>
      <c r="K4950" s="137"/>
      <c r="L4950" s="137"/>
      <c r="P4950" s="137"/>
      <c r="Q4950" s="137"/>
      <c r="R4950" s="126"/>
    </row>
    <row r="4951" spans="2:18" x14ac:dyDescent="0.3">
      <c r="B4951" s="126"/>
      <c r="G4951" s="137"/>
      <c r="H4951" s="138"/>
      <c r="I4951" s="138"/>
      <c r="J4951" s="139"/>
      <c r="K4951" s="137"/>
      <c r="L4951" s="137"/>
      <c r="P4951" s="137"/>
      <c r="Q4951" s="137"/>
      <c r="R4951" s="126"/>
    </row>
    <row r="4952" spans="2:18" x14ac:dyDescent="0.3">
      <c r="B4952" s="126"/>
      <c r="G4952" s="137"/>
      <c r="H4952" s="138"/>
      <c r="I4952" s="138"/>
      <c r="J4952" s="139"/>
      <c r="K4952" s="137"/>
      <c r="L4952" s="137"/>
      <c r="P4952" s="137"/>
      <c r="Q4952" s="137"/>
      <c r="R4952" s="126"/>
    </row>
    <row r="4953" spans="2:18" x14ac:dyDescent="0.3">
      <c r="B4953" s="126"/>
      <c r="G4953" s="137"/>
      <c r="H4953" s="138"/>
      <c r="I4953" s="138"/>
      <c r="J4953" s="139"/>
      <c r="K4953" s="137"/>
      <c r="L4953" s="137"/>
      <c r="P4953" s="137"/>
      <c r="Q4953" s="137"/>
      <c r="R4953" s="126"/>
    </row>
    <row r="4954" spans="2:18" x14ac:dyDescent="0.3">
      <c r="B4954" s="126"/>
      <c r="G4954" s="137"/>
      <c r="H4954" s="138"/>
      <c r="I4954" s="138"/>
      <c r="J4954" s="139"/>
      <c r="K4954" s="137"/>
      <c r="L4954" s="137"/>
      <c r="P4954" s="137"/>
      <c r="Q4954" s="137"/>
      <c r="R4954" s="126"/>
    </row>
    <row r="4955" spans="2:18" x14ac:dyDescent="0.3">
      <c r="B4955" s="126"/>
      <c r="G4955" s="137"/>
      <c r="H4955" s="138"/>
      <c r="I4955" s="138"/>
      <c r="J4955" s="139"/>
      <c r="K4955" s="137"/>
      <c r="L4955" s="137"/>
      <c r="P4955" s="137"/>
      <c r="Q4955" s="137"/>
      <c r="R4955" s="126"/>
    </row>
    <row r="4956" spans="2:18" x14ac:dyDescent="0.3">
      <c r="B4956" s="126"/>
      <c r="G4956" s="137"/>
      <c r="H4956" s="138"/>
      <c r="I4956" s="138"/>
      <c r="J4956" s="139"/>
      <c r="K4956" s="137"/>
      <c r="L4956" s="137"/>
      <c r="P4956" s="137"/>
      <c r="Q4956" s="137"/>
      <c r="R4956" s="126"/>
    </row>
    <row r="4957" spans="2:18" x14ac:dyDescent="0.3">
      <c r="B4957" s="126"/>
      <c r="G4957" s="137"/>
      <c r="H4957" s="138"/>
      <c r="I4957" s="138"/>
      <c r="J4957" s="139"/>
      <c r="K4957" s="137"/>
      <c r="L4957" s="137"/>
      <c r="P4957" s="137"/>
      <c r="Q4957" s="137"/>
      <c r="R4957" s="126"/>
    </row>
    <row r="4958" spans="2:18" x14ac:dyDescent="0.3">
      <c r="B4958" s="126"/>
      <c r="G4958" s="137"/>
      <c r="H4958" s="138"/>
      <c r="I4958" s="138"/>
      <c r="J4958" s="139"/>
      <c r="K4958" s="137"/>
      <c r="L4958" s="137"/>
      <c r="P4958" s="137"/>
      <c r="Q4958" s="137"/>
      <c r="R4958" s="126"/>
    </row>
    <row r="4959" spans="2:18" x14ac:dyDescent="0.3">
      <c r="B4959" s="126"/>
      <c r="G4959" s="137"/>
      <c r="H4959" s="138"/>
      <c r="I4959" s="138"/>
      <c r="J4959" s="139"/>
      <c r="K4959" s="137"/>
      <c r="L4959" s="137"/>
      <c r="P4959" s="137"/>
      <c r="Q4959" s="137"/>
      <c r="R4959" s="126"/>
    </row>
    <row r="4960" spans="2:18" x14ac:dyDescent="0.3">
      <c r="B4960" s="126"/>
      <c r="G4960" s="137"/>
      <c r="H4960" s="138"/>
      <c r="I4960" s="138"/>
      <c r="J4960" s="139"/>
      <c r="K4960" s="137"/>
      <c r="L4960" s="137"/>
      <c r="P4960" s="137"/>
      <c r="Q4960" s="137"/>
      <c r="R4960" s="126"/>
    </row>
    <row r="4961" spans="2:18" x14ac:dyDescent="0.3">
      <c r="B4961" s="126"/>
      <c r="G4961" s="137"/>
      <c r="H4961" s="138"/>
      <c r="I4961" s="138"/>
      <c r="J4961" s="139"/>
      <c r="K4961" s="137"/>
      <c r="L4961" s="137"/>
      <c r="P4961" s="137"/>
      <c r="Q4961" s="137"/>
      <c r="R4961" s="126"/>
    </row>
    <row r="4962" spans="2:18" x14ac:dyDescent="0.3">
      <c r="B4962" s="126"/>
      <c r="G4962" s="137"/>
      <c r="H4962" s="138"/>
      <c r="I4962" s="138"/>
      <c r="J4962" s="139"/>
      <c r="K4962" s="137"/>
      <c r="L4962" s="137"/>
      <c r="P4962" s="137"/>
      <c r="Q4962" s="137"/>
      <c r="R4962" s="126"/>
    </row>
    <row r="4963" spans="2:18" x14ac:dyDescent="0.3">
      <c r="B4963" s="126"/>
      <c r="G4963" s="137"/>
      <c r="H4963" s="138"/>
      <c r="I4963" s="138"/>
      <c r="J4963" s="139"/>
      <c r="K4963" s="137"/>
      <c r="L4963" s="137"/>
      <c r="P4963" s="137"/>
      <c r="Q4963" s="137"/>
      <c r="R4963" s="126"/>
    </row>
    <row r="4964" spans="2:18" x14ac:dyDescent="0.3">
      <c r="B4964" s="126"/>
      <c r="G4964" s="137"/>
      <c r="H4964" s="138"/>
      <c r="I4964" s="138"/>
      <c r="J4964" s="139"/>
      <c r="K4964" s="137"/>
      <c r="L4964" s="137"/>
      <c r="P4964" s="137"/>
      <c r="Q4964" s="137"/>
      <c r="R4964" s="126"/>
    </row>
    <row r="4965" spans="2:18" x14ac:dyDescent="0.3">
      <c r="B4965" s="126"/>
      <c r="G4965" s="137"/>
      <c r="H4965" s="138"/>
      <c r="I4965" s="138"/>
      <c r="J4965" s="139"/>
      <c r="K4965" s="137"/>
      <c r="L4965" s="137"/>
      <c r="P4965" s="137"/>
      <c r="Q4965" s="137"/>
      <c r="R4965" s="126"/>
    </row>
    <row r="4966" spans="2:18" x14ac:dyDescent="0.3">
      <c r="B4966" s="126"/>
      <c r="G4966" s="137"/>
      <c r="H4966" s="138"/>
      <c r="I4966" s="138"/>
      <c r="J4966" s="139"/>
      <c r="K4966" s="137"/>
      <c r="L4966" s="137"/>
      <c r="P4966" s="137"/>
      <c r="Q4966" s="137"/>
      <c r="R4966" s="126"/>
    </row>
    <row r="4967" spans="2:18" x14ac:dyDescent="0.3">
      <c r="B4967" s="126"/>
      <c r="G4967" s="137"/>
      <c r="H4967" s="138"/>
      <c r="I4967" s="138"/>
      <c r="J4967" s="139"/>
      <c r="K4967" s="137"/>
      <c r="L4967" s="137"/>
      <c r="P4967" s="137"/>
      <c r="Q4967" s="137"/>
      <c r="R4967" s="126"/>
    </row>
    <row r="4968" spans="2:18" x14ac:dyDescent="0.3">
      <c r="B4968" s="126"/>
      <c r="G4968" s="137"/>
      <c r="H4968" s="138"/>
      <c r="I4968" s="138"/>
      <c r="J4968" s="139"/>
      <c r="K4968" s="137"/>
      <c r="L4968" s="137"/>
      <c r="P4968" s="137"/>
      <c r="Q4968" s="137"/>
      <c r="R4968" s="126"/>
    </row>
    <row r="4969" spans="2:18" x14ac:dyDescent="0.3">
      <c r="B4969" s="126"/>
      <c r="G4969" s="137"/>
      <c r="H4969" s="138"/>
      <c r="I4969" s="138"/>
      <c r="J4969" s="139"/>
      <c r="K4969" s="137"/>
      <c r="L4969" s="137"/>
      <c r="P4969" s="137"/>
      <c r="Q4969" s="137"/>
      <c r="R4969" s="126"/>
    </row>
    <row r="4970" spans="2:18" x14ac:dyDescent="0.3">
      <c r="B4970" s="126"/>
      <c r="G4970" s="137"/>
      <c r="H4970" s="138"/>
      <c r="I4970" s="138"/>
      <c r="J4970" s="139"/>
      <c r="K4970" s="137"/>
      <c r="L4970" s="137"/>
      <c r="P4970" s="137"/>
      <c r="Q4970" s="137"/>
      <c r="R4970" s="126"/>
    </row>
    <row r="4971" spans="2:18" x14ac:dyDescent="0.3">
      <c r="B4971" s="126"/>
      <c r="G4971" s="137"/>
      <c r="H4971" s="138"/>
      <c r="I4971" s="138"/>
      <c r="J4971" s="139"/>
      <c r="K4971" s="137"/>
      <c r="L4971" s="137"/>
      <c r="P4971" s="137"/>
      <c r="Q4971" s="137"/>
      <c r="R4971" s="126"/>
    </row>
    <row r="4972" spans="2:18" x14ac:dyDescent="0.3">
      <c r="B4972" s="126"/>
      <c r="G4972" s="137"/>
      <c r="H4972" s="138"/>
      <c r="I4972" s="138"/>
      <c r="J4972" s="139"/>
      <c r="K4972" s="137"/>
      <c r="L4972" s="137"/>
      <c r="P4972" s="137"/>
      <c r="Q4972" s="137"/>
      <c r="R4972" s="126"/>
    </row>
    <row r="4973" spans="2:18" x14ac:dyDescent="0.3">
      <c r="B4973" s="126"/>
      <c r="G4973" s="137"/>
      <c r="H4973" s="138"/>
      <c r="I4973" s="138"/>
      <c r="J4973" s="139"/>
      <c r="K4973" s="137"/>
      <c r="L4973" s="137"/>
      <c r="P4973" s="137"/>
      <c r="Q4973" s="137"/>
      <c r="R4973" s="126"/>
    </row>
    <row r="4974" spans="2:18" x14ac:dyDescent="0.3">
      <c r="B4974" s="126"/>
      <c r="G4974" s="137"/>
      <c r="H4974" s="138"/>
      <c r="I4974" s="138"/>
      <c r="J4974" s="139"/>
      <c r="K4974" s="137"/>
      <c r="L4974" s="137"/>
      <c r="P4974" s="137"/>
      <c r="Q4974" s="137"/>
      <c r="R4974" s="126"/>
    </row>
    <row r="4975" spans="2:18" x14ac:dyDescent="0.3">
      <c r="B4975" s="126"/>
      <c r="G4975" s="137"/>
      <c r="H4975" s="138"/>
      <c r="I4975" s="138"/>
      <c r="J4975" s="139"/>
      <c r="K4975" s="137"/>
      <c r="L4975" s="137"/>
      <c r="P4975" s="137"/>
      <c r="Q4975" s="137"/>
      <c r="R4975" s="126"/>
    </row>
    <row r="4976" spans="2:18" x14ac:dyDescent="0.3">
      <c r="B4976" s="126"/>
      <c r="G4976" s="137"/>
      <c r="H4976" s="138"/>
      <c r="I4976" s="138"/>
      <c r="J4976" s="139"/>
      <c r="K4976" s="137"/>
      <c r="L4976" s="137"/>
      <c r="P4976" s="137"/>
      <c r="Q4976" s="137"/>
      <c r="R4976" s="126"/>
    </row>
    <row r="4977" spans="2:18" x14ac:dyDescent="0.3">
      <c r="B4977" s="126"/>
      <c r="G4977" s="137"/>
      <c r="H4977" s="138"/>
      <c r="I4977" s="138"/>
      <c r="J4977" s="139"/>
      <c r="K4977" s="137"/>
      <c r="L4977" s="137"/>
      <c r="P4977" s="137"/>
      <c r="Q4977" s="137"/>
      <c r="R4977" s="126"/>
    </row>
    <row r="4978" spans="2:18" x14ac:dyDescent="0.3">
      <c r="B4978" s="126"/>
      <c r="G4978" s="137"/>
      <c r="H4978" s="138"/>
      <c r="I4978" s="138"/>
      <c r="J4978" s="139"/>
      <c r="K4978" s="137"/>
      <c r="L4978" s="137"/>
      <c r="P4978" s="137"/>
      <c r="Q4978" s="137"/>
      <c r="R4978" s="126"/>
    </row>
    <row r="4979" spans="2:18" x14ac:dyDescent="0.3">
      <c r="B4979" s="126"/>
      <c r="G4979" s="137"/>
      <c r="H4979" s="138"/>
      <c r="I4979" s="138"/>
      <c r="J4979" s="139"/>
      <c r="K4979" s="137"/>
      <c r="L4979" s="137"/>
      <c r="P4979" s="137"/>
      <c r="Q4979" s="137"/>
      <c r="R4979" s="126"/>
    </row>
    <row r="4980" spans="2:18" x14ac:dyDescent="0.3">
      <c r="B4980" s="126"/>
      <c r="G4980" s="137"/>
      <c r="H4980" s="138"/>
      <c r="I4980" s="138"/>
      <c r="J4980" s="139"/>
      <c r="K4980" s="137"/>
      <c r="L4980" s="137"/>
      <c r="P4980" s="137"/>
      <c r="Q4980" s="137"/>
      <c r="R4980" s="126"/>
    </row>
    <row r="4981" spans="2:18" x14ac:dyDescent="0.3">
      <c r="B4981" s="126"/>
      <c r="G4981" s="137"/>
      <c r="H4981" s="138"/>
      <c r="I4981" s="138"/>
      <c r="J4981" s="139"/>
      <c r="K4981" s="137"/>
      <c r="L4981" s="137"/>
      <c r="P4981" s="137"/>
      <c r="Q4981" s="137"/>
      <c r="R4981" s="126"/>
    </row>
    <row r="4982" spans="2:18" x14ac:dyDescent="0.3">
      <c r="B4982" s="126"/>
      <c r="G4982" s="137"/>
      <c r="H4982" s="138"/>
      <c r="I4982" s="138"/>
      <c r="J4982" s="139"/>
      <c r="K4982" s="137"/>
      <c r="L4982" s="137"/>
      <c r="P4982" s="137"/>
      <c r="Q4982" s="137"/>
      <c r="R4982" s="126"/>
    </row>
    <row r="4983" spans="2:18" x14ac:dyDescent="0.3">
      <c r="B4983" s="126"/>
      <c r="G4983" s="137"/>
      <c r="H4983" s="138"/>
      <c r="I4983" s="138"/>
      <c r="J4983" s="139"/>
      <c r="K4983" s="137"/>
      <c r="L4983" s="137"/>
      <c r="P4983" s="137"/>
      <c r="Q4983" s="137"/>
      <c r="R4983" s="126"/>
    </row>
    <row r="4984" spans="2:18" x14ac:dyDescent="0.3">
      <c r="B4984" s="126"/>
      <c r="G4984" s="137"/>
      <c r="H4984" s="138"/>
      <c r="I4984" s="138"/>
      <c r="J4984" s="139"/>
      <c r="K4984" s="137"/>
      <c r="L4984" s="137"/>
      <c r="P4984" s="137"/>
      <c r="Q4984" s="137"/>
      <c r="R4984" s="126"/>
    </row>
    <row r="4985" spans="2:18" x14ac:dyDescent="0.3">
      <c r="B4985" s="126"/>
      <c r="G4985" s="137"/>
      <c r="H4985" s="138"/>
      <c r="I4985" s="138"/>
      <c r="J4985" s="139"/>
      <c r="K4985" s="137"/>
      <c r="L4985" s="137"/>
      <c r="P4985" s="137"/>
      <c r="Q4985" s="137"/>
      <c r="R4985" s="126"/>
    </row>
    <row r="4986" spans="2:18" x14ac:dyDescent="0.3">
      <c r="B4986" s="126"/>
      <c r="G4986" s="137"/>
      <c r="H4986" s="138"/>
      <c r="I4986" s="138"/>
      <c r="J4986" s="139"/>
      <c r="K4986" s="137"/>
      <c r="L4986" s="137"/>
      <c r="P4986" s="137"/>
      <c r="Q4986" s="137"/>
      <c r="R4986" s="126"/>
    </row>
    <row r="4987" spans="2:18" x14ac:dyDescent="0.3">
      <c r="B4987" s="126"/>
      <c r="G4987" s="137"/>
      <c r="H4987" s="138"/>
      <c r="I4987" s="138"/>
      <c r="J4987" s="139"/>
      <c r="K4987" s="137"/>
      <c r="L4987" s="137"/>
      <c r="P4987" s="137"/>
      <c r="Q4987" s="137"/>
      <c r="R4987" s="126"/>
    </row>
    <row r="4988" spans="2:18" x14ac:dyDescent="0.3">
      <c r="B4988" s="126"/>
      <c r="G4988" s="137"/>
      <c r="H4988" s="138"/>
      <c r="I4988" s="138"/>
      <c r="J4988" s="139"/>
      <c r="K4988" s="137"/>
      <c r="L4988" s="137"/>
      <c r="P4988" s="137"/>
      <c r="Q4988" s="137"/>
      <c r="R4988" s="126"/>
    </row>
    <row r="4989" spans="2:18" x14ac:dyDescent="0.3">
      <c r="B4989" s="126"/>
      <c r="G4989" s="137"/>
      <c r="H4989" s="138"/>
      <c r="I4989" s="138"/>
      <c r="J4989" s="139"/>
      <c r="K4989" s="137"/>
      <c r="L4989" s="137"/>
      <c r="P4989" s="137"/>
      <c r="Q4989" s="137"/>
      <c r="R4989" s="126"/>
    </row>
    <row r="4990" spans="2:18" x14ac:dyDescent="0.3">
      <c r="B4990" s="126"/>
      <c r="G4990" s="137"/>
      <c r="H4990" s="138"/>
      <c r="I4990" s="138"/>
      <c r="J4990" s="139"/>
      <c r="K4990" s="137"/>
      <c r="L4990" s="137"/>
      <c r="P4990" s="137"/>
      <c r="Q4990" s="137"/>
      <c r="R4990" s="126"/>
    </row>
    <row r="4991" spans="2:18" x14ac:dyDescent="0.3">
      <c r="B4991" s="126"/>
      <c r="G4991" s="137"/>
      <c r="H4991" s="138"/>
      <c r="I4991" s="138"/>
      <c r="J4991" s="139"/>
      <c r="K4991" s="137"/>
      <c r="L4991" s="137"/>
      <c r="P4991" s="137"/>
      <c r="Q4991" s="137"/>
      <c r="R4991" s="126"/>
    </row>
    <row r="4992" spans="2:18" x14ac:dyDescent="0.3">
      <c r="B4992" s="126"/>
      <c r="G4992" s="137"/>
      <c r="H4992" s="138"/>
      <c r="I4992" s="138"/>
      <c r="J4992" s="139"/>
      <c r="K4992" s="137"/>
      <c r="L4992" s="137"/>
      <c r="P4992" s="137"/>
      <c r="Q4992" s="137"/>
      <c r="R4992" s="126"/>
    </row>
    <row r="4993" spans="2:18" x14ac:dyDescent="0.3">
      <c r="B4993" s="126"/>
      <c r="G4993" s="137"/>
      <c r="H4993" s="138"/>
      <c r="I4993" s="138"/>
      <c r="J4993" s="139"/>
      <c r="K4993" s="137"/>
      <c r="L4993" s="137"/>
      <c r="P4993" s="137"/>
      <c r="Q4993" s="137"/>
      <c r="R4993" s="126"/>
    </row>
    <row r="4994" spans="2:18" x14ac:dyDescent="0.3">
      <c r="B4994" s="126"/>
      <c r="G4994" s="137"/>
      <c r="H4994" s="138"/>
      <c r="I4994" s="138"/>
      <c r="J4994" s="139"/>
      <c r="K4994" s="137"/>
      <c r="L4994" s="137"/>
      <c r="P4994" s="137"/>
      <c r="Q4994" s="137"/>
      <c r="R4994" s="126"/>
    </row>
    <row r="4995" spans="2:18" x14ac:dyDescent="0.3">
      <c r="B4995" s="126"/>
      <c r="G4995" s="137"/>
      <c r="H4995" s="138"/>
      <c r="I4995" s="138"/>
      <c r="J4995" s="139"/>
      <c r="K4995" s="137"/>
      <c r="L4995" s="137"/>
      <c r="P4995" s="137"/>
      <c r="Q4995" s="137"/>
      <c r="R4995" s="126"/>
    </row>
    <row r="4996" spans="2:18" x14ac:dyDescent="0.3">
      <c r="B4996" s="126"/>
      <c r="G4996" s="137"/>
      <c r="H4996" s="138"/>
      <c r="I4996" s="138"/>
      <c r="J4996" s="139"/>
      <c r="K4996" s="137"/>
      <c r="L4996" s="137"/>
      <c r="P4996" s="137"/>
      <c r="Q4996" s="137"/>
      <c r="R4996" s="126"/>
    </row>
    <row r="4997" spans="2:18" x14ac:dyDescent="0.3">
      <c r="B4997" s="126"/>
      <c r="G4997" s="137"/>
      <c r="H4997" s="138"/>
      <c r="I4997" s="138"/>
      <c r="J4997" s="139"/>
      <c r="K4997" s="137"/>
      <c r="L4997" s="137"/>
      <c r="P4997" s="137"/>
      <c r="Q4997" s="137"/>
      <c r="R4997" s="126"/>
    </row>
    <row r="4998" spans="2:18" x14ac:dyDescent="0.3">
      <c r="B4998" s="126"/>
      <c r="G4998" s="137"/>
      <c r="H4998" s="138"/>
      <c r="I4998" s="138"/>
      <c r="J4998" s="139"/>
      <c r="K4998" s="137"/>
      <c r="L4998" s="137"/>
      <c r="P4998" s="137"/>
      <c r="Q4998" s="137"/>
      <c r="R4998" s="126"/>
    </row>
    <row r="4999" spans="2:18" x14ac:dyDescent="0.3">
      <c r="B4999" s="126"/>
      <c r="G4999" s="137"/>
      <c r="H4999" s="138"/>
      <c r="I4999" s="138"/>
      <c r="J4999" s="139"/>
      <c r="K4999" s="137"/>
      <c r="L4999" s="137"/>
      <c r="P4999" s="137"/>
      <c r="Q4999" s="137"/>
      <c r="R4999" s="126"/>
    </row>
    <row r="5000" spans="2:18" x14ac:dyDescent="0.3">
      <c r="B5000" s="126"/>
      <c r="G5000" s="137"/>
      <c r="H5000" s="138"/>
      <c r="I5000" s="138"/>
      <c r="J5000" s="139"/>
      <c r="K5000" s="137"/>
      <c r="L5000" s="137"/>
      <c r="P5000" s="137"/>
      <c r="Q5000" s="137"/>
      <c r="R5000" s="126"/>
    </row>
    <row r="5001" spans="2:18" x14ac:dyDescent="0.3">
      <c r="B5001" s="126"/>
      <c r="G5001" s="137"/>
      <c r="H5001" s="138"/>
      <c r="I5001" s="138"/>
      <c r="J5001" s="139"/>
      <c r="K5001" s="137"/>
      <c r="L5001" s="137"/>
      <c r="P5001" s="137"/>
      <c r="Q5001" s="137"/>
      <c r="R5001" s="126"/>
    </row>
  </sheetData>
  <sheetProtection algorithmName="SHA-512" hashValue="bc4sjYz9Zx1Dyx8KYRHtlgTNe5gNX/VCDGp1qVUeynRXzoCkn6OFFHlWjTXEjaDY5qE81QXfi2em2xxAOM19OQ==" saltValue="DiHPGVYZn5s/Cpe9Z/gh2A==" spinCount="100000" sheet="1" scenarios="1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40"/>
  <sheetViews>
    <sheetView showGridLines="0" topLeftCell="A3" workbookViewId="0">
      <selection activeCell="AA25" sqref="AA25"/>
    </sheetView>
  </sheetViews>
  <sheetFormatPr defaultColWidth="8.88671875" defaultRowHeight="14.4" x14ac:dyDescent="0.3"/>
  <cols>
    <col min="1" max="1" width="25.33203125" style="1" customWidth="1"/>
    <col min="2" max="2" width="16.77734375" style="30" customWidth="1"/>
    <col min="3" max="3" width="22.77734375" style="30" customWidth="1"/>
    <col min="4" max="6" width="13.77734375" style="30" customWidth="1"/>
    <col min="7" max="12" width="16.33203125" style="30" customWidth="1"/>
    <col min="13" max="13" width="22.21875" style="30" customWidth="1"/>
    <col min="14" max="15" width="16.33203125" style="30" customWidth="1"/>
    <col min="16" max="16" width="22.5546875" style="30" customWidth="1"/>
    <col min="17" max="20" width="16.33203125" style="30" customWidth="1"/>
    <col min="21" max="21" width="13.77734375" style="30" hidden="1" customWidth="1"/>
    <col min="22" max="22" width="14.77734375" style="30" customWidth="1"/>
    <col min="23" max="23" width="16.77734375" style="30" customWidth="1"/>
    <col min="24" max="24" width="30.77734375" style="30" customWidth="1"/>
    <col min="25" max="25" width="12.77734375" style="30" customWidth="1"/>
    <col min="26" max="26" width="14.77734375" style="30" customWidth="1"/>
    <col min="27" max="27" width="26.77734375" style="30" customWidth="1"/>
    <col min="28" max="28" width="18.77734375" style="30" hidden="1" customWidth="1"/>
    <col min="29" max="30" width="16.77734375" style="30" customWidth="1"/>
    <col min="31" max="32" width="13.77734375" style="30" customWidth="1"/>
    <col min="33" max="16384" width="8.88671875" style="1"/>
  </cols>
  <sheetData>
    <row r="1" spans="1:32" s="89" customFormat="1" ht="40.200000000000003" customHeight="1" x14ac:dyDescent="0.3">
      <c r="A1" s="88" t="s">
        <v>358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</row>
    <row r="2" spans="1:32" s="89" customFormat="1" ht="19.95" customHeight="1" x14ac:dyDescent="0.3">
      <c r="A2" s="90" t="s">
        <v>360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1:32" s="89" customFormat="1" x14ac:dyDescent="0.3">
      <c r="A3" s="91" t="s">
        <v>361</v>
      </c>
      <c r="B3" s="110"/>
      <c r="C3" s="110"/>
      <c r="D3" s="110"/>
      <c r="E3" s="110"/>
      <c r="F3" s="110"/>
      <c r="G3" s="110"/>
      <c r="H3" s="110"/>
      <c r="I3" s="110"/>
      <c r="J3" s="110"/>
      <c r="K3" s="111" t="s">
        <v>397</v>
      </c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</row>
    <row r="4" spans="1:32" s="89" customFormat="1" ht="19.95" customHeight="1" x14ac:dyDescent="0.3">
      <c r="A4" s="92" t="s">
        <v>359</v>
      </c>
      <c r="B4" s="112" t="s">
        <v>373</v>
      </c>
      <c r="C4" s="111" t="s">
        <v>241</v>
      </c>
      <c r="D4" s="112">
        <v>2026</v>
      </c>
      <c r="E4" s="111" t="s">
        <v>362</v>
      </c>
      <c r="F4" s="112"/>
      <c r="G4" s="111" t="s">
        <v>138</v>
      </c>
      <c r="H4" s="108">
        <v>8974</v>
      </c>
      <c r="I4" s="123" t="s">
        <v>363</v>
      </c>
      <c r="J4" s="110"/>
      <c r="K4" s="110" t="s">
        <v>243</v>
      </c>
      <c r="L4" s="110" t="s">
        <v>402</v>
      </c>
      <c r="M4" s="110" t="s">
        <v>398</v>
      </c>
      <c r="N4" s="110">
        <v>2025</v>
      </c>
      <c r="O4" s="110" t="s">
        <v>242</v>
      </c>
      <c r="P4" s="110" t="s">
        <v>399</v>
      </c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</row>
    <row r="5" spans="1:32" s="89" customFormat="1" ht="19.95" customHeight="1" x14ac:dyDescent="0.3">
      <c r="A5" s="92" t="s">
        <v>364</v>
      </c>
      <c r="B5" s="114"/>
      <c r="C5" s="111" t="s">
        <v>365</v>
      </c>
      <c r="D5" s="114"/>
      <c r="E5" s="123" t="s">
        <v>366</v>
      </c>
      <c r="F5" s="110"/>
      <c r="G5" s="111" t="s">
        <v>367</v>
      </c>
      <c r="H5" s="115">
        <f>JanelaInicio($B$4,$D$4,$F$4,$B$5,$D$5)</f>
        <v>46023</v>
      </c>
      <c r="I5" s="110" t="s">
        <v>368</v>
      </c>
      <c r="J5" s="115">
        <f>JanelaFim($B$4,$D$4,$F$4,$B$5,$D$5)</f>
        <v>46387</v>
      </c>
      <c r="K5" s="123" t="str">
        <f>ResumoFiltroEQ(eqProvedor,eqAnoEP,eqRodada)&amp;" | "&amp;TEXT(SUMPRODUCT((EQA_Base!$A$2:$A$5001=eqProvedor)*(EQA_Base!$B$2:$B$5001=eqAnoEP)*(EQA_Base!$T$2:$T$5001="SIM")*IF(eqRodada="TODAS",1,--(EQA_Base!$C$2:$C$5001=eqRodada))),"0")&amp;" linha(s) analíticas na EQA_Base"</f>
        <v>Bias do EP: CAP | ano 2025 | media de todas as rodadas | 455 linha(s) analíticas na EQA_Base</v>
      </c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</row>
    <row r="6" spans="1:32" s="89" customFormat="1" ht="6" customHeight="1" x14ac:dyDescent="0.3">
      <c r="A6" s="93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</row>
    <row r="7" spans="1:32" s="89" customFormat="1" ht="19.95" customHeight="1" x14ac:dyDescent="0.3">
      <c r="A7" s="91" t="s">
        <v>369</v>
      </c>
      <c r="B7" s="110"/>
      <c r="C7" s="110"/>
      <c r="D7" s="110"/>
      <c r="E7" s="113" t="s">
        <v>370</v>
      </c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 t="s">
        <v>403</v>
      </c>
      <c r="W7" s="110"/>
      <c r="X7" s="110"/>
      <c r="Y7" s="110"/>
      <c r="Z7" s="110"/>
      <c r="AA7" s="110"/>
      <c r="AB7" s="110"/>
      <c r="AC7" s="110"/>
      <c r="AD7" s="110"/>
      <c r="AE7" s="110"/>
      <c r="AF7" s="110"/>
    </row>
    <row r="8" spans="1:32" s="89" customFormat="1" ht="19.95" customHeight="1" x14ac:dyDescent="0.3">
      <c r="A8" s="92">
        <v>1</v>
      </c>
      <c r="B8" s="114"/>
      <c r="C8" s="114"/>
      <c r="D8" s="111">
        <v>4</v>
      </c>
      <c r="E8" s="116"/>
      <c r="F8" s="116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 t="str">
        <f>IF($B$8="","",$B$8)</f>
        <v/>
      </c>
      <c r="W8" s="110" t="str">
        <f>IF($C$8="","",$C$8)</f>
        <v/>
      </c>
      <c r="X8" s="110"/>
      <c r="Y8" s="110"/>
      <c r="Z8" s="110"/>
      <c r="AA8" s="110"/>
      <c r="AB8" s="110"/>
      <c r="AC8" s="110"/>
      <c r="AD8" s="110"/>
      <c r="AE8" s="110"/>
      <c r="AF8" s="110"/>
    </row>
    <row r="9" spans="1:32" s="89" customFormat="1" ht="19.95" customHeight="1" x14ac:dyDescent="0.3">
      <c r="A9" s="92">
        <v>2</v>
      </c>
      <c r="B9" s="114"/>
      <c r="C9" s="114"/>
      <c r="D9" s="111">
        <v>5</v>
      </c>
      <c r="E9" s="116"/>
      <c r="F9" s="116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 t="str">
        <f>IF($B$9="","",$B$9)</f>
        <v/>
      </c>
      <c r="W9" s="110" t="str">
        <f>IF($C$9="","",$C$9)</f>
        <v/>
      </c>
      <c r="X9" s="110"/>
      <c r="Y9" s="110"/>
      <c r="Z9" s="110"/>
      <c r="AA9" s="110"/>
      <c r="AB9" s="110"/>
      <c r="AC9" s="110"/>
      <c r="AD9" s="110"/>
      <c r="AE9" s="110"/>
      <c r="AF9" s="110"/>
    </row>
    <row r="10" spans="1:32" s="94" customFormat="1" x14ac:dyDescent="0.3">
      <c r="A10" s="92">
        <v>3</v>
      </c>
      <c r="B10" s="114"/>
      <c r="C10" s="116"/>
      <c r="D10" s="111"/>
      <c r="E10" s="117"/>
      <c r="F10" s="118"/>
      <c r="G10" s="117"/>
      <c r="H10" s="119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120" t="str">
        <f>IF($B$10="","",$B$10)</f>
        <v/>
      </c>
      <c r="W10" s="120" t="str">
        <f>IF($C$10="","",$C$10)</f>
        <v/>
      </c>
      <c r="X10" s="120"/>
      <c r="Y10" s="120"/>
      <c r="Z10" s="120"/>
      <c r="AA10" s="120"/>
      <c r="AB10" s="120"/>
      <c r="AC10" s="120"/>
      <c r="AD10" s="120"/>
      <c r="AE10" s="120"/>
      <c r="AF10" s="120"/>
    </row>
    <row r="11" spans="1:32" s="94" customFormat="1" ht="15.6" x14ac:dyDescent="0.3">
      <c r="A11" s="95" t="s">
        <v>371</v>
      </c>
      <c r="B11" s="213" t="str">
        <f>PeriodoEfetivo(Estat_Ini_Efetiva,Estat_Fim_Efetiva,Estat_Exclusoes)</f>
        <v>01/01/2026 a 31/12/2026  |  sem exclusoes</v>
      </c>
      <c r="C11" s="214"/>
      <c r="D11" s="214"/>
      <c r="E11" s="214"/>
      <c r="F11" s="214"/>
      <c r="G11" s="214"/>
      <c r="H11" s="109"/>
      <c r="I11" s="109"/>
      <c r="J11" s="109"/>
      <c r="K11" s="109"/>
      <c r="L11" s="109"/>
      <c r="M11" s="120"/>
      <c r="N11" s="120"/>
      <c r="O11" s="120"/>
      <c r="P11" s="120"/>
      <c r="Q11" s="120"/>
      <c r="R11" s="120"/>
      <c r="S11" s="120"/>
      <c r="T11" s="120"/>
      <c r="U11" s="120"/>
      <c r="V11" s="120" t="str">
        <f>IF($E$8="","",$E$8)</f>
        <v/>
      </c>
      <c r="W11" s="120" t="str">
        <f>IF($F$8="","",$F$8)</f>
        <v/>
      </c>
      <c r="X11" s="120"/>
      <c r="Y11" s="120"/>
      <c r="Z11" s="120"/>
      <c r="AA11" s="120"/>
      <c r="AB11" s="120"/>
      <c r="AC11" s="120"/>
      <c r="AD11" s="120"/>
      <c r="AE11" s="120"/>
      <c r="AF11" s="120"/>
    </row>
    <row r="12" spans="1:32" ht="6" customHeight="1" x14ac:dyDescent="0.3">
      <c r="A12" s="96"/>
      <c r="B12" s="121"/>
      <c r="C12" s="66"/>
      <c r="D12" s="121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89" customFormat="1" ht="28.2" customHeight="1" x14ac:dyDescent="0.3">
      <c r="A13" s="97" t="s">
        <v>88</v>
      </c>
      <c r="B13" s="97" t="s">
        <v>157</v>
      </c>
      <c r="C13" s="97" t="s">
        <v>213</v>
      </c>
      <c r="D13" s="97" t="s">
        <v>214</v>
      </c>
      <c r="E13" s="97" t="s">
        <v>215</v>
      </c>
      <c r="F13" s="97" t="s">
        <v>216</v>
      </c>
      <c r="G13" s="97" t="s">
        <v>405</v>
      </c>
      <c r="H13" s="97" t="s">
        <v>219</v>
      </c>
      <c r="I13" s="97" t="s">
        <v>400</v>
      </c>
      <c r="J13" s="97" t="s">
        <v>406</v>
      </c>
      <c r="K13" s="97" t="s">
        <v>217</v>
      </c>
      <c r="L13" s="97" t="s">
        <v>401</v>
      </c>
      <c r="M13" s="111" t="s">
        <v>404</v>
      </c>
      <c r="N13" s="111" t="s">
        <v>407</v>
      </c>
      <c r="O13" s="111" t="s">
        <v>408</v>
      </c>
      <c r="P13" s="111" t="s">
        <v>409</v>
      </c>
      <c r="Q13" s="111" t="s">
        <v>410</v>
      </c>
      <c r="R13" s="111" t="s">
        <v>411</v>
      </c>
      <c r="S13" s="111" t="s">
        <v>412</v>
      </c>
      <c r="T13" s="111" t="s">
        <v>413</v>
      </c>
      <c r="U13" s="111" t="s">
        <v>414</v>
      </c>
      <c r="V13" s="141" t="s">
        <v>1129</v>
      </c>
      <c r="W13" s="141" t="s">
        <v>1130</v>
      </c>
      <c r="X13" s="141" t="s">
        <v>1131</v>
      </c>
      <c r="Y13" s="141" t="s">
        <v>1132</v>
      </c>
      <c r="Z13" s="141" t="s">
        <v>1133</v>
      </c>
      <c r="AA13" s="141" t="s">
        <v>1134</v>
      </c>
      <c r="AB13" s="141" t="s">
        <v>1135</v>
      </c>
      <c r="AC13" s="111" t="s">
        <v>1155</v>
      </c>
      <c r="AD13" s="111" t="s">
        <v>1156</v>
      </c>
      <c r="AE13" s="110"/>
      <c r="AF13" s="110"/>
    </row>
    <row r="14" spans="1:32" x14ac:dyDescent="0.3">
      <c r="A14" s="15" t="str">
        <f>Analitos!$A$4</f>
        <v>Lactato</v>
      </c>
      <c r="B14" s="8">
        <v>1</v>
      </c>
      <c r="C14" s="22">
        <f>IF($A14="","",EstatPeriodo($A14,$B14,"N",Estat_Ini_Efetiva,Estat_Fim_Efetiva,Estat_Exclusoes,$H$4))</f>
        <v>110</v>
      </c>
      <c r="D14" s="122">
        <f>IF($A14="","",EstatPeriodo($A14,$B14,"MEDIA",Estat_Ini_Efetiva,Estat_Fim_Efetiva,Estat_Exclusoes,$H$4))</f>
        <v>4.6318181818181827</v>
      </c>
      <c r="E14" s="122">
        <f>IF($A14="","",EstatPeriodo($A14,$B14,"DP",Estat_Ini_Efetiva,Estat_Fim_Efetiva,Estat_Exclusoes,$H$4))</f>
        <v>8.2896883200463303E-2</v>
      </c>
      <c r="F14" s="85">
        <f>IF($A14="","",EstatPeriodo($A14,$B14,"CV",Estat_Ini_Efetiva,Estat_Fim_Efetiva,Estat_Exclusoes,$H$4))</f>
        <v>1.789726624543859</v>
      </c>
      <c r="G14" s="85">
        <f>IF($A14="","",mCEQ.BiasEQ($A14,eqAnoEP,"ABS",eqProvedor,eqRodada))</f>
        <v>2.7009441182051841</v>
      </c>
      <c r="H14" s="85">
        <f t="shared" ref="H14:H45" si="0">IF(OR(NOT(ISNUMBER($F14)),NOT(ISNUMBER($G14))),"",1.65*$F14+ABS($G14))</f>
        <v>5.6539930487025511</v>
      </c>
      <c r="I14" s="85" t="str">
        <f>IF($A14="","",IFERROR(INDEX(espFonte,MATCH($A14,Analitos!$A$4:$A$43,0)),""))</f>
        <v>VB</v>
      </c>
      <c r="J14" s="85">
        <f>IF($A14="","",IFERROR(INDEX(cvtpOficial,MATCH($A14,Analitos!$A$4:$A$43,0)),""))</f>
        <v>6.8</v>
      </c>
      <c r="K14" s="85">
        <f>IF($A14="","",IFERROR(INDEX(etpOficial,MATCH($A14,Analitos!$A$4:$A$43,0)),""))</f>
        <v>15.209693753911445</v>
      </c>
      <c r="L14" s="85">
        <f t="shared" ref="L14:L45" si="1">IF(OR(NOT(ISNUMBER($F14)),$F14=0,NOT(ISNUMBER($G14)),NOT(ISNUMBER($K14))),"",($K14-ABS($G14))/$F14)</f>
        <v>6.9891957040614061</v>
      </c>
      <c r="M14" s="85" t="str">
        <f>IF(NOT(ISNUMBER($L14)),"",mQualidade.ClassificarSigma($L14))</f>
        <v>Classe mundial</v>
      </c>
      <c r="N14" s="150">
        <f t="shared" ref="N14:N45" si="2">IF(OR(NOT(ISNUMBER($K14)),NOT(ISNUMBER($H14))),"",$K14-$H14)</f>
        <v>9.5557007052088938</v>
      </c>
      <c r="O14" s="151">
        <f t="shared" ref="O14:O45" si="3">IF(OR(NOT(ISNUMBER($N14)),NOT(ISNUMBER($K14)),$K14=0),"",$N14/$K14*100)</f>
        <v>62.826384671627423</v>
      </c>
      <c r="P14" s="30" t="str">
        <f>IF(NOT(ISNUMBER($O14)),"",mQualidade.ClassificarMargem($O14))</f>
        <v>Dentro do orcamento</v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OK (|SDI| max 2,00 em 15 amostra(s))</v>
      </c>
      <c r="S14" s="30" t="str">
        <f>IF($A14="","",mCEQ.StatusLimitesEQ($A14,eqAnoEP,eqProvedor,eqRodada))</f>
        <v>OK (15 dentro dos limites)</v>
      </c>
      <c r="T14" s="151">
        <f>IF($A14="","",mCEQ.BiasEQ($A14,eqAnoEP,"SIGNED",eqProvedor,eqRodada))</f>
        <v>2.4374945757587771</v>
      </c>
      <c r="U14" s="30" t="str">
        <f>IF(OR($P14="ETp excedido",$P14="Margem critica"),COUNTIF($P$14:$P14,"ETp excedido")+COUNTIF($P$14:$P14,"Margem critica"),"")</f>
        <v/>
      </c>
      <c r="V14" s="152">
        <f t="shared" ref="V14:V45" si="5">IF(NOT(ISNUMBER($L14)),"",mPlanoQC.DPMdoSigma($L14))</f>
        <v>2.0188403171417235E-2</v>
      </c>
      <c r="W14" s="143">
        <f t="shared" ref="W14:W45" si="6">IF(NOT(ISNUMBER($L14)),"",mPlanoQC.RendimentoDoSigma($L14))</f>
        <v>99.99999798115968</v>
      </c>
      <c r="X14" s="30" t="str">
        <f>IF(NOT(ISNUMBER($L14)),"",mPlanoQC.PlanoQC($L14,"REGRAS"))</f>
        <v>1_3s</v>
      </c>
      <c r="Y14" s="144">
        <f>IF(NOT(ISNUMBER($L14)),"",mPlanoQC.PlanoQC($L14,"N"))</f>
        <v>2</v>
      </c>
      <c r="Z14" s="142">
        <f>IF(NOT(ISNUMBER($L14)),"",mPlanoQC.PlanoQC($L14,"RUNSIZE"))</f>
        <v>1000</v>
      </c>
      <c r="AA14" s="30" t="str">
        <f>IF(NOT(ISNUMBER($L14)),"",mPlanoQC.CoberturaWestgard($L14))</f>
        <v>TOTAL</v>
      </c>
      <c r="AB14" s="30" t="str">
        <f t="shared" ref="AB14:AB45" si="7">IF($A14="","",$A14&amp;"|"&amp;$B14)</f>
        <v>Lactato|1</v>
      </c>
      <c r="AC14" s="144">
        <f>IF($A14="","",mCEQ.BiasEQ($A14,eqAnoEP,"N",eqProvedor,eqRodada))</f>
        <v>15</v>
      </c>
      <c r="AD14" s="144">
        <f>IF($A14="","",mCEQ.BiasEQ($A14,eqAnoEP,"NRODADAS",eqProvedor,eqRodada))</f>
        <v>3</v>
      </c>
    </row>
    <row r="15" spans="1:32" x14ac:dyDescent="0.3">
      <c r="A15" s="15" t="str">
        <f>Analitos!$A$4</f>
        <v>Lactato</v>
      </c>
      <c r="B15" s="8">
        <v>2</v>
      </c>
      <c r="C15" s="22">
        <f>IF($A15="","",EstatPeriodo($A15,$B15,"N",Estat_Ini_Efetiva,Estat_Fim_Efetiva,Estat_Exclusoes,$H$4))</f>
        <v>110</v>
      </c>
      <c r="D15" s="122">
        <f>IF($A15="","",EstatPeriodo($A15,$B15,"MEDIA",Estat_Ini_Efetiva,Estat_Fim_Efetiva,Estat_Exclusoes,$H$4))</f>
        <v>1.1942727272727272</v>
      </c>
      <c r="E15" s="122">
        <f>IF($A15="","",EstatPeriodo($A15,$B15,"DP",Estat_Ini_Efetiva,Estat_Fim_Efetiva,Estat_Exclusoes,$H$4))</f>
        <v>8.1875482668615551E-2</v>
      </c>
      <c r="F15" s="85">
        <f>IF($A15="","",EstatPeriodo($A15,$B15,"CV",Estat_Ini_Efetiva,Estat_Fim_Efetiva,Estat_Exclusoes,$H$4))</f>
        <v>6.8556771664365623</v>
      </c>
      <c r="G15" s="85">
        <f>IF($A15="","",mCEQ.BiasEQ($A15,eqAnoEP,"ABS",eqProvedor,eqRodada))</f>
        <v>2.7009441182051841</v>
      </c>
      <c r="H15" s="85">
        <f t="shared" si="0"/>
        <v>14.012811442825511</v>
      </c>
      <c r="I15" s="85" t="str">
        <f>IF($A15="","",IFERROR(INDEX(espFonte,MATCH($A15,Analitos!$A$4:$A$43,0)),""))</f>
        <v>VB</v>
      </c>
      <c r="J15" s="85">
        <f>IF($A15="","",IFERROR(INDEX(cvtpOficial,MATCH($A15,Analitos!$A$4:$A$43,0)),""))</f>
        <v>6.8</v>
      </c>
      <c r="K15" s="85">
        <f>IF($A15="","",IFERROR(INDEX(etpOficial,MATCH($A15,Analitos!$A$4:$A$43,0)),""))</f>
        <v>15.209693753911445</v>
      </c>
      <c r="L15" s="85">
        <f t="shared" si="1"/>
        <v>1.8245826534752143</v>
      </c>
      <c r="M15" s="85" t="str">
        <f>IF(NOT(ISNUMBER($L15)),"",mQualidade.ClassificarSigma($L15))</f>
        <v>Desempenho inadequado</v>
      </c>
      <c r="N15" s="150">
        <f t="shared" si="2"/>
        <v>1.1968823110859343</v>
      </c>
      <c r="O15" s="151">
        <f t="shared" si="3"/>
        <v>7.8692071678177919</v>
      </c>
      <c r="P15" s="30" t="str">
        <f>IF(NOT(ISNUMBER($O15)),"",mQualidade.ClassificarMargem($O15))</f>
        <v>Margem critica</v>
      </c>
      <c r="Q15" s="30" t="str">
        <f t="shared" si="4"/>
        <v>CV acima da meta</v>
      </c>
      <c r="R15" s="30" t="str">
        <f>IF($A15="","",mCEQ.StatusSDIeq($A15,eqAnoEP,eqProvedor,eqRodada))</f>
        <v>OK (|SDI| max 2,00 em 15 amostra(s))</v>
      </c>
      <c r="S15" s="30" t="str">
        <f>IF($A15="","",mCEQ.StatusLimitesEQ($A15,eqAnoEP,eqProvedor,eqRodada))</f>
        <v>OK (15 dentro dos limites)</v>
      </c>
      <c r="T15" s="151">
        <f>IF($A15="","",mCEQ.BiasEQ($A15,eqAnoEP,"SIGNED",eqProvedor,eqRodada))</f>
        <v>2.4374945757587771</v>
      </c>
      <c r="U15" s="30">
        <f>IF(OR($P15="ETp excedido",$P15="Margem critica"),COUNTIF($P$14:$P15,"ETp excedido")+COUNTIF($P$14:$P15,"Margem critica"),"")</f>
        <v>1</v>
      </c>
      <c r="V15" s="152">
        <f t="shared" si="5"/>
        <v>372748.47875515668</v>
      </c>
      <c r="W15" s="143">
        <f t="shared" si="6"/>
        <v>62.725152124484332</v>
      </c>
      <c r="X15" s="30" t="str">
        <f>IF(NOT(ISNUMBER($L15)),"",mPlanoQC.PlanoQC($L15,"REGRAS"))</f>
        <v/>
      </c>
      <c r="Y15" s="144" t="str">
        <f>IF(NOT(ISNUMBER($L15)),"",mPlanoQC.PlanoQC($L15,"N"))</f>
        <v/>
      </c>
      <c r="Z15" s="142" t="str">
        <f>IF(NOT(ISNUMBER($L15)),"",mPlanoQC.PlanoQC($L15,"RUNSIZE"))</f>
        <v/>
      </c>
      <c r="AA15" s="30" t="str">
        <f>IF(NOT(ISNUMBER($L15)),"",mPlanoQC.CoberturaWestgard($L15))</f>
        <v>não aplicável</v>
      </c>
      <c r="AB15" s="30" t="str">
        <f t="shared" si="7"/>
        <v>Lactato|2</v>
      </c>
      <c r="AC15" s="144">
        <f>IF($A15="","",mCEQ.BiasEQ($A15,eqAnoEP,"N",eqProvedor,eqRodada))</f>
        <v>15</v>
      </c>
      <c r="AD15" s="144">
        <f>IF($A15="","",mCEQ.BiasEQ($A15,eqAnoEP,"NRODADAS",eqProvedor,eqRodada))</f>
        <v>3</v>
      </c>
    </row>
    <row r="16" spans="1:32" x14ac:dyDescent="0.3">
      <c r="A16" s="15" t="str">
        <f>Analitos!$A$5</f>
        <v>Ácido úrico</v>
      </c>
      <c r="B16" s="8">
        <v>1</v>
      </c>
      <c r="C16" s="22">
        <f>IF($A16="","",EstatPeriodo($A16,$B16,"N",Estat_Ini_Efetiva,Estat_Fim_Efetiva,Estat_Exclusoes,$H$4))</f>
        <v>110</v>
      </c>
      <c r="D16" s="122">
        <f>IF($A16="","",EstatPeriodo($A16,$B16,"MEDIA",Estat_Ini_Efetiva,Estat_Fim_Efetiva,Estat_Exclusoes,$H$4))</f>
        <v>4.5618181818181816</v>
      </c>
      <c r="E16" s="122">
        <f>IF($A16="","",EstatPeriodo($A16,$B16,"DP",Estat_Ini_Efetiva,Estat_Fim_Efetiva,Estat_Exclusoes,$H$4))</f>
        <v>0.11250428589742796</v>
      </c>
      <c r="F16" s="85">
        <f>IF($A16="","",EstatPeriodo($A16,$B16,"CV",Estat_Ini_Efetiva,Estat_Fim_Efetiva,Estat_Exclusoes,$H$4))</f>
        <v>2.4662159124585643</v>
      </c>
      <c r="G16" s="85">
        <f>IF($A16="","",mCEQ.BiasEQ($A16,eqAnoEP,"ABS",eqProvedor,eqRodada))</f>
        <v>1.9188783128261357</v>
      </c>
      <c r="H16" s="85">
        <f t="shared" si="0"/>
        <v>5.9881345683827671</v>
      </c>
      <c r="I16" s="85" t="str">
        <f>IF($A16="","",IFERROR(INDEX(espFonte,MATCH($A16,Analitos!$A$4:$A$43,0)),""))</f>
        <v>CLIA</v>
      </c>
      <c r="J16" s="85">
        <f>IF($A16="","",IFERROR(INDEX(cvtpOficial,MATCH($A16,Analitos!$A$4:$A$43,0)),""))</f>
        <v>5.666666666666667</v>
      </c>
      <c r="K16" s="85">
        <f>IF($A16="","",IFERROR(INDEX(etpOficial,MATCH($A16,Analitos!$A$4:$A$43,0)),""))</f>
        <v>17</v>
      </c>
      <c r="L16" s="85">
        <f t="shared" si="1"/>
        <v>6.1150857112666719</v>
      </c>
      <c r="M16" s="85" t="str">
        <f>IF(NOT(ISNUMBER($L16)),"",mQualidade.ClassificarSigma($L16))</f>
        <v>Classe mundial</v>
      </c>
      <c r="N16" s="150">
        <f t="shared" si="2"/>
        <v>11.011865431617233</v>
      </c>
      <c r="O16" s="151">
        <f t="shared" si="3"/>
        <v>64.775679009513127</v>
      </c>
      <c r="P16" s="30" t="str">
        <f>IF(NOT(ISNUMBER($O16)),"",mQualidade.ClassificarMargem($O16))</f>
        <v>Dentro do orcamento</v>
      </c>
      <c r="Q16" s="30" t="str">
        <f t="shared" si="4"/>
        <v>OK</v>
      </c>
      <c r="R16" s="30" t="str">
        <f>IF($A16="","",mCEQ.StatusSDIeq($A16,eqAnoEP,eqProvedor,eqRodada))</f>
        <v>OK (|SDI| max 1,20 em 15 amostra(s))</v>
      </c>
      <c r="S16" s="30" t="str">
        <f>IF($A16="","",mCEQ.StatusLimitesEQ($A16,eqAnoEP,eqProvedor,eqRodada))</f>
        <v>OK (15 dentro dos limites)</v>
      </c>
      <c r="T16" s="151">
        <f>IF($A16="","",mCEQ.BiasEQ($A16,eqAnoEP,"SIGNED",eqProvedor,eqRodada))</f>
        <v>-1.1043469089826032</v>
      </c>
      <c r="U16" s="30" t="str">
        <f>IF(OR($P16="ETp excedido",$P16="Margem critica"),COUNTIF($P$14:$P16,"ETp excedido")+COUNTIF($P$14:$P16,"Margem critica"),"")</f>
        <v/>
      </c>
      <c r="V16" s="152">
        <f t="shared" si="5"/>
        <v>1.9646655993188489</v>
      </c>
      <c r="W16" s="143">
        <f t="shared" si="6"/>
        <v>99.999803533440073</v>
      </c>
      <c r="X16" s="30" t="str">
        <f>IF(NOT(ISNUMBER($L16)),"",mPlanoQC.PlanoQC($L16,"REGRAS"))</f>
        <v>1_3s</v>
      </c>
      <c r="Y16" s="144">
        <f>IF(NOT(ISNUMBER($L16)),"",mPlanoQC.PlanoQC($L16,"N"))</f>
        <v>2</v>
      </c>
      <c r="Z16" s="142">
        <f>IF(NOT(ISNUMBER($L16)),"",mPlanoQC.PlanoQC($L16,"RUNSIZE"))</f>
        <v>1000</v>
      </c>
      <c r="AA16" s="30" t="str">
        <f>IF(NOT(ISNUMBER($L16)),"",mPlanoQC.CoberturaWestgard($L16))</f>
        <v>TOTAL</v>
      </c>
      <c r="AB16" s="30" t="str">
        <f t="shared" si="7"/>
        <v>Ácido úrico|1</v>
      </c>
      <c r="AC16" s="144">
        <f>IF($A16="","",mCEQ.BiasEQ($A16,eqAnoEP,"N",eqProvedor,eqRodada))</f>
        <v>15</v>
      </c>
      <c r="AD16" s="144">
        <f>IF($A16="","",mCEQ.BiasEQ($A16,eqAnoEP,"NRODADAS",eqProvedor,eqRodada))</f>
        <v>3</v>
      </c>
    </row>
    <row r="17" spans="1:30" x14ac:dyDescent="0.3">
      <c r="A17" s="15" t="str">
        <f>Analitos!$A$5</f>
        <v>Ácido úrico</v>
      </c>
      <c r="B17" s="8">
        <v>2</v>
      </c>
      <c r="C17" s="22">
        <f>IF($A17="","",EstatPeriodo($A17,$B17,"N",Estat_Ini_Efetiva,Estat_Fim_Efetiva,Estat_Exclusoes,$H$4))</f>
        <v>110</v>
      </c>
      <c r="D17" s="122">
        <f>IF($A17="","",EstatPeriodo($A17,$B17,"MEDIA",Estat_Ini_Efetiva,Estat_Fim_Efetiva,Estat_Exclusoes,$H$4))</f>
        <v>9.5792727272727323</v>
      </c>
      <c r="E17" s="122">
        <f>IF($A17="","",EstatPeriodo($A17,$B17,"DP",Estat_Ini_Efetiva,Estat_Fim_Efetiva,Estat_Exclusoes,$H$4))</f>
        <v>0.14674266992215002</v>
      </c>
      <c r="F17" s="85">
        <f>IF($A17="","",EstatPeriodo($A17,$B17,"CV",Estat_Ini_Efetiva,Estat_Fim_Efetiva,Estat_Exclusoes,$H$4))</f>
        <v>1.5318769399305787</v>
      </c>
      <c r="G17" s="85">
        <f>IF($A17="","",mCEQ.BiasEQ($A17,eqAnoEP,"ABS",eqProvedor,eqRodada))</f>
        <v>1.9188783128261357</v>
      </c>
      <c r="H17" s="85">
        <f t="shared" si="0"/>
        <v>4.4464752637115907</v>
      </c>
      <c r="I17" s="85" t="str">
        <f>IF($A17="","",IFERROR(INDEX(espFonte,MATCH($A17,Analitos!$A$4:$A$43,0)),""))</f>
        <v>CLIA</v>
      </c>
      <c r="J17" s="85">
        <f>IF($A17="","",IFERROR(INDEX(cvtpOficial,MATCH($A17,Analitos!$A$4:$A$43,0)),""))</f>
        <v>5.666666666666667</v>
      </c>
      <c r="K17" s="85">
        <f>IF($A17="","",IFERROR(INDEX(etpOficial,MATCH($A17,Analitos!$A$4:$A$43,0)),""))</f>
        <v>17</v>
      </c>
      <c r="L17" s="85">
        <f t="shared" si="1"/>
        <v>9.844865011061076</v>
      </c>
      <c r="M17" s="85" t="str">
        <f>IF(NOT(ISNUMBER($L17)),"",mQualidade.ClassificarSigma($L17))</f>
        <v>Classe mundial</v>
      </c>
      <c r="N17" s="150">
        <f t="shared" si="2"/>
        <v>12.553524736288409</v>
      </c>
      <c r="O17" s="151">
        <f t="shared" si="3"/>
        <v>73.844263154637702</v>
      </c>
      <c r="P17" s="30" t="str">
        <f>IF(NOT(ISNUMBER($O17)),"",mQualidade.ClassificarMargem($O17))</f>
        <v>Dentro do orcamento</v>
      </c>
      <c r="Q17" s="30" t="str">
        <f t="shared" si="4"/>
        <v>OK</v>
      </c>
      <c r="R17" s="30" t="str">
        <f>IF($A17="","",mCEQ.StatusSDIeq($A17,eqAnoEP,eqProvedor,eqRodada))</f>
        <v>OK (|SDI| max 1,20 em 15 amostra(s))</v>
      </c>
      <c r="S17" s="30" t="str">
        <f>IF($A17="","",mCEQ.StatusLimitesEQ($A17,eqAnoEP,eqProvedor,eqRodada))</f>
        <v>OK (15 dentro dos limites)</v>
      </c>
      <c r="T17" s="151">
        <f>IF($A17="","",mCEQ.BiasEQ($A17,eqAnoEP,"SIGNED",eqProvedor,eqRodada))</f>
        <v>-1.1043469089826032</v>
      </c>
      <c r="U17" s="30" t="str">
        <f>IF(OR($P17="ETp excedido",$P17="Margem critica"),COUNTIF($P$14:$P17,"ETp excedido")+COUNTIF($P$14:$P17,"Margem critica"),"")</f>
        <v/>
      </c>
      <c r="V17" s="152">
        <f t="shared" si="5"/>
        <v>0</v>
      </c>
      <c r="W17" s="143">
        <f t="shared" si="6"/>
        <v>100</v>
      </c>
      <c r="X17" s="30" t="str">
        <f>IF(NOT(ISNUMBER($L17)),"",mPlanoQC.PlanoQC($L17,"REGRAS"))</f>
        <v>1_3s</v>
      </c>
      <c r="Y17" s="144">
        <f>IF(NOT(ISNUMBER($L17)),"",mPlanoQC.PlanoQC($L17,"N"))</f>
        <v>2</v>
      </c>
      <c r="Z17" s="142">
        <f>IF(NOT(ISNUMBER($L17)),"",mPlanoQC.PlanoQC($L17,"RUNSIZE"))</f>
        <v>1000</v>
      </c>
      <c r="AA17" s="30" t="str">
        <f>IF(NOT(ISNUMBER($L17)),"",mPlanoQC.CoberturaWestgard($L17))</f>
        <v>TOTAL</v>
      </c>
      <c r="AB17" s="30" t="str">
        <f t="shared" si="7"/>
        <v>Ácido úrico|2</v>
      </c>
      <c r="AC17" s="144">
        <f>IF($A17="","",mCEQ.BiasEQ($A17,eqAnoEP,"N",eqProvedor,eqRodada))</f>
        <v>15</v>
      </c>
      <c r="AD17" s="144">
        <f>IF($A17="","",mCEQ.BiasEQ($A17,eqAnoEP,"NRODADAS",eqProvedor,eqRodada))</f>
        <v>3</v>
      </c>
    </row>
    <row r="18" spans="1:30" x14ac:dyDescent="0.3">
      <c r="A18" s="15" t="str">
        <f>Analitos!$A$6</f>
        <v>Albumina</v>
      </c>
      <c r="B18" s="8">
        <v>1</v>
      </c>
      <c r="C18" s="22">
        <f>IF($A18="","",EstatPeriodo($A18,$B18,"N",Estat_Ini_Efetiva,Estat_Fim_Efetiva,Estat_Exclusoes,$H$4))</f>
        <v>110</v>
      </c>
      <c r="D18" s="122">
        <f>IF($A18="","",EstatPeriodo($A18,$B18,"MEDIA",Estat_Ini_Efetiva,Estat_Fim_Efetiva,Estat_Exclusoes,$H$4))</f>
        <v>3.8568727272727261</v>
      </c>
      <c r="E18" s="122">
        <f>IF($A18="","",EstatPeriodo($A18,$B18,"DP",Estat_Ini_Efetiva,Estat_Fim_Efetiva,Estat_Exclusoes,$H$4))</f>
        <v>0.11086210205206931</v>
      </c>
      <c r="F18" s="85">
        <f>IF($A18="","",EstatPeriodo($A18,$B18,"CV",Estat_Ini_Efetiva,Estat_Fim_Efetiva,Estat_Exclusoes,$H$4))</f>
        <v>2.8744039508522277</v>
      </c>
      <c r="G18" s="85">
        <f>IF($A18="","",mCEQ.BiasEQ($A18,eqAnoEP,"ABS",eqProvedor,eqRodada))</f>
        <v>5.0395216179894247</v>
      </c>
      <c r="H18" s="85">
        <f t="shared" si="0"/>
        <v>9.7822881368956001</v>
      </c>
      <c r="I18" s="85" t="str">
        <f>IF($A18="","",IFERROR(INDEX(espFonte,MATCH($A18,Analitos!$A$4:$A$43,0)),""))</f>
        <v>CLIA</v>
      </c>
      <c r="J18" s="85">
        <f>IF($A18="","",IFERROR(INDEX(cvtpOficial,MATCH($A18,Analitos!$A$4:$A$43,0)),""))</f>
        <v>3.3333333333333335</v>
      </c>
      <c r="K18" s="85">
        <f>IF($A18="","",IFERROR(INDEX(etpOficial,MATCH($A18,Analitos!$A$4:$A$43,0)),""))</f>
        <v>10</v>
      </c>
      <c r="L18" s="85">
        <f t="shared" si="1"/>
        <v>1.7257415682788255</v>
      </c>
      <c r="M18" s="85" t="str">
        <f>IF(NOT(ISNUMBER($L18)),"",mQualidade.ClassificarSigma($L18))</f>
        <v>Desempenho inadequado</v>
      </c>
      <c r="N18" s="150">
        <f t="shared" si="2"/>
        <v>0.21771186310439994</v>
      </c>
      <c r="O18" s="151">
        <f t="shared" si="3"/>
        <v>2.1771186310439994</v>
      </c>
      <c r="P18" s="30" t="str">
        <f>IF(NOT(ISNUMBER($O18)),"",mQualidade.ClassificarMargem($O18))</f>
        <v>Margem critica</v>
      </c>
      <c r="Q18" s="30" t="str">
        <f t="shared" si="4"/>
        <v>OK</v>
      </c>
      <c r="R18" s="30" t="str">
        <f>IF($A18="","",mCEQ.StatusSDIeq($A18,eqAnoEP,eqProvedor,eqRodada))</f>
        <v>FORA (|SDI| max 4,00 &gt; 2)</v>
      </c>
      <c r="S18" s="30" t="str">
        <f>IF($A18="","",mCEQ.StatusLimitesEQ($A18,eqAnoEP,eqProvedor,eqRodada))</f>
        <v>OK (15 dentro dos limites)</v>
      </c>
      <c r="T18" s="151">
        <f>IF($A18="","",mCEQ.BiasEQ($A18,eqAnoEP,"SIGNED",eqProvedor,eqRodada))</f>
        <v>-1.0916112161005735</v>
      </c>
      <c r="U18" s="30">
        <f>IF(OR($P18="ETp excedido",$P18="Margem critica"),COUNTIF($P$14:$P18,"ETp excedido")+COUNTIF($P$14:$P18,"Margem critica"),"")</f>
        <v>2</v>
      </c>
      <c r="V18" s="152">
        <f t="shared" si="5"/>
        <v>410701.21282278869</v>
      </c>
      <c r="W18" s="143">
        <f t="shared" si="6"/>
        <v>58.929878717721131</v>
      </c>
      <c r="X18" s="30" t="str">
        <f>IF(NOT(ISNUMBER($L18)),"",mPlanoQC.PlanoQC($L18,"REGRAS"))</f>
        <v/>
      </c>
      <c r="Y18" s="144" t="str">
        <f>IF(NOT(ISNUMBER($L18)),"",mPlanoQC.PlanoQC($L18,"N"))</f>
        <v/>
      </c>
      <c r="Z18" s="142" t="str">
        <f>IF(NOT(ISNUMBER($L18)),"",mPlanoQC.PlanoQC($L18,"RUNSIZE"))</f>
        <v/>
      </c>
      <c r="AA18" s="30" t="str">
        <f>IF(NOT(ISNUMBER($L18)),"",mPlanoQC.CoberturaWestgard($L18))</f>
        <v>não aplicável</v>
      </c>
      <c r="AB18" s="30" t="str">
        <f t="shared" si="7"/>
        <v>Albumina|1</v>
      </c>
      <c r="AC18" s="144">
        <f>IF($A18="","",mCEQ.BiasEQ($A18,eqAnoEP,"N",eqProvedor,eqRodada))</f>
        <v>15</v>
      </c>
      <c r="AD18" s="144">
        <f>IF($A18="","",mCEQ.BiasEQ($A18,eqAnoEP,"NRODADAS",eqProvedor,eqRodada))</f>
        <v>3</v>
      </c>
    </row>
    <row r="19" spans="1:30" x14ac:dyDescent="0.3">
      <c r="A19" s="15" t="str">
        <f>Analitos!$A$6</f>
        <v>Albumina</v>
      </c>
      <c r="B19" s="8">
        <v>2</v>
      </c>
      <c r="C19" s="22">
        <f>IF($A19="","",EstatPeriodo($A19,$B19,"N",Estat_Ini_Efetiva,Estat_Fim_Efetiva,Estat_Exclusoes,$H$4))</f>
        <v>110</v>
      </c>
      <c r="D19" s="122">
        <f>IF($A19="","",EstatPeriodo($A19,$B19,"MEDIA",Estat_Ini_Efetiva,Estat_Fim_Efetiva,Estat_Exclusoes,$H$4))</f>
        <v>2.4507181818181825</v>
      </c>
      <c r="E19" s="122">
        <f>IF($A19="","",EstatPeriodo($A19,$B19,"DP",Estat_Ini_Efetiva,Estat_Fim_Efetiva,Estat_Exclusoes,$H$4))</f>
        <v>6.5047919078773581E-2</v>
      </c>
      <c r="F19" s="85">
        <f>IF($A19="","",EstatPeriodo($A19,$B19,"CV",Estat_Ini_Efetiva,Estat_Fim_Efetiva,Estat_Exclusoes,$H$4))</f>
        <v>2.6542390537338192</v>
      </c>
      <c r="G19" s="85">
        <f>IF($A19="","",mCEQ.BiasEQ($A19,eqAnoEP,"ABS",eqProvedor,eqRodada))</f>
        <v>5.0395216179894247</v>
      </c>
      <c r="H19" s="85">
        <f t="shared" si="0"/>
        <v>9.419016056650225</v>
      </c>
      <c r="I19" s="85" t="str">
        <f>IF($A19="","",IFERROR(INDEX(espFonte,MATCH($A19,Analitos!$A$4:$A$43,0)),""))</f>
        <v>CLIA</v>
      </c>
      <c r="J19" s="85">
        <f>IF($A19="","",IFERROR(INDEX(cvtpOficial,MATCH($A19,Analitos!$A$4:$A$43,0)),""))</f>
        <v>3.3333333333333335</v>
      </c>
      <c r="K19" s="85">
        <f>IF($A19="","",IFERROR(INDEX(etpOficial,MATCH($A19,Analitos!$A$4:$A$43,0)),""))</f>
        <v>10</v>
      </c>
      <c r="L19" s="85">
        <f t="shared" si="1"/>
        <v>1.8688890795395696</v>
      </c>
      <c r="M19" s="85" t="str">
        <f>IF(NOT(ISNUMBER($L19)),"",mQualidade.ClassificarSigma($L19))</f>
        <v>Desempenho inadequado</v>
      </c>
      <c r="N19" s="150">
        <f t="shared" si="2"/>
        <v>0.58098394334977499</v>
      </c>
      <c r="O19" s="151">
        <f t="shared" si="3"/>
        <v>5.8098394334977499</v>
      </c>
      <c r="P19" s="30" t="str">
        <f>IF(NOT(ISNUMBER($O19)),"",mQualidade.ClassificarMargem($O19))</f>
        <v>Margem critica</v>
      </c>
      <c r="Q19" s="30" t="str">
        <f t="shared" si="4"/>
        <v>OK</v>
      </c>
      <c r="R19" s="30" t="str">
        <f>IF($A19="","",mCEQ.StatusSDIeq($A19,eqAnoEP,eqProvedor,eqRodada))</f>
        <v>FORA (|SDI| max 4,00 &gt; 2)</v>
      </c>
      <c r="S19" s="30" t="str">
        <f>IF($A19="","",mCEQ.StatusLimitesEQ($A19,eqAnoEP,eqProvedor,eqRodada))</f>
        <v>OK (15 dentro dos limites)</v>
      </c>
      <c r="T19" s="151">
        <f>IF($A19="","",mCEQ.BiasEQ($A19,eqAnoEP,"SIGNED",eqProvedor,eqRodada))</f>
        <v>-1.0916112161005735</v>
      </c>
      <c r="U19" s="30">
        <f>IF(OR($P19="ETp excedido",$P19="Margem critica"),COUNTIF($P$14:$P19,"ETp excedido")+COUNTIF($P$14:$P19,"Margem critica"),"")</f>
        <v>3</v>
      </c>
      <c r="V19" s="152">
        <f t="shared" si="5"/>
        <v>356105.20173541451</v>
      </c>
      <c r="W19" s="143">
        <f t="shared" si="6"/>
        <v>64.389479826458555</v>
      </c>
      <c r="X19" s="30" t="str">
        <f>IF(NOT(ISNUMBER($L19)),"",mPlanoQC.PlanoQC($L19,"REGRAS"))</f>
        <v/>
      </c>
      <c r="Y19" s="144" t="str">
        <f>IF(NOT(ISNUMBER($L19)),"",mPlanoQC.PlanoQC($L19,"N"))</f>
        <v/>
      </c>
      <c r="Z19" s="142" t="str">
        <f>IF(NOT(ISNUMBER($L19)),"",mPlanoQC.PlanoQC($L19,"RUNSIZE"))</f>
        <v/>
      </c>
      <c r="AA19" s="30" t="str">
        <f>IF(NOT(ISNUMBER($L19)),"",mPlanoQC.CoberturaWestgard($L19))</f>
        <v>não aplicável</v>
      </c>
      <c r="AB19" s="30" t="str">
        <f t="shared" si="7"/>
        <v>Albumina|2</v>
      </c>
      <c r="AC19" s="144">
        <f>IF($A19="","",mCEQ.BiasEQ($A19,eqAnoEP,"N",eqProvedor,eqRodada))</f>
        <v>15</v>
      </c>
      <c r="AD19" s="144">
        <f>IF($A19="","",mCEQ.BiasEQ($A19,eqAnoEP,"NRODADAS",eqProvedor,eqRodada))</f>
        <v>3</v>
      </c>
    </row>
    <row r="20" spans="1:30" x14ac:dyDescent="0.3">
      <c r="A20" s="15" t="str">
        <f>Analitos!$A$7</f>
        <v>Bilirrubina direta</v>
      </c>
      <c r="B20" s="8">
        <v>1</v>
      </c>
      <c r="C20" s="22">
        <f>IF($A20="","",EstatPeriodo($A20,$B20,"N",Estat_Ini_Efetiva,Estat_Fim_Efetiva,Estat_Exclusoes,$H$4))</f>
        <v>110</v>
      </c>
      <c r="D20" s="122">
        <f>IF($A20="","",EstatPeriodo($A20,$B20,"MEDIA",Estat_Ini_Efetiva,Estat_Fim_Efetiva,Estat_Exclusoes,$H$4))</f>
        <v>0.30368181818181794</v>
      </c>
      <c r="E20" s="122">
        <f>IF($A20="","",EstatPeriodo($A20,$B20,"DP",Estat_Ini_Efetiva,Estat_Fim_Efetiva,Estat_Exclusoes,$H$4))</f>
        <v>1.8051370030187575E-2</v>
      </c>
      <c r="F20" s="85">
        <f>IF($A20="","",EstatPeriodo($A20,$B20,"CV",Estat_Ini_Efetiva,Estat_Fim_Efetiva,Estat_Exclusoes,$H$4))</f>
        <v>5.9441721398612026</v>
      </c>
      <c r="G20" s="85">
        <f>IF($A20="","",mCEQ.BiasEQ($A20,eqAnoEP,"ABS",eqProvedor,eqRodada))</f>
        <v>30.770933248452039</v>
      </c>
      <c r="H20" s="85">
        <f t="shared" si="0"/>
        <v>40.578817279223024</v>
      </c>
      <c r="I20" s="85" t="str">
        <f>IF($A20="","",IFERROR(INDEX(espFonte,MATCH($A20,Analitos!$A$4:$A$43,0)),""))</f>
        <v>VB</v>
      </c>
      <c r="J20" s="85">
        <f>IF($A20="","",IFERROR(INDEX(cvtpOficial,MATCH($A20,Analitos!$A$4:$A$43,0)),""))</f>
        <v>15.674999999999999</v>
      </c>
      <c r="K20" s="85">
        <f>IF($A20="","",IFERROR(INDEX(etpOficial,MATCH($A20,Analitos!$A$4:$A$43,0)),""))</f>
        <v>39.91509557613611</v>
      </c>
      <c r="L20" s="85">
        <f t="shared" si="1"/>
        <v>1.5383407668098907</v>
      </c>
      <c r="M20" s="85" t="str">
        <f>IF(NOT(ISNUMBER($L20)),"",mQualidade.ClassificarSigma($L20))</f>
        <v>Desempenho inadequado</v>
      </c>
      <c r="N20" s="150">
        <f t="shared" si="2"/>
        <v>-0.66372170308691381</v>
      </c>
      <c r="O20" s="151">
        <f t="shared" si="3"/>
        <v>-1.6628338063750765</v>
      </c>
      <c r="P20" s="30" t="str">
        <f>IF(NOT(ISNUMBER($O20)),"",mQualidade.ClassificarMargem($O20))</f>
        <v>ETp excedido</v>
      </c>
      <c r="Q20" s="30" t="str">
        <f t="shared" si="4"/>
        <v>OK</v>
      </c>
      <c r="R20" s="30" t="str">
        <f>IF($A20="","",mCEQ.StatusSDIeq($A20,eqAnoEP,eqProvedor,eqRodada))</f>
        <v>OK (|SDI| max 2,00 em 15 amostra(s))</v>
      </c>
      <c r="S20" s="30" t="str">
        <f>IF($A20="","",mCEQ.StatusLimitesEQ($A20,eqAnoEP,eqProvedor,eqRodada))</f>
        <v>OK (15 dentro dos limites)</v>
      </c>
      <c r="T20" s="151">
        <f>IF($A20="","",mCEQ.BiasEQ($A20,eqAnoEP,"SIGNED",eqProvedor,eqRodada))</f>
        <v>-30.770933248452039</v>
      </c>
      <c r="U20" s="30">
        <f>IF(OR($P20="ETp excedido",$P20="Margem critica"),COUNTIF($P$14:$P20,"ETp excedido")+COUNTIF($P$14:$P20,"Margem critica"),"")</f>
        <v>4</v>
      </c>
      <c r="V20" s="152">
        <f t="shared" si="5"/>
        <v>484707.99372651608</v>
      </c>
      <c r="W20" s="143">
        <f t="shared" si="6"/>
        <v>51.529200627348395</v>
      </c>
      <c r="X20" s="30" t="str">
        <f>IF(NOT(ISNUMBER($L20)),"",mPlanoQC.PlanoQC($L20,"REGRAS"))</f>
        <v/>
      </c>
      <c r="Y20" s="144" t="str">
        <f>IF(NOT(ISNUMBER($L20)),"",mPlanoQC.PlanoQC($L20,"N"))</f>
        <v/>
      </c>
      <c r="Z20" s="142" t="str">
        <f>IF(NOT(ISNUMBER($L20)),"",mPlanoQC.PlanoQC($L20,"RUNSIZE"))</f>
        <v/>
      </c>
      <c r="AA20" s="30" t="str">
        <f>IF(NOT(ISNUMBER($L20)),"",mPlanoQC.CoberturaWestgard($L20))</f>
        <v>não aplicável</v>
      </c>
      <c r="AB20" s="30" t="str">
        <f t="shared" si="7"/>
        <v>Bilirrubina direta|1</v>
      </c>
      <c r="AC20" s="144">
        <f>IF($A20="","",mCEQ.BiasEQ($A20,eqAnoEP,"N",eqProvedor,eqRodada))</f>
        <v>15</v>
      </c>
      <c r="AD20" s="144">
        <f>IF($A20="","",mCEQ.BiasEQ($A20,eqAnoEP,"NRODADAS",eqProvedor,eqRodada))</f>
        <v>3</v>
      </c>
    </row>
    <row r="21" spans="1:30" x14ac:dyDescent="0.3">
      <c r="A21" s="15" t="str">
        <f>Analitos!$A$7</f>
        <v>Bilirrubina direta</v>
      </c>
      <c r="B21" s="8">
        <v>2</v>
      </c>
      <c r="C21" s="22">
        <f>IF($A21="","",EstatPeriodo($A21,$B21,"N",Estat_Ini_Efetiva,Estat_Fim_Efetiva,Estat_Exclusoes,$H$4))</f>
        <v>110</v>
      </c>
      <c r="D21" s="122">
        <f>IF($A21="","",EstatPeriodo($A21,$B21,"MEDIA",Estat_Ini_Efetiva,Estat_Fim_Efetiva,Estat_Exclusoes,$H$4))</f>
        <v>1.1425272727272726</v>
      </c>
      <c r="E21" s="122">
        <f>IF($A21="","",EstatPeriodo($A21,$B21,"DP",Estat_Ini_Efetiva,Estat_Fim_Efetiva,Estat_Exclusoes,$H$4))</f>
        <v>6.4831993049492442E-2</v>
      </c>
      <c r="F21" s="85">
        <f>IF($A21="","",EstatPeriodo($A21,$B21,"CV",Estat_Ini_Efetiva,Estat_Fim_Efetiva,Estat_Exclusoes,$H$4))</f>
        <v>5.6744372407614456</v>
      </c>
      <c r="G21" s="85">
        <f>IF($A21="","",mCEQ.BiasEQ($A21,eqAnoEP,"ABS",eqProvedor,eqRodada))</f>
        <v>30.770933248452039</v>
      </c>
      <c r="H21" s="85">
        <f t="shared" si="0"/>
        <v>40.133754695708426</v>
      </c>
      <c r="I21" s="85" t="str">
        <f>IF($A21="","",IFERROR(INDEX(espFonte,MATCH($A21,Analitos!$A$4:$A$43,0)),""))</f>
        <v>VB</v>
      </c>
      <c r="J21" s="85">
        <f>IF($A21="","",IFERROR(INDEX(cvtpOficial,MATCH($A21,Analitos!$A$4:$A$43,0)),""))</f>
        <v>15.674999999999999</v>
      </c>
      <c r="K21" s="85">
        <f>IF($A21="","",IFERROR(INDEX(etpOficial,MATCH($A21,Analitos!$A$4:$A$43,0)),""))</f>
        <v>39.91509557613611</v>
      </c>
      <c r="L21" s="85">
        <f t="shared" si="1"/>
        <v>1.6114659374498657</v>
      </c>
      <c r="M21" s="85" t="str">
        <f>IF(NOT(ISNUMBER($L21)),"",mQualidade.ClassificarSigma($L21))</f>
        <v>Desempenho inadequado</v>
      </c>
      <c r="N21" s="150">
        <f t="shared" si="2"/>
        <v>-0.21865911957231532</v>
      </c>
      <c r="O21" s="151">
        <f t="shared" si="3"/>
        <v>-0.54781058748872002</v>
      </c>
      <c r="P21" s="30" t="str">
        <f>IF(NOT(ISNUMBER($O21)),"",mQualidade.ClassificarMargem($O21))</f>
        <v>ETp excedido</v>
      </c>
      <c r="Q21" s="30" t="str">
        <f t="shared" si="4"/>
        <v>OK</v>
      </c>
      <c r="R21" s="30" t="str">
        <f>IF($A21="","",mCEQ.StatusSDIeq($A21,eqAnoEP,eqProvedor,eqRodada))</f>
        <v>OK (|SDI| max 2,00 em 15 amostra(s))</v>
      </c>
      <c r="S21" s="30" t="str">
        <f>IF($A21="","",mCEQ.StatusLimitesEQ($A21,eqAnoEP,eqProvedor,eqRodada))</f>
        <v>OK (15 dentro dos limites)</v>
      </c>
      <c r="T21" s="151">
        <f>IF($A21="","",mCEQ.BiasEQ($A21,eqAnoEP,"SIGNED",eqProvedor,eqRodada))</f>
        <v>-30.770933248452039</v>
      </c>
      <c r="U21" s="30">
        <f>IF(OR($P21="ETp excedido",$P21="Margem critica"),COUNTIF($P$14:$P21,"ETp excedido")+COUNTIF($P$14:$P21,"Margem critica"),"")</f>
        <v>5</v>
      </c>
      <c r="V21" s="152">
        <f t="shared" si="5"/>
        <v>455623.43760846346</v>
      </c>
      <c r="W21" s="143">
        <f t="shared" si="6"/>
        <v>54.437656239153654</v>
      </c>
      <c r="X21" s="30" t="str">
        <f>IF(NOT(ISNUMBER($L21)),"",mPlanoQC.PlanoQC($L21,"REGRAS"))</f>
        <v/>
      </c>
      <c r="Y21" s="144" t="str">
        <f>IF(NOT(ISNUMBER($L21)),"",mPlanoQC.PlanoQC($L21,"N"))</f>
        <v/>
      </c>
      <c r="Z21" s="142" t="str">
        <f>IF(NOT(ISNUMBER($L21)),"",mPlanoQC.PlanoQC($L21,"RUNSIZE"))</f>
        <v/>
      </c>
      <c r="AA21" s="30" t="str">
        <f>IF(NOT(ISNUMBER($L21)),"",mPlanoQC.CoberturaWestgard($L21))</f>
        <v>não aplicável</v>
      </c>
      <c r="AB21" s="30" t="str">
        <f t="shared" si="7"/>
        <v>Bilirrubina direta|2</v>
      </c>
      <c r="AC21" s="144">
        <f>IF($A21="","",mCEQ.BiasEQ($A21,eqAnoEP,"N",eqProvedor,eqRodada))</f>
        <v>15</v>
      </c>
      <c r="AD21" s="144">
        <f>IF($A21="","",mCEQ.BiasEQ($A21,eqAnoEP,"NRODADAS",eqProvedor,eqRodada))</f>
        <v>3</v>
      </c>
    </row>
    <row r="22" spans="1:30" x14ac:dyDescent="0.3">
      <c r="A22" s="15" t="str">
        <f>Analitos!$A$8</f>
        <v>Bilirrubina total</v>
      </c>
      <c r="B22" s="8">
        <v>1</v>
      </c>
      <c r="C22" s="22">
        <f>IF($A22="","",EstatPeriodo($A22,$B22,"N",Estat_Ini_Efetiva,Estat_Fim_Efetiva,Estat_Exclusoes,$H$4))</f>
        <v>110</v>
      </c>
      <c r="D22" s="122">
        <f>IF($A22="","",EstatPeriodo($A22,$B22,"MEDIA",Estat_Ini_Efetiva,Estat_Fim_Efetiva,Estat_Exclusoes,$H$4))</f>
        <v>1.1866272727272726</v>
      </c>
      <c r="E22" s="122">
        <f>IF($A22="","",EstatPeriodo($A22,$B22,"DP",Estat_Ini_Efetiva,Estat_Fim_Efetiva,Estat_Exclusoes,$H$4))</f>
        <v>3.4114448253636839E-2</v>
      </c>
      <c r="F22" s="85">
        <f>IF($A22="","",EstatPeriodo($A22,$B22,"CV",Estat_Ini_Efetiva,Estat_Fim_Efetiva,Estat_Exclusoes,$H$4))</f>
        <v>2.8749084938213367</v>
      </c>
      <c r="G22" s="85">
        <f>IF($A22="","",mCEQ.BiasEQ($A22,eqAnoEP,"ABS",eqProvedor,eqRodada))</f>
        <v>10.822316737155321</v>
      </c>
      <c r="H22" s="85">
        <f t="shared" si="0"/>
        <v>15.565915751960526</v>
      </c>
      <c r="I22" s="85" t="str">
        <f>IF($A22="","",IFERROR(INDEX(espFonte,MATCH($A22,Analitos!$A$4:$A$43,0)),""))</f>
        <v>CLIA</v>
      </c>
      <c r="J22" s="85">
        <f>IF($A22="","",IFERROR(INDEX(cvtpOficial,MATCH($A22,Analitos!$A$4:$A$43,0)),""))</f>
        <v>6.666666666666667</v>
      </c>
      <c r="K22" s="85">
        <f>IF($A22="","",IFERROR(INDEX(etpOficial,MATCH($A22,Analitos!$A$4:$A$43,0)),""))</f>
        <v>20</v>
      </c>
      <c r="L22" s="85">
        <f t="shared" si="1"/>
        <v>3.1923392631692691</v>
      </c>
      <c r="M22" s="85" t="str">
        <f>IF(NOT(ISNUMBER($L22)),"",mQualidade.ClassificarSigma($L22))</f>
        <v>Marginal</v>
      </c>
      <c r="N22" s="150">
        <f t="shared" si="2"/>
        <v>4.4340842480394738</v>
      </c>
      <c r="O22" s="151">
        <f t="shared" si="3"/>
        <v>22.170421240197371</v>
      </c>
      <c r="P22" s="30" t="str">
        <f>IF(NOT(ISNUMBER($O22)),"",mQualidade.ClassificarMargem($O22))</f>
        <v>Dentro do orcamento</v>
      </c>
      <c r="Q22" s="30" t="str">
        <f t="shared" si="4"/>
        <v>OK</v>
      </c>
      <c r="R22" s="30" t="str">
        <f>IF($A22="","",mCEQ.StatusSDIeq($A22,eqAnoEP,eqProvedor,eqRodada))</f>
        <v>FORA (|SDI| max 2,10 &gt; 2)</v>
      </c>
      <c r="S22" s="30" t="str">
        <f>IF($A22="","",mCEQ.StatusLimitesEQ($A22,eqAnoEP,eqProvedor,eqRodada))</f>
        <v>OK (15 dentro dos limites)</v>
      </c>
      <c r="T22" s="151">
        <f>IF($A22="","",mCEQ.BiasEQ($A22,eqAnoEP,"SIGNED",eqProvedor,eqRodada))</f>
        <v>-8.0787423940721066</v>
      </c>
      <c r="U22" s="30" t="str">
        <f>IF(OR($P22="ETp excedido",$P22="Margem critica"),COUNTIF($P$14:$P22,"ETp excedido")+COUNTIF($P$14:$P22,"Margem critica"),"")</f>
        <v/>
      </c>
      <c r="V22" s="152">
        <f t="shared" si="5"/>
        <v>45290.65283659206</v>
      </c>
      <c r="W22" s="143">
        <f t="shared" si="6"/>
        <v>95.470934716340793</v>
      </c>
      <c r="X22" s="30" t="str">
        <f>IF(NOT(ISNUMBER($L22)),"",mPlanoQC.PlanoQC($L22,"REGRAS"))</f>
        <v>1_3s / 2_2s / R_4s / 4_1s / 8x</v>
      </c>
      <c r="Y22" s="144">
        <f>IF(NOT(ISNUMBER($L22)),"",mPlanoQC.PlanoQC($L22,"N"))</f>
        <v>6</v>
      </c>
      <c r="Z22" s="142">
        <f>IF(NOT(ISNUMBER($L22)),"",mPlanoQC.PlanoQC($L22,"RUNSIZE"))</f>
        <v>45</v>
      </c>
      <c r="AA22" s="30" t="str">
        <f>IF(NOT(ISNUMBER($L22)),"",mPlanoQC.CoberturaWestgard($L22))</f>
        <v>TOTAL</v>
      </c>
      <c r="AB22" s="30" t="str">
        <f t="shared" si="7"/>
        <v>Bilirrubina total|1</v>
      </c>
      <c r="AC22" s="144">
        <f>IF($A22="","",mCEQ.BiasEQ($A22,eqAnoEP,"N",eqProvedor,eqRodada))</f>
        <v>15</v>
      </c>
      <c r="AD22" s="144">
        <f>IF($A22="","",mCEQ.BiasEQ($A22,eqAnoEP,"NRODADAS",eqProvedor,eqRodada))</f>
        <v>3</v>
      </c>
    </row>
    <row r="23" spans="1:30" x14ac:dyDescent="0.3">
      <c r="A23" s="15" t="str">
        <f>Analitos!$A$8</f>
        <v>Bilirrubina total</v>
      </c>
      <c r="B23" s="8">
        <v>2</v>
      </c>
      <c r="C23" s="22">
        <f>IF($A23="","",EstatPeriodo($A23,$B23,"N",Estat_Ini_Efetiva,Estat_Fim_Efetiva,Estat_Exclusoes,$H$4))</f>
        <v>110</v>
      </c>
      <c r="D23" s="122">
        <f>IF($A23="","",EstatPeriodo($A23,$B23,"MEDIA",Estat_Ini_Efetiva,Estat_Fim_Efetiva,Estat_Exclusoes,$H$4))</f>
        <v>4.6054727272727263</v>
      </c>
      <c r="E23" s="122">
        <f>IF($A23="","",EstatPeriodo($A23,$B23,"DP",Estat_Ini_Efetiva,Estat_Fim_Efetiva,Estat_Exclusoes,$H$4))</f>
        <v>0.1052865647519613</v>
      </c>
      <c r="F23" s="85">
        <f>IF($A23="","",EstatPeriodo($A23,$B23,"CV",Estat_Ini_Efetiva,Estat_Fim_Efetiva,Estat_Exclusoes,$H$4))</f>
        <v>2.2861185156623436</v>
      </c>
      <c r="G23" s="85">
        <f>IF($A23="","",mCEQ.BiasEQ($A23,eqAnoEP,"ABS",eqProvedor,eqRodada))</f>
        <v>10.822316737155321</v>
      </c>
      <c r="H23" s="85">
        <f t="shared" si="0"/>
        <v>14.594412287998187</v>
      </c>
      <c r="I23" s="85" t="str">
        <f>IF($A23="","",IFERROR(INDEX(espFonte,MATCH($A23,Analitos!$A$4:$A$43,0)),""))</f>
        <v>CLIA</v>
      </c>
      <c r="J23" s="85">
        <f>IF($A23="","",IFERROR(INDEX(cvtpOficial,MATCH($A23,Analitos!$A$4:$A$43,0)),""))</f>
        <v>6.666666666666667</v>
      </c>
      <c r="K23" s="85">
        <f>IF($A23="","",IFERROR(INDEX(etpOficial,MATCH($A23,Analitos!$A$4:$A$43,0)),""))</f>
        <v>20</v>
      </c>
      <c r="L23" s="85">
        <f t="shared" si="1"/>
        <v>4.0145264560729403</v>
      </c>
      <c r="M23" s="85" t="str">
        <f>IF(NOT(ISNUMBER($L23)),"",mQualidade.ClassificarSigma($L23))</f>
        <v>Bom</v>
      </c>
      <c r="N23" s="150">
        <f t="shared" si="2"/>
        <v>5.4055877120018128</v>
      </c>
      <c r="O23" s="151">
        <f t="shared" si="3"/>
        <v>27.027938560009062</v>
      </c>
      <c r="P23" s="30" t="str">
        <f>IF(NOT(ISNUMBER($O23)),"",mQualidade.ClassificarMargem($O23))</f>
        <v>Dentro do orcamento</v>
      </c>
      <c r="Q23" s="30" t="str">
        <f t="shared" si="4"/>
        <v>OK</v>
      </c>
      <c r="R23" s="30" t="str">
        <f>IF($A23="","",mCEQ.StatusSDIeq($A23,eqAnoEP,eqProvedor,eqRodada))</f>
        <v>FORA (|SDI| max 2,10 &gt; 2)</v>
      </c>
      <c r="S23" s="30" t="str">
        <f>IF($A23="","",mCEQ.StatusLimitesEQ($A23,eqAnoEP,eqProvedor,eqRodada))</f>
        <v>OK (15 dentro dos limites)</v>
      </c>
      <c r="T23" s="151">
        <f>IF($A23="","",mCEQ.BiasEQ($A23,eqAnoEP,"SIGNED",eqProvedor,eqRodada))</f>
        <v>-8.0787423940721066</v>
      </c>
      <c r="U23" s="30" t="str">
        <f>IF(OR($P23="ETp excedido",$P23="Margem critica"),COUNTIF($P$14:$P23,"ETp excedido")+COUNTIF($P$14:$P23,"Margem critica"),"")</f>
        <v/>
      </c>
      <c r="V23" s="152">
        <f t="shared" si="5"/>
        <v>5959.6179704778369</v>
      </c>
      <c r="W23" s="143">
        <f t="shared" si="6"/>
        <v>99.404038202952222</v>
      </c>
      <c r="X23" s="30" t="str">
        <f>IF(NOT(ISNUMBER($L23)),"",mPlanoQC.PlanoQC($L23,"REGRAS"))</f>
        <v>1_3s / 2_2s / R_4s / 4_1s</v>
      </c>
      <c r="Y23" s="144">
        <f>IF(NOT(ISNUMBER($L23)),"",mPlanoQC.PlanoQC($L23,"N"))</f>
        <v>4</v>
      </c>
      <c r="Z23" s="142">
        <f>IF(NOT(ISNUMBER($L23)),"",mPlanoQC.PlanoQC($L23,"RUNSIZE"))</f>
        <v>200</v>
      </c>
      <c r="AA23" s="30" t="str">
        <f>IF(NOT(ISNUMBER($L23)),"",mPlanoQC.CoberturaWestgard($L23))</f>
        <v>TOTAL</v>
      </c>
      <c r="AB23" s="30" t="str">
        <f t="shared" si="7"/>
        <v>Bilirrubina total|2</v>
      </c>
      <c r="AC23" s="144">
        <f>IF($A23="","",mCEQ.BiasEQ($A23,eqAnoEP,"N",eqProvedor,eqRodada))</f>
        <v>15</v>
      </c>
      <c r="AD23" s="144">
        <f>IF($A23="","",mCEQ.BiasEQ($A23,eqAnoEP,"NRODADAS",eqProvedor,eqRodada))</f>
        <v>3</v>
      </c>
    </row>
    <row r="24" spans="1:30" x14ac:dyDescent="0.3">
      <c r="A24" s="15" t="str">
        <f>Analitos!$A$9</f>
        <v>Cálcio</v>
      </c>
      <c r="B24" s="8">
        <v>1</v>
      </c>
      <c r="C24" s="22">
        <f>IF($A24="","",EstatPeriodo($A24,$B24,"N",Estat_Ini_Efetiva,Estat_Fim_Efetiva,Estat_Exclusoes,$H$4))</f>
        <v>110</v>
      </c>
      <c r="D24" s="122">
        <f>IF($A24="","",EstatPeriodo($A24,$B24,"MEDIA",Estat_Ini_Efetiva,Estat_Fim_Efetiva,Estat_Exclusoes,$H$4))</f>
        <v>8.697272727272729</v>
      </c>
      <c r="E24" s="122">
        <f>IF($A24="","",EstatPeriodo($A24,$B24,"DP",Estat_Ini_Efetiva,Estat_Fim_Efetiva,Estat_Exclusoes,$H$4))</f>
        <v>0.17265285258631968</v>
      </c>
      <c r="F24" s="85">
        <f>IF($A24="","",EstatPeriodo($A24,$B24,"CV",Estat_Ini_Efetiva,Estat_Fim_Efetiva,Estat_Exclusoes,$H$4))</f>
        <v>1.9851378472347823</v>
      </c>
      <c r="G24" s="85">
        <f>IF($A24="","",mCEQ.BiasEQ($A24,eqAnoEP,"ABS",eqProvedor,eqRodada))</f>
        <v>1.8197665823632416</v>
      </c>
      <c r="H24" s="85">
        <f t="shared" si="0"/>
        <v>5.0952440303006323</v>
      </c>
      <c r="I24" s="85" t="str">
        <f>IF($A24="","",IFERROR(INDEX(espFonte,MATCH($A24,Analitos!$A$4:$A$43,0)),""))</f>
        <v>CLIA</v>
      </c>
      <c r="J24" s="85">
        <f>IF($A24="","",IFERROR(INDEX(cvtpOficial,MATCH($A24,Analitos!$A$4:$A$43,0)),""))</f>
        <v>3.3333333333333335</v>
      </c>
      <c r="K24" s="85">
        <f>IF($A24="","",IFERROR(INDEX(etpOficial,MATCH($A24,Analitos!$A$4:$A$43,0)),""))</f>
        <v>10</v>
      </c>
      <c r="L24" s="85">
        <f t="shared" si="1"/>
        <v>4.1207382293534414</v>
      </c>
      <c r="M24" s="85" t="str">
        <f>IF(NOT(ISNUMBER($L24)),"",mQualidade.ClassificarSigma($L24))</f>
        <v>Bom</v>
      </c>
      <c r="N24" s="150">
        <f t="shared" si="2"/>
        <v>4.9047559696993677</v>
      </c>
      <c r="O24" s="151">
        <f t="shared" si="3"/>
        <v>49.047559696993673</v>
      </c>
      <c r="P24" s="30" t="str">
        <f>IF(NOT(ISNUMBER($O24)),"",mQualidade.ClassificarMargem($O24))</f>
        <v>Dentro do orcamento</v>
      </c>
      <c r="Q24" s="30" t="str">
        <f t="shared" si="4"/>
        <v>OK</v>
      </c>
      <c r="R24" s="30" t="str">
        <f>IF($A24="","",mCEQ.StatusSDIeq($A24,eqAnoEP,eqProvedor,eqRodada))</f>
        <v>FORA (|SDI| max 2,20 &gt; 2)</v>
      </c>
      <c r="S24" s="30" t="str">
        <f>IF($A24="","",mCEQ.StatusLimitesEQ($A24,eqAnoEP,eqProvedor,eqRodada))</f>
        <v>OK (15 dentro dos limites)</v>
      </c>
      <c r="T24" s="151">
        <f>IF($A24="","",mCEQ.BiasEQ($A24,eqAnoEP,"SIGNED",eqProvedor,eqRodada))</f>
        <v>1.7052985184040572</v>
      </c>
      <c r="U24" s="30" t="str">
        <f>IF(OR($P24="ETp excedido",$P24="Margem critica"),COUNTIF($P$14:$P24,"ETp excedido")+COUNTIF($P$14:$P24,"Margem critica"),"")</f>
        <v/>
      </c>
      <c r="V24" s="152">
        <f t="shared" si="5"/>
        <v>4386.9802011714528</v>
      </c>
      <c r="W24" s="143">
        <f t="shared" si="6"/>
        <v>99.561301979882856</v>
      </c>
      <c r="X24" s="30" t="str">
        <f>IF(NOT(ISNUMBER($L24)),"",mPlanoQC.PlanoQC($L24,"REGRAS"))</f>
        <v>1_3s / 2_2s / R_4s / 4_1s</v>
      </c>
      <c r="Y24" s="144">
        <f>IF(NOT(ISNUMBER($L24)),"",mPlanoQC.PlanoQC($L24,"N"))</f>
        <v>4</v>
      </c>
      <c r="Z24" s="142">
        <f>IF(NOT(ISNUMBER($L24)),"",mPlanoQC.PlanoQC($L24,"RUNSIZE"))</f>
        <v>200</v>
      </c>
      <c r="AA24" s="30" t="str">
        <f>IF(NOT(ISNUMBER($L24)),"",mPlanoQC.CoberturaWestgard($L24))</f>
        <v>TOTAL</v>
      </c>
      <c r="AB24" s="30" t="str">
        <f t="shared" si="7"/>
        <v>Cálcio|1</v>
      </c>
      <c r="AC24" s="144">
        <f>IF($A24="","",mCEQ.BiasEQ($A24,eqAnoEP,"N",eqProvedor,eqRodada))</f>
        <v>15</v>
      </c>
      <c r="AD24" s="144">
        <f>IF($A24="","",mCEQ.BiasEQ($A24,eqAnoEP,"NRODADAS",eqProvedor,eqRodada))</f>
        <v>3</v>
      </c>
    </row>
    <row r="25" spans="1:30" x14ac:dyDescent="0.3">
      <c r="A25" s="15" t="str">
        <f>Analitos!$A$9</f>
        <v>Cálcio</v>
      </c>
      <c r="B25" s="8">
        <v>2</v>
      </c>
      <c r="C25" s="22">
        <f>IF($A25="","",EstatPeriodo($A25,$B25,"N",Estat_Ini_Efetiva,Estat_Fim_Efetiva,Estat_Exclusoes,$H$4))</f>
        <v>110</v>
      </c>
      <c r="D25" s="122">
        <f>IF($A25="","",EstatPeriodo($A25,$B25,"MEDIA",Estat_Ini_Efetiva,Estat_Fim_Efetiva,Estat_Exclusoes,$H$4))</f>
        <v>11.99727272727273</v>
      </c>
      <c r="E25" s="122">
        <f>IF($A25="","",EstatPeriodo($A25,$B25,"DP",Estat_Ini_Efetiva,Estat_Fim_Efetiva,Estat_Exclusoes,$H$4))</f>
        <v>0.23121104815871316</v>
      </c>
      <c r="F25" s="85">
        <f>IF($A25="","",EstatPeriodo($A25,$B25,"CV",Estat_Ini_Efetiva,Estat_Fim_Efetiva,Estat_Exclusoes,$H$4))</f>
        <v>1.9271967339136502</v>
      </c>
      <c r="G25" s="85">
        <f>IF($A25="","",mCEQ.BiasEQ($A25,eqAnoEP,"ABS",eqProvedor,eqRodada))</f>
        <v>1.8197665823632416</v>
      </c>
      <c r="H25" s="85">
        <f t="shared" si="0"/>
        <v>4.9996411933207643</v>
      </c>
      <c r="I25" s="85" t="str">
        <f>IF($A25="","",IFERROR(INDEX(espFonte,MATCH($A25,Analitos!$A$4:$A$43,0)),""))</f>
        <v>CLIA</v>
      </c>
      <c r="J25" s="85">
        <f>IF($A25="","",IFERROR(INDEX(cvtpOficial,MATCH($A25,Analitos!$A$4:$A$43,0)),""))</f>
        <v>3.3333333333333335</v>
      </c>
      <c r="K25" s="85">
        <f>IF($A25="","",IFERROR(INDEX(etpOficial,MATCH($A25,Analitos!$A$4:$A$43,0)),""))</f>
        <v>10</v>
      </c>
      <c r="L25" s="85">
        <f t="shared" si="1"/>
        <v>4.2446281034447217</v>
      </c>
      <c r="M25" s="85" t="str">
        <f>IF(NOT(ISNUMBER($L25)),"",mQualidade.ClassificarSigma($L25))</f>
        <v>Bom</v>
      </c>
      <c r="N25" s="150">
        <f t="shared" si="2"/>
        <v>5.0003588066792357</v>
      </c>
      <c r="O25" s="151">
        <f t="shared" si="3"/>
        <v>50.003588066792361</v>
      </c>
      <c r="P25" s="30" t="str">
        <f>IF(NOT(ISNUMBER($O25)),"",mQualidade.ClassificarMargem($O25))</f>
        <v>Dentro do orcamento</v>
      </c>
      <c r="Q25" s="30" t="str">
        <f t="shared" si="4"/>
        <v>OK</v>
      </c>
      <c r="R25" s="30" t="str">
        <f>IF($A25="","",mCEQ.StatusSDIeq($A25,eqAnoEP,eqProvedor,eqRodada))</f>
        <v>FORA (|SDI| max 2,20 &gt; 2)</v>
      </c>
      <c r="S25" s="30" t="str">
        <f>IF($A25="","",mCEQ.StatusLimitesEQ($A25,eqAnoEP,eqProvedor,eqRodada))</f>
        <v>OK (15 dentro dos limites)</v>
      </c>
      <c r="T25" s="151">
        <f>IF($A25="","",mCEQ.BiasEQ($A25,eqAnoEP,"SIGNED",eqProvedor,eqRodada))</f>
        <v>1.7052985184040572</v>
      </c>
      <c r="U25" s="30" t="str">
        <f>IF(OR($P25="ETp excedido",$P25="Margem critica"),COUNTIF($P$14:$P25,"ETp excedido")+COUNTIF($P$14:$P25,"Margem critica"),"")</f>
        <v/>
      </c>
      <c r="V25" s="152">
        <f t="shared" si="5"/>
        <v>3028.9752791122783</v>
      </c>
      <c r="W25" s="143">
        <f t="shared" si="6"/>
        <v>99.697102472088773</v>
      </c>
      <c r="X25" s="30" t="str">
        <f>IF(NOT(ISNUMBER($L25)),"",mPlanoQC.PlanoQC($L25,"REGRAS"))</f>
        <v>1_3s / 2_2s / R_4s / 4_1s</v>
      </c>
      <c r="Y25" s="144">
        <f>IF(NOT(ISNUMBER($L25)),"",mPlanoQC.PlanoQC($L25,"N"))</f>
        <v>4</v>
      </c>
      <c r="Z25" s="142">
        <f>IF(NOT(ISNUMBER($L25)),"",mPlanoQC.PlanoQC($L25,"RUNSIZE"))</f>
        <v>200</v>
      </c>
      <c r="AA25" s="30" t="str">
        <f>IF(NOT(ISNUMBER($L25)),"",mPlanoQC.CoberturaWestgard($L25))</f>
        <v>TOTAL</v>
      </c>
      <c r="AB25" s="30" t="str">
        <f t="shared" si="7"/>
        <v>Cálcio|2</v>
      </c>
      <c r="AC25" s="144">
        <f>IF($A25="","",mCEQ.BiasEQ($A25,eqAnoEP,"N",eqProvedor,eqRodada))</f>
        <v>15</v>
      </c>
      <c r="AD25" s="144">
        <f>IF($A25="","",mCEQ.BiasEQ($A25,eqAnoEP,"NRODADAS",eqProvedor,eqRodada))</f>
        <v>3</v>
      </c>
    </row>
    <row r="26" spans="1:30" x14ac:dyDescent="0.3">
      <c r="A26" s="15" t="str">
        <f>Analitos!$A$10</f>
        <v>Capacidade de fixação do ferro</v>
      </c>
      <c r="B26" s="8">
        <v>1</v>
      </c>
      <c r="C26" s="22">
        <f>IF($A26="","",EstatPeriodo($A26,$B26,"N",Estat_Ini_Efetiva,Estat_Fim_Efetiva,Estat_Exclusoes,$H$4))</f>
        <v>110</v>
      </c>
      <c r="D26" s="122">
        <f>IF($A26="","",EstatPeriodo($A26,$B26,"MEDIA",Estat_Ini_Efetiva,Estat_Fim_Efetiva,Estat_Exclusoes,$H$4))</f>
        <v>327.95454545454544</v>
      </c>
      <c r="E26" s="122">
        <f>IF($A26="","",EstatPeriodo($A26,$B26,"DP",Estat_Ini_Efetiva,Estat_Fim_Efetiva,Estat_Exclusoes,$H$4))</f>
        <v>16.226259362858993</v>
      </c>
      <c r="F26" s="85">
        <f>IF($A26="","",EstatPeriodo($A26,$B26,"CV",Estat_Ini_Efetiva,Estat_Fim_Efetiva,Estat_Exclusoes,$H$4))</f>
        <v>4.9477159526389167</v>
      </c>
      <c r="G26" s="85">
        <f>IF($A26="","",mCEQ.BiasEQ($A26,eqAnoEP,"ABS",eqProvedor,eqRodada))</f>
        <v>7.4799298034843096</v>
      </c>
      <c r="H26" s="85">
        <f t="shared" si="0"/>
        <v>15.643661125338522</v>
      </c>
      <c r="I26" s="85" t="str">
        <f>IF($A26="","",IFERROR(INDEX(espFonte,MATCH($A26,Analitos!$A$4:$A$43,0)),""))</f>
        <v>CLIA</v>
      </c>
      <c r="J26" s="85">
        <f>IF($A26="","",IFERROR(INDEX(cvtpOficial,MATCH($A26,Analitos!$A$4:$A$43,0)),""))</f>
        <v>6.666666666666667</v>
      </c>
      <c r="K26" s="85">
        <f>IF($A26="","",IFERROR(INDEX(etpOficial,MATCH($A26,Analitos!$A$4:$A$43,0)),""))</f>
        <v>20</v>
      </c>
      <c r="L26" s="85">
        <f t="shared" si="1"/>
        <v>2.5304747314441074</v>
      </c>
      <c r="M26" s="85" t="str">
        <f>IF(NOT(ISNUMBER($L26)),"",mQualidade.ClassificarSigma($L26))</f>
        <v>Desempenho inadequado</v>
      </c>
      <c r="N26" s="150">
        <f t="shared" si="2"/>
        <v>4.3563388746614784</v>
      </c>
      <c r="O26" s="151">
        <f t="shared" si="3"/>
        <v>21.781694373307392</v>
      </c>
      <c r="P26" s="30" t="str">
        <f>IF(NOT(ISNUMBER($O26)),"",mQualidade.ClassificarMargem($O26))</f>
        <v>Dentro do orcamento</v>
      </c>
      <c r="Q26" s="30" t="str">
        <f t="shared" si="4"/>
        <v>OK</v>
      </c>
      <c r="R26" s="30" t="str">
        <f>IF($A26="","",mCEQ.StatusSDIeq($A26,eqAnoEP,eqProvedor,eqRodada))</f>
        <v>FORA (|SDI| max 2,50 &gt; 2)</v>
      </c>
      <c r="S26" s="30" t="str">
        <f>IF($A26="","",mCEQ.StatusLimitesEQ($A26,eqAnoEP,eqProvedor,eqRodada))</f>
        <v>NAO OK (1 fora dos limites)</v>
      </c>
      <c r="T26" s="151">
        <f>IF($A26="","",mCEQ.BiasEQ($A26,eqAnoEP,"SIGNED",eqProvedor,eqRodada))</f>
        <v>-6.8593564903494695</v>
      </c>
      <c r="U26" s="30" t="str">
        <f>IF(OR($P26="ETp excedido",$P26="Margem critica"),COUNTIF($P$14:$P26,"ETp excedido")+COUNTIF($P$14:$P26,"Margem critica"),"")</f>
        <v/>
      </c>
      <c r="V26" s="152">
        <f t="shared" si="5"/>
        <v>151393.60402617641</v>
      </c>
      <c r="W26" s="143">
        <f t="shared" si="6"/>
        <v>84.86063959738236</v>
      </c>
      <c r="X26" s="30" t="str">
        <f>IF(NOT(ISNUMBER($L26)),"",mPlanoQC.PlanoQC($L26,"REGRAS"))</f>
        <v/>
      </c>
      <c r="Y26" s="144" t="str">
        <f>IF(NOT(ISNUMBER($L26)),"",mPlanoQC.PlanoQC($L26,"N"))</f>
        <v/>
      </c>
      <c r="Z26" s="142" t="str">
        <f>IF(NOT(ISNUMBER($L26)),"",mPlanoQC.PlanoQC($L26,"RUNSIZE"))</f>
        <v/>
      </c>
      <c r="AA26" s="30" t="str">
        <f>IF(NOT(ISNUMBER($L26)),"",mPlanoQC.CoberturaWestgard($L26))</f>
        <v>não aplicável</v>
      </c>
      <c r="AB26" s="30" t="str">
        <f t="shared" si="7"/>
        <v>Capacidade de fixação do ferro|1</v>
      </c>
      <c r="AC26" s="144">
        <f>IF($A26="","",mCEQ.BiasEQ($A26,eqAnoEP,"N",eqProvedor,eqRodada))</f>
        <v>15</v>
      </c>
      <c r="AD26" s="144">
        <f>IF($A26="","",mCEQ.BiasEQ($A26,eqAnoEP,"NRODADAS",eqProvedor,eqRodada))</f>
        <v>3</v>
      </c>
    </row>
    <row r="27" spans="1:30" x14ac:dyDescent="0.3">
      <c r="A27" s="15" t="str">
        <f>Analitos!$A$10</f>
        <v>Capacidade de fixação do ferro</v>
      </c>
      <c r="B27" s="8">
        <v>2</v>
      </c>
      <c r="C27" s="22">
        <f>IF($A27="","",EstatPeriodo($A27,$B27,"N",Estat_Ini_Efetiva,Estat_Fim_Efetiva,Estat_Exclusoes,$H$4))</f>
        <v>110</v>
      </c>
      <c r="D27" s="122">
        <f>IF($A27="","",EstatPeriodo($A27,$B27,"MEDIA",Estat_Ini_Efetiva,Estat_Fim_Efetiva,Estat_Exclusoes,$H$4))</f>
        <v>196.3909090909091</v>
      </c>
      <c r="E27" s="122">
        <f>IF($A27="","",EstatPeriodo($A27,$B27,"DP",Estat_Ini_Efetiva,Estat_Fim_Efetiva,Estat_Exclusoes,$H$4))</f>
        <v>11.682414805155977</v>
      </c>
      <c r="F27" s="85">
        <f>IF($A27="","",EstatPeriodo($A27,$B27,"CV",Estat_Ini_Efetiva,Estat_Fim_Efetiva,Estat_Exclusoes,$H$4))</f>
        <v>5.9485517222939288</v>
      </c>
      <c r="G27" s="85">
        <f>IF($A27="","",mCEQ.BiasEQ($A27,eqAnoEP,"ABS",eqProvedor,eqRodada))</f>
        <v>7.4799298034843096</v>
      </c>
      <c r="H27" s="85">
        <f t="shared" si="0"/>
        <v>17.29504014526929</v>
      </c>
      <c r="I27" s="85" t="str">
        <f>IF($A27="","",IFERROR(INDEX(espFonte,MATCH($A27,Analitos!$A$4:$A$43,0)),""))</f>
        <v>CLIA</v>
      </c>
      <c r="J27" s="85">
        <f>IF($A27="","",IFERROR(INDEX(cvtpOficial,MATCH($A27,Analitos!$A$4:$A$43,0)),""))</f>
        <v>6.666666666666667</v>
      </c>
      <c r="K27" s="85">
        <f>IF($A27="","",IFERROR(INDEX(etpOficial,MATCH($A27,Analitos!$A$4:$A$43,0)),""))</f>
        <v>20</v>
      </c>
      <c r="L27" s="85">
        <f t="shared" si="1"/>
        <v>2.1047257855375254</v>
      </c>
      <c r="M27" s="85" t="str">
        <f>IF(NOT(ISNUMBER($L27)),"",mQualidade.ClassificarSigma($L27))</f>
        <v>Desempenho inadequado</v>
      </c>
      <c r="N27" s="150">
        <f t="shared" si="2"/>
        <v>2.7049598547307099</v>
      </c>
      <c r="O27" s="151">
        <f t="shared" si="3"/>
        <v>13.524799273653548</v>
      </c>
      <c r="P27" s="30" t="str">
        <f>IF(NOT(ISNUMBER($O27)),"",mQualidade.ClassificarMargem($O27))</f>
        <v>Dentro do orcamento</v>
      </c>
      <c r="Q27" s="30" t="str">
        <f t="shared" si="4"/>
        <v>OK</v>
      </c>
      <c r="R27" s="30" t="str">
        <f>IF($A27="","",mCEQ.StatusSDIeq($A27,eqAnoEP,eqProvedor,eqRodada))</f>
        <v>FORA (|SDI| max 2,50 &gt; 2)</v>
      </c>
      <c r="S27" s="30" t="str">
        <f>IF($A27="","",mCEQ.StatusLimitesEQ($A27,eqAnoEP,eqProvedor,eqRodada))</f>
        <v>NAO OK (1 fora dos limites)</v>
      </c>
      <c r="T27" s="151">
        <f>IF($A27="","",mCEQ.BiasEQ($A27,eqAnoEP,"SIGNED",eqProvedor,eqRodada))</f>
        <v>-6.8593564903494695</v>
      </c>
      <c r="U27" s="30" t="str">
        <f>IF(OR($P27="ETp excedido",$P27="Margem critica"),COUNTIF($P$14:$P27,"ETp excedido")+COUNTIF($P$14:$P27,"Margem critica"),"")</f>
        <v/>
      </c>
      <c r="V27" s="152">
        <f t="shared" si="5"/>
        <v>272680.60605776624</v>
      </c>
      <c r="W27" s="143">
        <f t="shared" si="6"/>
        <v>72.731939394223375</v>
      </c>
      <c r="X27" s="30" t="str">
        <f>IF(NOT(ISNUMBER($L27)),"",mPlanoQC.PlanoQC($L27,"REGRAS"))</f>
        <v/>
      </c>
      <c r="Y27" s="144" t="str">
        <f>IF(NOT(ISNUMBER($L27)),"",mPlanoQC.PlanoQC($L27,"N"))</f>
        <v/>
      </c>
      <c r="Z27" s="142" t="str">
        <f>IF(NOT(ISNUMBER($L27)),"",mPlanoQC.PlanoQC($L27,"RUNSIZE"))</f>
        <v/>
      </c>
      <c r="AA27" s="30" t="str">
        <f>IF(NOT(ISNUMBER($L27)),"",mPlanoQC.CoberturaWestgard($L27))</f>
        <v>não aplicável</v>
      </c>
      <c r="AB27" s="30" t="str">
        <f t="shared" si="7"/>
        <v>Capacidade de fixação do ferro|2</v>
      </c>
      <c r="AC27" s="144">
        <f>IF($A27="","",mCEQ.BiasEQ($A27,eqAnoEP,"N",eqProvedor,eqRodada))</f>
        <v>15</v>
      </c>
      <c r="AD27" s="144">
        <f>IF($A27="","",mCEQ.BiasEQ($A27,eqAnoEP,"NRODADAS",eqProvedor,eqRodada))</f>
        <v>3</v>
      </c>
    </row>
    <row r="28" spans="1:30" x14ac:dyDescent="0.3">
      <c r="A28" s="15" t="str">
        <f>Analitos!$A$11</f>
        <v>Colesterol total</v>
      </c>
      <c r="B28" s="8">
        <v>1</v>
      </c>
      <c r="C28" s="22">
        <f>IF($A28="","",EstatPeriodo($A28,$B28,"N",Estat_Ini_Efetiva,Estat_Fim_Efetiva,Estat_Exclusoes,$H$4))</f>
        <v>110</v>
      </c>
      <c r="D28" s="122">
        <f>IF($A28="","",EstatPeriodo($A28,$B28,"MEDIA",Estat_Ini_Efetiva,Estat_Fim_Efetiva,Estat_Exclusoes,$H$4))</f>
        <v>239.54545454545453</v>
      </c>
      <c r="E28" s="122">
        <f>IF($A28="","",EstatPeriodo($A28,$B28,"DP",Estat_Ini_Efetiva,Estat_Fim_Efetiva,Estat_Exclusoes,$H$4))</f>
        <v>6.8945349500035364</v>
      </c>
      <c r="F28" s="85">
        <f>IF($A28="","",EstatPeriodo($A28,$B28,"CV",Estat_Ini_Efetiva,Estat_Fim_Efetiva,Estat_Exclusoes,$H$4))</f>
        <v>2.8781739829236774</v>
      </c>
      <c r="G28" s="85">
        <f>IF($A28="","",mCEQ.BiasEQ($A28,eqAnoEP,"ABS",eqProvedor,eqRodada))</f>
        <v>2.2425930844885191</v>
      </c>
      <c r="H28" s="85">
        <f t="shared" si="0"/>
        <v>6.9915801563125868</v>
      </c>
      <c r="I28" s="85" t="str">
        <f>IF($A28="","",IFERROR(INDEX(espFonte,MATCH($A28,Analitos!$A$4:$A$43,0)),""))</f>
        <v>CLIA</v>
      </c>
      <c r="J28" s="85">
        <f>IF($A28="","",IFERROR(INDEX(cvtpOficial,MATCH($A28,Analitos!$A$4:$A$43,0)),""))</f>
        <v>3.3333333333333335</v>
      </c>
      <c r="K28" s="85">
        <f>IF($A28="","",IFERROR(INDEX(etpOficial,MATCH($A28,Analitos!$A$4:$A$43,0)),""))</f>
        <v>10</v>
      </c>
      <c r="L28" s="85">
        <f t="shared" si="1"/>
        <v>2.6952529491047068</v>
      </c>
      <c r="M28" s="85" t="str">
        <f>IF(NOT(ISNUMBER($L28)),"",mQualidade.ClassificarSigma($L28))</f>
        <v>Desempenho inadequado</v>
      </c>
      <c r="N28" s="150">
        <f t="shared" si="2"/>
        <v>3.0084198436874132</v>
      </c>
      <c r="O28" s="151">
        <f t="shared" si="3"/>
        <v>30.084198436874132</v>
      </c>
      <c r="P28" s="30" t="str">
        <f>IF(NOT(ISNUMBER($O28)),"",mQualidade.ClassificarMargem($O28))</f>
        <v>Dentro do orcamento</v>
      </c>
      <c r="Q28" s="30" t="str">
        <f t="shared" si="4"/>
        <v>OK</v>
      </c>
      <c r="R28" s="30" t="str">
        <f>IF($A28="","",mCEQ.StatusSDIeq($A28,eqAnoEP,eqProvedor,eqRodada))</f>
        <v>OK (|SDI| max 1,60 em 15 amostra(s))</v>
      </c>
      <c r="S28" s="30" t="str">
        <f>IF($A28="","",mCEQ.StatusLimitesEQ($A28,eqAnoEP,eqProvedor,eqRodada))</f>
        <v>OK (15 dentro dos limites)</v>
      </c>
      <c r="T28" s="151">
        <f>IF($A28="","",mCEQ.BiasEQ($A28,eqAnoEP,"SIGNED",eqProvedor,eqRodada))</f>
        <v>0.45828006034747881</v>
      </c>
      <c r="U28" s="30" t="str">
        <f>IF(OR($P28="ETp excedido",$P28="Margem critica"),COUNTIF($P$14:$P28,"ETp excedido")+COUNTIF($P$14:$P28,"Margem critica"),"")</f>
        <v/>
      </c>
      <c r="V28" s="152">
        <f t="shared" si="5"/>
        <v>115994.10835396951</v>
      </c>
      <c r="W28" s="143">
        <f t="shared" si="6"/>
        <v>88.400589164603048</v>
      </c>
      <c r="X28" s="30" t="str">
        <f>IF(NOT(ISNUMBER($L28)),"",mPlanoQC.PlanoQC($L28,"REGRAS"))</f>
        <v/>
      </c>
      <c r="Y28" s="144" t="str">
        <f>IF(NOT(ISNUMBER($L28)),"",mPlanoQC.PlanoQC($L28,"N"))</f>
        <v/>
      </c>
      <c r="Z28" s="142" t="str">
        <f>IF(NOT(ISNUMBER($L28)),"",mPlanoQC.PlanoQC($L28,"RUNSIZE"))</f>
        <v/>
      </c>
      <c r="AA28" s="30" t="str">
        <f>IF(NOT(ISNUMBER($L28)),"",mPlanoQC.CoberturaWestgard($L28))</f>
        <v>não aplicável</v>
      </c>
      <c r="AB28" s="30" t="str">
        <f t="shared" si="7"/>
        <v>Colesterol total|1</v>
      </c>
      <c r="AC28" s="144">
        <f>IF($A28="","",mCEQ.BiasEQ($A28,eqAnoEP,"N",eqProvedor,eqRodada))</f>
        <v>15</v>
      </c>
      <c r="AD28" s="144">
        <f>IF($A28="","",mCEQ.BiasEQ($A28,eqAnoEP,"NRODADAS",eqProvedor,eqRodada))</f>
        <v>3</v>
      </c>
    </row>
    <row r="29" spans="1:30" x14ac:dyDescent="0.3">
      <c r="A29" s="15" t="str">
        <f>Analitos!$A$11</f>
        <v>Colesterol total</v>
      </c>
      <c r="B29" s="8">
        <v>2</v>
      </c>
      <c r="C29" s="22">
        <f>IF($A29="","",EstatPeriodo($A29,$B29,"N",Estat_Ini_Efetiva,Estat_Fim_Efetiva,Estat_Exclusoes,$H$4))</f>
        <v>110</v>
      </c>
      <c r="D29" s="122">
        <f>IF($A29="","",EstatPeriodo($A29,$B29,"MEDIA",Estat_Ini_Efetiva,Estat_Fim_Efetiva,Estat_Exclusoes,$H$4))</f>
        <v>88.527272727272731</v>
      </c>
      <c r="E29" s="122">
        <f>IF($A29="","",EstatPeriodo($A29,$B29,"DP",Estat_Ini_Efetiva,Estat_Fim_Efetiva,Estat_Exclusoes,$H$4))</f>
        <v>3.5984428102836032</v>
      </c>
      <c r="F29" s="85">
        <f>IF($A29="","",EstatPeriodo($A29,$B29,"CV",Estat_Ini_Efetiva,Estat_Fim_Efetiva,Estat_Exclusoes,$H$4))</f>
        <v>4.0647844437378966</v>
      </c>
      <c r="G29" s="85">
        <f>IF($A29="","",mCEQ.BiasEQ($A29,eqAnoEP,"ABS",eqProvedor,eqRodada))</f>
        <v>2.2425930844885191</v>
      </c>
      <c r="H29" s="85">
        <f t="shared" si="0"/>
        <v>8.9494874166560479</v>
      </c>
      <c r="I29" s="85" t="str">
        <f>IF($A29="","",IFERROR(INDEX(espFonte,MATCH($A29,Analitos!$A$4:$A$43,0)),""))</f>
        <v>CLIA</v>
      </c>
      <c r="J29" s="85">
        <f>IF($A29="","",IFERROR(INDEX(cvtpOficial,MATCH($A29,Analitos!$A$4:$A$43,0)),""))</f>
        <v>3.3333333333333335</v>
      </c>
      <c r="K29" s="85">
        <f>IF($A29="","",IFERROR(INDEX(etpOficial,MATCH($A29,Analitos!$A$4:$A$43,0)),""))</f>
        <v>10</v>
      </c>
      <c r="L29" s="85">
        <f t="shared" si="1"/>
        <v>1.9084423843095406</v>
      </c>
      <c r="M29" s="85" t="str">
        <f>IF(NOT(ISNUMBER($L29)),"",mQualidade.ClassificarSigma($L29))</f>
        <v>Desempenho inadequado</v>
      </c>
      <c r="N29" s="150">
        <f t="shared" si="2"/>
        <v>1.0505125833439521</v>
      </c>
      <c r="O29" s="151">
        <f t="shared" si="3"/>
        <v>10.505125833439521</v>
      </c>
      <c r="P29" s="30" t="str">
        <f>IF(NOT(ISNUMBER($O29)),"",mQualidade.ClassificarMargem($O29))</f>
        <v>Dentro do orcamento</v>
      </c>
      <c r="Q29" s="30" t="str">
        <f t="shared" si="4"/>
        <v>CV acima da meta</v>
      </c>
      <c r="R29" s="30" t="str">
        <f>IF($A29="","",mCEQ.StatusSDIeq($A29,eqAnoEP,eqProvedor,eqRodada))</f>
        <v>OK (|SDI| max 1,60 em 15 amostra(s))</v>
      </c>
      <c r="S29" s="30" t="str">
        <f>IF($A29="","",mCEQ.StatusLimitesEQ($A29,eqAnoEP,eqProvedor,eqRodada))</f>
        <v>OK (15 dentro dos limites)</v>
      </c>
      <c r="T29" s="151">
        <f>IF($A29="","",mCEQ.BiasEQ($A29,eqAnoEP,"SIGNED",eqProvedor,eqRodada))</f>
        <v>0.45828006034747881</v>
      </c>
      <c r="U29" s="30" t="str">
        <f>IF(OR($P29="ETp excedido",$P29="Margem critica"),COUNTIF($P$14:$P29,"ETp excedido")+COUNTIF($P$14:$P29,"Margem critica"),"")</f>
        <v/>
      </c>
      <c r="V29" s="152">
        <f t="shared" si="5"/>
        <v>341474.46087647701</v>
      </c>
      <c r="W29" s="143">
        <f t="shared" si="6"/>
        <v>65.852553912352306</v>
      </c>
      <c r="X29" s="30" t="str">
        <f>IF(NOT(ISNUMBER($L29)),"",mPlanoQC.PlanoQC($L29,"REGRAS"))</f>
        <v/>
      </c>
      <c r="Y29" s="144" t="str">
        <f>IF(NOT(ISNUMBER($L29)),"",mPlanoQC.PlanoQC($L29,"N"))</f>
        <v/>
      </c>
      <c r="Z29" s="142" t="str">
        <f>IF(NOT(ISNUMBER($L29)),"",mPlanoQC.PlanoQC($L29,"RUNSIZE"))</f>
        <v/>
      </c>
      <c r="AA29" s="30" t="str">
        <f>IF(NOT(ISNUMBER($L29)),"",mPlanoQC.CoberturaWestgard($L29))</f>
        <v>não aplicável</v>
      </c>
      <c r="AB29" s="30" t="str">
        <f t="shared" si="7"/>
        <v>Colesterol total|2</v>
      </c>
      <c r="AC29" s="144">
        <f>IF($A29="","",mCEQ.BiasEQ($A29,eqAnoEP,"N",eqProvedor,eqRodada))</f>
        <v>15</v>
      </c>
      <c r="AD29" s="144">
        <f>IF($A29="","",mCEQ.BiasEQ($A29,eqAnoEP,"NRODADAS",eqProvedor,eqRodada))</f>
        <v>3</v>
      </c>
    </row>
    <row r="30" spans="1:30" x14ac:dyDescent="0.3">
      <c r="A30" s="15" t="str">
        <f>Analitos!$A$12</f>
        <v>HDL colesterol</v>
      </c>
      <c r="B30" s="8">
        <v>1</v>
      </c>
      <c r="C30" s="22">
        <f>IF($A30="","",EstatPeriodo($A30,$B30,"N",Estat_Ini_Efetiva,Estat_Fim_Efetiva,Estat_Exclusoes,$H$4))</f>
        <v>110</v>
      </c>
      <c r="D30" s="122">
        <f>IF($A30="","",EstatPeriodo($A30,$B30,"MEDIA",Estat_Ini_Efetiva,Estat_Fim_Efetiva,Estat_Exclusoes,$H$4))</f>
        <v>77.327272727272728</v>
      </c>
      <c r="E30" s="122">
        <f>IF($A30="","",EstatPeriodo($A30,$B30,"DP",Estat_Ini_Efetiva,Estat_Fim_Efetiva,Estat_Exclusoes,$H$4))</f>
        <v>1.5861157385091738</v>
      </c>
      <c r="F30" s="85">
        <f>IF($A30="","",EstatPeriodo($A30,$B30,"CV",Estat_Ini_Efetiva,Estat_Fim_Efetiva,Estat_Exclusoes,$H$4))</f>
        <v>2.0511724810252656</v>
      </c>
      <c r="G30" s="85">
        <f>IF($A30="","",mCEQ.BiasEQ($A30,eqAnoEP,"ABS",eqProvedor,eqRodada))</f>
        <v>4.2791408745922261</v>
      </c>
      <c r="H30" s="85">
        <f t="shared" si="0"/>
        <v>7.6635754682839146</v>
      </c>
      <c r="I30" s="85" t="str">
        <f>IF($A30="","",IFERROR(INDEX(espFonte,MATCH($A30,Analitos!$A$4:$A$43,0)),""))</f>
        <v>CLIA</v>
      </c>
      <c r="J30" s="85">
        <f>IF($A30="","",IFERROR(INDEX(cvtpOficial,MATCH($A30,Analitos!$A$4:$A$43,0)),""))</f>
        <v>10</v>
      </c>
      <c r="K30" s="85">
        <f>IF($A30="","",IFERROR(INDEX(etpOficial,MATCH($A30,Analitos!$A$4:$A$43,0)),""))</f>
        <v>30</v>
      </c>
      <c r="L30" s="85">
        <f t="shared" si="1"/>
        <v>12.539588632035159</v>
      </c>
      <c r="M30" s="85" t="str">
        <f>IF(NOT(ISNUMBER($L30)),"",mQualidade.ClassificarSigma($L30))</f>
        <v>Classe mundial</v>
      </c>
      <c r="N30" s="150">
        <f t="shared" si="2"/>
        <v>22.336424531716084</v>
      </c>
      <c r="O30" s="151">
        <f t="shared" si="3"/>
        <v>74.454748439053603</v>
      </c>
      <c r="P30" s="30" t="str">
        <f>IF(NOT(ISNUMBER($O30)),"",mQualidade.ClassificarMargem($O30))</f>
        <v>Dentro do orcamento</v>
      </c>
      <c r="Q30" s="30" t="str">
        <f t="shared" si="4"/>
        <v>OK</v>
      </c>
      <c r="R30" s="30" t="str">
        <f>IF($A30="","",mCEQ.StatusSDIeq($A30,eqAnoEP,eqProvedor,eqRodada))</f>
        <v>OK (|SDI| max 1,70 em 15 amostra(s))</v>
      </c>
      <c r="S30" s="30" t="str">
        <f>IF($A30="","",mCEQ.StatusLimitesEQ($A30,eqAnoEP,eqProvedor,eqRodada))</f>
        <v>OK (15 dentro dos limites)</v>
      </c>
      <c r="T30" s="151">
        <f>IF($A30="","",mCEQ.BiasEQ($A30,eqAnoEP,"SIGNED",eqProvedor,eqRodada))</f>
        <v>-3.4731991918989942</v>
      </c>
      <c r="U30" s="30" t="str">
        <f>IF(OR($P30="ETp excedido",$P30="Margem critica"),COUNTIF($P$14:$P30,"ETp excedido")+COUNTIF($P$14:$P30,"Margem critica"),"")</f>
        <v/>
      </c>
      <c r="V30" s="152">
        <f t="shared" si="5"/>
        <v>0</v>
      </c>
      <c r="W30" s="143">
        <f t="shared" si="6"/>
        <v>100</v>
      </c>
      <c r="X30" s="30" t="str">
        <f>IF(NOT(ISNUMBER($L30)),"",mPlanoQC.PlanoQC($L30,"REGRAS"))</f>
        <v>1_3s</v>
      </c>
      <c r="Y30" s="144">
        <f>IF(NOT(ISNUMBER($L30)),"",mPlanoQC.PlanoQC($L30,"N"))</f>
        <v>2</v>
      </c>
      <c r="Z30" s="142">
        <f>IF(NOT(ISNUMBER($L30)),"",mPlanoQC.PlanoQC($L30,"RUNSIZE"))</f>
        <v>1000</v>
      </c>
      <c r="AA30" s="30" t="str">
        <f>IF(NOT(ISNUMBER($L30)),"",mPlanoQC.CoberturaWestgard($L30))</f>
        <v>TOTAL</v>
      </c>
      <c r="AB30" s="30" t="str">
        <f t="shared" si="7"/>
        <v>HDL colesterol|1</v>
      </c>
      <c r="AC30" s="144">
        <f>IF($A30="","",mCEQ.BiasEQ($A30,eqAnoEP,"N",eqProvedor,eqRodada))</f>
        <v>15</v>
      </c>
      <c r="AD30" s="144">
        <f>IF($A30="","",mCEQ.BiasEQ($A30,eqAnoEP,"NRODADAS",eqProvedor,eqRodada))</f>
        <v>3</v>
      </c>
    </row>
    <row r="31" spans="1:30" x14ac:dyDescent="0.3">
      <c r="A31" s="15" t="str">
        <f>Analitos!$A$12</f>
        <v>HDL colesterol</v>
      </c>
      <c r="B31" s="8">
        <v>2</v>
      </c>
      <c r="C31" s="22">
        <f>IF($A31="","",EstatPeriodo($A31,$B31,"N",Estat_Ini_Efetiva,Estat_Fim_Efetiva,Estat_Exclusoes,$H$4))</f>
        <v>110</v>
      </c>
      <c r="D31" s="122">
        <f>IF($A31="","",EstatPeriodo($A31,$B31,"MEDIA",Estat_Ini_Efetiva,Estat_Fim_Efetiva,Estat_Exclusoes,$H$4))</f>
        <v>26.781818181818181</v>
      </c>
      <c r="E31" s="122">
        <f>IF($A31="","",EstatPeriodo($A31,$B31,"DP",Estat_Ini_Efetiva,Estat_Fim_Efetiva,Estat_Exclusoes,$H$4))</f>
        <v>0.45699091958577009</v>
      </c>
      <c r="F31" s="85">
        <f>IF($A31="","",EstatPeriodo($A31,$B31,"CV",Estat_Ini_Efetiva,Estat_Fim_Efetiva,Estat_Exclusoes,$H$4))</f>
        <v>1.7063476291389923</v>
      </c>
      <c r="G31" s="85">
        <f>IF($A31="","",mCEQ.BiasEQ($A31,eqAnoEP,"ABS",eqProvedor,eqRodada))</f>
        <v>4.2791408745922261</v>
      </c>
      <c r="H31" s="85">
        <f t="shared" si="0"/>
        <v>7.0946144626715633</v>
      </c>
      <c r="I31" s="85" t="str">
        <f>IF($A31="","",IFERROR(INDEX(espFonte,MATCH($A31,Analitos!$A$4:$A$43,0)),""))</f>
        <v>CLIA</v>
      </c>
      <c r="J31" s="85">
        <f>IF($A31="","",IFERROR(INDEX(cvtpOficial,MATCH($A31,Analitos!$A$4:$A$43,0)),""))</f>
        <v>10</v>
      </c>
      <c r="K31" s="85">
        <f>IF($A31="","",IFERROR(INDEX(etpOficial,MATCH($A31,Analitos!$A$4:$A$43,0)),""))</f>
        <v>30</v>
      </c>
      <c r="L31" s="85">
        <f t="shared" si="1"/>
        <v>15.073633699357199</v>
      </c>
      <c r="M31" s="85" t="str">
        <f>IF(NOT(ISNUMBER($L31)),"",mQualidade.ClassificarSigma($L31))</f>
        <v>Classe mundial</v>
      </c>
      <c r="N31" s="150">
        <f t="shared" si="2"/>
        <v>22.905385537328435</v>
      </c>
      <c r="O31" s="151">
        <f t="shared" si="3"/>
        <v>76.351285124428117</v>
      </c>
      <c r="P31" s="30" t="str">
        <f>IF(NOT(ISNUMBER($O31)),"",mQualidade.ClassificarMargem($O31))</f>
        <v>Dentro do orcamento</v>
      </c>
      <c r="Q31" s="30" t="str">
        <f t="shared" si="4"/>
        <v>OK</v>
      </c>
      <c r="R31" s="30" t="str">
        <f>IF($A31="","",mCEQ.StatusSDIeq($A31,eqAnoEP,eqProvedor,eqRodada))</f>
        <v>OK (|SDI| max 1,70 em 15 amostra(s))</v>
      </c>
      <c r="S31" s="30" t="str">
        <f>IF($A31="","",mCEQ.StatusLimitesEQ($A31,eqAnoEP,eqProvedor,eqRodada))</f>
        <v>OK (15 dentro dos limites)</v>
      </c>
      <c r="T31" s="151">
        <f>IF($A31="","",mCEQ.BiasEQ($A31,eqAnoEP,"SIGNED",eqProvedor,eqRodada))</f>
        <v>-3.4731991918989942</v>
      </c>
      <c r="U31" s="30" t="str">
        <f>IF(OR($P31="ETp excedido",$P31="Margem critica"),COUNTIF($P$14:$P31,"ETp excedido")+COUNTIF($P$14:$P31,"Margem critica"),"")</f>
        <v/>
      </c>
      <c r="V31" s="152">
        <f t="shared" si="5"/>
        <v>0</v>
      </c>
      <c r="W31" s="143">
        <f t="shared" si="6"/>
        <v>100</v>
      </c>
      <c r="X31" s="30" t="str">
        <f>IF(NOT(ISNUMBER($L31)),"",mPlanoQC.PlanoQC($L31,"REGRAS"))</f>
        <v>1_3s</v>
      </c>
      <c r="Y31" s="144">
        <f>IF(NOT(ISNUMBER($L31)),"",mPlanoQC.PlanoQC($L31,"N"))</f>
        <v>2</v>
      </c>
      <c r="Z31" s="142">
        <f>IF(NOT(ISNUMBER($L31)),"",mPlanoQC.PlanoQC($L31,"RUNSIZE"))</f>
        <v>1000</v>
      </c>
      <c r="AA31" s="30" t="str">
        <f>IF(NOT(ISNUMBER($L31)),"",mPlanoQC.CoberturaWestgard($L31))</f>
        <v>TOTAL</v>
      </c>
      <c r="AB31" s="30" t="str">
        <f t="shared" si="7"/>
        <v>HDL colesterol|2</v>
      </c>
      <c r="AC31" s="144">
        <f>IF($A31="","",mCEQ.BiasEQ($A31,eqAnoEP,"N",eqProvedor,eqRodada))</f>
        <v>15</v>
      </c>
      <c r="AD31" s="144">
        <f>IF($A31="","",mCEQ.BiasEQ($A31,eqAnoEP,"NRODADAS",eqProvedor,eqRodada))</f>
        <v>3</v>
      </c>
    </row>
    <row r="32" spans="1:30" x14ac:dyDescent="0.3">
      <c r="A32" s="15" t="str">
        <f>Analitos!$A$13</f>
        <v>Creatinina</v>
      </c>
      <c r="B32" s="8">
        <v>1</v>
      </c>
      <c r="C32" s="22">
        <f>IF($A32="","",EstatPeriodo($A32,$B32,"N",Estat_Ini_Efetiva,Estat_Fim_Efetiva,Estat_Exclusoes,$H$4))</f>
        <v>110</v>
      </c>
      <c r="D32" s="122">
        <f>IF($A32="","",EstatPeriodo($A32,$B32,"MEDIA",Estat_Ini_Efetiva,Estat_Fim_Efetiva,Estat_Exclusoes,$H$4))</f>
        <v>2.6891818181818192</v>
      </c>
      <c r="E32" s="122">
        <f>IF($A32="","",EstatPeriodo($A32,$B32,"DP",Estat_Ini_Efetiva,Estat_Fim_Efetiva,Estat_Exclusoes,$H$4))</f>
        <v>7.6303736585095677E-2</v>
      </c>
      <c r="F32" s="85">
        <f>IF($A32="","",EstatPeriodo($A32,$B32,"CV",Estat_Ini_Efetiva,Estat_Fim_Efetiva,Estat_Exclusoes,$H$4))</f>
        <v>2.8374331578920664</v>
      </c>
      <c r="G32" s="85">
        <f>IF($A32="","",mCEQ.BiasEQ($A32,eqAnoEP,"ABS",eqProvedor,eqRodada))</f>
        <v>2.92987022293187</v>
      </c>
      <c r="H32" s="85">
        <f t="shared" si="0"/>
        <v>7.6116349334537787</v>
      </c>
      <c r="I32" s="85" t="str">
        <f>IF($A32="","",IFERROR(INDEX(espFonte,MATCH($A32,Analitos!$A$4:$A$43,0)),""))</f>
        <v>CLIA</v>
      </c>
      <c r="J32" s="85">
        <f>IF($A32="","",IFERROR(INDEX(cvtpOficial,MATCH($A32,Analitos!$A$4:$A$43,0)),""))</f>
        <v>5</v>
      </c>
      <c r="K32" s="85">
        <f>IF($A32="","",IFERROR(INDEX(etpOficial,MATCH($A32,Analitos!$A$4:$A$43,0)),""))</f>
        <v>15</v>
      </c>
      <c r="L32" s="85">
        <f t="shared" si="1"/>
        <v>4.2538904373821618</v>
      </c>
      <c r="M32" s="85" t="str">
        <f>IF(NOT(ISNUMBER($L32)),"",mQualidade.ClassificarSigma($L32))</f>
        <v>Bom</v>
      </c>
      <c r="N32" s="150">
        <f t="shared" si="2"/>
        <v>7.3883650665462213</v>
      </c>
      <c r="O32" s="151">
        <f t="shared" si="3"/>
        <v>49.255767110308142</v>
      </c>
      <c r="P32" s="30" t="str">
        <f>IF(NOT(ISNUMBER($O32)),"",mQualidade.ClassificarMargem($O32))</f>
        <v>Dentro do orcamento</v>
      </c>
      <c r="Q32" s="30" t="str">
        <f t="shared" si="4"/>
        <v>OK</v>
      </c>
      <c r="R32" s="30" t="str">
        <f>IF($A32="","",mCEQ.StatusSDIeq($A32,eqAnoEP,eqProvedor,eqRodada))</f>
        <v>OK (|SDI| max 1,70 em 15 amostra(s))</v>
      </c>
      <c r="S32" s="30" t="str">
        <f>IF($A32="","",mCEQ.StatusLimitesEQ($A32,eqAnoEP,eqProvedor,eqRodada))</f>
        <v>OK (15 dentro dos limites)</v>
      </c>
      <c r="T32" s="151">
        <f>IF($A32="","",mCEQ.BiasEQ($A32,eqAnoEP,"SIGNED",eqProvedor,eqRodada))</f>
        <v>2.6483292219664092</v>
      </c>
      <c r="U32" s="30" t="str">
        <f>IF(OR($P32="ETp excedido",$P32="Margem critica"),COUNTIF($P$14:$P32,"ETp excedido")+COUNTIF($P$14:$P32,"Margem critica"),"")</f>
        <v/>
      </c>
      <c r="V32" s="152">
        <f t="shared" si="5"/>
        <v>2944.5739639957224</v>
      </c>
      <c r="W32" s="143">
        <f t="shared" si="6"/>
        <v>99.705542603600435</v>
      </c>
      <c r="X32" s="30" t="str">
        <f>IF(NOT(ISNUMBER($L32)),"",mPlanoQC.PlanoQC($L32,"REGRAS"))</f>
        <v>1_3s / 2_2s / R_4s / 4_1s</v>
      </c>
      <c r="Y32" s="144">
        <f>IF(NOT(ISNUMBER($L32)),"",mPlanoQC.PlanoQC($L32,"N"))</f>
        <v>4</v>
      </c>
      <c r="Z32" s="142">
        <f>IF(NOT(ISNUMBER($L32)),"",mPlanoQC.PlanoQC($L32,"RUNSIZE"))</f>
        <v>200</v>
      </c>
      <c r="AA32" s="30" t="str">
        <f>IF(NOT(ISNUMBER($L32)),"",mPlanoQC.CoberturaWestgard($L32))</f>
        <v>TOTAL</v>
      </c>
      <c r="AB32" s="30" t="str">
        <f t="shared" si="7"/>
        <v>Creatinina|1</v>
      </c>
      <c r="AC32" s="144">
        <f>IF($A32="","",mCEQ.BiasEQ($A32,eqAnoEP,"N",eqProvedor,eqRodada))</f>
        <v>15</v>
      </c>
      <c r="AD32" s="144">
        <f>IF($A32="","",mCEQ.BiasEQ($A32,eqAnoEP,"NRODADAS",eqProvedor,eqRodada))</f>
        <v>3</v>
      </c>
    </row>
    <row r="33" spans="1:30" x14ac:dyDescent="0.3">
      <c r="A33" s="15" t="str">
        <f>Analitos!$A$13</f>
        <v>Creatinina</v>
      </c>
      <c r="B33" s="8">
        <v>2</v>
      </c>
      <c r="C33" s="22">
        <f>IF($A33="","",EstatPeriodo($A33,$B33,"N",Estat_Ini_Efetiva,Estat_Fim_Efetiva,Estat_Exclusoes,$H$4))</f>
        <v>110</v>
      </c>
      <c r="D33" s="122">
        <f>IF($A33="","",EstatPeriodo($A33,$B33,"MEDIA",Estat_Ini_Efetiva,Estat_Fim_Efetiva,Estat_Exclusoes,$H$4))</f>
        <v>6.2788181818181839</v>
      </c>
      <c r="E33" s="122">
        <f>IF($A33="","",EstatPeriodo($A33,$B33,"DP",Estat_Ini_Efetiva,Estat_Fim_Efetiva,Estat_Exclusoes,$H$4))</f>
        <v>0.11907696854146756</v>
      </c>
      <c r="F33" s="85">
        <f>IF($A33="","",EstatPeriodo($A33,$B33,"CV",Estat_Ini_Efetiva,Estat_Fim_Efetiva,Estat_Exclusoes,$H$4))</f>
        <v>1.8964869676634901</v>
      </c>
      <c r="G33" s="85">
        <f>IF($A33="","",mCEQ.BiasEQ($A33,eqAnoEP,"ABS",eqProvedor,eqRodada))</f>
        <v>2.92987022293187</v>
      </c>
      <c r="H33" s="85">
        <f t="shared" si="0"/>
        <v>6.0590737195766291</v>
      </c>
      <c r="I33" s="85" t="str">
        <f>IF($A33="","",IFERROR(INDEX(espFonte,MATCH($A33,Analitos!$A$4:$A$43,0)),""))</f>
        <v>CLIA</v>
      </c>
      <c r="J33" s="85">
        <f>IF($A33="","",IFERROR(INDEX(cvtpOficial,MATCH($A33,Analitos!$A$4:$A$43,0)),""))</f>
        <v>5</v>
      </c>
      <c r="K33" s="85">
        <f>IF($A33="","",IFERROR(INDEX(etpOficial,MATCH($A33,Analitos!$A$4:$A$43,0)),""))</f>
        <v>15</v>
      </c>
      <c r="L33" s="85">
        <f t="shared" si="1"/>
        <v>6.3644675565257227</v>
      </c>
      <c r="M33" s="85" t="str">
        <f>IF(NOT(ISNUMBER($L33)),"",mQualidade.ClassificarSigma($L33))</f>
        <v>Classe mundial</v>
      </c>
      <c r="N33" s="150">
        <f t="shared" si="2"/>
        <v>8.9409262804233709</v>
      </c>
      <c r="O33" s="151">
        <f t="shared" si="3"/>
        <v>59.606175202822477</v>
      </c>
      <c r="P33" s="30" t="str">
        <f>IF(NOT(ISNUMBER($O33)),"",mQualidade.ClassificarMargem($O33))</f>
        <v>Dentro do orcamento</v>
      </c>
      <c r="Q33" s="30" t="str">
        <f t="shared" si="4"/>
        <v>OK</v>
      </c>
      <c r="R33" s="30" t="str">
        <f>IF($A33="","",mCEQ.StatusSDIeq($A33,eqAnoEP,eqProvedor,eqRodada))</f>
        <v>OK (|SDI| max 1,70 em 15 amostra(s))</v>
      </c>
      <c r="S33" s="30" t="str">
        <f>IF($A33="","",mCEQ.StatusLimitesEQ($A33,eqAnoEP,eqProvedor,eqRodada))</f>
        <v>OK (15 dentro dos limites)</v>
      </c>
      <c r="T33" s="151">
        <f>IF($A33="","",mCEQ.BiasEQ($A33,eqAnoEP,"SIGNED",eqProvedor,eqRodada))</f>
        <v>2.6483292219664092</v>
      </c>
      <c r="U33" s="30" t="str">
        <f>IF(OR($P33="ETp excedido",$P33="Margem critica"),COUNTIF($P$14:$P33,"ETp excedido")+COUNTIF($P$14:$P33,"Margem critica"),"")</f>
        <v/>
      </c>
      <c r="V33" s="152">
        <f t="shared" si="5"/>
        <v>0.57382664753191648</v>
      </c>
      <c r="W33" s="143">
        <f t="shared" si="6"/>
        <v>99.99994261733525</v>
      </c>
      <c r="X33" s="30" t="str">
        <f>IF(NOT(ISNUMBER($L33)),"",mPlanoQC.PlanoQC($L33,"REGRAS"))</f>
        <v>1_3s</v>
      </c>
      <c r="Y33" s="144">
        <f>IF(NOT(ISNUMBER($L33)),"",mPlanoQC.PlanoQC($L33,"N"))</f>
        <v>2</v>
      </c>
      <c r="Z33" s="142">
        <f>IF(NOT(ISNUMBER($L33)),"",mPlanoQC.PlanoQC($L33,"RUNSIZE"))</f>
        <v>1000</v>
      </c>
      <c r="AA33" s="30" t="str">
        <f>IF(NOT(ISNUMBER($L33)),"",mPlanoQC.CoberturaWestgard($L33))</f>
        <v>TOTAL</v>
      </c>
      <c r="AB33" s="30" t="str">
        <f t="shared" si="7"/>
        <v>Creatinina|2</v>
      </c>
      <c r="AC33" s="144">
        <f>IF($A33="","",mCEQ.BiasEQ($A33,eqAnoEP,"N",eqProvedor,eqRodada))</f>
        <v>15</v>
      </c>
      <c r="AD33" s="144">
        <f>IF($A33="","",mCEQ.BiasEQ($A33,eqAnoEP,"NRODADAS",eqProvedor,eqRodada))</f>
        <v>3</v>
      </c>
    </row>
    <row r="34" spans="1:30" x14ac:dyDescent="0.3">
      <c r="A34" s="15" t="str">
        <f>Analitos!$A$14</f>
        <v>Ferro</v>
      </c>
      <c r="B34" s="8">
        <v>1</v>
      </c>
      <c r="C34" s="22">
        <f>IF($A34="","",EstatPeriodo($A34,$B34,"N",Estat_Ini_Efetiva,Estat_Fim_Efetiva,Estat_Exclusoes,$H$4))</f>
        <v>110</v>
      </c>
      <c r="D34" s="122">
        <f>IF($A34="","",EstatPeriodo($A34,$B34,"MEDIA",Estat_Ini_Efetiva,Estat_Fim_Efetiva,Estat_Exclusoes,$H$4))</f>
        <v>231.6</v>
      </c>
      <c r="E34" s="122">
        <f>IF($A34="","",EstatPeriodo($A34,$B34,"DP",Estat_Ini_Efetiva,Estat_Fim_Efetiva,Estat_Exclusoes,$H$4))</f>
        <v>2.176606229638641</v>
      </c>
      <c r="F34" s="85">
        <f>IF($A34="","",EstatPeriodo($A34,$B34,"CV",Estat_Ini_Efetiva,Estat_Fim_Efetiva,Estat_Exclusoes,$H$4))</f>
        <v>0.9398127070978588</v>
      </c>
      <c r="G34" s="85">
        <f>IF($A34="","",mCEQ.BiasEQ($A34,eqAnoEP,"ABS",eqProvedor,eqRodada))</f>
        <v>1.148695855704208</v>
      </c>
      <c r="H34" s="85">
        <f t="shared" si="0"/>
        <v>2.6993868224156747</v>
      </c>
      <c r="I34" s="85" t="str">
        <f>IF($A34="","",IFERROR(INDEX(espFonte,MATCH($A34,Analitos!$A$4:$A$43,0)),""))</f>
        <v>CLIA</v>
      </c>
      <c r="J34" s="85">
        <f>IF($A34="","",IFERROR(INDEX(cvtpOficial,MATCH($A34,Analitos!$A$4:$A$43,0)),""))</f>
        <v>5</v>
      </c>
      <c r="K34" s="85">
        <f>IF($A34="","",IFERROR(INDEX(etpOficial,MATCH($A34,Analitos!$A$4:$A$43,0)),""))</f>
        <v>15</v>
      </c>
      <c r="L34" s="85">
        <f t="shared" si="1"/>
        <v>14.738366527378219</v>
      </c>
      <c r="M34" s="85" t="str">
        <f>IF(NOT(ISNUMBER($L34)),"",mQualidade.ClassificarSigma($L34))</f>
        <v>Classe mundial</v>
      </c>
      <c r="N34" s="150">
        <f t="shared" si="2"/>
        <v>12.300613177584324</v>
      </c>
      <c r="O34" s="151">
        <f t="shared" si="3"/>
        <v>82.004087850562158</v>
      </c>
      <c r="P34" s="30" t="str">
        <f>IF(NOT(ISNUMBER($O34)),"",mQualidade.ClassificarMargem($O34))</f>
        <v>Dentro do orcamento</v>
      </c>
      <c r="Q34" s="30" t="str">
        <f t="shared" si="4"/>
        <v>OK</v>
      </c>
      <c r="R34" s="30" t="str">
        <f>IF($A34="","",mCEQ.StatusSDIeq($A34,eqAnoEP,eqProvedor,eqRodada))</f>
        <v>OK (|SDI| max 1,90 em 15 amostra(s))</v>
      </c>
      <c r="S34" s="30" t="str">
        <f>IF($A34="","",mCEQ.StatusLimitesEQ($A34,eqAnoEP,eqProvedor,eqRodada))</f>
        <v>OK (15 dentro dos limites)</v>
      </c>
      <c r="T34" s="151">
        <f>IF($A34="","",mCEQ.BiasEQ($A34,eqAnoEP,"SIGNED",eqProvedor,eqRodada))</f>
        <v>-5.355002148071112E-2</v>
      </c>
      <c r="U34" s="30" t="str">
        <f>IF(OR($P34="ETp excedido",$P34="Margem critica"),COUNTIF($P$14:$P34,"ETp excedido")+COUNTIF($P$14:$P34,"Margem critica"),"")</f>
        <v/>
      </c>
      <c r="V34" s="152">
        <f t="shared" si="5"/>
        <v>0</v>
      </c>
      <c r="W34" s="143">
        <f t="shared" si="6"/>
        <v>100</v>
      </c>
      <c r="X34" s="30" t="str">
        <f>IF(NOT(ISNUMBER($L34)),"",mPlanoQC.PlanoQC($L34,"REGRAS"))</f>
        <v>1_3s</v>
      </c>
      <c r="Y34" s="144">
        <f>IF(NOT(ISNUMBER($L34)),"",mPlanoQC.PlanoQC($L34,"N"))</f>
        <v>2</v>
      </c>
      <c r="Z34" s="142">
        <f>IF(NOT(ISNUMBER($L34)),"",mPlanoQC.PlanoQC($L34,"RUNSIZE"))</f>
        <v>1000</v>
      </c>
      <c r="AA34" s="30" t="str">
        <f>IF(NOT(ISNUMBER($L34)),"",mPlanoQC.CoberturaWestgard($L34))</f>
        <v>TOTAL</v>
      </c>
      <c r="AB34" s="30" t="str">
        <f t="shared" si="7"/>
        <v>Ferro|1</v>
      </c>
      <c r="AC34" s="144">
        <f>IF($A34="","",mCEQ.BiasEQ($A34,eqAnoEP,"N",eqProvedor,eqRodada))</f>
        <v>15</v>
      </c>
      <c r="AD34" s="144">
        <f>IF($A34="","",mCEQ.BiasEQ($A34,eqAnoEP,"NRODADAS",eqProvedor,eqRodada))</f>
        <v>3</v>
      </c>
    </row>
    <row r="35" spans="1:30" x14ac:dyDescent="0.3">
      <c r="A35" s="15" t="str">
        <f>Analitos!$A$14</f>
        <v>Ferro</v>
      </c>
      <c r="B35" s="8">
        <v>2</v>
      </c>
      <c r="C35" s="22">
        <f>IF($A35="","",EstatPeriodo($A35,$B35,"N",Estat_Ini_Efetiva,Estat_Fim_Efetiva,Estat_Exclusoes,$H$4))</f>
        <v>110</v>
      </c>
      <c r="D35" s="122">
        <f>IF($A35="","",EstatPeriodo($A35,$B35,"MEDIA",Estat_Ini_Efetiva,Estat_Fim_Efetiva,Estat_Exclusoes,$H$4))</f>
        <v>68.672727272727272</v>
      </c>
      <c r="E35" s="122">
        <f>IF($A35="","",EstatPeriodo($A35,$B35,"DP",Estat_Ini_Efetiva,Estat_Fim_Efetiva,Estat_Exclusoes,$H$4))</f>
        <v>1.2929526049701214</v>
      </c>
      <c r="F35" s="85">
        <f>IF($A35="","",EstatPeriodo($A35,$B35,"CV",Estat_Ini_Efetiva,Estat_Fim_Efetiva,Estat_Exclusoes,$H$4))</f>
        <v>1.8827745108116674</v>
      </c>
      <c r="G35" s="85">
        <f>IF($A35="","",mCEQ.BiasEQ($A35,eqAnoEP,"ABS",eqProvedor,eqRodada))</f>
        <v>1.148695855704208</v>
      </c>
      <c r="H35" s="85">
        <f t="shared" si="0"/>
        <v>4.2552737985434588</v>
      </c>
      <c r="I35" s="85" t="str">
        <f>IF($A35="","",IFERROR(INDEX(espFonte,MATCH($A35,Analitos!$A$4:$A$43,0)),""))</f>
        <v>CLIA</v>
      </c>
      <c r="J35" s="85">
        <f>IF($A35="","",IFERROR(INDEX(cvtpOficial,MATCH($A35,Analitos!$A$4:$A$43,0)),""))</f>
        <v>5</v>
      </c>
      <c r="K35" s="85">
        <f>IF($A35="","",IFERROR(INDEX(etpOficial,MATCH($A35,Analitos!$A$4:$A$43,0)),""))</f>
        <v>15</v>
      </c>
      <c r="L35" s="85">
        <f t="shared" si="1"/>
        <v>7.3568576931310119</v>
      </c>
      <c r="M35" s="85" t="str">
        <f>IF(NOT(ISNUMBER($L35)),"",mQualidade.ClassificarSigma($L35))</f>
        <v>Classe mundial</v>
      </c>
      <c r="N35" s="150">
        <f t="shared" si="2"/>
        <v>10.74472620145654</v>
      </c>
      <c r="O35" s="151">
        <f t="shared" si="3"/>
        <v>71.631508009710259</v>
      </c>
      <c r="P35" s="30" t="str">
        <f>IF(NOT(ISNUMBER($O35)),"",mQualidade.ClassificarMargem($O35))</f>
        <v>Dentro do orcamento</v>
      </c>
      <c r="Q35" s="30" t="str">
        <f t="shared" si="4"/>
        <v>OK</v>
      </c>
      <c r="R35" s="30" t="str">
        <f>IF($A35="","",mCEQ.StatusSDIeq($A35,eqAnoEP,eqProvedor,eqRodada))</f>
        <v>OK (|SDI| max 1,90 em 15 amostra(s))</v>
      </c>
      <c r="S35" s="30" t="str">
        <f>IF($A35="","",mCEQ.StatusLimitesEQ($A35,eqAnoEP,eqProvedor,eqRodada))</f>
        <v>OK (15 dentro dos limites)</v>
      </c>
      <c r="T35" s="151">
        <f>IF($A35="","",mCEQ.BiasEQ($A35,eqAnoEP,"SIGNED",eqProvedor,eqRodada))</f>
        <v>-5.355002148071112E-2</v>
      </c>
      <c r="U35" s="30" t="str">
        <f>IF(OR($P35="ETp excedido",$P35="Margem critica"),COUNTIF($P$14:$P35,"ETp excedido")+COUNTIF($P$14:$P35,"Margem critica"),"")</f>
        <v/>
      </c>
      <c r="V35" s="152">
        <f t="shared" si="5"/>
        <v>2.3585349229193753E-3</v>
      </c>
      <c r="W35" s="143">
        <f t="shared" si="6"/>
        <v>99.999999764146509</v>
      </c>
      <c r="X35" s="30" t="str">
        <f>IF(NOT(ISNUMBER($L35)),"",mPlanoQC.PlanoQC($L35,"REGRAS"))</f>
        <v>1_3s</v>
      </c>
      <c r="Y35" s="144">
        <f>IF(NOT(ISNUMBER($L35)),"",mPlanoQC.PlanoQC($L35,"N"))</f>
        <v>2</v>
      </c>
      <c r="Z35" s="142">
        <f>IF(NOT(ISNUMBER($L35)),"",mPlanoQC.PlanoQC($L35,"RUNSIZE"))</f>
        <v>1000</v>
      </c>
      <c r="AA35" s="30" t="str">
        <f>IF(NOT(ISNUMBER($L35)),"",mPlanoQC.CoberturaWestgard($L35))</f>
        <v>TOTAL</v>
      </c>
      <c r="AB35" s="30" t="str">
        <f t="shared" si="7"/>
        <v>Ferro|2</v>
      </c>
      <c r="AC35" s="144">
        <f>IF($A35="","",mCEQ.BiasEQ($A35,eqAnoEP,"N",eqProvedor,eqRodada))</f>
        <v>15</v>
      </c>
      <c r="AD35" s="144">
        <f>IF($A35="","",mCEQ.BiasEQ($A35,eqAnoEP,"NRODADAS",eqProvedor,eqRodada))</f>
        <v>3</v>
      </c>
    </row>
    <row r="36" spans="1:30" x14ac:dyDescent="0.3">
      <c r="A36" s="15" t="str">
        <f>Analitos!$A$15</f>
        <v>Fósforo</v>
      </c>
      <c r="B36" s="8">
        <v>1</v>
      </c>
      <c r="C36" s="22">
        <f>IF($A36="","",EstatPeriodo($A36,$B36,"N",Estat_Ini_Efetiva,Estat_Fim_Efetiva,Estat_Exclusoes,$H$4))</f>
        <v>110</v>
      </c>
      <c r="D36" s="122">
        <f>IF($A36="","",EstatPeriodo($A36,$B36,"MEDIA",Estat_Ini_Efetiva,Estat_Fim_Efetiva,Estat_Exclusoes,$H$4))</f>
        <v>3.5231818181818189</v>
      </c>
      <c r="E36" s="122">
        <f>IF($A36="","",EstatPeriodo($A36,$B36,"DP",Estat_Ini_Efetiva,Estat_Fim_Efetiva,Estat_Exclusoes,$H$4))</f>
        <v>9.8296796574668541E-2</v>
      </c>
      <c r="F36" s="85">
        <f>IF($A36="","",EstatPeriodo($A36,$B36,"CV",Estat_Ini_Efetiva,Estat_Fim_Efetiva,Estat_Exclusoes,$H$4))</f>
        <v>2.790000676870994</v>
      </c>
      <c r="G36" s="85">
        <f>IF($A36="","",mCEQ.BiasEQ($A36,eqAnoEP,"ABS",eqProvedor,eqRodada))</f>
        <v>2.7705941915946823</v>
      </c>
      <c r="H36" s="85">
        <f t="shared" si="0"/>
        <v>7.3740953084318219</v>
      </c>
      <c r="I36" s="85" t="str">
        <f>IF($A36="","",IFERROR(INDEX(espFonte,MATCH($A36,Analitos!$A$4:$A$43,0)),""))</f>
        <v>CLIA</v>
      </c>
      <c r="J36" s="85">
        <f>IF($A36="","",IFERROR(INDEX(cvtpOficial,MATCH($A36,Analitos!$A$4:$A$43,0)),""))</f>
        <v>3.6666666666666665</v>
      </c>
      <c r="K36" s="85">
        <f>IF($A36="","",IFERROR(INDEX(etpOficial,MATCH($A36,Analitos!$A$4:$A$43,0)),""))</f>
        <v>11</v>
      </c>
      <c r="L36" s="85">
        <f t="shared" si="1"/>
        <v>2.9496071010400815</v>
      </c>
      <c r="M36" s="85" t="str">
        <f>IF(NOT(ISNUMBER($L36)),"",mQualidade.ClassificarSigma($L36))</f>
        <v>Desempenho inadequado</v>
      </c>
      <c r="N36" s="150">
        <f t="shared" si="2"/>
        <v>3.6259046915681781</v>
      </c>
      <c r="O36" s="151">
        <f t="shared" si="3"/>
        <v>32.962769923347075</v>
      </c>
      <c r="P36" s="30" t="str">
        <f>IF(NOT(ISNUMBER($O36)),"",mQualidade.ClassificarMargem($O36))</f>
        <v>Dentro do orcamento</v>
      </c>
      <c r="Q36" s="30" t="str">
        <f t="shared" si="4"/>
        <v>OK</v>
      </c>
      <c r="R36" s="30" t="str">
        <f>IF($A36="","",mCEQ.StatusSDIeq($A36,eqAnoEP,eqProvedor,eqRodada))</f>
        <v>FORA (|SDI| max 2,80 &gt; 2)</v>
      </c>
      <c r="S36" s="30" t="str">
        <f>IF($A36="","",mCEQ.StatusLimitesEQ($A36,eqAnoEP,eqProvedor,eqRodada))</f>
        <v>OK (15 dentro dos limites)</v>
      </c>
      <c r="T36" s="151">
        <f>IF($A36="","",mCEQ.BiasEQ($A36,eqAnoEP,"SIGNED",eqProvedor,eqRodada))</f>
        <v>2.3301749478485845</v>
      </c>
      <c r="U36" s="30" t="str">
        <f>IF(OR($P36="ETp excedido",$P36="Margem critica"),COUNTIF($P$14:$P36,"ETp excedido")+COUNTIF($P$14:$P36,"Margem critica"),"")</f>
        <v/>
      </c>
      <c r="V36" s="152">
        <f t="shared" si="5"/>
        <v>73584.057340523097</v>
      </c>
      <c r="W36" s="143">
        <f t="shared" si="6"/>
        <v>92.641594265947688</v>
      </c>
      <c r="X36" s="30" t="str">
        <f>IF(NOT(ISNUMBER($L36)),"",mPlanoQC.PlanoQC($L36,"REGRAS"))</f>
        <v/>
      </c>
      <c r="Y36" s="144" t="str">
        <f>IF(NOT(ISNUMBER($L36)),"",mPlanoQC.PlanoQC($L36,"N"))</f>
        <v/>
      </c>
      <c r="Z36" s="142" t="str">
        <f>IF(NOT(ISNUMBER($L36)),"",mPlanoQC.PlanoQC($L36,"RUNSIZE"))</f>
        <v/>
      </c>
      <c r="AA36" s="30" t="str">
        <f>IF(NOT(ISNUMBER($L36)),"",mPlanoQC.CoberturaWestgard($L36))</f>
        <v>não aplicável</v>
      </c>
      <c r="AB36" s="30" t="str">
        <f t="shared" si="7"/>
        <v>Fósforo|1</v>
      </c>
      <c r="AC36" s="144">
        <f>IF($A36="","",mCEQ.BiasEQ($A36,eqAnoEP,"N",eqProvedor,eqRodada))</f>
        <v>15</v>
      </c>
      <c r="AD36" s="144">
        <f>IF($A36="","",mCEQ.BiasEQ($A36,eqAnoEP,"NRODADAS",eqProvedor,eqRodada))</f>
        <v>3</v>
      </c>
    </row>
    <row r="37" spans="1:30" x14ac:dyDescent="0.3">
      <c r="A37" s="15" t="str">
        <f>Analitos!$A$15</f>
        <v>Fósforo</v>
      </c>
      <c r="B37" s="8">
        <v>2</v>
      </c>
      <c r="C37" s="22">
        <f>IF($A37="","",EstatPeriodo($A37,$B37,"N",Estat_Ini_Efetiva,Estat_Fim_Efetiva,Estat_Exclusoes,$H$4))</f>
        <v>110</v>
      </c>
      <c r="D37" s="122">
        <f>IF($A37="","",EstatPeriodo($A37,$B37,"MEDIA",Estat_Ini_Efetiva,Estat_Fim_Efetiva,Estat_Exclusoes,$H$4))</f>
        <v>7.2050909090909094</v>
      </c>
      <c r="E37" s="122">
        <f>IF($A37="","",EstatPeriodo($A37,$B37,"DP",Estat_Ini_Efetiva,Estat_Fim_Efetiva,Estat_Exclusoes,$H$4))</f>
        <v>0.14355733090314363</v>
      </c>
      <c r="F37" s="85">
        <f>IF($A37="","",EstatPeriodo($A37,$B37,"CV",Estat_Ini_Efetiva,Estat_Fim_Efetiva,Estat_Exclusoes,$H$4))</f>
        <v>1.9924430200042644</v>
      </c>
      <c r="G37" s="85">
        <f>IF($A37="","",mCEQ.BiasEQ($A37,eqAnoEP,"ABS",eqProvedor,eqRodada))</f>
        <v>2.7705941915946823</v>
      </c>
      <c r="H37" s="85">
        <f t="shared" si="0"/>
        <v>6.0581251746017184</v>
      </c>
      <c r="I37" s="85" t="str">
        <f>IF($A37="","",IFERROR(INDEX(espFonte,MATCH($A37,Analitos!$A$4:$A$43,0)),""))</f>
        <v>CLIA</v>
      </c>
      <c r="J37" s="85">
        <f>IF($A37="","",IFERROR(INDEX(cvtpOficial,MATCH($A37,Analitos!$A$4:$A$43,0)),""))</f>
        <v>3.6666666666666665</v>
      </c>
      <c r="K37" s="85">
        <f>IF($A37="","",IFERROR(INDEX(etpOficial,MATCH($A37,Analitos!$A$4:$A$43,0)),""))</f>
        <v>11</v>
      </c>
      <c r="L37" s="85">
        <f t="shared" si="1"/>
        <v>4.1303092363402714</v>
      </c>
      <c r="M37" s="85" t="str">
        <f>IF(NOT(ISNUMBER($L37)),"",mQualidade.ClassificarSigma($L37))</f>
        <v>Bom</v>
      </c>
      <c r="N37" s="150">
        <f t="shared" si="2"/>
        <v>4.9418748253982816</v>
      </c>
      <c r="O37" s="151">
        <f t="shared" si="3"/>
        <v>44.926134776348015</v>
      </c>
      <c r="P37" s="30" t="str">
        <f>IF(NOT(ISNUMBER($O37)),"",mQualidade.ClassificarMargem($O37))</f>
        <v>Dentro do orcamento</v>
      </c>
      <c r="Q37" s="30" t="str">
        <f t="shared" si="4"/>
        <v>OK</v>
      </c>
      <c r="R37" s="30" t="str">
        <f>IF($A37="","",mCEQ.StatusSDIeq($A37,eqAnoEP,eqProvedor,eqRodada))</f>
        <v>FORA (|SDI| max 2,80 &gt; 2)</v>
      </c>
      <c r="S37" s="30" t="str">
        <f>IF($A37="","",mCEQ.StatusLimitesEQ($A37,eqAnoEP,eqProvedor,eqRodada))</f>
        <v>OK (15 dentro dos limites)</v>
      </c>
      <c r="T37" s="151">
        <f>IF($A37="","",mCEQ.BiasEQ($A37,eqAnoEP,"SIGNED",eqProvedor,eqRodada))</f>
        <v>2.3301749478485845</v>
      </c>
      <c r="U37" s="30" t="str">
        <f>IF(OR($P37="ETp excedido",$P37="Margem critica"),COUNTIF($P$14:$P37,"ETp excedido")+COUNTIF($P$14:$P37,"Margem critica"),"")</f>
        <v/>
      </c>
      <c r="V37" s="152">
        <f t="shared" si="5"/>
        <v>4265.3615636376599</v>
      </c>
      <c r="W37" s="143">
        <f t="shared" si="6"/>
        <v>99.573463843636233</v>
      </c>
      <c r="X37" s="30" t="str">
        <f>IF(NOT(ISNUMBER($L37)),"",mPlanoQC.PlanoQC($L37,"REGRAS"))</f>
        <v>1_3s / 2_2s / R_4s / 4_1s</v>
      </c>
      <c r="Y37" s="144">
        <f>IF(NOT(ISNUMBER($L37)),"",mPlanoQC.PlanoQC($L37,"N"))</f>
        <v>4</v>
      </c>
      <c r="Z37" s="142">
        <f>IF(NOT(ISNUMBER($L37)),"",mPlanoQC.PlanoQC($L37,"RUNSIZE"))</f>
        <v>200</v>
      </c>
      <c r="AA37" s="30" t="str">
        <f>IF(NOT(ISNUMBER($L37)),"",mPlanoQC.CoberturaWestgard($L37))</f>
        <v>TOTAL</v>
      </c>
      <c r="AB37" s="30" t="str">
        <f t="shared" si="7"/>
        <v>Fósforo|2</v>
      </c>
      <c r="AC37" s="144">
        <f>IF($A37="","",mCEQ.BiasEQ($A37,eqAnoEP,"N",eqProvedor,eqRodada))</f>
        <v>15</v>
      </c>
      <c r="AD37" s="144">
        <f>IF($A37="","",mCEQ.BiasEQ($A37,eqAnoEP,"NRODADAS",eqProvedor,eqRodada))</f>
        <v>3</v>
      </c>
    </row>
    <row r="38" spans="1:30" x14ac:dyDescent="0.3">
      <c r="A38" s="15" t="str">
        <f>Analitos!$A$16</f>
        <v>Glicose</v>
      </c>
      <c r="B38" s="8">
        <v>1</v>
      </c>
      <c r="C38" s="22">
        <f>IF($A38="","",EstatPeriodo($A38,$B38,"N",Estat_Ini_Efetiva,Estat_Fim_Efetiva,Estat_Exclusoes,$H$4))</f>
        <v>110</v>
      </c>
      <c r="D38" s="122">
        <f>IF($A38="","",EstatPeriodo($A38,$B38,"MEDIA",Estat_Ini_Efetiva,Estat_Fim_Efetiva,Estat_Exclusoes,$H$4))</f>
        <v>87.327272727272728</v>
      </c>
      <c r="E38" s="122">
        <f>IF($A38="","",EstatPeriodo($A38,$B38,"DP",Estat_Ini_Efetiva,Estat_Fim_Efetiva,Estat_Exclusoes,$H$4))</f>
        <v>1.5151170415872015</v>
      </c>
      <c r="F38" s="85">
        <f>IF($A38="","",EstatPeriodo($A38,$B38,"CV",Estat_Ini_Efetiva,Estat_Fim_Efetiva,Estat_Exclusoes,$H$4))</f>
        <v>1.7349872431250486</v>
      </c>
      <c r="G38" s="85">
        <f>IF($A38="","",mCEQ.BiasEQ($A38,eqAnoEP,"ABS",eqProvedor,eqRodada))</f>
        <v>2.733294443298167</v>
      </c>
      <c r="H38" s="85">
        <f t="shared" si="0"/>
        <v>5.5960233944544964</v>
      </c>
      <c r="I38" s="85" t="str">
        <f>IF($A38="","",IFERROR(INDEX(espFonte,MATCH($A38,Analitos!$A$4:$A$43,0)),""))</f>
        <v>CLIA</v>
      </c>
      <c r="J38" s="85">
        <f>IF($A38="","",IFERROR(INDEX(cvtpOficial,MATCH($A38,Analitos!$A$4:$A$43,0)),""))</f>
        <v>3.3333333333333335</v>
      </c>
      <c r="K38" s="85">
        <f>IF($A38="","",IFERROR(INDEX(etpOficial,MATCH($A38,Analitos!$A$4:$A$43,0)),""))</f>
        <v>10</v>
      </c>
      <c r="L38" s="85">
        <f t="shared" si="1"/>
        <v>4.1883337099430697</v>
      </c>
      <c r="M38" s="85" t="str">
        <f>IF(NOT(ISNUMBER($L38)),"",mQualidade.ClassificarSigma($L38))</f>
        <v>Bom</v>
      </c>
      <c r="N38" s="150">
        <f t="shared" si="2"/>
        <v>4.4039766055455036</v>
      </c>
      <c r="O38" s="151">
        <f t="shared" si="3"/>
        <v>44.03976605545504</v>
      </c>
      <c r="P38" s="30" t="str">
        <f>IF(NOT(ISNUMBER($O38)),"",mQualidade.ClassificarMargem($O38))</f>
        <v>Dentro do orcamento</v>
      </c>
      <c r="Q38" s="30" t="str">
        <f t="shared" si="4"/>
        <v>OK</v>
      </c>
      <c r="R38" s="30" t="str">
        <f>IF($A38="","",mCEQ.StatusSDIeq($A38,eqAnoEP,eqProvedor,eqRodada))</f>
        <v>FORA (|SDI| max 2,10 &gt; 2)</v>
      </c>
      <c r="S38" s="30" t="str">
        <f>IF($A38="","",mCEQ.StatusLimitesEQ($A38,eqAnoEP,eqProvedor,eqRodada))</f>
        <v>NAO OK (1 fora dos limites)</v>
      </c>
      <c r="T38" s="151">
        <f>IF($A38="","",mCEQ.BiasEQ($A38,eqAnoEP,"SIGNED",eqProvedor,eqRodada))</f>
        <v>-1.3264371051286767</v>
      </c>
      <c r="U38" s="30" t="str">
        <f>IF(OR($P38="ETp excedido",$P38="Margem critica"),COUNTIF($P$14:$P38,"ETp excedido")+COUNTIF($P$14:$P38,"Margem critica"),"")</f>
        <v/>
      </c>
      <c r="V38" s="152">
        <f t="shared" si="5"/>
        <v>3590.4796139961668</v>
      </c>
      <c r="W38" s="143">
        <f t="shared" si="6"/>
        <v>99.640952038600389</v>
      </c>
      <c r="X38" s="30" t="str">
        <f>IF(NOT(ISNUMBER($L38)),"",mPlanoQC.PlanoQC($L38,"REGRAS"))</f>
        <v>1_3s / 2_2s / R_4s / 4_1s</v>
      </c>
      <c r="Y38" s="144">
        <f>IF(NOT(ISNUMBER($L38)),"",mPlanoQC.PlanoQC($L38,"N"))</f>
        <v>4</v>
      </c>
      <c r="Z38" s="142">
        <f>IF(NOT(ISNUMBER($L38)),"",mPlanoQC.PlanoQC($L38,"RUNSIZE"))</f>
        <v>200</v>
      </c>
      <c r="AA38" s="30" t="str">
        <f>IF(NOT(ISNUMBER($L38)),"",mPlanoQC.CoberturaWestgard($L38))</f>
        <v>TOTAL</v>
      </c>
      <c r="AB38" s="30" t="str">
        <f t="shared" si="7"/>
        <v>Glicose|1</v>
      </c>
      <c r="AC38" s="144">
        <f>IF($A38="","",mCEQ.BiasEQ($A38,eqAnoEP,"N",eqProvedor,eqRodada))</f>
        <v>15</v>
      </c>
      <c r="AD38" s="144">
        <f>IF($A38="","",mCEQ.BiasEQ($A38,eqAnoEP,"NRODADAS",eqProvedor,eqRodada))</f>
        <v>3</v>
      </c>
    </row>
    <row r="39" spans="1:30" x14ac:dyDescent="0.3">
      <c r="A39" s="15" t="str">
        <f>Analitos!$A$16</f>
        <v>Glicose</v>
      </c>
      <c r="B39" s="8">
        <v>2</v>
      </c>
      <c r="C39" s="22">
        <f>IF($A39="","",EstatPeriodo($A39,$B39,"N",Estat_Ini_Efetiva,Estat_Fim_Efetiva,Estat_Exclusoes,$H$4))</f>
        <v>110</v>
      </c>
      <c r="D39" s="122">
        <f>IF($A39="","",EstatPeriodo($A39,$B39,"MEDIA",Estat_Ini_Efetiva,Estat_Fim_Efetiva,Estat_Exclusoes,$H$4))</f>
        <v>281.13636363636363</v>
      </c>
      <c r="E39" s="122">
        <f>IF($A39="","",EstatPeriodo($A39,$B39,"DP",Estat_Ini_Efetiva,Estat_Fim_Efetiva,Estat_Exclusoes,$H$4))</f>
        <v>3.4917393282268505</v>
      </c>
      <c r="F39" s="85">
        <f>IF($A39="","",EstatPeriodo($A39,$B39,"CV",Estat_Ini_Efetiva,Estat_Fim_Efetiva,Estat_Exclusoes,$H$4))</f>
        <v>1.2420091385770529</v>
      </c>
      <c r="G39" s="85">
        <f>IF($A39="","",mCEQ.BiasEQ($A39,eqAnoEP,"ABS",eqProvedor,eqRodada))</f>
        <v>2.733294443298167</v>
      </c>
      <c r="H39" s="85">
        <f t="shared" si="0"/>
        <v>4.7826095219503042</v>
      </c>
      <c r="I39" s="85" t="str">
        <f>IF($A39="","",IFERROR(INDEX(espFonte,MATCH($A39,Analitos!$A$4:$A$43,0)),""))</f>
        <v>CLIA</v>
      </c>
      <c r="J39" s="85">
        <f>IF($A39="","",IFERROR(INDEX(cvtpOficial,MATCH($A39,Analitos!$A$4:$A$43,0)),""))</f>
        <v>3.3333333333333335</v>
      </c>
      <c r="K39" s="85">
        <f>IF($A39="","",IFERROR(INDEX(etpOficial,MATCH($A39,Analitos!$A$4:$A$43,0)),""))</f>
        <v>10</v>
      </c>
      <c r="L39" s="85">
        <f t="shared" si="1"/>
        <v>5.8507665773113109</v>
      </c>
      <c r="M39" s="85" t="str">
        <f>IF(NOT(ISNUMBER($L39)),"",mQualidade.ClassificarSigma($L39))</f>
        <v>Excelente</v>
      </c>
      <c r="N39" s="150">
        <f t="shared" si="2"/>
        <v>5.2173904780496958</v>
      </c>
      <c r="O39" s="151">
        <f t="shared" si="3"/>
        <v>52.173904780496962</v>
      </c>
      <c r="P39" s="30" t="str">
        <f>IF(NOT(ISNUMBER($O39)),"",mQualidade.ClassificarMargem($O39))</f>
        <v>Dentro do orcamento</v>
      </c>
      <c r="Q39" s="30" t="str">
        <f t="shared" si="4"/>
        <v>OK</v>
      </c>
      <c r="R39" s="30" t="str">
        <f>IF($A39="","",mCEQ.StatusSDIeq($A39,eqAnoEP,eqProvedor,eqRodada))</f>
        <v>FORA (|SDI| max 2,10 &gt; 2)</v>
      </c>
      <c r="S39" s="30" t="str">
        <f>IF($A39="","",mCEQ.StatusLimitesEQ($A39,eqAnoEP,eqProvedor,eqRodada))</f>
        <v>NAO OK (1 fora dos limites)</v>
      </c>
      <c r="T39" s="151">
        <f>IF($A39="","",mCEQ.BiasEQ($A39,eqAnoEP,"SIGNED",eqProvedor,eqRodada))</f>
        <v>-1.3264371051286767</v>
      </c>
      <c r="U39" s="30" t="str">
        <f>IF(OR($P39="ETp excedido",$P39="Margem critica"),COUNTIF($P$14:$P39,"ETp excedido")+COUNTIF($P$14:$P39,"Margem critica"),"")</f>
        <v/>
      </c>
      <c r="V39" s="152">
        <f t="shared" si="5"/>
        <v>6.7831205938784223</v>
      </c>
      <c r="W39" s="143">
        <f t="shared" si="6"/>
        <v>99.999321687940608</v>
      </c>
      <c r="X39" s="30" t="str">
        <f>IF(NOT(ISNUMBER($L39)),"",mPlanoQC.PlanoQC($L39,"REGRAS"))</f>
        <v>1_3s / 2_2s / R_4s</v>
      </c>
      <c r="Y39" s="144">
        <f>IF(NOT(ISNUMBER($L39)),"",mPlanoQC.PlanoQC($L39,"N"))</f>
        <v>2</v>
      </c>
      <c r="Z39" s="142">
        <f>IF(NOT(ISNUMBER($L39)),"",mPlanoQC.PlanoQC($L39,"RUNSIZE"))</f>
        <v>450</v>
      </c>
      <c r="AA39" s="30" t="str">
        <f>IF(NOT(ISNUMBER($L39)),"",mPlanoQC.CoberturaWestgard($L39))</f>
        <v>TOTAL</v>
      </c>
      <c r="AB39" s="30" t="str">
        <f t="shared" si="7"/>
        <v>Glicose|2</v>
      </c>
      <c r="AC39" s="144">
        <f>IF($A39="","",mCEQ.BiasEQ($A39,eqAnoEP,"N",eqProvedor,eqRodada))</f>
        <v>15</v>
      </c>
      <c r="AD39" s="144">
        <f>IF($A39="","",mCEQ.BiasEQ($A39,eqAnoEP,"NRODADAS",eqProvedor,eqRodada))</f>
        <v>3</v>
      </c>
    </row>
    <row r="40" spans="1:30" x14ac:dyDescent="0.3">
      <c r="A40" s="15" t="str">
        <f>Analitos!$A$17</f>
        <v>Hemoglobina glicada</v>
      </c>
      <c r="B40" s="8">
        <v>1</v>
      </c>
      <c r="C40" s="22">
        <f>IF($A40="","",EstatPeriodo($A40,$B40,"N",Estat_Ini_Efetiva,Estat_Fim_Efetiva,Estat_Exclusoes,$H$4))</f>
        <v>110</v>
      </c>
      <c r="D40" s="122">
        <f>IF($A40="","",EstatPeriodo($A40,$B40,"MEDIA",Estat_Ini_Efetiva,Estat_Fim_Efetiva,Estat_Exclusoes,$H$4))</f>
        <v>5.1519090909090925</v>
      </c>
      <c r="E40" s="122">
        <f>IF($A40="","",EstatPeriodo($A40,$B40,"DP",Estat_Ini_Efetiva,Estat_Fim_Efetiva,Estat_Exclusoes,$H$4))</f>
        <v>9.5854395069858253E-2</v>
      </c>
      <c r="F40" s="85">
        <f>IF($A40="","",EstatPeriodo($A40,$B40,"CV",Estat_Ini_Efetiva,Estat_Fim_Efetiva,Estat_Exclusoes,$H$4))</f>
        <v>1.8605606849507517</v>
      </c>
      <c r="G40" s="85" t="str">
        <f>IF($A40="","",mCEQ.BiasEQ($A40,eqAnoEP,"ABS",eqProvedor,eqRodada))</f>
        <v>SEM EP</v>
      </c>
      <c r="H40" s="85" t="str">
        <f t="shared" si="0"/>
        <v/>
      </c>
      <c r="I40" s="85" t="str">
        <f>IF($A40="","",IFERROR(INDEX(espFonte,MATCH($A40,Analitos!$A$4:$A$43,0)),""))</f>
        <v>CLIA</v>
      </c>
      <c r="J40" s="85">
        <f>IF($A40="","",IFERROR(INDEX(cvtpOficial,MATCH($A40,Analitos!$A$4:$A$43,0)),""))</f>
        <v>2.6666666666666665</v>
      </c>
      <c r="K40" s="85">
        <f>IF($A40="","",IFERROR(INDEX(etpOficial,MATCH($A40,Analitos!$A$4:$A$43,0)),""))</f>
        <v>8</v>
      </c>
      <c r="L40" s="85" t="str">
        <f t="shared" si="1"/>
        <v/>
      </c>
      <c r="M40" s="85" t="str">
        <f>IF(NOT(ISNUMBER($L40)),"",mQualidade.ClassificarSigma($L40))</f>
        <v/>
      </c>
      <c r="N40" s="150" t="str">
        <f t="shared" si="2"/>
        <v/>
      </c>
      <c r="O40" s="151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51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  <c r="V40" s="152" t="str">
        <f t="shared" si="5"/>
        <v/>
      </c>
      <c r="W40" s="143" t="str">
        <f t="shared" si="6"/>
        <v/>
      </c>
      <c r="X40" s="30" t="str">
        <f>IF(NOT(ISNUMBER($L40)),"",mPlanoQC.PlanoQC($L40,"REGRAS"))</f>
        <v/>
      </c>
      <c r="Y40" s="144" t="str">
        <f>IF(NOT(ISNUMBER($L40)),"",mPlanoQC.PlanoQC($L40,"N"))</f>
        <v/>
      </c>
      <c r="Z40" s="142" t="str">
        <f>IF(NOT(ISNUMBER($L40)),"",mPlanoQC.PlanoQC($L40,"RUNSIZE"))</f>
        <v/>
      </c>
      <c r="AA40" s="30" t="str">
        <f>IF(NOT(ISNUMBER($L40)),"",mPlanoQC.CoberturaWestgard($L40))</f>
        <v/>
      </c>
      <c r="AB40" s="30" t="str">
        <f t="shared" si="7"/>
        <v>Hemoglobina glicada|1</v>
      </c>
      <c r="AC40" s="144" t="str">
        <f>IF($A40="","",mCEQ.BiasEQ($A40,eqAnoEP,"N",eqProvedor,eqRodada))</f>
        <v>SEM EP</v>
      </c>
      <c r="AD40" s="144" t="str">
        <f>IF($A40="","",mCEQ.BiasEQ($A40,eqAnoEP,"NRODADAS",eqProvedor,eqRodada))</f>
        <v>SEM EP</v>
      </c>
    </row>
    <row r="41" spans="1:30" x14ac:dyDescent="0.3">
      <c r="A41" s="15" t="str">
        <f>Analitos!$A$17</f>
        <v>Hemoglobina glicada</v>
      </c>
      <c r="B41" s="8">
        <v>2</v>
      </c>
      <c r="C41" s="22">
        <f>IF($A41="","",EstatPeriodo($A41,$B41,"N",Estat_Ini_Efetiva,Estat_Fim_Efetiva,Estat_Exclusoes,$H$4))</f>
        <v>110</v>
      </c>
      <c r="D41" s="122">
        <f>IF($A41="","",EstatPeriodo($A41,$B41,"MEDIA",Estat_Ini_Efetiva,Estat_Fim_Efetiva,Estat_Exclusoes,$H$4))</f>
        <v>9.8190000000000008</v>
      </c>
      <c r="E41" s="122">
        <f>IF($A41="","",EstatPeriodo($A41,$B41,"DP",Estat_Ini_Efetiva,Estat_Fim_Efetiva,Estat_Exclusoes,$H$4))</f>
        <v>0.4650282619407663</v>
      </c>
      <c r="F41" s="85">
        <f>IF($A41="","",EstatPeriodo($A41,$B41,"CV",Estat_Ini_Efetiva,Estat_Fim_Efetiva,Estat_Exclusoes,$H$4))</f>
        <v>4.7360042971867422</v>
      </c>
      <c r="G41" s="85" t="str">
        <f>IF($A41="","",mCEQ.BiasEQ($A41,eqAnoEP,"ABS",eqProvedor,eqRodada))</f>
        <v>SEM EP</v>
      </c>
      <c r="H41" s="85" t="str">
        <f t="shared" si="0"/>
        <v/>
      </c>
      <c r="I41" s="85" t="str">
        <f>IF($A41="","",IFERROR(INDEX(espFonte,MATCH($A41,Analitos!$A$4:$A$43,0)),""))</f>
        <v>CLIA</v>
      </c>
      <c r="J41" s="85">
        <f>IF($A41="","",IFERROR(INDEX(cvtpOficial,MATCH($A41,Analitos!$A$4:$A$43,0)),""))</f>
        <v>2.6666666666666665</v>
      </c>
      <c r="K41" s="85">
        <f>IF($A41="","",IFERROR(INDEX(etpOficial,MATCH($A41,Analitos!$A$4:$A$43,0)),""))</f>
        <v>8</v>
      </c>
      <c r="L41" s="85" t="str">
        <f t="shared" si="1"/>
        <v/>
      </c>
      <c r="M41" s="85" t="str">
        <f>IF(NOT(ISNUMBER($L41)),"",mQualidade.ClassificarSigma($L41))</f>
        <v/>
      </c>
      <c r="N41" s="150" t="str">
        <f t="shared" si="2"/>
        <v/>
      </c>
      <c r="O41" s="151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51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  <c r="V41" s="152" t="str">
        <f t="shared" si="5"/>
        <v/>
      </c>
      <c r="W41" s="143" t="str">
        <f t="shared" si="6"/>
        <v/>
      </c>
      <c r="X41" s="30" t="str">
        <f>IF(NOT(ISNUMBER($L41)),"",mPlanoQC.PlanoQC($L41,"REGRAS"))</f>
        <v/>
      </c>
      <c r="Y41" s="144" t="str">
        <f>IF(NOT(ISNUMBER($L41)),"",mPlanoQC.PlanoQC($L41,"N"))</f>
        <v/>
      </c>
      <c r="Z41" s="142" t="str">
        <f>IF(NOT(ISNUMBER($L41)),"",mPlanoQC.PlanoQC($L41,"RUNSIZE"))</f>
        <v/>
      </c>
      <c r="AA41" s="30" t="str">
        <f>IF(NOT(ISNUMBER($L41)),"",mPlanoQC.CoberturaWestgard($L41))</f>
        <v/>
      </c>
      <c r="AB41" s="30" t="str">
        <f t="shared" si="7"/>
        <v>Hemoglobina glicada|2</v>
      </c>
      <c r="AC41" s="144" t="str">
        <f>IF($A41="","",mCEQ.BiasEQ($A41,eqAnoEP,"N",eqProvedor,eqRodada))</f>
        <v>SEM EP</v>
      </c>
      <c r="AD41" s="144" t="str">
        <f>IF($A41="","",mCEQ.BiasEQ($A41,eqAnoEP,"NRODADAS",eqProvedor,eqRodada))</f>
        <v>SEM EP</v>
      </c>
    </row>
    <row r="42" spans="1:30" x14ac:dyDescent="0.3">
      <c r="A42" s="15" t="str">
        <f>Analitos!$A$18</f>
        <v>Magnésio</v>
      </c>
      <c r="B42" s="8">
        <v>1</v>
      </c>
      <c r="C42" s="22">
        <f>IF($A42="","",EstatPeriodo($A42,$B42,"N",Estat_Ini_Efetiva,Estat_Fim_Efetiva,Estat_Exclusoes,$H$4))</f>
        <v>110</v>
      </c>
      <c r="D42" s="122">
        <f>IF($A42="","",EstatPeriodo($A42,$B42,"MEDIA",Estat_Ini_Efetiva,Estat_Fim_Efetiva,Estat_Exclusoes,$H$4))</f>
        <v>2.1397909090909089</v>
      </c>
      <c r="E42" s="122">
        <f>IF($A42="","",EstatPeriodo($A42,$B42,"DP",Estat_Ini_Efetiva,Estat_Fim_Efetiva,Estat_Exclusoes,$H$4))</f>
        <v>0.11239691264284958</v>
      </c>
      <c r="F42" s="85">
        <f>IF($A42="","",EstatPeriodo($A42,$B42,"CV",Estat_Ini_Efetiva,Estat_Fim_Efetiva,Estat_Exclusoes,$H$4))</f>
        <v>5.2527054005758655</v>
      </c>
      <c r="G42" s="85">
        <f>IF($A42="","",mCEQ.BiasEQ($A42,eqAnoEP,"ABS",eqProvedor,eqRodada))</f>
        <v>4.4228055199330587</v>
      </c>
      <c r="H42" s="85">
        <f t="shared" si="0"/>
        <v>13.089769430883237</v>
      </c>
      <c r="I42" s="85" t="str">
        <f>IF($A42="","",IFERROR(INDEX(espFonte,MATCH($A42,Analitos!$A$4:$A$43,0)),""))</f>
        <v>CLIA</v>
      </c>
      <c r="J42" s="85">
        <f>IF($A42="","",IFERROR(INDEX(cvtpOficial,MATCH($A42,Analitos!$A$4:$A$43,0)),""))</f>
        <v>5</v>
      </c>
      <c r="K42" s="85">
        <f>IF($A42="","",IFERROR(INDEX(etpOficial,MATCH($A42,Analitos!$A$4:$A$43,0)),""))</f>
        <v>15</v>
      </c>
      <c r="L42" s="85">
        <f t="shared" si="1"/>
        <v>2.0136660393913086</v>
      </c>
      <c r="M42" s="85" t="str">
        <f>IF(NOT(ISNUMBER($L42)),"",mQualidade.ClassificarSigma($L42))</f>
        <v>Desempenho inadequado</v>
      </c>
      <c r="N42" s="150">
        <f t="shared" si="2"/>
        <v>1.9102305691167629</v>
      </c>
      <c r="O42" s="151">
        <f t="shared" si="3"/>
        <v>12.734870460778419</v>
      </c>
      <c r="P42" s="30" t="str">
        <f>IF(NOT(ISNUMBER($O42)),"",mQualidade.ClassificarMargem($O42))</f>
        <v>Dentro do orcamento</v>
      </c>
      <c r="Q42" s="30" t="str">
        <f t="shared" si="4"/>
        <v>CV acima da meta</v>
      </c>
      <c r="R42" s="30" t="str">
        <f>IF($A42="","",mCEQ.StatusSDIeq($A42,eqAnoEP,eqProvedor,eqRodada))</f>
        <v>FORA (|SDI| max 2,40 &gt; 2)</v>
      </c>
      <c r="S42" s="30" t="str">
        <f>IF($A42="","",mCEQ.StatusLimitesEQ($A42,eqAnoEP,eqProvedor,eqRodada))</f>
        <v>OK (15 dentro dos limites)</v>
      </c>
      <c r="T42" s="151">
        <f>IF($A42="","",mCEQ.BiasEQ($A42,eqAnoEP,"SIGNED",eqProvedor,eqRodada))</f>
        <v>3.3181689407012271E-2</v>
      </c>
      <c r="U42" s="30" t="str">
        <f>IF(OR($P42="ETp excedido",$P42="Margem critica"),COUNTIF($P$14:$P42,"ETp excedido")+COUNTIF($P$14:$P42,"Margem critica"),"")</f>
        <v/>
      </c>
      <c r="V42" s="152">
        <f t="shared" si="5"/>
        <v>303742.74970328284</v>
      </c>
      <c r="W42" s="143">
        <f t="shared" si="6"/>
        <v>69.625725029671713</v>
      </c>
      <c r="X42" s="30" t="str">
        <f>IF(NOT(ISNUMBER($L42)),"",mPlanoQC.PlanoQC($L42,"REGRAS"))</f>
        <v/>
      </c>
      <c r="Y42" s="144" t="str">
        <f>IF(NOT(ISNUMBER($L42)),"",mPlanoQC.PlanoQC($L42,"N"))</f>
        <v/>
      </c>
      <c r="Z42" s="142" t="str">
        <f>IF(NOT(ISNUMBER($L42)),"",mPlanoQC.PlanoQC($L42,"RUNSIZE"))</f>
        <v/>
      </c>
      <c r="AA42" s="30" t="str">
        <f>IF(NOT(ISNUMBER($L42)),"",mPlanoQC.CoberturaWestgard($L42))</f>
        <v>não aplicável</v>
      </c>
      <c r="AB42" s="30" t="str">
        <f t="shared" si="7"/>
        <v>Magnésio|1</v>
      </c>
      <c r="AC42" s="144">
        <f>IF($A42="","",mCEQ.BiasEQ($A42,eqAnoEP,"N",eqProvedor,eqRodada))</f>
        <v>15</v>
      </c>
      <c r="AD42" s="144">
        <f>IF($A42="","",mCEQ.BiasEQ($A42,eqAnoEP,"NRODADAS",eqProvedor,eqRodada))</f>
        <v>3</v>
      </c>
    </row>
    <row r="43" spans="1:30" x14ac:dyDescent="0.3">
      <c r="A43" s="15" t="str">
        <f>Analitos!$A$18</f>
        <v>Magnésio</v>
      </c>
      <c r="B43" s="8">
        <v>2</v>
      </c>
      <c r="C43" s="22">
        <f>IF($A43="","",EstatPeriodo($A43,$B43,"N",Estat_Ini_Efetiva,Estat_Fim_Efetiva,Estat_Exclusoes,$H$4))</f>
        <v>110</v>
      </c>
      <c r="D43" s="122">
        <f>IF($A43="","",EstatPeriodo($A43,$B43,"MEDIA",Estat_Ini_Efetiva,Estat_Fim_Efetiva,Estat_Exclusoes,$H$4))</f>
        <v>4.6484545454545421</v>
      </c>
      <c r="E43" s="122">
        <f>IF($A43="","",EstatPeriodo($A43,$B43,"DP",Estat_Ini_Efetiva,Estat_Fim_Efetiva,Estat_Exclusoes,$H$4))</f>
        <v>0.16792957438061484</v>
      </c>
      <c r="F43" s="85">
        <f>IF($A43="","",EstatPeriodo($A43,$B43,"CV",Estat_Ini_Efetiva,Estat_Fim_Efetiva,Estat_Exclusoes,$H$4))</f>
        <v>3.6125893614432258</v>
      </c>
      <c r="G43" s="85">
        <f>IF($A43="","",mCEQ.BiasEQ($A43,eqAnoEP,"ABS",eqProvedor,eqRodada))</f>
        <v>4.4228055199330587</v>
      </c>
      <c r="H43" s="85">
        <f t="shared" si="0"/>
        <v>10.38357796631438</v>
      </c>
      <c r="I43" s="85" t="str">
        <f>IF($A43="","",IFERROR(INDEX(espFonte,MATCH($A43,Analitos!$A$4:$A$43,0)),""))</f>
        <v>CLIA</v>
      </c>
      <c r="J43" s="85">
        <f>IF($A43="","",IFERROR(INDEX(cvtpOficial,MATCH($A43,Analitos!$A$4:$A$43,0)),""))</f>
        <v>5</v>
      </c>
      <c r="K43" s="85">
        <f>IF($A43="","",IFERROR(INDEX(etpOficial,MATCH($A43,Analitos!$A$4:$A$43,0)),""))</f>
        <v>15</v>
      </c>
      <c r="L43" s="85">
        <f t="shared" si="1"/>
        <v>2.9278706827175514</v>
      </c>
      <c r="M43" s="85" t="str">
        <f>IF(NOT(ISNUMBER($L43)),"",mQualidade.ClassificarSigma($L43))</f>
        <v>Desempenho inadequado</v>
      </c>
      <c r="N43" s="150">
        <f t="shared" si="2"/>
        <v>4.6164220336856197</v>
      </c>
      <c r="O43" s="151">
        <f t="shared" si="3"/>
        <v>30.776146891237467</v>
      </c>
      <c r="P43" s="30" t="str">
        <f>IF(NOT(ISNUMBER($O43)),"",mQualidade.ClassificarMargem($O43))</f>
        <v>Dentro do orcamento</v>
      </c>
      <c r="Q43" s="30" t="str">
        <f t="shared" si="4"/>
        <v>OK</v>
      </c>
      <c r="R43" s="30" t="str">
        <f>IF($A43="","",mCEQ.StatusSDIeq($A43,eqAnoEP,eqProvedor,eqRodada))</f>
        <v>FORA (|SDI| max 2,40 &gt; 2)</v>
      </c>
      <c r="S43" s="30" t="str">
        <f>IF($A43="","",mCEQ.StatusLimitesEQ($A43,eqAnoEP,eqProvedor,eqRodada))</f>
        <v>OK (15 dentro dos limites)</v>
      </c>
      <c r="T43" s="151">
        <f>IF($A43="","",mCEQ.BiasEQ($A43,eqAnoEP,"SIGNED",eqProvedor,eqRodada))</f>
        <v>3.3181689407012271E-2</v>
      </c>
      <c r="U43" s="30" t="str">
        <f>IF(OR($P43="ETp excedido",$P43="Margem critica"),COUNTIF($P$14:$P43,"ETp excedido")+COUNTIF($P$14:$P43,"Margem critica"),"")</f>
        <v/>
      </c>
      <c r="V43" s="152">
        <f t="shared" si="5"/>
        <v>76664.541711095051</v>
      </c>
      <c r="W43" s="143">
        <f t="shared" si="6"/>
        <v>92.333545828890493</v>
      </c>
      <c r="X43" s="30" t="str">
        <f>IF(NOT(ISNUMBER($L43)),"",mPlanoQC.PlanoQC($L43,"REGRAS"))</f>
        <v/>
      </c>
      <c r="Y43" s="144" t="str">
        <f>IF(NOT(ISNUMBER($L43)),"",mPlanoQC.PlanoQC($L43,"N"))</f>
        <v/>
      </c>
      <c r="Z43" s="142" t="str">
        <f>IF(NOT(ISNUMBER($L43)),"",mPlanoQC.PlanoQC($L43,"RUNSIZE"))</f>
        <v/>
      </c>
      <c r="AA43" s="30" t="str">
        <f>IF(NOT(ISNUMBER($L43)),"",mPlanoQC.CoberturaWestgard($L43))</f>
        <v>não aplicável</v>
      </c>
      <c r="AB43" s="30" t="str">
        <f t="shared" si="7"/>
        <v>Magnésio|2</v>
      </c>
      <c r="AC43" s="144">
        <f>IF($A43="","",mCEQ.BiasEQ($A43,eqAnoEP,"N",eqProvedor,eqRodada))</f>
        <v>15</v>
      </c>
      <c r="AD43" s="144">
        <f>IF($A43="","",mCEQ.BiasEQ($A43,eqAnoEP,"NRODADAS",eqProvedor,eqRodada))</f>
        <v>3</v>
      </c>
    </row>
    <row r="44" spans="1:30" x14ac:dyDescent="0.3">
      <c r="A44" s="15" t="str">
        <f>Analitos!$A$19</f>
        <v>Proteína total</v>
      </c>
      <c r="B44" s="8">
        <v>1</v>
      </c>
      <c r="C44" s="22">
        <f>IF($A44="","",EstatPeriodo($A44,$B44,"N",Estat_Ini_Efetiva,Estat_Fim_Efetiva,Estat_Exclusoes,$H$4))</f>
        <v>110</v>
      </c>
      <c r="D44" s="122">
        <f>IF($A44="","",EstatPeriodo($A44,$B44,"MEDIA",Estat_Ini_Efetiva,Estat_Fim_Efetiva,Estat_Exclusoes,$H$4))</f>
        <v>6.9262727272727345</v>
      </c>
      <c r="E44" s="122">
        <f>IF($A44="","",EstatPeriodo($A44,$B44,"DP",Estat_Ini_Efetiva,Estat_Fim_Efetiva,Estat_Exclusoes,$H$4))</f>
        <v>0.16908202824890989</v>
      </c>
      <c r="F44" s="85">
        <f>IF($A44="","",EstatPeriodo($A44,$B44,"CV",Estat_Ini_Efetiva,Estat_Fim_Efetiva,Estat_Exclusoes,$H$4))</f>
        <v>2.4411690804945687</v>
      </c>
      <c r="G44" s="85">
        <f>IF($A44="","",mCEQ.BiasEQ($A44,eqAnoEP,"ABS",eqProvedor,eqRodada))</f>
        <v>3.3793363600341007</v>
      </c>
      <c r="H44" s="85">
        <f t="shared" si="0"/>
        <v>7.4072653428501392</v>
      </c>
      <c r="I44" s="85" t="str">
        <f>IF($A44="","",IFERROR(INDEX(espFonte,MATCH($A44,Analitos!$A$4:$A$43,0)),""))</f>
        <v>CLIA</v>
      </c>
      <c r="J44" s="85">
        <f>IF($A44="","",IFERROR(INDEX(cvtpOficial,MATCH($A44,Analitos!$A$4:$A$43,0)),""))</f>
        <v>3.3333333333333335</v>
      </c>
      <c r="K44" s="85">
        <f>IF($A44="","",IFERROR(INDEX(etpOficial,MATCH($A44,Analitos!$A$4:$A$43,0)),""))</f>
        <v>10</v>
      </c>
      <c r="L44" s="85">
        <f t="shared" si="1"/>
        <v>2.7120872916449463</v>
      </c>
      <c r="M44" s="85" t="str">
        <f>IF(NOT(ISNUMBER($L44)),"",mQualidade.ClassificarSigma($L44))</f>
        <v>Desempenho inadequado</v>
      </c>
      <c r="N44" s="150">
        <f t="shared" si="2"/>
        <v>2.5927346571498608</v>
      </c>
      <c r="O44" s="151">
        <f t="shared" si="3"/>
        <v>25.92734657149861</v>
      </c>
      <c r="P44" s="30" t="str">
        <f>IF(NOT(ISNUMBER($O44)),"",mQualidade.ClassificarMargem($O44))</f>
        <v>Dentro do orcamento</v>
      </c>
      <c r="Q44" s="30" t="str">
        <f t="shared" si="4"/>
        <v>OK</v>
      </c>
      <c r="R44" s="30" t="str">
        <f>IF($A44="","",mCEQ.StatusSDIeq($A44,eqAnoEP,eqProvedor,eqRodada))</f>
        <v>FORA (|SDI| max 4,40 &gt; 2)</v>
      </c>
      <c r="S44" s="30" t="str">
        <f>IF($A44="","",mCEQ.StatusLimitesEQ($A44,eqAnoEP,eqProvedor,eqRodada))</f>
        <v>OK (15 dentro dos limites)</v>
      </c>
      <c r="T44" s="151">
        <f>IF($A44="","",mCEQ.BiasEQ($A44,eqAnoEP,"SIGNED",eqProvedor,eqRodada))</f>
        <v>2.2800788021347</v>
      </c>
      <c r="U44" s="30" t="str">
        <f>IF(OR($P44="ETp excedido",$P44="Margem critica"),COUNTIF($P$14:$P44,"ETp excedido")+COUNTIF($P$14:$P44,"Margem critica"),"")</f>
        <v/>
      </c>
      <c r="V44" s="152">
        <f t="shared" si="5"/>
        <v>112739.48392650446</v>
      </c>
      <c r="W44" s="143">
        <f t="shared" si="6"/>
        <v>88.726051607349561</v>
      </c>
      <c r="X44" s="30" t="str">
        <f>IF(NOT(ISNUMBER($L44)),"",mPlanoQC.PlanoQC($L44,"REGRAS"))</f>
        <v/>
      </c>
      <c r="Y44" s="144" t="str">
        <f>IF(NOT(ISNUMBER($L44)),"",mPlanoQC.PlanoQC($L44,"N"))</f>
        <v/>
      </c>
      <c r="Z44" s="142" t="str">
        <f>IF(NOT(ISNUMBER($L44)),"",mPlanoQC.PlanoQC($L44,"RUNSIZE"))</f>
        <v/>
      </c>
      <c r="AA44" s="30" t="str">
        <f>IF(NOT(ISNUMBER($L44)),"",mPlanoQC.CoberturaWestgard($L44))</f>
        <v>não aplicável</v>
      </c>
      <c r="AB44" s="30" t="str">
        <f t="shared" si="7"/>
        <v>Proteína total|1</v>
      </c>
      <c r="AC44" s="144">
        <f>IF($A44="","",mCEQ.BiasEQ($A44,eqAnoEP,"N",eqProvedor,eqRodada))</f>
        <v>15</v>
      </c>
      <c r="AD44" s="144">
        <f>IF($A44="","",mCEQ.BiasEQ($A44,eqAnoEP,"NRODADAS",eqProvedor,eqRodada))</f>
        <v>3</v>
      </c>
    </row>
    <row r="45" spans="1:30" x14ac:dyDescent="0.3">
      <c r="A45" s="15" t="str">
        <f>Analitos!$A$19</f>
        <v>Proteína total</v>
      </c>
      <c r="B45" s="8">
        <v>2</v>
      </c>
      <c r="C45" s="22">
        <f>IF($A45="","",EstatPeriodo($A45,$B45,"N",Estat_Ini_Efetiva,Estat_Fim_Efetiva,Estat_Exclusoes,$H$4))</f>
        <v>110</v>
      </c>
      <c r="D45" s="122">
        <f>IF($A45="","",EstatPeriodo($A45,$B45,"MEDIA",Estat_Ini_Efetiva,Estat_Fim_Efetiva,Estat_Exclusoes,$H$4))</f>
        <v>4.4502727272727309</v>
      </c>
      <c r="E45" s="122">
        <f>IF($A45="","",EstatPeriodo($A45,$B45,"DP",Estat_Ini_Efetiva,Estat_Fim_Efetiva,Estat_Exclusoes,$H$4))</f>
        <v>0.10721203454026054</v>
      </c>
      <c r="F45" s="85">
        <f>IF($A45="","",EstatPeriodo($A45,$B45,"CV",Estat_Ini_Efetiva,Estat_Fim_Efetiva,Estat_Exclusoes,$H$4))</f>
        <v>2.4091115558655547</v>
      </c>
      <c r="G45" s="85">
        <f>IF($A45="","",mCEQ.BiasEQ($A45,eqAnoEP,"ABS",eqProvedor,eqRodada))</f>
        <v>3.3793363600341007</v>
      </c>
      <c r="H45" s="85">
        <f t="shared" si="0"/>
        <v>7.3543704272122659</v>
      </c>
      <c r="I45" s="85" t="str">
        <f>IF($A45="","",IFERROR(INDEX(espFonte,MATCH($A45,Analitos!$A$4:$A$43,0)),""))</f>
        <v>CLIA</v>
      </c>
      <c r="J45" s="85">
        <f>IF($A45="","",IFERROR(INDEX(cvtpOficial,MATCH($A45,Analitos!$A$4:$A$43,0)),""))</f>
        <v>3.3333333333333335</v>
      </c>
      <c r="K45" s="85">
        <f>IF($A45="","",IFERROR(INDEX(etpOficial,MATCH($A45,Analitos!$A$4:$A$43,0)),""))</f>
        <v>10</v>
      </c>
      <c r="L45" s="85">
        <f t="shared" si="1"/>
        <v>2.7481764486357303</v>
      </c>
      <c r="M45" s="85" t="str">
        <f>IF(NOT(ISNUMBER($L45)),"",mQualidade.ClassificarSigma($L45))</f>
        <v>Desempenho inadequado</v>
      </c>
      <c r="N45" s="150">
        <f t="shared" si="2"/>
        <v>2.6456295727877341</v>
      </c>
      <c r="O45" s="151">
        <f t="shared" si="3"/>
        <v>26.456295727877343</v>
      </c>
      <c r="P45" s="30" t="str">
        <f>IF(NOT(ISNUMBER($O45)),"",mQualidade.ClassificarMargem($O45))</f>
        <v>Dentro do orcamento</v>
      </c>
      <c r="Q45" s="30" t="str">
        <f t="shared" si="4"/>
        <v>OK</v>
      </c>
      <c r="R45" s="30" t="str">
        <f>IF($A45="","",mCEQ.StatusSDIeq($A45,eqAnoEP,eqProvedor,eqRodada))</f>
        <v>FORA (|SDI| max 4,40 &gt; 2)</v>
      </c>
      <c r="S45" s="30" t="str">
        <f>IF($A45="","",mCEQ.StatusLimitesEQ($A45,eqAnoEP,eqProvedor,eqRodada))</f>
        <v>OK (15 dentro dos limites)</v>
      </c>
      <c r="T45" s="151">
        <f>IF($A45="","",mCEQ.BiasEQ($A45,eqAnoEP,"SIGNED",eqProvedor,eqRodada))</f>
        <v>2.2800788021347</v>
      </c>
      <c r="U45" s="30" t="str">
        <f>IF(OR($P45="ETp excedido",$P45="Margem critica"),COUNTIF($P$14:$P45,"ETp excedido")+COUNTIF($P$14:$P45,"Margem critica"),"")</f>
        <v/>
      </c>
      <c r="V45" s="152">
        <f t="shared" si="5"/>
        <v>105983.22336577781</v>
      </c>
      <c r="W45" s="143">
        <f t="shared" si="6"/>
        <v>89.40167766342222</v>
      </c>
      <c r="X45" s="30" t="str">
        <f>IF(NOT(ISNUMBER($L45)),"",mPlanoQC.PlanoQC($L45,"REGRAS"))</f>
        <v/>
      </c>
      <c r="Y45" s="144" t="str">
        <f>IF(NOT(ISNUMBER($L45)),"",mPlanoQC.PlanoQC($L45,"N"))</f>
        <v/>
      </c>
      <c r="Z45" s="142" t="str">
        <f>IF(NOT(ISNUMBER($L45)),"",mPlanoQC.PlanoQC($L45,"RUNSIZE"))</f>
        <v/>
      </c>
      <c r="AA45" s="30" t="str">
        <f>IF(NOT(ISNUMBER($L45)),"",mPlanoQC.CoberturaWestgard($L45))</f>
        <v>não aplicável</v>
      </c>
      <c r="AB45" s="30" t="str">
        <f t="shared" si="7"/>
        <v>Proteína total|2</v>
      </c>
      <c r="AC45" s="144">
        <f>IF($A45="","",mCEQ.BiasEQ($A45,eqAnoEP,"N",eqProvedor,eqRodada))</f>
        <v>15</v>
      </c>
      <c r="AD45" s="144">
        <f>IF($A45="","",mCEQ.BiasEQ($A45,eqAnoEP,"NRODADAS",eqProvedor,eqRodada))</f>
        <v>3</v>
      </c>
    </row>
    <row r="46" spans="1:30" x14ac:dyDescent="0.3">
      <c r="A46" s="15" t="str">
        <f>Analitos!$A$20</f>
        <v>Triglicerídeos</v>
      </c>
      <c r="B46" s="8">
        <v>1</v>
      </c>
      <c r="C46" s="22">
        <f>IF($A46="","",EstatPeriodo($A46,$B46,"N",Estat_Ini_Efetiva,Estat_Fim_Efetiva,Estat_Exclusoes,$H$4))</f>
        <v>110</v>
      </c>
      <c r="D46" s="122">
        <f>IF($A46="","",EstatPeriodo($A46,$B46,"MEDIA",Estat_Ini_Efetiva,Estat_Fim_Efetiva,Estat_Exclusoes,$H$4))</f>
        <v>159.48181818181817</v>
      </c>
      <c r="E46" s="122">
        <f>IF($A46="","",EstatPeriodo($A46,$B46,"DP",Estat_Ini_Efetiva,Estat_Fim_Efetiva,Estat_Exclusoes,$H$4))</f>
        <v>2.7183772081044557</v>
      </c>
      <c r="F46" s="85">
        <f>IF($A46="","",EstatPeriodo($A46,$B46,"CV",Estat_Ini_Efetiva,Estat_Fim_Efetiva,Estat_Exclusoes,$H$4))</f>
        <v>1.7045060302769774</v>
      </c>
      <c r="G46" s="85">
        <f>IF($A46="","",mCEQ.BiasEQ($A46,eqAnoEP,"ABS",eqProvedor,eqRodada))</f>
        <v>1.7860875812096217</v>
      </c>
      <c r="H46" s="85">
        <f t="shared" ref="H46:H77" si="8">IF(OR(NOT(ISNUMBER($F46)),NOT(ISNUMBER($G46))),"",1.65*$F46+ABS($G46))</f>
        <v>4.5985225311666342</v>
      </c>
      <c r="I46" s="85" t="str">
        <f>IF($A46="","",IFERROR(INDEX(espFonte,MATCH($A46,Analitos!$A$4:$A$43,0)),""))</f>
        <v>CLIA</v>
      </c>
      <c r="J46" s="85">
        <f>IF($A46="","",IFERROR(INDEX(cvtpOficial,MATCH($A46,Analitos!$A$4:$A$43,0)),""))</f>
        <v>8.3333333333333339</v>
      </c>
      <c r="K46" s="85">
        <f>IF($A46="","",IFERROR(INDEX(etpOficial,MATCH($A46,Analitos!$A$4:$A$43,0)),""))</f>
        <v>25</v>
      </c>
      <c r="L46" s="85">
        <f t="shared" ref="L46:L77" si="9">IF(OR(NOT(ISNUMBER($F46)),$F46=0,NOT(ISNUMBER($G46)),NOT(ISNUMBER($K46))),"",($K46-ABS($G46))/$F46)</f>
        <v>13.619143614891279</v>
      </c>
      <c r="M46" s="85" t="str">
        <f>IF(NOT(ISNUMBER($L46)),"",mQualidade.ClassificarSigma($L46))</f>
        <v>Classe mundial</v>
      </c>
      <c r="N46" s="150">
        <f t="shared" ref="N46:N77" si="10">IF(OR(NOT(ISNUMBER($K46)),NOT(ISNUMBER($H46))),"",$K46-$H46)</f>
        <v>20.401477468833367</v>
      </c>
      <c r="O46" s="151">
        <f t="shared" ref="O46:O77" si="11">IF(OR(NOT(ISNUMBER($N46)),NOT(ISNUMBER($K46)),$K46=0),"",$N46/$K46*100)</f>
        <v>81.605909875333467</v>
      </c>
      <c r="P46" s="30" t="str">
        <f>IF(NOT(ISNUMBER($O46)),"",mQualidade.ClassificarMargem($O46))</f>
        <v>Dentro do orcamento</v>
      </c>
      <c r="Q46" s="30" t="str">
        <f t="shared" ref="Q46:Q77" si="12">IF(OR(NOT(ISNUMBER($F46)),NOT(ISNUMBER($J46))),"",IF($F46&lt;=$J46,"OK","CV acima da meta"))</f>
        <v>OK</v>
      </c>
      <c r="R46" s="30" t="str">
        <f>IF($A46="","",mCEQ.StatusSDIeq($A46,eqAnoEP,eqProvedor,eqRodada))</f>
        <v>FORA (|SDI| max 2,40 &gt; 2)</v>
      </c>
      <c r="S46" s="30" t="str">
        <f>IF($A46="","",mCEQ.StatusLimitesEQ($A46,eqAnoEP,eqProvedor,eqRodada))</f>
        <v>OK (15 dentro dos limites)</v>
      </c>
      <c r="T46" s="151">
        <f>IF($A46="","",mCEQ.BiasEQ($A46,eqAnoEP,"SIGNED",eqProvedor,eqRodada))</f>
        <v>0.94449004955126703</v>
      </c>
      <c r="U46" s="30" t="str">
        <f>IF(OR($P46="ETp excedido",$P46="Margem critica"),COUNTIF($P$14:$P46,"ETp excedido")+COUNTIF($P$14:$P46,"Margem critica"),"")</f>
        <v/>
      </c>
      <c r="V46" s="152">
        <f t="shared" ref="V46:V77" si="13">IF(NOT(ISNUMBER($L46)),"",mPlanoQC.DPMdoSigma($L46))</f>
        <v>0</v>
      </c>
      <c r="W46" s="143">
        <f t="shared" ref="W46:W77" si="14">IF(NOT(ISNUMBER($L46)),"",mPlanoQC.RendimentoDoSigma($L46))</f>
        <v>100</v>
      </c>
      <c r="X46" s="30" t="str">
        <f>IF(NOT(ISNUMBER($L46)),"",mPlanoQC.PlanoQC($L46,"REGRAS"))</f>
        <v>1_3s</v>
      </c>
      <c r="Y46" s="144">
        <f>IF(NOT(ISNUMBER($L46)),"",mPlanoQC.PlanoQC($L46,"N"))</f>
        <v>2</v>
      </c>
      <c r="Z46" s="142">
        <f>IF(NOT(ISNUMBER($L46)),"",mPlanoQC.PlanoQC($L46,"RUNSIZE"))</f>
        <v>1000</v>
      </c>
      <c r="AA46" s="30" t="str">
        <f>IF(NOT(ISNUMBER($L46)),"",mPlanoQC.CoberturaWestgard($L46))</f>
        <v>TOTAL</v>
      </c>
      <c r="AB46" s="30" t="str">
        <f t="shared" ref="AB46:AB77" si="15">IF($A46="","",$A46&amp;"|"&amp;$B46)</f>
        <v>Triglicerídeos|1</v>
      </c>
      <c r="AC46" s="144">
        <f>IF($A46="","",mCEQ.BiasEQ($A46,eqAnoEP,"N",eqProvedor,eqRodada))</f>
        <v>15</v>
      </c>
      <c r="AD46" s="144">
        <f>IF($A46="","",mCEQ.BiasEQ($A46,eqAnoEP,"NRODADAS",eqProvedor,eqRodada))</f>
        <v>3</v>
      </c>
    </row>
    <row r="47" spans="1:30" x14ac:dyDescent="0.3">
      <c r="A47" s="15" t="str">
        <f>Analitos!$A$20</f>
        <v>Triglicerídeos</v>
      </c>
      <c r="B47" s="8">
        <v>2</v>
      </c>
      <c r="C47" s="22">
        <f>IF($A47="","",EstatPeriodo($A47,$B47,"N",Estat_Ini_Efetiva,Estat_Fim_Efetiva,Estat_Exclusoes,$H$4))</f>
        <v>110</v>
      </c>
      <c r="D47" s="122">
        <f>IF($A47="","",EstatPeriodo($A47,$B47,"MEDIA",Estat_Ini_Efetiva,Estat_Fim_Efetiva,Estat_Exclusoes,$H$4))</f>
        <v>79.727272727272734</v>
      </c>
      <c r="E47" s="122">
        <f>IF($A47="","",EstatPeriodo($A47,$B47,"DP",Estat_Ini_Efetiva,Estat_Fim_Efetiva,Estat_Exclusoes,$H$4))</f>
        <v>1.9247737429717957</v>
      </c>
      <c r="F47" s="85">
        <f>IF($A47="","",EstatPeriodo($A47,$B47,"CV",Estat_Ini_Efetiva,Estat_Fim_Efetiva,Estat_Exclusoes,$H$4))</f>
        <v>2.4141973971139965</v>
      </c>
      <c r="G47" s="85">
        <f>IF($A47="","",mCEQ.BiasEQ($A47,eqAnoEP,"ABS",eqProvedor,eqRodada))</f>
        <v>1.7860875812096217</v>
      </c>
      <c r="H47" s="85">
        <f t="shared" si="8"/>
        <v>5.7695132864477161</v>
      </c>
      <c r="I47" s="85" t="str">
        <f>IF($A47="","",IFERROR(INDEX(espFonte,MATCH($A47,Analitos!$A$4:$A$43,0)),""))</f>
        <v>CLIA</v>
      </c>
      <c r="J47" s="85">
        <f>IF($A47="","",IFERROR(INDEX(cvtpOficial,MATCH($A47,Analitos!$A$4:$A$43,0)),""))</f>
        <v>8.3333333333333339</v>
      </c>
      <c r="K47" s="85">
        <f>IF($A47="","",IFERROR(INDEX(etpOficial,MATCH($A47,Analitos!$A$4:$A$43,0)),""))</f>
        <v>25</v>
      </c>
      <c r="L47" s="85">
        <f t="shared" si="9"/>
        <v>9.6155817442852776</v>
      </c>
      <c r="M47" s="85" t="str">
        <f>IF(NOT(ISNUMBER($L47)),"",mQualidade.ClassificarSigma($L47))</f>
        <v>Classe mundial</v>
      </c>
      <c r="N47" s="150">
        <f t="shared" si="10"/>
        <v>19.230486713552285</v>
      </c>
      <c r="O47" s="151">
        <f t="shared" si="11"/>
        <v>76.921946854209139</v>
      </c>
      <c r="P47" s="30" t="str">
        <f>IF(NOT(ISNUMBER($O47)),"",mQualidade.ClassificarMargem($O47))</f>
        <v>Dentro do orcamento</v>
      </c>
      <c r="Q47" s="30" t="str">
        <f t="shared" si="12"/>
        <v>OK</v>
      </c>
      <c r="R47" s="30" t="str">
        <f>IF($A47="","",mCEQ.StatusSDIeq($A47,eqAnoEP,eqProvedor,eqRodada))</f>
        <v>FORA (|SDI| max 2,40 &gt; 2)</v>
      </c>
      <c r="S47" s="30" t="str">
        <f>IF($A47="","",mCEQ.StatusLimitesEQ($A47,eqAnoEP,eqProvedor,eqRodada))</f>
        <v>OK (15 dentro dos limites)</v>
      </c>
      <c r="T47" s="151">
        <f>IF($A47="","",mCEQ.BiasEQ($A47,eqAnoEP,"SIGNED",eqProvedor,eqRodada))</f>
        <v>0.94449004955126703</v>
      </c>
      <c r="U47" s="30" t="str">
        <f>IF(OR($P47="ETp excedido",$P47="Margem critica"),COUNTIF($P$14:$P47,"ETp excedido")+COUNTIF($P$14:$P47,"Margem critica"),"")</f>
        <v/>
      </c>
      <c r="V47" s="152">
        <f t="shared" si="13"/>
        <v>2.2204460492503131E-10</v>
      </c>
      <c r="W47" s="143">
        <f t="shared" si="14"/>
        <v>99.999999999999972</v>
      </c>
      <c r="X47" s="30" t="str">
        <f>IF(NOT(ISNUMBER($L47)),"",mPlanoQC.PlanoQC($L47,"REGRAS"))</f>
        <v>1_3s</v>
      </c>
      <c r="Y47" s="144">
        <f>IF(NOT(ISNUMBER($L47)),"",mPlanoQC.PlanoQC($L47,"N"))</f>
        <v>2</v>
      </c>
      <c r="Z47" s="142">
        <f>IF(NOT(ISNUMBER($L47)),"",mPlanoQC.PlanoQC($L47,"RUNSIZE"))</f>
        <v>1000</v>
      </c>
      <c r="AA47" s="30" t="str">
        <f>IF(NOT(ISNUMBER($L47)),"",mPlanoQC.CoberturaWestgard($L47))</f>
        <v>TOTAL</v>
      </c>
      <c r="AB47" s="30" t="str">
        <f t="shared" si="15"/>
        <v>Triglicerídeos|2</v>
      </c>
      <c r="AC47" s="144">
        <f>IF($A47="","",mCEQ.BiasEQ($A47,eqAnoEP,"N",eqProvedor,eqRodada))</f>
        <v>15</v>
      </c>
      <c r="AD47" s="144">
        <f>IF($A47="","",mCEQ.BiasEQ($A47,eqAnoEP,"NRODADAS",eqProvedor,eqRodada))</f>
        <v>3</v>
      </c>
    </row>
    <row r="48" spans="1:30" x14ac:dyDescent="0.3">
      <c r="A48" s="15" t="str">
        <f>Analitos!$A$21</f>
        <v>Ureia</v>
      </c>
      <c r="B48" s="8">
        <v>1</v>
      </c>
      <c r="C48" s="22">
        <f>IF($A48="","",EstatPeriodo($A48,$B48,"N",Estat_Ini_Efetiva,Estat_Fim_Efetiva,Estat_Exclusoes,$H$4))</f>
        <v>110</v>
      </c>
      <c r="D48" s="122">
        <f>IF($A48="","",EstatPeriodo($A48,$B48,"MEDIA",Estat_Ini_Efetiva,Estat_Fim_Efetiva,Estat_Exclusoes,$H$4))</f>
        <v>33.509090909090908</v>
      </c>
      <c r="E48" s="122">
        <f>IF($A48="","",EstatPeriodo($A48,$B48,"DP",Estat_Ini_Efetiva,Estat_Fim_Efetiva,Estat_Exclusoes,$H$4))</f>
        <v>1.4254917358257471</v>
      </c>
      <c r="F48" s="85">
        <f>IF($A48="","",EstatPeriodo($A48,$B48,"CV",Estat_Ini_Efetiva,Estat_Fim_Efetiva,Estat_Exclusoes,$H$4))</f>
        <v>4.2540447894962607</v>
      </c>
      <c r="G48" s="85">
        <f>IF($A48="","",mCEQ.BiasEQ($A48,eqAnoEP,"ABS",eqProvedor,eqRodada))</f>
        <v>5.9104505807617906</v>
      </c>
      <c r="H48" s="85">
        <f t="shared" si="8"/>
        <v>12.92962448343062</v>
      </c>
      <c r="I48" s="85" t="str">
        <f>IF($A48="","",IFERROR(INDEX(espFonte,MATCH($A48,Analitos!$A$4:$A$43,0)),""))</f>
        <v>CLIA</v>
      </c>
      <c r="J48" s="85">
        <f>IF($A48="","",IFERROR(INDEX(cvtpOficial,MATCH($A48,Analitos!$A$4:$A$43,0)),""))</f>
        <v>3</v>
      </c>
      <c r="K48" s="85">
        <f>IF($A48="","",IFERROR(INDEX(etpOficial,MATCH($A48,Analitos!$A$4:$A$43,0)),""))</f>
        <v>9</v>
      </c>
      <c r="L48" s="85">
        <f t="shared" si="9"/>
        <v>0.72626161033063685</v>
      </c>
      <c r="M48" s="85" t="str">
        <f>IF(NOT(ISNUMBER($L48)),"",mQualidade.ClassificarSigma($L48))</f>
        <v>Desempenho inadequado</v>
      </c>
      <c r="N48" s="150">
        <f t="shared" si="10"/>
        <v>-3.9296244834306204</v>
      </c>
      <c r="O48" s="151">
        <f t="shared" si="11"/>
        <v>-43.662494260340232</v>
      </c>
      <c r="P48" s="30" t="str">
        <f>IF(NOT(ISNUMBER($O48)),"",mQualidade.ClassificarMargem($O48))</f>
        <v>ETp excedido</v>
      </c>
      <c r="Q48" s="30" t="str">
        <f t="shared" si="12"/>
        <v>CV acima da meta</v>
      </c>
      <c r="R48" s="30" t="str">
        <f>IF($A48="","",mCEQ.StatusSDIeq($A48,eqAnoEP,eqProvedor,eqRodada))</f>
        <v>FORA (|SDI| max 3,50 &gt; 2)</v>
      </c>
      <c r="S48" s="30" t="str">
        <f>IF($A48="","",mCEQ.StatusLimitesEQ($A48,eqAnoEP,eqProvedor,eqRodada))</f>
        <v>NAO OK (2 fora dos limites)</v>
      </c>
      <c r="T48" s="151">
        <f>IF($A48="","",mCEQ.BiasEQ($A48,eqAnoEP,"SIGNED",eqProvedor,eqRodada))</f>
        <v>1.3688100516935939</v>
      </c>
      <c r="U48" s="30">
        <f>IF(OR($P48="ETp excedido",$P48="Margem critica"),COUNTIF($P$14:$P48,"ETp excedido")+COUNTIF($P$14:$P48,"Margem critica"),"")</f>
        <v>6</v>
      </c>
      <c r="V48" s="152">
        <f t="shared" si="13"/>
        <v>780457.24352383765</v>
      </c>
      <c r="W48" s="143">
        <f t="shared" si="14"/>
        <v>21.954275647616235</v>
      </c>
      <c r="X48" s="30" t="str">
        <f>IF(NOT(ISNUMBER($L48)),"",mPlanoQC.PlanoQC($L48,"REGRAS"))</f>
        <v/>
      </c>
      <c r="Y48" s="144" t="str">
        <f>IF(NOT(ISNUMBER($L48)),"",mPlanoQC.PlanoQC($L48,"N"))</f>
        <v/>
      </c>
      <c r="Z48" s="142" t="str">
        <f>IF(NOT(ISNUMBER($L48)),"",mPlanoQC.PlanoQC($L48,"RUNSIZE"))</f>
        <v/>
      </c>
      <c r="AA48" s="30" t="str">
        <f>IF(NOT(ISNUMBER($L48)),"",mPlanoQC.CoberturaWestgard($L48))</f>
        <v>não aplicável</v>
      </c>
      <c r="AB48" s="30" t="str">
        <f t="shared" si="15"/>
        <v>Ureia|1</v>
      </c>
      <c r="AC48" s="144">
        <f>IF($A48="","",mCEQ.BiasEQ($A48,eqAnoEP,"N",eqProvedor,eqRodada))</f>
        <v>15</v>
      </c>
      <c r="AD48" s="144">
        <f>IF($A48="","",mCEQ.BiasEQ($A48,eqAnoEP,"NRODADAS",eqProvedor,eqRodada))</f>
        <v>3</v>
      </c>
    </row>
    <row r="49" spans="1:30" x14ac:dyDescent="0.3">
      <c r="A49" s="15" t="str">
        <f>Analitos!$A$21</f>
        <v>Ureia</v>
      </c>
      <c r="B49" s="8">
        <v>2</v>
      </c>
      <c r="C49" s="22">
        <f>IF($A49="","",EstatPeriodo($A49,$B49,"N",Estat_Ini_Efetiva,Estat_Fim_Efetiva,Estat_Exclusoes,$H$4))</f>
        <v>110</v>
      </c>
      <c r="D49" s="122">
        <f>IF($A49="","",EstatPeriodo($A49,$B49,"MEDIA",Estat_Ini_Efetiva,Estat_Fim_Efetiva,Estat_Exclusoes,$H$4))</f>
        <v>95.445454545454552</v>
      </c>
      <c r="E49" s="122">
        <f>IF($A49="","",EstatPeriodo($A49,$B49,"DP",Estat_Ini_Efetiva,Estat_Fim_Efetiva,Estat_Exclusoes,$H$4))</f>
        <v>2.4851351231839272</v>
      </c>
      <c r="F49" s="85">
        <f>IF($A49="","",EstatPeriodo($A49,$B49,"CV",Estat_Ini_Efetiva,Estat_Fim_Efetiva,Estat_Exclusoes,$H$4))</f>
        <v>2.6037228645607389</v>
      </c>
      <c r="G49" s="85">
        <f>IF($A49="","",mCEQ.BiasEQ($A49,eqAnoEP,"ABS",eqProvedor,eqRodada))</f>
        <v>5.9104505807617906</v>
      </c>
      <c r="H49" s="85">
        <f t="shared" si="8"/>
        <v>10.20659330728701</v>
      </c>
      <c r="I49" s="85" t="str">
        <f>IF($A49="","",IFERROR(INDEX(espFonte,MATCH($A49,Analitos!$A$4:$A$43,0)),""))</f>
        <v>CLIA</v>
      </c>
      <c r="J49" s="85">
        <f>IF($A49="","",IFERROR(INDEX(cvtpOficial,MATCH($A49,Analitos!$A$4:$A$43,0)),""))</f>
        <v>3</v>
      </c>
      <c r="K49" s="85">
        <f>IF($A49="","",IFERROR(INDEX(etpOficial,MATCH($A49,Analitos!$A$4:$A$43,0)),""))</f>
        <v>9</v>
      </c>
      <c r="L49" s="85">
        <f t="shared" si="9"/>
        <v>1.1865891955284695</v>
      </c>
      <c r="M49" s="85" t="str">
        <f>IF(NOT(ISNUMBER($L49)),"",mQualidade.ClassificarSigma($L49))</f>
        <v>Desempenho inadequado</v>
      </c>
      <c r="N49" s="150">
        <f t="shared" si="10"/>
        <v>-1.2065933072870099</v>
      </c>
      <c r="O49" s="151">
        <f t="shared" si="11"/>
        <v>-13.406592303188999</v>
      </c>
      <c r="P49" s="30" t="str">
        <f>IF(NOT(ISNUMBER($O49)),"",mQualidade.ClassificarMargem($O49))</f>
        <v>ETp excedido</v>
      </c>
      <c r="Q49" s="30" t="str">
        <f t="shared" si="12"/>
        <v>OK</v>
      </c>
      <c r="R49" s="30" t="str">
        <f>IF($A49="","",mCEQ.StatusSDIeq($A49,eqAnoEP,eqProvedor,eqRodada))</f>
        <v>FORA (|SDI| max 3,50 &gt; 2)</v>
      </c>
      <c r="S49" s="30" t="str">
        <f>IF($A49="","",mCEQ.StatusLimitesEQ($A49,eqAnoEP,eqProvedor,eqRodada))</f>
        <v>NAO OK (2 fora dos limites)</v>
      </c>
      <c r="T49" s="151">
        <f>IF($A49="","",mCEQ.BiasEQ($A49,eqAnoEP,"SIGNED",eqProvedor,eqRodada))</f>
        <v>1.3688100516935939</v>
      </c>
      <c r="U49" s="30">
        <f>IF(OR($P49="ETp excedido",$P49="Margem critica"),COUNTIF($P$14:$P49,"ETp excedido")+COUNTIF($P$14:$P49,"Margem critica"),"")</f>
        <v>7</v>
      </c>
      <c r="V49" s="152">
        <f t="shared" si="13"/>
        <v>623015.7116755778</v>
      </c>
      <c r="W49" s="143">
        <f t="shared" si="14"/>
        <v>37.698428832442218</v>
      </c>
      <c r="X49" s="30" t="str">
        <f>IF(NOT(ISNUMBER($L49)),"",mPlanoQC.PlanoQC($L49,"REGRAS"))</f>
        <v/>
      </c>
      <c r="Y49" s="144" t="str">
        <f>IF(NOT(ISNUMBER($L49)),"",mPlanoQC.PlanoQC($L49,"N"))</f>
        <v/>
      </c>
      <c r="Z49" s="142" t="str">
        <f>IF(NOT(ISNUMBER($L49)),"",mPlanoQC.PlanoQC($L49,"RUNSIZE"))</f>
        <v/>
      </c>
      <c r="AA49" s="30" t="str">
        <f>IF(NOT(ISNUMBER($L49)),"",mPlanoQC.CoberturaWestgard($L49))</f>
        <v>não aplicável</v>
      </c>
      <c r="AB49" s="30" t="str">
        <f t="shared" si="15"/>
        <v>Ureia|2</v>
      </c>
      <c r="AC49" s="144">
        <f>IF($A49="","",mCEQ.BiasEQ($A49,eqAnoEP,"N",eqProvedor,eqRodada))</f>
        <v>15</v>
      </c>
      <c r="AD49" s="144">
        <f>IF($A49="","",mCEQ.BiasEQ($A49,eqAnoEP,"NRODADAS",eqProvedor,eqRodada))</f>
        <v>3</v>
      </c>
    </row>
    <row r="50" spans="1:30" x14ac:dyDescent="0.3">
      <c r="A50" s="15" t="str">
        <f>Analitos!$A$22</f>
        <v>Amilase</v>
      </c>
      <c r="B50" s="8">
        <v>1</v>
      </c>
      <c r="C50" s="22">
        <f>IF($A50="","",EstatPeriodo($A50,$B50,"N",Estat_Ini_Efetiva,Estat_Fim_Efetiva,Estat_Exclusoes,$H$4))</f>
        <v>110</v>
      </c>
      <c r="D50" s="122">
        <f>IF($A50="","",EstatPeriodo($A50,$B50,"MEDIA",Estat_Ini_Efetiva,Estat_Fim_Efetiva,Estat_Exclusoes,$H$4))</f>
        <v>74.845454545454544</v>
      </c>
      <c r="E50" s="122">
        <f>IF($A50="","",EstatPeriodo($A50,$B50,"DP",Estat_Ini_Efetiva,Estat_Fim_Efetiva,Estat_Exclusoes,$H$4))</f>
        <v>0.78033589140814896</v>
      </c>
      <c r="F50" s="85">
        <f>IF($A50="","",EstatPeriodo($A50,$B50,"CV",Estat_Ini_Efetiva,Estat_Fim_Efetiva,Estat_Exclusoes,$H$4))</f>
        <v>1.0425962353321558</v>
      </c>
      <c r="G50" s="85">
        <f>IF($A50="","",mCEQ.BiasEQ($A50,eqAnoEP,"ABS",eqProvedor,eqRodada))</f>
        <v>2.021659123892062</v>
      </c>
      <c r="H50" s="85">
        <f t="shared" si="8"/>
        <v>3.7419429121901189</v>
      </c>
      <c r="I50" s="85" t="str">
        <f>IF($A50="","",IFERROR(INDEX(espFonte,MATCH($A50,Analitos!$A$4:$A$43,0)),""))</f>
        <v>CLIA</v>
      </c>
      <c r="J50" s="85">
        <f>IF($A50="","",IFERROR(INDEX(cvtpOficial,MATCH($A50,Analitos!$A$4:$A$43,0)),""))</f>
        <v>10</v>
      </c>
      <c r="K50" s="85">
        <f>IF($A50="","",IFERROR(INDEX(etpOficial,MATCH($A50,Analitos!$A$4:$A$43,0)),""))</f>
        <v>30</v>
      </c>
      <c r="L50" s="85">
        <f t="shared" si="9"/>
        <v>26.835259833059393</v>
      </c>
      <c r="M50" s="85" t="str">
        <f>IF(NOT(ISNUMBER($L50)),"",mQualidade.ClassificarSigma($L50))</f>
        <v>Classe mundial</v>
      </c>
      <c r="N50" s="150">
        <f t="shared" si="10"/>
        <v>26.258057087809881</v>
      </c>
      <c r="O50" s="151">
        <f t="shared" si="11"/>
        <v>87.52685695936627</v>
      </c>
      <c r="P50" s="30" t="str">
        <f>IF(NOT(ISNUMBER($O50)),"",mQualidade.ClassificarMargem($O50))</f>
        <v>Dentro do orcamento</v>
      </c>
      <c r="Q50" s="30" t="str">
        <f t="shared" si="12"/>
        <v>OK</v>
      </c>
      <c r="R50" s="30" t="str">
        <f>IF($A50="","",mCEQ.StatusSDIeq($A50,eqAnoEP,eqProvedor,eqRodada))</f>
        <v>FORA (|SDI| max 3,20 &gt; 2)</v>
      </c>
      <c r="S50" s="30" t="str">
        <f>IF($A50="","",mCEQ.StatusLimitesEQ($A50,eqAnoEP,eqProvedor,eqRodada))</f>
        <v>OK (15 dentro dos limites)</v>
      </c>
      <c r="T50" s="151">
        <f>IF($A50="","",mCEQ.BiasEQ($A50,eqAnoEP,"SIGNED",eqProvedor,eqRodada))</f>
        <v>0.90787983758708457</v>
      </c>
      <c r="U50" s="30" t="str">
        <f>IF(OR($P50="ETp excedido",$P50="Margem critica"),COUNTIF($P$14:$P50,"ETp excedido")+COUNTIF($P$14:$P50,"Margem critica"),"")</f>
        <v/>
      </c>
      <c r="V50" s="152">
        <f t="shared" si="13"/>
        <v>0</v>
      </c>
      <c r="W50" s="143">
        <f t="shared" si="14"/>
        <v>100</v>
      </c>
      <c r="X50" s="30" t="str">
        <f>IF(NOT(ISNUMBER($L50)),"",mPlanoQC.PlanoQC($L50,"REGRAS"))</f>
        <v>1_3s</v>
      </c>
      <c r="Y50" s="144">
        <f>IF(NOT(ISNUMBER($L50)),"",mPlanoQC.PlanoQC($L50,"N"))</f>
        <v>2</v>
      </c>
      <c r="Z50" s="142">
        <f>IF(NOT(ISNUMBER($L50)),"",mPlanoQC.PlanoQC($L50,"RUNSIZE"))</f>
        <v>1000</v>
      </c>
      <c r="AA50" s="30" t="str">
        <f>IF(NOT(ISNUMBER($L50)),"",mPlanoQC.CoberturaWestgard($L50))</f>
        <v>TOTAL</v>
      </c>
      <c r="AB50" s="30" t="str">
        <f t="shared" si="15"/>
        <v>Amilase|1</v>
      </c>
      <c r="AC50" s="144">
        <f>IF($A50="","",mCEQ.BiasEQ($A50,eqAnoEP,"N",eqProvedor,eqRodada))</f>
        <v>15</v>
      </c>
      <c r="AD50" s="144">
        <f>IF($A50="","",mCEQ.BiasEQ($A50,eqAnoEP,"NRODADAS",eqProvedor,eqRodada))</f>
        <v>3</v>
      </c>
    </row>
    <row r="51" spans="1:30" x14ac:dyDescent="0.3">
      <c r="A51" s="15" t="str">
        <f>Analitos!$A$22</f>
        <v>Amilase</v>
      </c>
      <c r="B51" s="8">
        <v>2</v>
      </c>
      <c r="C51" s="22">
        <f>IF($A51="","",EstatPeriodo($A51,$B51,"N",Estat_Ini_Efetiva,Estat_Fim_Efetiva,Estat_Exclusoes,$H$4))</f>
        <v>110</v>
      </c>
      <c r="D51" s="122">
        <f>IF($A51="","",EstatPeriodo($A51,$B51,"MEDIA",Estat_Ini_Efetiva,Estat_Fim_Efetiva,Estat_Exclusoes,$H$4))</f>
        <v>483.63636363636363</v>
      </c>
      <c r="E51" s="122">
        <f>IF($A51="","",EstatPeriodo($A51,$B51,"DP",Estat_Ini_Efetiva,Estat_Fim_Efetiva,Estat_Exclusoes,$H$4))</f>
        <v>4.1898244423115436</v>
      </c>
      <c r="F51" s="85">
        <f>IF($A51="","",EstatPeriodo($A51,$B51,"CV",Estat_Ini_Efetiva,Estat_Fim_Efetiva,Estat_Exclusoes,$H$4))</f>
        <v>0.86631708393659734</v>
      </c>
      <c r="G51" s="85">
        <f>IF($A51="","",mCEQ.BiasEQ($A51,eqAnoEP,"ABS",eqProvedor,eqRodada))</f>
        <v>2.021659123892062</v>
      </c>
      <c r="H51" s="85">
        <f t="shared" si="8"/>
        <v>3.4510823123874479</v>
      </c>
      <c r="I51" s="85" t="str">
        <f>IF($A51="","",IFERROR(INDEX(espFonte,MATCH($A51,Analitos!$A$4:$A$43,0)),""))</f>
        <v>CLIA</v>
      </c>
      <c r="J51" s="85">
        <f>IF($A51="","",IFERROR(INDEX(cvtpOficial,MATCH($A51,Analitos!$A$4:$A$43,0)),""))</f>
        <v>10</v>
      </c>
      <c r="K51" s="85">
        <f>IF($A51="","",IFERROR(INDEX(etpOficial,MATCH($A51,Analitos!$A$4:$A$43,0)),""))</f>
        <v>30</v>
      </c>
      <c r="L51" s="85">
        <f t="shared" si="9"/>
        <v>32.295727967146469</v>
      </c>
      <c r="M51" s="85" t="str">
        <f>IF(NOT(ISNUMBER($L51)),"",mQualidade.ClassificarSigma($L51))</f>
        <v>Classe mundial</v>
      </c>
      <c r="N51" s="150">
        <f t="shared" si="10"/>
        <v>26.548917687612551</v>
      </c>
      <c r="O51" s="151">
        <f t="shared" si="11"/>
        <v>88.496392292041833</v>
      </c>
      <c r="P51" s="30" t="str">
        <f>IF(NOT(ISNUMBER($O51)),"",mQualidade.ClassificarMargem($O51))</f>
        <v>Dentro do orcamento</v>
      </c>
      <c r="Q51" s="30" t="str">
        <f t="shared" si="12"/>
        <v>OK</v>
      </c>
      <c r="R51" s="30" t="str">
        <f>IF($A51="","",mCEQ.StatusSDIeq($A51,eqAnoEP,eqProvedor,eqRodada))</f>
        <v>FORA (|SDI| max 3,20 &gt; 2)</v>
      </c>
      <c r="S51" s="30" t="str">
        <f>IF($A51="","",mCEQ.StatusLimitesEQ($A51,eqAnoEP,eqProvedor,eqRodada))</f>
        <v>OK (15 dentro dos limites)</v>
      </c>
      <c r="T51" s="151">
        <f>IF($A51="","",mCEQ.BiasEQ($A51,eqAnoEP,"SIGNED",eqProvedor,eqRodada))</f>
        <v>0.90787983758708457</v>
      </c>
      <c r="U51" s="30" t="str">
        <f>IF(OR($P51="ETp excedido",$P51="Margem critica"),COUNTIF($P$14:$P51,"ETp excedido")+COUNTIF($P$14:$P51,"Margem critica"),"")</f>
        <v/>
      </c>
      <c r="V51" s="152">
        <f t="shared" si="13"/>
        <v>0</v>
      </c>
      <c r="W51" s="143">
        <f t="shared" si="14"/>
        <v>100</v>
      </c>
      <c r="X51" s="30" t="str">
        <f>IF(NOT(ISNUMBER($L51)),"",mPlanoQC.PlanoQC($L51,"REGRAS"))</f>
        <v>1_3s</v>
      </c>
      <c r="Y51" s="144">
        <f>IF(NOT(ISNUMBER($L51)),"",mPlanoQC.PlanoQC($L51,"N"))</f>
        <v>2</v>
      </c>
      <c r="Z51" s="142">
        <f>IF(NOT(ISNUMBER($L51)),"",mPlanoQC.PlanoQC($L51,"RUNSIZE"))</f>
        <v>1000</v>
      </c>
      <c r="AA51" s="30" t="str">
        <f>IF(NOT(ISNUMBER($L51)),"",mPlanoQC.CoberturaWestgard($L51))</f>
        <v>TOTAL</v>
      </c>
      <c r="AB51" s="30" t="str">
        <f t="shared" si="15"/>
        <v>Amilase|2</v>
      </c>
      <c r="AC51" s="144">
        <f>IF($A51="","",mCEQ.BiasEQ($A51,eqAnoEP,"N",eqProvedor,eqRodada))</f>
        <v>15</v>
      </c>
      <c r="AD51" s="144">
        <f>IF($A51="","",mCEQ.BiasEQ($A51,eqAnoEP,"NRODADAS",eqProvedor,eqRodada))</f>
        <v>3</v>
      </c>
    </row>
    <row r="52" spans="1:30" x14ac:dyDescent="0.3">
      <c r="A52" s="15" t="str">
        <f>Analitos!$A$23</f>
        <v>Creatina fosfoquinase</v>
      </c>
      <c r="B52" s="8">
        <v>1</v>
      </c>
      <c r="C52" s="22">
        <f>IF($A52="","",EstatPeriodo($A52,$B52,"N",Estat_Ini_Efetiva,Estat_Fim_Efetiva,Estat_Exclusoes,$H$4))</f>
        <v>110</v>
      </c>
      <c r="D52" s="122">
        <f>IF($A52="","",EstatPeriodo($A52,$B52,"MEDIA",Estat_Ini_Efetiva,Estat_Fim_Efetiva,Estat_Exclusoes,$H$4))</f>
        <v>139.38181818181818</v>
      </c>
      <c r="E52" s="122">
        <f>IF($A52="","",EstatPeriodo($A52,$B52,"DP",Estat_Ini_Efetiva,Estat_Fim_Efetiva,Estat_Exclusoes,$H$4))</f>
        <v>4.0614134525674253</v>
      </c>
      <c r="F52" s="85">
        <f>IF($A52="","",EstatPeriodo($A52,$B52,"CV",Estat_Ini_Efetiva,Estat_Fim_Efetiva,Estat_Exclusoes,$H$4))</f>
        <v>2.9138760747613932</v>
      </c>
      <c r="G52" s="85">
        <f>IF($A52="","",mCEQ.BiasEQ($A52,eqAnoEP,"ABS",eqProvedor,eqRodada))</f>
        <v>6.6917204146991232</v>
      </c>
      <c r="H52" s="85">
        <f t="shared" si="8"/>
        <v>11.49961593805542</v>
      </c>
      <c r="I52" s="85" t="str">
        <f>IF($A52="","",IFERROR(INDEX(espFonte,MATCH($A52,Analitos!$A$4:$A$43,0)),""))</f>
        <v>CLIA</v>
      </c>
      <c r="J52" s="85">
        <f>IF($A52="","",IFERROR(INDEX(cvtpOficial,MATCH($A52,Analitos!$A$4:$A$43,0)),""))</f>
        <v>6.666666666666667</v>
      </c>
      <c r="K52" s="85">
        <f>IF($A52="","",IFERROR(INDEX(etpOficial,MATCH($A52,Analitos!$A$4:$A$43,0)),""))</f>
        <v>20</v>
      </c>
      <c r="L52" s="85">
        <f t="shared" si="9"/>
        <v>4.5672085029870884</v>
      </c>
      <c r="M52" s="85" t="str">
        <f>IF(NOT(ISNUMBER($L52)),"",mQualidade.ClassificarSigma($L52))</f>
        <v>Bom</v>
      </c>
      <c r="N52" s="150">
        <f t="shared" si="10"/>
        <v>8.5003840619445796</v>
      </c>
      <c r="O52" s="151">
        <f t="shared" si="11"/>
        <v>42.501920309722898</v>
      </c>
      <c r="P52" s="30" t="str">
        <f>IF(NOT(ISNUMBER($O52)),"",mQualidade.ClassificarMargem($O52))</f>
        <v>Dentro do orcamento</v>
      </c>
      <c r="Q52" s="30" t="str">
        <f t="shared" si="12"/>
        <v>OK</v>
      </c>
      <c r="R52" s="30" t="str">
        <f>IF($A52="","",mCEQ.StatusSDIeq($A52,eqAnoEP,eqProvedor,eqRodada))</f>
        <v>FORA (|SDI| max 2,60 &gt; 2)</v>
      </c>
      <c r="S52" s="30" t="str">
        <f>IF($A52="","",mCEQ.StatusLimitesEQ($A52,eqAnoEP,eqProvedor,eqRodada))</f>
        <v>NAO OK (1 fora dos limites)</v>
      </c>
      <c r="T52" s="151">
        <f>IF($A52="","",mCEQ.BiasEQ($A52,eqAnoEP,"SIGNED",eqProvedor,eqRodada))</f>
        <v>-3.6084486069751152</v>
      </c>
      <c r="U52" s="30" t="str">
        <f>IF(OR($P52="ETp excedido",$P52="Margem critica"),COUNTIF($P$14:$P52,"ETp excedido")+COUNTIF($P$14:$P52,"Margem critica"),"")</f>
        <v/>
      </c>
      <c r="V52" s="152">
        <f t="shared" si="13"/>
        <v>1080.3404265403715</v>
      </c>
      <c r="W52" s="143">
        <f t="shared" si="14"/>
        <v>99.89196595734596</v>
      </c>
      <c r="X52" s="30" t="str">
        <f>IF(NOT(ISNUMBER($L52)),"",mPlanoQC.PlanoQC($L52,"REGRAS"))</f>
        <v>1_3s / 2_2s / R_4s / 4_1s</v>
      </c>
      <c r="Y52" s="144">
        <f>IF(NOT(ISNUMBER($L52)),"",mPlanoQC.PlanoQC($L52,"N"))</f>
        <v>4</v>
      </c>
      <c r="Z52" s="142">
        <f>IF(NOT(ISNUMBER($L52)),"",mPlanoQC.PlanoQC($L52,"RUNSIZE"))</f>
        <v>200</v>
      </c>
      <c r="AA52" s="30" t="str">
        <f>IF(NOT(ISNUMBER($L52)),"",mPlanoQC.CoberturaWestgard($L52))</f>
        <v>TOTAL</v>
      </c>
      <c r="AB52" s="30" t="str">
        <f t="shared" si="15"/>
        <v>Creatina fosfoquinase|1</v>
      </c>
      <c r="AC52" s="144">
        <f>IF($A52="","",mCEQ.BiasEQ($A52,eqAnoEP,"N",eqProvedor,eqRodada))</f>
        <v>15</v>
      </c>
      <c r="AD52" s="144">
        <f>IF($A52="","",mCEQ.BiasEQ($A52,eqAnoEP,"NRODADAS",eqProvedor,eqRodada))</f>
        <v>3</v>
      </c>
    </row>
    <row r="53" spans="1:30" x14ac:dyDescent="0.3">
      <c r="A53" s="15" t="str">
        <f>Analitos!$A$23</f>
        <v>Creatina fosfoquinase</v>
      </c>
      <c r="B53" s="8">
        <v>2</v>
      </c>
      <c r="C53" s="22">
        <f>IF($A53="","",EstatPeriodo($A53,$B53,"N",Estat_Ini_Efetiva,Estat_Fim_Efetiva,Estat_Exclusoes,$H$4))</f>
        <v>110</v>
      </c>
      <c r="D53" s="122">
        <f>IF($A53="","",EstatPeriodo($A53,$B53,"MEDIA",Estat_Ini_Efetiva,Estat_Fim_Efetiva,Estat_Exclusoes,$H$4))</f>
        <v>428.59090909090907</v>
      </c>
      <c r="E53" s="122">
        <f>IF($A53="","",EstatPeriodo($A53,$B53,"DP",Estat_Ini_Efetiva,Estat_Fim_Efetiva,Estat_Exclusoes,$H$4))</f>
        <v>8.4639499471156139</v>
      </c>
      <c r="F53" s="85">
        <f>IF($A53="","",EstatPeriodo($A53,$B53,"CV",Estat_Ini_Efetiva,Estat_Fim_Efetiva,Estat_Exclusoes,$H$4))</f>
        <v>1.9748318892411021</v>
      </c>
      <c r="G53" s="85">
        <f>IF($A53="","",mCEQ.BiasEQ($A53,eqAnoEP,"ABS",eqProvedor,eqRodada))</f>
        <v>6.6917204146991232</v>
      </c>
      <c r="H53" s="85">
        <f t="shared" si="8"/>
        <v>9.9501930319469416</v>
      </c>
      <c r="I53" s="85" t="str">
        <f>IF($A53="","",IFERROR(INDEX(espFonte,MATCH($A53,Analitos!$A$4:$A$43,0)),""))</f>
        <v>CLIA</v>
      </c>
      <c r="J53" s="85">
        <f>IF($A53="","",IFERROR(INDEX(cvtpOficial,MATCH($A53,Analitos!$A$4:$A$43,0)),""))</f>
        <v>6.666666666666667</v>
      </c>
      <c r="K53" s="85">
        <f>IF($A53="","",IFERROR(INDEX(etpOficial,MATCH($A53,Analitos!$A$4:$A$43,0)),""))</f>
        <v>20</v>
      </c>
      <c r="L53" s="85">
        <f t="shared" si="9"/>
        <v>6.7389430248744091</v>
      </c>
      <c r="M53" s="85" t="str">
        <f>IF(NOT(ISNUMBER($L53)),"",mQualidade.ClassificarSigma($L53))</f>
        <v>Classe mundial</v>
      </c>
      <c r="N53" s="150">
        <f t="shared" si="10"/>
        <v>10.049806968053058</v>
      </c>
      <c r="O53" s="151">
        <f t="shared" si="11"/>
        <v>50.249034840265296</v>
      </c>
      <c r="P53" s="30" t="str">
        <f>IF(NOT(ISNUMBER($O53)),"",mQualidade.ClassificarMargem($O53))</f>
        <v>Dentro do orcamento</v>
      </c>
      <c r="Q53" s="30" t="str">
        <f t="shared" si="12"/>
        <v>OK</v>
      </c>
      <c r="R53" s="30" t="str">
        <f>IF($A53="","",mCEQ.StatusSDIeq($A53,eqAnoEP,eqProvedor,eqRodada))</f>
        <v>FORA (|SDI| max 2,60 &gt; 2)</v>
      </c>
      <c r="S53" s="30" t="str">
        <f>IF($A53="","",mCEQ.StatusLimitesEQ($A53,eqAnoEP,eqProvedor,eqRodada))</f>
        <v>NAO OK (1 fora dos limites)</v>
      </c>
      <c r="T53" s="151">
        <f>IF($A53="","",mCEQ.BiasEQ($A53,eqAnoEP,"SIGNED",eqProvedor,eqRodada))</f>
        <v>-3.6084486069751152</v>
      </c>
      <c r="U53" s="30" t="str">
        <f>IF(OR($P53="ETp excedido",$P53="Margem critica"),COUNTIF($P$14:$P53,"ETp excedido")+COUNTIF($P$14:$P53,"Margem critica"),"")</f>
        <v/>
      </c>
      <c r="V53" s="152">
        <f t="shared" si="13"/>
        <v>8.0749441910832331E-2</v>
      </c>
      <c r="W53" s="143">
        <f t="shared" si="14"/>
        <v>99.999991925055809</v>
      </c>
      <c r="X53" s="30" t="str">
        <f>IF(NOT(ISNUMBER($L53)),"",mPlanoQC.PlanoQC($L53,"REGRAS"))</f>
        <v>1_3s</v>
      </c>
      <c r="Y53" s="144">
        <f>IF(NOT(ISNUMBER($L53)),"",mPlanoQC.PlanoQC($L53,"N"))</f>
        <v>2</v>
      </c>
      <c r="Z53" s="142">
        <f>IF(NOT(ISNUMBER($L53)),"",mPlanoQC.PlanoQC($L53,"RUNSIZE"))</f>
        <v>1000</v>
      </c>
      <c r="AA53" s="30" t="str">
        <f>IF(NOT(ISNUMBER($L53)),"",mPlanoQC.CoberturaWestgard($L53))</f>
        <v>TOTAL</v>
      </c>
      <c r="AB53" s="30" t="str">
        <f t="shared" si="15"/>
        <v>Creatina fosfoquinase|2</v>
      </c>
      <c r="AC53" s="144">
        <f>IF($A53="","",mCEQ.BiasEQ($A53,eqAnoEP,"N",eqProvedor,eqRodada))</f>
        <v>15</v>
      </c>
      <c r="AD53" s="144">
        <f>IF($A53="","",mCEQ.BiasEQ($A53,eqAnoEP,"NRODADAS",eqProvedor,eqRodada))</f>
        <v>3</v>
      </c>
    </row>
    <row r="54" spans="1:30" x14ac:dyDescent="0.3">
      <c r="A54" s="15" t="str">
        <f>Analitos!$A$24</f>
        <v>Fosfatase alcalina</v>
      </c>
      <c r="B54" s="8">
        <v>1</v>
      </c>
      <c r="C54" s="22">
        <f>IF($A54="","",EstatPeriodo($A54,$B54,"N",Estat_Ini_Efetiva,Estat_Fim_Efetiva,Estat_Exclusoes,$H$4))</f>
        <v>110</v>
      </c>
      <c r="D54" s="122">
        <f>IF($A54="","",EstatPeriodo($A54,$B54,"MEDIA",Estat_Ini_Efetiva,Estat_Fim_Efetiva,Estat_Exclusoes,$H$4))</f>
        <v>112.51818181818182</v>
      </c>
      <c r="E54" s="122">
        <f>IF($A54="","",EstatPeriodo($A54,$B54,"DP",Estat_Ini_Efetiva,Estat_Fim_Efetiva,Estat_Exclusoes,$H$4))</f>
        <v>5.6075503133808891</v>
      </c>
      <c r="F54" s="85">
        <f>IF($A54="","",EstatPeriodo($A54,$B54,"CV",Estat_Ini_Efetiva,Estat_Fim_Efetiva,Estat_Exclusoes,$H$4))</f>
        <v>4.9836837236155596</v>
      </c>
      <c r="G54" s="85">
        <f>IF($A54="","",mCEQ.BiasEQ($A54,eqAnoEP,"ABS",eqProvedor,eqRodada))</f>
        <v>10.106578562965522</v>
      </c>
      <c r="H54" s="85">
        <f t="shared" si="8"/>
        <v>18.329656706931196</v>
      </c>
      <c r="I54" s="85" t="str">
        <f>IF($A54="","",IFERROR(INDEX(espFonte,MATCH($A54,Analitos!$A$4:$A$43,0)),""))</f>
        <v>CLIA</v>
      </c>
      <c r="J54" s="85">
        <f>IF($A54="","",IFERROR(INDEX(cvtpOficial,MATCH($A54,Analitos!$A$4:$A$43,0)),""))</f>
        <v>10</v>
      </c>
      <c r="K54" s="85">
        <f>IF($A54="","",IFERROR(INDEX(etpOficial,MATCH($A54,Analitos!$A$4:$A$43,0)),""))</f>
        <v>30</v>
      </c>
      <c r="L54" s="85">
        <f t="shared" si="9"/>
        <v>3.9917102569667504</v>
      </c>
      <c r="M54" s="85" t="str">
        <f>IF(NOT(ISNUMBER($L54)),"",mQualidade.ClassificarSigma($L54))</f>
        <v>Marginal</v>
      </c>
      <c r="N54" s="150">
        <f t="shared" si="10"/>
        <v>11.670343293068804</v>
      </c>
      <c r="O54" s="151">
        <f t="shared" si="11"/>
        <v>38.901144310229348</v>
      </c>
      <c r="P54" s="30" t="str">
        <f>IF(NOT(ISNUMBER($O54)),"",mQualidade.ClassificarMargem($O54))</f>
        <v>Dentro do orcamento</v>
      </c>
      <c r="Q54" s="30" t="str">
        <f t="shared" si="12"/>
        <v>OK</v>
      </c>
      <c r="R54" s="30" t="str">
        <f>IF($A54="","",mCEQ.StatusSDIeq($A54,eqAnoEP,eqProvedor,eqRodada))</f>
        <v>FORA (|SDI| max 5,00 &gt; 2)</v>
      </c>
      <c r="S54" s="30" t="str">
        <f>IF($A54="","",mCEQ.StatusLimitesEQ($A54,eqAnoEP,eqProvedor,eqRodada))</f>
        <v>OK (15 dentro dos limites)</v>
      </c>
      <c r="T54" s="151">
        <f>IF($A54="","",mCEQ.BiasEQ($A54,eqAnoEP,"SIGNED",eqProvedor,eqRodada))</f>
        <v>10.106578562965522</v>
      </c>
      <c r="U54" s="30" t="str">
        <f>IF(OR($P54="ETp excedido",$P54="Margem critica"),COUNTIF($P$14:$P54,"ETp excedido")+COUNTIF($P$14:$P54,"Margem critica"),"")</f>
        <v/>
      </c>
      <c r="V54" s="152">
        <f t="shared" si="13"/>
        <v>6356.4848753991928</v>
      </c>
      <c r="W54" s="143">
        <f t="shared" si="14"/>
        <v>99.364351512460075</v>
      </c>
      <c r="X54" s="30" t="str">
        <f>IF(NOT(ISNUMBER($L54)),"",mPlanoQC.PlanoQC($L54,"REGRAS"))</f>
        <v>1_3s / 2_2s / R_4s / 4_1s / 8x</v>
      </c>
      <c r="Y54" s="144">
        <f>IF(NOT(ISNUMBER($L54)),"",mPlanoQC.PlanoQC($L54,"N"))</f>
        <v>6</v>
      </c>
      <c r="Z54" s="142">
        <f>IF(NOT(ISNUMBER($L54)),"",mPlanoQC.PlanoQC($L54,"RUNSIZE"))</f>
        <v>45</v>
      </c>
      <c r="AA54" s="30" t="str">
        <f>IF(NOT(ISNUMBER($L54)),"",mPlanoQC.CoberturaWestgard($L54))</f>
        <v>TOTAL</v>
      </c>
      <c r="AB54" s="30" t="str">
        <f t="shared" si="15"/>
        <v>Fosfatase alcalina|1</v>
      </c>
      <c r="AC54" s="144">
        <f>IF($A54="","",mCEQ.BiasEQ($A54,eqAnoEP,"N",eqProvedor,eqRodada))</f>
        <v>15</v>
      </c>
      <c r="AD54" s="144">
        <f>IF($A54="","",mCEQ.BiasEQ($A54,eqAnoEP,"NRODADAS",eqProvedor,eqRodada))</f>
        <v>3</v>
      </c>
    </row>
    <row r="55" spans="1:30" x14ac:dyDescent="0.3">
      <c r="A55" s="15" t="str">
        <f>Analitos!$A$24</f>
        <v>Fosfatase alcalina</v>
      </c>
      <c r="B55" s="8">
        <v>2</v>
      </c>
      <c r="C55" s="22">
        <f>IF($A55="","",EstatPeriodo($A55,$B55,"N",Estat_Ini_Efetiva,Estat_Fim_Efetiva,Estat_Exclusoes,$H$4))</f>
        <v>110</v>
      </c>
      <c r="D55" s="122">
        <f>IF($A55="","",EstatPeriodo($A55,$B55,"MEDIA",Estat_Ini_Efetiva,Estat_Fim_Efetiva,Estat_Exclusoes,$H$4))</f>
        <v>421.63636363636363</v>
      </c>
      <c r="E55" s="122">
        <f>IF($A55="","",EstatPeriodo($A55,$B55,"DP",Estat_Ini_Efetiva,Estat_Fim_Efetiva,Estat_Exclusoes,$H$4))</f>
        <v>8.8770679438319213</v>
      </c>
      <c r="F55" s="85">
        <f>IF($A55="","",EstatPeriodo($A55,$B55,"CV",Estat_Ini_Efetiva,Estat_Fim_Efetiva,Estat_Exclusoes,$H$4))</f>
        <v>2.1053848077221029</v>
      </c>
      <c r="G55" s="85">
        <f>IF($A55="","",mCEQ.BiasEQ($A55,eqAnoEP,"ABS",eqProvedor,eqRodada))</f>
        <v>10.106578562965522</v>
      </c>
      <c r="H55" s="85">
        <f t="shared" si="8"/>
        <v>13.580463495706992</v>
      </c>
      <c r="I55" s="85" t="str">
        <f>IF($A55="","",IFERROR(INDEX(espFonte,MATCH($A55,Analitos!$A$4:$A$43,0)),""))</f>
        <v>CLIA</v>
      </c>
      <c r="J55" s="85">
        <f>IF($A55="","",IFERROR(INDEX(cvtpOficial,MATCH($A55,Analitos!$A$4:$A$43,0)),""))</f>
        <v>10</v>
      </c>
      <c r="K55" s="85">
        <f>IF($A55="","",IFERROR(INDEX(etpOficial,MATCH($A55,Analitos!$A$4:$A$43,0)),""))</f>
        <v>30</v>
      </c>
      <c r="L55" s="85">
        <f t="shared" si="9"/>
        <v>9.4488291945822187</v>
      </c>
      <c r="M55" s="85" t="str">
        <f>IF(NOT(ISNUMBER($L55)),"",mQualidade.ClassificarSigma($L55))</f>
        <v>Classe mundial</v>
      </c>
      <c r="N55" s="150">
        <f t="shared" si="10"/>
        <v>16.419536504293006</v>
      </c>
      <c r="O55" s="151">
        <f t="shared" si="11"/>
        <v>54.731788347643352</v>
      </c>
      <c r="P55" s="30" t="str">
        <f>IF(NOT(ISNUMBER($O55)),"",mQualidade.ClassificarMargem($O55))</f>
        <v>Dentro do orcamento</v>
      </c>
      <c r="Q55" s="30" t="str">
        <f t="shared" si="12"/>
        <v>OK</v>
      </c>
      <c r="R55" s="30" t="str">
        <f>IF($A55="","",mCEQ.StatusSDIeq($A55,eqAnoEP,eqProvedor,eqRodada))</f>
        <v>FORA (|SDI| max 5,00 &gt; 2)</v>
      </c>
      <c r="S55" s="30" t="str">
        <f>IF($A55="","",mCEQ.StatusLimitesEQ($A55,eqAnoEP,eqProvedor,eqRodada))</f>
        <v>OK (15 dentro dos limites)</v>
      </c>
      <c r="T55" s="151">
        <f>IF($A55="","",mCEQ.BiasEQ($A55,eqAnoEP,"SIGNED",eqProvedor,eqRodada))</f>
        <v>10.106578562965522</v>
      </c>
      <c r="U55" s="30" t="str">
        <f>IF(OR($P55="ETp excedido",$P55="Margem critica"),COUNTIF($P$14:$P55,"ETp excedido")+COUNTIF($P$14:$P55,"Margem critica"),"")</f>
        <v/>
      </c>
      <c r="V55" s="152">
        <f t="shared" si="13"/>
        <v>8.8817841970012523E-10</v>
      </c>
      <c r="W55" s="143">
        <f t="shared" si="14"/>
        <v>99.999999999999915</v>
      </c>
      <c r="X55" s="30" t="str">
        <f>IF(NOT(ISNUMBER($L55)),"",mPlanoQC.PlanoQC($L55,"REGRAS"))</f>
        <v>1_3s</v>
      </c>
      <c r="Y55" s="144">
        <f>IF(NOT(ISNUMBER($L55)),"",mPlanoQC.PlanoQC($L55,"N"))</f>
        <v>2</v>
      </c>
      <c r="Z55" s="142">
        <f>IF(NOT(ISNUMBER($L55)),"",mPlanoQC.PlanoQC($L55,"RUNSIZE"))</f>
        <v>1000</v>
      </c>
      <c r="AA55" s="30" t="str">
        <f>IF(NOT(ISNUMBER($L55)),"",mPlanoQC.CoberturaWestgard($L55))</f>
        <v>TOTAL</v>
      </c>
      <c r="AB55" s="30" t="str">
        <f t="shared" si="15"/>
        <v>Fosfatase alcalina|2</v>
      </c>
      <c r="AC55" s="144">
        <f>IF($A55="","",mCEQ.BiasEQ($A55,eqAnoEP,"N",eqProvedor,eqRodada))</f>
        <v>15</v>
      </c>
      <c r="AD55" s="144">
        <f>IF($A55="","",mCEQ.BiasEQ($A55,eqAnoEP,"NRODADAS",eqProvedor,eqRodada))</f>
        <v>3</v>
      </c>
    </row>
    <row r="56" spans="1:30" x14ac:dyDescent="0.3">
      <c r="A56" s="15" t="str">
        <f>Analitos!$A$25</f>
        <v>GGT</v>
      </c>
      <c r="B56" s="8">
        <v>1</v>
      </c>
      <c r="C56" s="22">
        <f>IF($A56="","",EstatPeriodo($A56,$B56,"N",Estat_Ini_Efetiva,Estat_Fim_Efetiva,Estat_Exclusoes,$H$4))</f>
        <v>110</v>
      </c>
      <c r="D56" s="122">
        <f>IF($A56="","",EstatPeriodo($A56,$B56,"MEDIA",Estat_Ini_Efetiva,Estat_Fim_Efetiva,Estat_Exclusoes,$H$4))</f>
        <v>79.790909090909096</v>
      </c>
      <c r="E56" s="122">
        <f>IF($A56="","",EstatPeriodo($A56,$B56,"DP",Estat_Ini_Efetiva,Estat_Fim_Efetiva,Estat_Exclusoes,$H$4))</f>
        <v>1.6090082109335251</v>
      </c>
      <c r="F56" s="85">
        <f>IF($A56="","",EstatPeriodo($A56,$B56,"CV",Estat_Ini_Efetiva,Estat_Fim_Efetiva,Estat_Exclusoes,$H$4))</f>
        <v>2.0165307417419136</v>
      </c>
      <c r="G56" s="85">
        <f>IF($A56="","",mCEQ.BiasEQ($A56,eqAnoEP,"ABS",eqProvedor,eqRodada))</f>
        <v>2.6181069119680038</v>
      </c>
      <c r="H56" s="85">
        <f t="shared" si="8"/>
        <v>5.9453826358421615</v>
      </c>
      <c r="I56" s="85" t="str">
        <f>IF($A56="","",IFERROR(INDEX(espFonte,MATCH($A56,Analitos!$A$4:$A$43,0)),""))</f>
        <v>CLIA</v>
      </c>
      <c r="J56" s="85">
        <f>IF($A56="","",IFERROR(INDEX(cvtpOficial,MATCH($A56,Analitos!$A$4:$A$43,0)),""))</f>
        <v>7.333333333333333</v>
      </c>
      <c r="K56" s="85">
        <f>IF($A56="","",IFERROR(INDEX(etpOficial,MATCH($A56,Analitos!$A$4:$A$43,0)),""))</f>
        <v>22</v>
      </c>
      <c r="L56" s="85">
        <f t="shared" si="9"/>
        <v>9.6115038996576807</v>
      </c>
      <c r="M56" s="85" t="str">
        <f>IF(NOT(ISNUMBER($L56)),"",mQualidade.ClassificarSigma($L56))</f>
        <v>Classe mundial</v>
      </c>
      <c r="N56" s="150">
        <f t="shared" si="10"/>
        <v>16.054617364157838</v>
      </c>
      <c r="O56" s="151">
        <f t="shared" si="11"/>
        <v>72.975533473444727</v>
      </c>
      <c r="P56" s="30" t="str">
        <f>IF(NOT(ISNUMBER($O56)),"",mQualidade.ClassificarMargem($O56))</f>
        <v>Dentro do orcamento</v>
      </c>
      <c r="Q56" s="30" t="str">
        <f t="shared" si="12"/>
        <v>OK</v>
      </c>
      <c r="R56" s="30" t="str">
        <f>IF($A56="","",mCEQ.StatusSDIeq($A56,eqAnoEP,eqProvedor,eqRodada))</f>
        <v>OK (|SDI| max 1,70 em 15 amostra(s))</v>
      </c>
      <c r="S56" s="30" t="str">
        <f>IF($A56="","",mCEQ.StatusLimitesEQ($A56,eqAnoEP,eqProvedor,eqRodada))</f>
        <v>OK (15 dentro dos limites)</v>
      </c>
      <c r="T56" s="151">
        <f>IF($A56="","",mCEQ.BiasEQ($A56,eqAnoEP,"SIGNED",eqProvedor,eqRodada))</f>
        <v>1.8582793072501385</v>
      </c>
      <c r="U56" s="30" t="str">
        <f>IF(OR($P56="ETp excedido",$P56="Margem critica"),COUNTIF($P$14:$P56,"ETp excedido")+COUNTIF($P$14:$P56,"Margem critica"),"")</f>
        <v/>
      </c>
      <c r="V56" s="152">
        <f t="shared" si="13"/>
        <v>2.2204460492503131E-10</v>
      </c>
      <c r="W56" s="143">
        <f t="shared" si="14"/>
        <v>99.999999999999972</v>
      </c>
      <c r="X56" s="30" t="str">
        <f>IF(NOT(ISNUMBER($L56)),"",mPlanoQC.PlanoQC($L56,"REGRAS"))</f>
        <v>1_3s</v>
      </c>
      <c r="Y56" s="144">
        <f>IF(NOT(ISNUMBER($L56)),"",mPlanoQC.PlanoQC($L56,"N"))</f>
        <v>2</v>
      </c>
      <c r="Z56" s="142">
        <f>IF(NOT(ISNUMBER($L56)),"",mPlanoQC.PlanoQC($L56,"RUNSIZE"))</f>
        <v>1000</v>
      </c>
      <c r="AA56" s="30" t="str">
        <f>IF(NOT(ISNUMBER($L56)),"",mPlanoQC.CoberturaWestgard($L56))</f>
        <v>TOTAL</v>
      </c>
      <c r="AB56" s="30" t="str">
        <f t="shared" si="15"/>
        <v>GGT|1</v>
      </c>
      <c r="AC56" s="144">
        <f>IF($A56="","",mCEQ.BiasEQ($A56,eqAnoEP,"N",eqProvedor,eqRodada))</f>
        <v>15</v>
      </c>
      <c r="AD56" s="144">
        <f>IF($A56="","",mCEQ.BiasEQ($A56,eqAnoEP,"NRODADAS",eqProvedor,eqRodada))</f>
        <v>3</v>
      </c>
    </row>
    <row r="57" spans="1:30" x14ac:dyDescent="0.3">
      <c r="A57" s="15" t="str">
        <f>Analitos!$A$25</f>
        <v>GGT</v>
      </c>
      <c r="B57" s="8">
        <v>2</v>
      </c>
      <c r="C57" s="22">
        <f>IF($A57="","",EstatPeriodo($A57,$B57,"N",Estat_Ini_Efetiva,Estat_Fim_Efetiva,Estat_Exclusoes,$H$4))</f>
        <v>110</v>
      </c>
      <c r="D57" s="122">
        <f>IF($A57="","",EstatPeriodo($A57,$B57,"MEDIA",Estat_Ini_Efetiva,Estat_Fim_Efetiva,Estat_Exclusoes,$H$4))</f>
        <v>152.48181818181817</v>
      </c>
      <c r="E57" s="122">
        <f>IF($A57="","",EstatPeriodo($A57,$B57,"DP",Estat_Ini_Efetiva,Estat_Fim_Efetiva,Estat_Exclusoes,$H$4))</f>
        <v>2.3254941989596136</v>
      </c>
      <c r="F57" s="85">
        <f>IF($A57="","",EstatPeriodo($A57,$B57,"CV",Estat_Ini_Efetiva,Estat_Fim_Efetiva,Estat_Exclusoes,$H$4))</f>
        <v>1.5250960584603679</v>
      </c>
      <c r="G57" s="85">
        <f>IF($A57="","",mCEQ.BiasEQ($A57,eqAnoEP,"ABS",eqProvedor,eqRodada))</f>
        <v>2.6181069119680038</v>
      </c>
      <c r="H57" s="85">
        <f t="shared" si="8"/>
        <v>5.1345154084276103</v>
      </c>
      <c r="I57" s="85" t="str">
        <f>IF($A57="","",IFERROR(INDEX(espFonte,MATCH($A57,Analitos!$A$4:$A$43,0)),""))</f>
        <v>CLIA</v>
      </c>
      <c r="J57" s="85">
        <f>IF($A57="","",IFERROR(INDEX(cvtpOficial,MATCH($A57,Analitos!$A$4:$A$43,0)),""))</f>
        <v>7.333333333333333</v>
      </c>
      <c r="K57" s="85">
        <f>IF($A57="","",IFERROR(INDEX(etpOficial,MATCH($A57,Analitos!$A$4:$A$43,0)),""))</f>
        <v>22</v>
      </c>
      <c r="L57" s="85">
        <f t="shared" si="9"/>
        <v>12.708637584178549</v>
      </c>
      <c r="M57" s="85" t="str">
        <f>IF(NOT(ISNUMBER($L57)),"",mQualidade.ClassificarSigma($L57))</f>
        <v>Classe mundial</v>
      </c>
      <c r="N57" s="150">
        <f t="shared" si="10"/>
        <v>16.86548459157239</v>
      </c>
      <c r="O57" s="151">
        <f t="shared" si="11"/>
        <v>76.661293598056318</v>
      </c>
      <c r="P57" s="30" t="str">
        <f>IF(NOT(ISNUMBER($O57)),"",mQualidade.ClassificarMargem($O57))</f>
        <v>Dentro do orcamento</v>
      </c>
      <c r="Q57" s="30" t="str">
        <f t="shared" si="12"/>
        <v>OK</v>
      </c>
      <c r="R57" s="30" t="str">
        <f>IF($A57="","",mCEQ.StatusSDIeq($A57,eqAnoEP,eqProvedor,eqRodada))</f>
        <v>OK (|SDI| max 1,70 em 15 amostra(s))</v>
      </c>
      <c r="S57" s="30" t="str">
        <f>IF($A57="","",mCEQ.StatusLimitesEQ($A57,eqAnoEP,eqProvedor,eqRodada))</f>
        <v>OK (15 dentro dos limites)</v>
      </c>
      <c r="T57" s="151">
        <f>IF($A57="","",mCEQ.BiasEQ($A57,eqAnoEP,"SIGNED",eqProvedor,eqRodada))</f>
        <v>1.8582793072501385</v>
      </c>
      <c r="U57" s="30" t="str">
        <f>IF(OR($P57="ETp excedido",$P57="Margem critica"),COUNTIF($P$14:$P57,"ETp excedido")+COUNTIF($P$14:$P57,"Margem critica"),"")</f>
        <v/>
      </c>
      <c r="V57" s="152">
        <f t="shared" si="13"/>
        <v>0</v>
      </c>
      <c r="W57" s="143">
        <f t="shared" si="14"/>
        <v>100</v>
      </c>
      <c r="X57" s="30" t="str">
        <f>IF(NOT(ISNUMBER($L57)),"",mPlanoQC.PlanoQC($L57,"REGRAS"))</f>
        <v>1_3s</v>
      </c>
      <c r="Y57" s="144">
        <f>IF(NOT(ISNUMBER($L57)),"",mPlanoQC.PlanoQC($L57,"N"))</f>
        <v>2</v>
      </c>
      <c r="Z57" s="142">
        <f>IF(NOT(ISNUMBER($L57)),"",mPlanoQC.PlanoQC($L57,"RUNSIZE"))</f>
        <v>1000</v>
      </c>
      <c r="AA57" s="30" t="str">
        <f>IF(NOT(ISNUMBER($L57)),"",mPlanoQC.CoberturaWestgard($L57))</f>
        <v>TOTAL</v>
      </c>
      <c r="AB57" s="30" t="str">
        <f t="shared" si="15"/>
        <v>GGT|2</v>
      </c>
      <c r="AC57" s="144">
        <f>IF($A57="","",mCEQ.BiasEQ($A57,eqAnoEP,"N",eqProvedor,eqRodada))</f>
        <v>15</v>
      </c>
      <c r="AD57" s="144">
        <f>IF($A57="","",mCEQ.BiasEQ($A57,eqAnoEP,"NRODADAS",eqProvedor,eqRodada))</f>
        <v>3</v>
      </c>
    </row>
    <row r="58" spans="1:30" x14ac:dyDescent="0.3">
      <c r="A58" s="15" t="str">
        <f>Analitos!$A$26</f>
        <v>Lactato desidrogenase</v>
      </c>
      <c r="B58" s="8">
        <v>1</v>
      </c>
      <c r="C58" s="22">
        <f>IF($A58="","",EstatPeriodo($A58,$B58,"N",Estat_Ini_Efetiva,Estat_Fim_Efetiva,Estat_Exclusoes,$H$4))</f>
        <v>110</v>
      </c>
      <c r="D58" s="122">
        <f>IF($A58="","",EstatPeriodo($A58,$B58,"MEDIA",Estat_Ini_Efetiva,Estat_Fim_Efetiva,Estat_Exclusoes,$H$4))</f>
        <v>157.07272727272726</v>
      </c>
      <c r="E58" s="122">
        <f>IF($A58="","",EstatPeriodo($A58,$B58,"DP",Estat_Ini_Efetiva,Estat_Fim_Efetiva,Estat_Exclusoes,$H$4))</f>
        <v>8.6625939405094723</v>
      </c>
      <c r="F58" s="85">
        <f>IF($A58="","",EstatPeriodo($A58,$B58,"CV",Estat_Ini_Efetiva,Estat_Fim_Efetiva,Estat_Exclusoes,$H$4))</f>
        <v>5.5150210293786435</v>
      </c>
      <c r="G58" s="85">
        <f>IF($A58="","",mCEQ.BiasEQ($A58,eqAnoEP,"ABS",eqProvedor,eqRodada))</f>
        <v>1.59544872788783</v>
      </c>
      <c r="H58" s="85">
        <f t="shared" si="8"/>
        <v>10.69523342636259</v>
      </c>
      <c r="I58" s="85" t="str">
        <f>IF($A58="","",IFERROR(INDEX(espFonte,MATCH($A58,Analitos!$A$4:$A$43,0)),""))</f>
        <v>CLIA</v>
      </c>
      <c r="J58" s="85">
        <f>IF($A58="","",IFERROR(INDEX(cvtpOficial,MATCH($A58,Analitos!$A$4:$A$43,0)),""))</f>
        <v>5</v>
      </c>
      <c r="K58" s="85">
        <f>IF($A58="","",IFERROR(INDEX(etpOficial,MATCH($A58,Analitos!$A$4:$A$43,0)),""))</f>
        <v>15</v>
      </c>
      <c r="L58" s="85">
        <f t="shared" si="9"/>
        <v>2.4305530660183923</v>
      </c>
      <c r="M58" s="85" t="str">
        <f>IF(NOT(ISNUMBER($L58)),"",mQualidade.ClassificarSigma($L58))</f>
        <v>Desempenho inadequado</v>
      </c>
      <c r="N58" s="150">
        <f t="shared" si="10"/>
        <v>4.3047665736374103</v>
      </c>
      <c r="O58" s="151">
        <f t="shared" si="11"/>
        <v>28.698443824249402</v>
      </c>
      <c r="P58" s="30" t="str">
        <f>IF(NOT(ISNUMBER($O58)),"",mQualidade.ClassificarMargem($O58))</f>
        <v>Dentro do orcamento</v>
      </c>
      <c r="Q58" s="30" t="str">
        <f t="shared" si="12"/>
        <v>CV acima da meta</v>
      </c>
      <c r="R58" s="30" t="str">
        <f>IF($A58="","",mCEQ.StatusSDIeq($A58,eqAnoEP,eqProvedor,eqRodada))</f>
        <v>OK (|SDI| max 0,70 em 15 amostra(s))</v>
      </c>
      <c r="S58" s="30" t="str">
        <f>IF($A58="","",mCEQ.StatusLimitesEQ($A58,eqAnoEP,eqProvedor,eqRodada))</f>
        <v>OK (15 dentro dos limites)</v>
      </c>
      <c r="T58" s="151">
        <f>IF($A58="","",mCEQ.BiasEQ($A58,eqAnoEP,"SIGNED",eqProvedor,eqRodada))</f>
        <v>-0.37745702862145764</v>
      </c>
      <c r="U58" s="30" t="str">
        <f>IF(OR($P58="ETp excedido",$P58="Margem critica"),COUNTIF($P$14:$P58,"ETp excedido")+COUNTIF($P$14:$P58,"Margem critica"),"")</f>
        <v/>
      </c>
      <c r="V58" s="152">
        <f t="shared" si="13"/>
        <v>176042.40103493296</v>
      </c>
      <c r="W58" s="143">
        <f t="shared" si="14"/>
        <v>82.395759896506704</v>
      </c>
      <c r="X58" s="30" t="str">
        <f>IF(NOT(ISNUMBER($L58)),"",mPlanoQC.PlanoQC($L58,"REGRAS"))</f>
        <v/>
      </c>
      <c r="Y58" s="144" t="str">
        <f>IF(NOT(ISNUMBER($L58)),"",mPlanoQC.PlanoQC($L58,"N"))</f>
        <v/>
      </c>
      <c r="Z58" s="142" t="str">
        <f>IF(NOT(ISNUMBER($L58)),"",mPlanoQC.PlanoQC($L58,"RUNSIZE"))</f>
        <v/>
      </c>
      <c r="AA58" s="30" t="str">
        <f>IF(NOT(ISNUMBER($L58)),"",mPlanoQC.CoberturaWestgard($L58))</f>
        <v>não aplicável</v>
      </c>
      <c r="AB58" s="30" t="str">
        <f t="shared" si="15"/>
        <v>Lactato desidrogenase|1</v>
      </c>
      <c r="AC58" s="144">
        <f>IF($A58="","",mCEQ.BiasEQ($A58,eqAnoEP,"N",eqProvedor,eqRodada))</f>
        <v>15</v>
      </c>
      <c r="AD58" s="144">
        <f>IF($A58="","",mCEQ.BiasEQ($A58,eqAnoEP,"NRODADAS",eqProvedor,eqRodada))</f>
        <v>3</v>
      </c>
    </row>
    <row r="59" spans="1:30" x14ac:dyDescent="0.3">
      <c r="A59" s="15" t="str">
        <f>Analitos!$A$26</f>
        <v>Lactato desidrogenase</v>
      </c>
      <c r="B59" s="8">
        <v>2</v>
      </c>
      <c r="C59" s="22">
        <f>IF($A59="","",EstatPeriodo($A59,$B59,"N",Estat_Ini_Efetiva,Estat_Fim_Efetiva,Estat_Exclusoes,$H$4))</f>
        <v>110</v>
      </c>
      <c r="D59" s="122">
        <f>IF($A59="","",EstatPeriodo($A59,$B59,"MEDIA",Estat_Ini_Efetiva,Estat_Fim_Efetiva,Estat_Exclusoes,$H$4))</f>
        <v>375.69</v>
      </c>
      <c r="E59" s="122">
        <f>IF($A59="","",EstatPeriodo($A59,$B59,"DP",Estat_Ini_Efetiva,Estat_Fim_Efetiva,Estat_Exclusoes,$H$4))</f>
        <v>13.195926185376864</v>
      </c>
      <c r="F59" s="85">
        <f>IF($A59="","",EstatPeriodo($A59,$B59,"CV",Estat_Ini_Efetiva,Estat_Fim_Efetiva,Estat_Exclusoes,$H$4))</f>
        <v>3.5124507400720977</v>
      </c>
      <c r="G59" s="85">
        <f>IF($A59="","",mCEQ.BiasEQ($A59,eqAnoEP,"ABS",eqProvedor,eqRodada))</f>
        <v>1.59544872788783</v>
      </c>
      <c r="H59" s="85">
        <f t="shared" si="8"/>
        <v>7.3909924490067906</v>
      </c>
      <c r="I59" s="85" t="str">
        <f>IF($A59="","",IFERROR(INDEX(espFonte,MATCH($A59,Analitos!$A$4:$A$43,0)),""))</f>
        <v>CLIA</v>
      </c>
      <c r="J59" s="85">
        <f>IF($A59="","",IFERROR(INDEX(cvtpOficial,MATCH($A59,Analitos!$A$4:$A$43,0)),""))</f>
        <v>5</v>
      </c>
      <c r="K59" s="85">
        <f>IF($A59="","",IFERROR(INDEX(etpOficial,MATCH($A59,Analitos!$A$4:$A$43,0)),""))</f>
        <v>15</v>
      </c>
      <c r="L59" s="85">
        <f t="shared" si="9"/>
        <v>3.8162958754652956</v>
      </c>
      <c r="M59" s="85" t="str">
        <f>IF(NOT(ISNUMBER($L59)),"",mQualidade.ClassificarSigma($L59))</f>
        <v>Marginal</v>
      </c>
      <c r="N59" s="150">
        <f t="shared" si="10"/>
        <v>7.6090075509932094</v>
      </c>
      <c r="O59" s="151">
        <f t="shared" si="11"/>
        <v>50.726717006621392</v>
      </c>
      <c r="P59" s="30" t="str">
        <f>IF(NOT(ISNUMBER($O59)),"",mQualidade.ClassificarMargem($O59))</f>
        <v>Dentro do orcamento</v>
      </c>
      <c r="Q59" s="30" t="str">
        <f t="shared" si="12"/>
        <v>OK</v>
      </c>
      <c r="R59" s="30" t="str">
        <f>IF($A59="","",mCEQ.StatusSDIeq($A59,eqAnoEP,eqProvedor,eqRodada))</f>
        <v>OK (|SDI| max 0,70 em 15 amostra(s))</v>
      </c>
      <c r="S59" s="30" t="str">
        <f>IF($A59="","",mCEQ.StatusLimitesEQ($A59,eqAnoEP,eqProvedor,eqRodada))</f>
        <v>OK (15 dentro dos limites)</v>
      </c>
      <c r="T59" s="151">
        <f>IF($A59="","",mCEQ.BiasEQ($A59,eqAnoEP,"SIGNED",eqProvedor,eqRodada))</f>
        <v>-0.37745702862145764</v>
      </c>
      <c r="U59" s="30" t="str">
        <f>IF(OR($P59="ETp excedido",$P59="Margem critica"),COUNTIF($P$14:$P59,"ETp excedido")+COUNTIF($P$14:$P59,"Margem critica"),"")</f>
        <v/>
      </c>
      <c r="V59" s="152">
        <f t="shared" si="13"/>
        <v>10271.059695900476</v>
      </c>
      <c r="W59" s="143">
        <f t="shared" si="14"/>
        <v>98.972894030409947</v>
      </c>
      <c r="X59" s="30" t="str">
        <f>IF(NOT(ISNUMBER($L59)),"",mPlanoQC.PlanoQC($L59,"REGRAS"))</f>
        <v>1_3s / 2_2s / R_4s / 4_1s / 8x</v>
      </c>
      <c r="Y59" s="144">
        <f>IF(NOT(ISNUMBER($L59)),"",mPlanoQC.PlanoQC($L59,"N"))</f>
        <v>6</v>
      </c>
      <c r="Z59" s="142">
        <f>IF(NOT(ISNUMBER($L59)),"",mPlanoQC.PlanoQC($L59,"RUNSIZE"))</f>
        <v>45</v>
      </c>
      <c r="AA59" s="30" t="str">
        <f>IF(NOT(ISNUMBER($L59)),"",mPlanoQC.CoberturaWestgard($L59))</f>
        <v>TOTAL</v>
      </c>
      <c r="AB59" s="30" t="str">
        <f t="shared" si="15"/>
        <v>Lactato desidrogenase|2</v>
      </c>
      <c r="AC59" s="144">
        <f>IF($A59="","",mCEQ.BiasEQ($A59,eqAnoEP,"N",eqProvedor,eqRodada))</f>
        <v>15</v>
      </c>
      <c r="AD59" s="144">
        <f>IF($A59="","",mCEQ.BiasEQ($A59,eqAnoEP,"NRODADAS",eqProvedor,eqRodada))</f>
        <v>3</v>
      </c>
    </row>
    <row r="60" spans="1:30" x14ac:dyDescent="0.3">
      <c r="A60" s="15" t="str">
        <f>Analitos!$A$27</f>
        <v>Lipase</v>
      </c>
      <c r="B60" s="8">
        <v>1</v>
      </c>
      <c r="C60" s="22">
        <f>IF($A60="","",EstatPeriodo($A60,$B60,"N",Estat_Ini_Efetiva,Estat_Fim_Efetiva,Estat_Exclusoes,$H$4))</f>
        <v>110</v>
      </c>
      <c r="D60" s="122">
        <f>IF($A60="","",EstatPeriodo($A60,$B60,"MEDIA",Estat_Ini_Efetiva,Estat_Fim_Efetiva,Estat_Exclusoes,$H$4))</f>
        <v>59.009090909090908</v>
      </c>
      <c r="E60" s="122">
        <f>IF($A60="","",EstatPeriodo($A60,$B60,"DP",Estat_Ini_Efetiva,Estat_Fim_Efetiva,Estat_Exclusoes,$H$4))</f>
        <v>1.8349084648092564</v>
      </c>
      <c r="F60" s="85">
        <f>IF($A60="","",EstatPeriodo($A60,$B60,"CV",Estat_Ini_Efetiva,Estat_Fim_Efetiva,Estat_Exclusoes,$H$4))</f>
        <v>3.1095352199817934</v>
      </c>
      <c r="G60" s="85">
        <f>IF($A60="","",mCEQ.BiasEQ($A60,eqAnoEP,"ABS",eqProvedor,eqRodada))</f>
        <v>7.6240351647767524</v>
      </c>
      <c r="H60" s="85">
        <f t="shared" si="8"/>
        <v>12.754768277746711</v>
      </c>
      <c r="I60" s="85" t="str">
        <f>IF($A60="","",IFERROR(INDEX(espFonte,MATCH($A60,Analitos!$A$4:$A$43,0)),""))</f>
        <v>VB</v>
      </c>
      <c r="J60" s="85">
        <f>IF($A60="","",IFERROR(INDEX(cvtpOficial,MATCH($A60,Analitos!$A$4:$A$43,0)),""))</f>
        <v>0</v>
      </c>
      <c r="K60" s="85">
        <f>IF($A60="","",IFERROR(INDEX(etpOficial,MATCH($A60,Analitos!$A$4:$A$43,0)),""))</f>
        <v>0</v>
      </c>
      <c r="L60" s="85">
        <f t="shared" si="9"/>
        <v>-2.4518246700615896</v>
      </c>
      <c r="M60" s="85" t="str">
        <f>IF(NOT(ISNUMBER($L60)),"",mQualidade.ClassificarSigma($L60))</f>
        <v>Desempenho inadequado</v>
      </c>
      <c r="N60" s="150">
        <f t="shared" si="10"/>
        <v>-12.754768277746711</v>
      </c>
      <c r="O60" s="151" t="str">
        <f t="shared" si="11"/>
        <v/>
      </c>
      <c r="P60" s="30" t="str">
        <f>IF(NOT(ISNUMBER($O60)),"",mQualidade.ClassificarMargem($O60))</f>
        <v/>
      </c>
      <c r="Q60" s="30" t="str">
        <f t="shared" si="12"/>
        <v>CV acima da meta</v>
      </c>
      <c r="R60" s="30" t="str">
        <f>IF($A60="","",mCEQ.StatusSDIeq($A60,eqAnoEP,eqProvedor,eqRodada))</f>
        <v>FORA (|SDI| max 2,70 &gt; 2)</v>
      </c>
      <c r="S60" s="30" t="str">
        <f>IF($A60="","",mCEQ.StatusLimitesEQ($A60,eqAnoEP,eqProvedor,eqRodada))</f>
        <v>OK (15 dentro dos limites)</v>
      </c>
      <c r="T60" s="151">
        <f>IF($A60="","",mCEQ.BiasEQ($A60,eqAnoEP,"SIGNED",eqProvedor,eqRodada))</f>
        <v>-7.3320643618570429</v>
      </c>
      <c r="U60" s="30" t="str">
        <f>IF(OR($P60="ETp excedido",$P60="Margem critica"),COUNTIF($P$14:$P60,"ETp excedido")+COUNTIF($P$14:$P60,"Margem critica"),"")</f>
        <v/>
      </c>
      <c r="V60" s="152">
        <f t="shared" si="13"/>
        <v>999961.22122138389</v>
      </c>
      <c r="W60" s="143">
        <f t="shared" si="14"/>
        <v>3.8778778616106162E-3</v>
      </c>
      <c r="X60" s="30" t="str">
        <f>IF(NOT(ISNUMBER($L60)),"",mPlanoQC.PlanoQC($L60,"REGRAS"))</f>
        <v/>
      </c>
      <c r="Y60" s="144" t="str">
        <f>IF(NOT(ISNUMBER($L60)),"",mPlanoQC.PlanoQC($L60,"N"))</f>
        <v/>
      </c>
      <c r="Z60" s="142" t="str">
        <f>IF(NOT(ISNUMBER($L60)),"",mPlanoQC.PlanoQC($L60,"RUNSIZE"))</f>
        <v/>
      </c>
      <c r="AA60" s="30" t="str">
        <f>IF(NOT(ISNUMBER($L60)),"",mPlanoQC.CoberturaWestgard($L60))</f>
        <v>não aplicável</v>
      </c>
      <c r="AB60" s="30" t="str">
        <f t="shared" si="15"/>
        <v>Lipase|1</v>
      </c>
      <c r="AC60" s="144">
        <f>IF($A60="","",mCEQ.BiasEQ($A60,eqAnoEP,"N",eqProvedor,eqRodada))</f>
        <v>15</v>
      </c>
      <c r="AD60" s="144">
        <f>IF($A60="","",mCEQ.BiasEQ($A60,eqAnoEP,"NRODADAS",eqProvedor,eqRodada))</f>
        <v>3</v>
      </c>
    </row>
    <row r="61" spans="1:30" x14ac:dyDescent="0.3">
      <c r="A61" s="15" t="str">
        <f>Analitos!$A$27</f>
        <v>Lipase</v>
      </c>
      <c r="B61" s="8">
        <v>2</v>
      </c>
      <c r="C61" s="22">
        <f>IF($A61="","",EstatPeriodo($A61,$B61,"N",Estat_Ini_Efetiva,Estat_Fim_Efetiva,Estat_Exclusoes,$H$4))</f>
        <v>110</v>
      </c>
      <c r="D61" s="122">
        <f>IF($A61="","",EstatPeriodo($A61,$B61,"MEDIA",Estat_Ini_Efetiva,Estat_Fim_Efetiva,Estat_Exclusoes,$H$4))</f>
        <v>85.427272727272722</v>
      </c>
      <c r="E61" s="122">
        <f>IF($A61="","",EstatPeriodo($A61,$B61,"DP",Estat_Ini_Efetiva,Estat_Fim_Efetiva,Estat_Exclusoes,$H$4))</f>
        <v>2.1178970481564185</v>
      </c>
      <c r="F61" s="85">
        <f>IF($A61="","",EstatPeriodo($A61,$B61,"CV",Estat_Ini_Efetiva,Estat_Fim_Efetiva,Estat_Exclusoes,$H$4))</f>
        <v>2.479181390839694</v>
      </c>
      <c r="G61" s="85">
        <f>IF($A61="","",mCEQ.BiasEQ($A61,eqAnoEP,"ABS",eqProvedor,eqRodada))</f>
        <v>7.6240351647767524</v>
      </c>
      <c r="H61" s="85">
        <f t="shared" si="8"/>
        <v>11.714684459662248</v>
      </c>
      <c r="I61" s="85" t="str">
        <f>IF($A61="","",IFERROR(INDEX(espFonte,MATCH($A61,Analitos!$A$4:$A$43,0)),""))</f>
        <v>VB</v>
      </c>
      <c r="J61" s="85">
        <f>IF($A61="","",IFERROR(INDEX(cvtpOficial,MATCH($A61,Analitos!$A$4:$A$43,0)),""))</f>
        <v>0</v>
      </c>
      <c r="K61" s="85">
        <f>IF($A61="","",IFERROR(INDEX(etpOficial,MATCH($A61,Analitos!$A$4:$A$43,0)),""))</f>
        <v>0</v>
      </c>
      <c r="L61" s="85">
        <f t="shared" si="9"/>
        <v>-3.0752228106207697</v>
      </c>
      <c r="M61" s="85" t="str">
        <f>IF(NOT(ISNUMBER($L61)),"",mQualidade.ClassificarSigma($L61))</f>
        <v>Desempenho inadequado</v>
      </c>
      <c r="N61" s="150">
        <f t="shared" si="10"/>
        <v>-11.714684459662248</v>
      </c>
      <c r="O61" s="151" t="str">
        <f t="shared" si="11"/>
        <v/>
      </c>
      <c r="P61" s="30" t="str">
        <f>IF(NOT(ISNUMBER($O61)),"",mQualidade.ClassificarMargem($O61))</f>
        <v/>
      </c>
      <c r="Q61" s="30" t="str">
        <f t="shared" si="12"/>
        <v>CV acima da meta</v>
      </c>
      <c r="R61" s="30" t="str">
        <f>IF($A61="","",mCEQ.StatusSDIeq($A61,eqAnoEP,eqProvedor,eqRodada))</f>
        <v>FORA (|SDI| max 2,70 &gt; 2)</v>
      </c>
      <c r="S61" s="30" t="str">
        <f>IF($A61="","",mCEQ.StatusLimitesEQ($A61,eqAnoEP,eqProvedor,eqRodada))</f>
        <v>OK (15 dentro dos limites)</v>
      </c>
      <c r="T61" s="151">
        <f>IF($A61="","",mCEQ.BiasEQ($A61,eqAnoEP,"SIGNED",eqProvedor,eqRodada))</f>
        <v>-7.3320643618570429</v>
      </c>
      <c r="U61" s="30" t="str">
        <f>IF(OR($P61="ETp excedido",$P61="Margem critica"),COUNTIF($P$14:$P61,"ETp excedido")+COUNTIF($P$14:$P61,"Margem critica"),"")</f>
        <v/>
      </c>
      <c r="V61" s="152">
        <f t="shared" si="13"/>
        <v>999997.62143284536</v>
      </c>
      <c r="W61" s="143">
        <f t="shared" si="14"/>
        <v>2.3785671546356843E-4</v>
      </c>
      <c r="X61" s="30" t="str">
        <f>IF(NOT(ISNUMBER($L61)),"",mPlanoQC.PlanoQC($L61,"REGRAS"))</f>
        <v/>
      </c>
      <c r="Y61" s="144" t="str">
        <f>IF(NOT(ISNUMBER($L61)),"",mPlanoQC.PlanoQC($L61,"N"))</f>
        <v/>
      </c>
      <c r="Z61" s="142" t="str">
        <f>IF(NOT(ISNUMBER($L61)),"",mPlanoQC.PlanoQC($L61,"RUNSIZE"))</f>
        <v/>
      </c>
      <c r="AA61" s="30" t="str">
        <f>IF(NOT(ISNUMBER($L61)),"",mPlanoQC.CoberturaWestgard($L61))</f>
        <v>não aplicável</v>
      </c>
      <c r="AB61" s="30" t="str">
        <f t="shared" si="15"/>
        <v>Lipase|2</v>
      </c>
      <c r="AC61" s="144">
        <f>IF($A61="","",mCEQ.BiasEQ($A61,eqAnoEP,"N",eqProvedor,eqRodada))</f>
        <v>15</v>
      </c>
      <c r="AD61" s="144">
        <f>IF($A61="","",mCEQ.BiasEQ($A61,eqAnoEP,"NRODADAS",eqProvedor,eqRodada))</f>
        <v>3</v>
      </c>
    </row>
    <row r="62" spans="1:30" x14ac:dyDescent="0.3">
      <c r="A62" s="15" t="str">
        <f>Analitos!$A$28</f>
        <v>AST (TGO)</v>
      </c>
      <c r="B62" s="8">
        <v>1</v>
      </c>
      <c r="C62" s="22">
        <f>IF($A62="","",EstatPeriodo($A62,$B62,"N",Estat_Ini_Efetiva,Estat_Fim_Efetiva,Estat_Exclusoes,$H$4))</f>
        <v>110</v>
      </c>
      <c r="D62" s="122">
        <f>IF($A62="","",EstatPeriodo($A62,$B62,"MEDIA",Estat_Ini_Efetiva,Estat_Fim_Efetiva,Estat_Exclusoes,$H$4))</f>
        <v>46.190909090909088</v>
      </c>
      <c r="E62" s="122">
        <f>IF($A62="","",EstatPeriodo($A62,$B62,"DP",Estat_Ini_Efetiva,Estat_Fim_Efetiva,Estat_Exclusoes,$H$4))</f>
        <v>1.3780417867292458</v>
      </c>
      <c r="F62" s="85">
        <f>IF($A62="","",EstatPeriodo($A62,$B62,"CV",Estat_Ini_Efetiva,Estat_Fim_Efetiva,Estat_Exclusoes,$H$4))</f>
        <v>2.9833614749107862</v>
      </c>
      <c r="G62" s="85">
        <f>IF($A62="","",mCEQ.BiasEQ($A62,eqAnoEP,"ABS",eqProvedor,eqRodada))</f>
        <v>9.9434143970403657</v>
      </c>
      <c r="H62" s="85">
        <f t="shared" si="8"/>
        <v>14.865960830643163</v>
      </c>
      <c r="I62" s="85" t="str">
        <f>IF($A62="","",IFERROR(INDEX(espFonte,MATCH($A62,Analitos!$A$4:$A$43,0)),""))</f>
        <v>CLIA</v>
      </c>
      <c r="J62" s="85">
        <f>IF($A62="","",IFERROR(INDEX(cvtpOficial,MATCH($A62,Analitos!$A$4:$A$43,0)),""))</f>
        <v>6.666666666666667</v>
      </c>
      <c r="K62" s="85">
        <f>IF($A62="","",IFERROR(INDEX(etpOficial,MATCH($A62,Analitos!$A$4:$A$43,0)),""))</f>
        <v>20</v>
      </c>
      <c r="L62" s="85">
        <f t="shared" si="9"/>
        <v>3.3708907510982606</v>
      </c>
      <c r="M62" s="85" t="str">
        <f>IF(NOT(ISNUMBER($L62)),"",mQualidade.ClassificarSigma($L62))</f>
        <v>Marginal</v>
      </c>
      <c r="N62" s="150">
        <f t="shared" si="10"/>
        <v>5.1340391693568375</v>
      </c>
      <c r="O62" s="151">
        <f t="shared" si="11"/>
        <v>25.670195846784189</v>
      </c>
      <c r="P62" s="30" t="str">
        <f>IF(NOT(ISNUMBER($O62)),"",mQualidade.ClassificarMargem($O62))</f>
        <v>Dentro do orcamento</v>
      </c>
      <c r="Q62" s="30" t="str">
        <f t="shared" si="12"/>
        <v>OK</v>
      </c>
      <c r="R62" s="30" t="str">
        <f>IF($A62="","",mCEQ.StatusSDIeq($A62,eqAnoEP,eqProvedor,eqRodada))</f>
        <v>FORA (|SDI| max 3,40 &gt; 2)</v>
      </c>
      <c r="S62" s="30" t="str">
        <f>IF($A62="","",mCEQ.StatusLimitesEQ($A62,eqAnoEP,eqProvedor,eqRodada))</f>
        <v>OK (15 dentro dos limites)</v>
      </c>
      <c r="T62" s="151">
        <f>IF($A62="","",mCEQ.BiasEQ($A62,eqAnoEP,"SIGNED",eqProvedor,eqRodada))</f>
        <v>9.9434143970403657</v>
      </c>
      <c r="U62" s="30" t="str">
        <f>IF(OR($P62="ETp excedido",$P62="Margem critica"),COUNTIF($P$14:$P62,"ETp excedido")+COUNTIF($P$14:$P62,"Margem critica"),"")</f>
        <v/>
      </c>
      <c r="V62" s="152">
        <f t="shared" si="13"/>
        <v>30680.112620612654</v>
      </c>
      <c r="W62" s="143">
        <f t="shared" si="14"/>
        <v>96.931988737938738</v>
      </c>
      <c r="X62" s="30" t="str">
        <f>IF(NOT(ISNUMBER($L62)),"",mPlanoQC.PlanoQC($L62,"REGRAS"))</f>
        <v>1_3s / 2_2s / R_4s / 4_1s / 8x</v>
      </c>
      <c r="Y62" s="144">
        <f>IF(NOT(ISNUMBER($L62)),"",mPlanoQC.PlanoQC($L62,"N"))</f>
        <v>6</v>
      </c>
      <c r="Z62" s="142">
        <f>IF(NOT(ISNUMBER($L62)),"",mPlanoQC.PlanoQC($L62,"RUNSIZE"))</f>
        <v>45</v>
      </c>
      <c r="AA62" s="30" t="str">
        <f>IF(NOT(ISNUMBER($L62)),"",mPlanoQC.CoberturaWestgard($L62))</f>
        <v>TOTAL</v>
      </c>
      <c r="AB62" s="30" t="str">
        <f t="shared" si="15"/>
        <v>AST (TGO)|1</v>
      </c>
      <c r="AC62" s="144">
        <f>IF($A62="","",mCEQ.BiasEQ($A62,eqAnoEP,"N",eqProvedor,eqRodada))</f>
        <v>15</v>
      </c>
      <c r="AD62" s="144">
        <f>IF($A62="","",mCEQ.BiasEQ($A62,eqAnoEP,"NRODADAS",eqProvedor,eqRodada))</f>
        <v>3</v>
      </c>
    </row>
    <row r="63" spans="1:30" x14ac:dyDescent="0.3">
      <c r="A63" s="15" t="str">
        <f>Analitos!$A$28</f>
        <v>AST (TGO)</v>
      </c>
      <c r="B63" s="8">
        <v>2</v>
      </c>
      <c r="C63" s="22">
        <f>IF($A63="","",EstatPeriodo($A63,$B63,"N",Estat_Ini_Efetiva,Estat_Fim_Efetiva,Estat_Exclusoes,$H$4))</f>
        <v>110</v>
      </c>
      <c r="D63" s="122">
        <f>IF($A63="","",EstatPeriodo($A63,$B63,"MEDIA",Estat_Ini_Efetiva,Estat_Fim_Efetiva,Estat_Exclusoes,$H$4))</f>
        <v>217.01818181818183</v>
      </c>
      <c r="E63" s="122">
        <f>IF($A63="","",EstatPeriodo($A63,$B63,"DP",Estat_Ini_Efetiva,Estat_Fim_Efetiva,Estat_Exclusoes,$H$4))</f>
        <v>4.2361091247856653</v>
      </c>
      <c r="F63" s="85">
        <f>IF($A63="","",EstatPeriodo($A63,$B63,"CV",Estat_Ini_Efetiva,Estat_Fim_Efetiva,Estat_Exclusoes,$H$4))</f>
        <v>1.9519604713740917</v>
      </c>
      <c r="G63" s="85">
        <f>IF($A63="","",mCEQ.BiasEQ($A63,eqAnoEP,"ABS",eqProvedor,eqRodada))</f>
        <v>9.9434143970403657</v>
      </c>
      <c r="H63" s="85">
        <f t="shared" si="8"/>
        <v>13.164149174807617</v>
      </c>
      <c r="I63" s="85" t="str">
        <f>IF($A63="","",IFERROR(INDEX(espFonte,MATCH($A63,Analitos!$A$4:$A$43,0)),""))</f>
        <v>CLIA</v>
      </c>
      <c r="J63" s="85">
        <f>IF($A63="","",IFERROR(INDEX(cvtpOficial,MATCH($A63,Analitos!$A$4:$A$43,0)),""))</f>
        <v>6.666666666666667</v>
      </c>
      <c r="K63" s="85">
        <f>IF($A63="","",IFERROR(INDEX(etpOficial,MATCH($A63,Analitos!$A$4:$A$43,0)),""))</f>
        <v>20</v>
      </c>
      <c r="L63" s="85">
        <f t="shared" si="9"/>
        <v>5.152043676314948</v>
      </c>
      <c r="M63" s="85" t="str">
        <f>IF(NOT(ISNUMBER($L63)),"",mQualidade.ClassificarSigma($L63))</f>
        <v>Excelente</v>
      </c>
      <c r="N63" s="150">
        <f t="shared" si="10"/>
        <v>6.8358508251923826</v>
      </c>
      <c r="O63" s="151">
        <f t="shared" si="11"/>
        <v>34.179254125961911</v>
      </c>
      <c r="P63" s="30" t="str">
        <f>IF(NOT(ISNUMBER($O63)),"",mQualidade.ClassificarMargem($O63))</f>
        <v>Dentro do orcamento</v>
      </c>
      <c r="Q63" s="30" t="str">
        <f t="shared" si="12"/>
        <v>OK</v>
      </c>
      <c r="R63" s="30" t="str">
        <f>IF($A63="","",mCEQ.StatusSDIeq($A63,eqAnoEP,eqProvedor,eqRodada))</f>
        <v>FORA (|SDI| max 3,40 &gt; 2)</v>
      </c>
      <c r="S63" s="30" t="str">
        <f>IF($A63="","",mCEQ.StatusLimitesEQ($A63,eqAnoEP,eqProvedor,eqRodada))</f>
        <v>OK (15 dentro dos limites)</v>
      </c>
      <c r="T63" s="151">
        <f>IF($A63="","",mCEQ.BiasEQ($A63,eqAnoEP,"SIGNED",eqProvedor,eqRodada))</f>
        <v>9.9434143970403657</v>
      </c>
      <c r="U63" s="30" t="str">
        <f>IF(OR($P63="ETp excedido",$P63="Margem critica"),COUNTIF($P$14:$P63,"ETp excedido")+COUNTIF($P$14:$P63,"Margem critica"),"")</f>
        <v/>
      </c>
      <c r="V63" s="152">
        <f t="shared" si="13"/>
        <v>130.08081123488947</v>
      </c>
      <c r="W63" s="143">
        <f t="shared" si="14"/>
        <v>99.986991918876512</v>
      </c>
      <c r="X63" s="30" t="str">
        <f>IF(NOT(ISNUMBER($L63)),"",mPlanoQC.PlanoQC($L63,"REGRAS"))</f>
        <v>1_3s / 2_2s / R_4s</v>
      </c>
      <c r="Y63" s="144">
        <f>IF(NOT(ISNUMBER($L63)),"",mPlanoQC.PlanoQC($L63,"N"))</f>
        <v>2</v>
      </c>
      <c r="Z63" s="142">
        <f>IF(NOT(ISNUMBER($L63)),"",mPlanoQC.PlanoQC($L63,"RUNSIZE"))</f>
        <v>450</v>
      </c>
      <c r="AA63" s="30" t="str">
        <f>IF(NOT(ISNUMBER($L63)),"",mPlanoQC.CoberturaWestgard($L63))</f>
        <v>TOTAL</v>
      </c>
      <c r="AB63" s="30" t="str">
        <f t="shared" si="15"/>
        <v>AST (TGO)|2</v>
      </c>
      <c r="AC63" s="144">
        <f>IF($A63="","",mCEQ.BiasEQ($A63,eqAnoEP,"N",eqProvedor,eqRodada))</f>
        <v>15</v>
      </c>
      <c r="AD63" s="144">
        <f>IF($A63="","",mCEQ.BiasEQ($A63,eqAnoEP,"NRODADAS",eqProvedor,eqRodada))</f>
        <v>3</v>
      </c>
    </row>
    <row r="64" spans="1:30" x14ac:dyDescent="0.3">
      <c r="A64" s="15" t="str">
        <f>Analitos!$A$29</f>
        <v>ALT (TGP)</v>
      </c>
      <c r="B64" s="8">
        <v>1</v>
      </c>
      <c r="C64" s="22">
        <f>IF($A64="","",EstatPeriodo($A64,$B64,"N",Estat_Ini_Efetiva,Estat_Fim_Efetiva,Estat_Exclusoes,$H$4))</f>
        <v>110</v>
      </c>
      <c r="D64" s="122">
        <f>IF($A64="","",EstatPeriodo($A64,$B64,"MEDIA",Estat_Ini_Efetiva,Estat_Fim_Efetiva,Estat_Exclusoes,$H$4))</f>
        <v>29.7</v>
      </c>
      <c r="E64" s="122">
        <f>IF($A64="","",EstatPeriodo($A64,$B64,"DP",Estat_Ini_Efetiva,Estat_Fim_Efetiva,Estat_Exclusoes,$H$4))</f>
        <v>1.6229432997269138</v>
      </c>
      <c r="F64" s="85">
        <f>IF($A64="","",EstatPeriodo($A64,$B64,"CV",Estat_Ini_Efetiva,Estat_Fim_Efetiva,Estat_Exclusoes,$H$4))</f>
        <v>5.4644555546360731</v>
      </c>
      <c r="G64" s="85">
        <f>IF($A64="","",mCEQ.BiasEQ($A64,eqAnoEP,"ABS",eqProvedor,eqRodada))</f>
        <v>6.1851761666532754</v>
      </c>
      <c r="H64" s="85">
        <f t="shared" si="8"/>
        <v>15.201527831802796</v>
      </c>
      <c r="I64" s="85" t="str">
        <f>IF($A64="","",IFERROR(INDEX(espFonte,MATCH($A64,Analitos!$A$4:$A$43,0)),""))</f>
        <v>CLIA</v>
      </c>
      <c r="J64" s="85">
        <f>IF($A64="","",IFERROR(INDEX(cvtpOficial,MATCH($A64,Analitos!$A$4:$A$43,0)),""))</f>
        <v>6.666666666666667</v>
      </c>
      <c r="K64" s="85">
        <f>IF($A64="","",IFERROR(INDEX(etpOficial,MATCH($A64,Analitos!$A$4:$A$43,0)),""))</f>
        <v>20</v>
      </c>
      <c r="L64" s="85">
        <f t="shared" si="9"/>
        <v>2.52812447557125</v>
      </c>
      <c r="M64" s="85" t="str">
        <f>IF(NOT(ISNUMBER($L64)),"",mQualidade.ClassificarSigma($L64))</f>
        <v>Desempenho inadequado</v>
      </c>
      <c r="N64" s="150">
        <f t="shared" si="10"/>
        <v>4.798472168197204</v>
      </c>
      <c r="O64" s="151">
        <f t="shared" si="11"/>
        <v>23.99236084098602</v>
      </c>
      <c r="P64" s="30" t="str">
        <f>IF(NOT(ISNUMBER($O64)),"",mQualidade.ClassificarMargem($O64))</f>
        <v>Dentro do orcamento</v>
      </c>
      <c r="Q64" s="30" t="str">
        <f t="shared" si="12"/>
        <v>OK</v>
      </c>
      <c r="R64" s="30" t="str">
        <f>IF($A64="","",mCEQ.StatusSDIeq($A64,eqAnoEP,eqProvedor,eqRodada))</f>
        <v>FORA (|SDI| max 2,70 &gt; 2)</v>
      </c>
      <c r="S64" s="30" t="str">
        <f>IF($A64="","",mCEQ.StatusLimitesEQ($A64,eqAnoEP,eqProvedor,eqRodada))</f>
        <v>OK (15 dentro dos limites)</v>
      </c>
      <c r="T64" s="151">
        <f>IF($A64="","",mCEQ.BiasEQ($A64,eqAnoEP,"SIGNED",eqProvedor,eqRodada))</f>
        <v>-2.7170700585777183</v>
      </c>
      <c r="U64" s="30" t="str">
        <f>IF(OR($P64="ETp excedido",$P64="Margem critica"),COUNTIF($P$14:$P64,"ETp excedido")+COUNTIF($P$14:$P64,"Margem critica"),"")</f>
        <v/>
      </c>
      <c r="V64" s="152">
        <f t="shared" si="13"/>
        <v>151945.63939979556</v>
      </c>
      <c r="W64" s="143">
        <f t="shared" si="14"/>
        <v>84.80543606002044</v>
      </c>
      <c r="X64" s="30" t="str">
        <f>IF(NOT(ISNUMBER($L64)),"",mPlanoQC.PlanoQC($L64,"REGRAS"))</f>
        <v/>
      </c>
      <c r="Y64" s="144" t="str">
        <f>IF(NOT(ISNUMBER($L64)),"",mPlanoQC.PlanoQC($L64,"N"))</f>
        <v/>
      </c>
      <c r="Z64" s="142" t="str">
        <f>IF(NOT(ISNUMBER($L64)),"",mPlanoQC.PlanoQC($L64,"RUNSIZE"))</f>
        <v/>
      </c>
      <c r="AA64" s="30" t="str">
        <f>IF(NOT(ISNUMBER($L64)),"",mPlanoQC.CoberturaWestgard($L64))</f>
        <v>não aplicável</v>
      </c>
      <c r="AB64" s="30" t="str">
        <f t="shared" si="15"/>
        <v>ALT (TGP)|1</v>
      </c>
      <c r="AC64" s="144">
        <f>IF($A64="","",mCEQ.BiasEQ($A64,eqAnoEP,"N",eqProvedor,eqRodada))</f>
        <v>15</v>
      </c>
      <c r="AD64" s="144">
        <f>IF($A64="","",mCEQ.BiasEQ($A64,eqAnoEP,"NRODADAS",eqProvedor,eqRodada))</f>
        <v>3</v>
      </c>
    </row>
    <row r="65" spans="1:30" x14ac:dyDescent="0.3">
      <c r="A65" s="15" t="str">
        <f>Analitos!$A$29</f>
        <v>ALT (TGP)</v>
      </c>
      <c r="B65" s="8">
        <v>2</v>
      </c>
      <c r="C65" s="22">
        <f>IF($A65="","",EstatPeriodo($A65,$B65,"N",Estat_Ini_Efetiva,Estat_Fim_Efetiva,Estat_Exclusoes,$H$4))</f>
        <v>110</v>
      </c>
      <c r="D65" s="122">
        <f>IF($A65="","",EstatPeriodo($A65,$B65,"MEDIA",Estat_Ini_Efetiva,Estat_Fim_Efetiva,Estat_Exclusoes,$H$4))</f>
        <v>103.96363636363637</v>
      </c>
      <c r="E65" s="122">
        <f>IF($A65="","",EstatPeriodo($A65,$B65,"DP",Estat_Ini_Efetiva,Estat_Fim_Efetiva,Estat_Exclusoes,$H$4))</f>
        <v>2.7922805539992863</v>
      </c>
      <c r="F65" s="85">
        <f>IF($A65="","",EstatPeriodo($A65,$B65,"CV",Estat_Ini_Efetiva,Estat_Fim_Efetiva,Estat_Exclusoes,$H$4))</f>
        <v>2.6858242474634619</v>
      </c>
      <c r="G65" s="85">
        <f>IF($A65="","",mCEQ.BiasEQ($A65,eqAnoEP,"ABS",eqProvedor,eqRodada))</f>
        <v>6.1851761666532754</v>
      </c>
      <c r="H65" s="85">
        <f t="shared" si="8"/>
        <v>10.616786174967988</v>
      </c>
      <c r="I65" s="85" t="str">
        <f>IF($A65="","",IFERROR(INDEX(espFonte,MATCH($A65,Analitos!$A$4:$A$43,0)),""))</f>
        <v>CLIA</v>
      </c>
      <c r="J65" s="85">
        <f>IF($A65="","",IFERROR(INDEX(cvtpOficial,MATCH($A65,Analitos!$A$4:$A$43,0)),""))</f>
        <v>6.666666666666667</v>
      </c>
      <c r="K65" s="85">
        <f>IF($A65="","",IFERROR(INDEX(etpOficial,MATCH($A65,Analitos!$A$4:$A$43,0)),""))</f>
        <v>20</v>
      </c>
      <c r="L65" s="85">
        <f t="shared" si="9"/>
        <v>5.1436067890122299</v>
      </c>
      <c r="M65" s="85" t="str">
        <f>IF(NOT(ISNUMBER($L65)),"",mQualidade.ClassificarSigma($L65))</f>
        <v>Excelente</v>
      </c>
      <c r="N65" s="150">
        <f t="shared" si="10"/>
        <v>9.3832138250320121</v>
      </c>
      <c r="O65" s="151">
        <f t="shared" si="11"/>
        <v>46.916069125160057</v>
      </c>
      <c r="P65" s="30" t="str">
        <f>IF(NOT(ISNUMBER($O65)),"",mQualidade.ClassificarMargem($O65))</f>
        <v>Dentro do orcamento</v>
      </c>
      <c r="Q65" s="30" t="str">
        <f t="shared" si="12"/>
        <v>OK</v>
      </c>
      <c r="R65" s="30" t="str">
        <f>IF($A65="","",mCEQ.StatusSDIeq($A65,eqAnoEP,eqProvedor,eqRodada))</f>
        <v>FORA (|SDI| max 2,70 &gt; 2)</v>
      </c>
      <c r="S65" s="30" t="str">
        <f>IF($A65="","",mCEQ.StatusLimitesEQ($A65,eqAnoEP,eqProvedor,eqRodada))</f>
        <v>OK (15 dentro dos limites)</v>
      </c>
      <c r="T65" s="151">
        <f>IF($A65="","",mCEQ.BiasEQ($A65,eqAnoEP,"SIGNED",eqProvedor,eqRodada))</f>
        <v>-2.7170700585777183</v>
      </c>
      <c r="U65" s="30" t="str">
        <f>IF(OR($P65="ETp excedido",$P65="Margem critica"),COUNTIF($P$14:$P65,"ETp excedido")+COUNTIF($P$14:$P65,"Margem critica"),"")</f>
        <v/>
      </c>
      <c r="V65" s="152">
        <f t="shared" si="13"/>
        <v>134.42201736169056</v>
      </c>
      <c r="W65" s="143">
        <f t="shared" si="14"/>
        <v>99.986557798263831</v>
      </c>
      <c r="X65" s="30" t="str">
        <f>IF(NOT(ISNUMBER($L65)),"",mPlanoQC.PlanoQC($L65,"REGRAS"))</f>
        <v>1_3s / 2_2s / R_4s</v>
      </c>
      <c r="Y65" s="144">
        <f>IF(NOT(ISNUMBER($L65)),"",mPlanoQC.PlanoQC($L65,"N"))</f>
        <v>2</v>
      </c>
      <c r="Z65" s="142">
        <f>IF(NOT(ISNUMBER($L65)),"",mPlanoQC.PlanoQC($L65,"RUNSIZE"))</f>
        <v>450</v>
      </c>
      <c r="AA65" s="30" t="str">
        <f>IF(NOT(ISNUMBER($L65)),"",mPlanoQC.CoberturaWestgard($L65))</f>
        <v>TOTAL</v>
      </c>
      <c r="AB65" s="30" t="str">
        <f t="shared" si="15"/>
        <v>ALT (TGP)|2</v>
      </c>
      <c r="AC65" s="144">
        <f>IF($A65="","",mCEQ.BiasEQ($A65,eqAnoEP,"N",eqProvedor,eqRodada))</f>
        <v>15</v>
      </c>
      <c r="AD65" s="144">
        <f>IF($A65="","",mCEQ.BiasEQ($A65,eqAnoEP,"NRODADAS",eqProvedor,eqRodada))</f>
        <v>3</v>
      </c>
    </row>
    <row r="66" spans="1:30" x14ac:dyDescent="0.3">
      <c r="A66" s="15" t="str">
        <f>Analitos!$A$30</f>
        <v>Proteína C-reativa</v>
      </c>
      <c r="B66" s="8">
        <v>1</v>
      </c>
      <c r="C66" s="22">
        <f>IF($A66="","",EstatPeriodo($A66,$B66,"N",Estat_Ini_Efetiva,Estat_Fim_Efetiva,Estat_Exclusoes,$H$4))</f>
        <v>110</v>
      </c>
      <c r="D66" s="122">
        <f>IF($A66="","",EstatPeriodo($A66,$B66,"MEDIA",Estat_Ini_Efetiva,Estat_Fim_Efetiva,Estat_Exclusoes,$H$4))</f>
        <v>0.96872727272727266</v>
      </c>
      <c r="E66" s="122">
        <f>IF($A66="","",EstatPeriodo($A66,$B66,"DP",Estat_Ini_Efetiva,Estat_Fim_Efetiva,Estat_Exclusoes,$H$4))</f>
        <v>4.2601397464037023E-2</v>
      </c>
      <c r="F66" s="85">
        <f>IF($A66="","",EstatPeriodo($A66,$B66,"CV",Estat_Ini_Efetiva,Estat_Fim_Efetiva,Estat_Exclusoes,$H$4))</f>
        <v>4.397666780259077</v>
      </c>
      <c r="G66" s="85" t="str">
        <f>IF($A66="","",mCEQ.BiasEQ($A66,eqAnoEP,"ABS",eqProvedor,eqRodada))</f>
        <v>SEM EP</v>
      </c>
      <c r="H66" s="85" t="str">
        <f t="shared" si="8"/>
        <v/>
      </c>
      <c r="I66" s="85" t="str">
        <f>IF($A66="","",IFERROR(INDEX(espFonte,MATCH($A66,Analitos!$A$4:$A$43,0)),""))</f>
        <v>VB</v>
      </c>
      <c r="J66" s="85">
        <f>IF($A66="","",IFERROR(INDEX(cvtpOficial,MATCH($A66,Analitos!$A$4:$A$43,0)),""))</f>
        <v>0</v>
      </c>
      <c r="K66" s="85">
        <f>IF($A66="","",IFERROR(INDEX(etpOficial,MATCH($A66,Analitos!$A$4:$A$43,0)),""))</f>
        <v>0</v>
      </c>
      <c r="L66" s="85" t="str">
        <f t="shared" si="9"/>
        <v/>
      </c>
      <c r="M66" s="85" t="str">
        <f>IF(NOT(ISNUMBER($L66)),"",mQualidade.ClassificarSigma($L66))</f>
        <v/>
      </c>
      <c r="N66" s="150" t="str">
        <f t="shared" si="10"/>
        <v/>
      </c>
      <c r="O66" s="151" t="str">
        <f t="shared" si="11"/>
        <v/>
      </c>
      <c r="P66" s="30" t="str">
        <f>IF(NOT(ISNUMBER($O66)),"",mQualidade.ClassificarMargem($O66))</f>
        <v/>
      </c>
      <c r="Q66" s="30" t="str">
        <f t="shared" si="12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51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  <c r="V66" s="152" t="str">
        <f t="shared" si="13"/>
        <v/>
      </c>
      <c r="W66" s="143" t="str">
        <f t="shared" si="14"/>
        <v/>
      </c>
      <c r="X66" s="30" t="str">
        <f>IF(NOT(ISNUMBER($L66)),"",mPlanoQC.PlanoQC($L66,"REGRAS"))</f>
        <v/>
      </c>
      <c r="Y66" s="144" t="str">
        <f>IF(NOT(ISNUMBER($L66)),"",mPlanoQC.PlanoQC($L66,"N"))</f>
        <v/>
      </c>
      <c r="Z66" s="142" t="str">
        <f>IF(NOT(ISNUMBER($L66)),"",mPlanoQC.PlanoQC($L66,"RUNSIZE"))</f>
        <v/>
      </c>
      <c r="AA66" s="30" t="str">
        <f>IF(NOT(ISNUMBER($L66)),"",mPlanoQC.CoberturaWestgard($L66))</f>
        <v/>
      </c>
      <c r="AB66" s="30" t="str">
        <f t="shared" si="15"/>
        <v>Proteína C-reativa|1</v>
      </c>
      <c r="AC66" s="144" t="str">
        <f>IF($A66="","",mCEQ.BiasEQ($A66,eqAnoEP,"N",eqProvedor,eqRodada))</f>
        <v>SEM EP</v>
      </c>
      <c r="AD66" s="144" t="str">
        <f>IF($A66="","",mCEQ.BiasEQ($A66,eqAnoEP,"NRODADAS",eqProvedor,eqRodada))</f>
        <v>SEM EP</v>
      </c>
    </row>
    <row r="67" spans="1:30" x14ac:dyDescent="0.3">
      <c r="A67" s="15" t="str">
        <f>Analitos!$A$30</f>
        <v>Proteína C-reativa</v>
      </c>
      <c r="B67" s="8">
        <v>2</v>
      </c>
      <c r="C67" s="22">
        <f>IF($A67="","",EstatPeriodo($A67,$B67,"N",Estat_Ini_Efetiva,Estat_Fim_Efetiva,Estat_Exclusoes,$H$4))</f>
        <v>110</v>
      </c>
      <c r="D67" s="122">
        <f>IF($A67="","",EstatPeriodo($A67,$B67,"MEDIA",Estat_Ini_Efetiva,Estat_Fim_Efetiva,Estat_Exclusoes,$H$4))</f>
        <v>3.5632727272727278</v>
      </c>
      <c r="E67" s="122">
        <f>IF($A67="","",EstatPeriodo($A67,$B67,"DP",Estat_Ini_Efetiva,Estat_Fim_Efetiva,Estat_Exclusoes,$H$4))</f>
        <v>0.10419731714757265</v>
      </c>
      <c r="F67" s="85">
        <f>IF($A67="","",EstatPeriodo($A67,$B67,"CV",Estat_Ini_Efetiva,Estat_Fim_Efetiva,Estat_Exclusoes,$H$4))</f>
        <v>2.9242026957426752</v>
      </c>
      <c r="G67" s="85" t="str">
        <f>IF($A67="","",mCEQ.BiasEQ($A67,eqAnoEP,"ABS",eqProvedor,eqRodada))</f>
        <v>SEM EP</v>
      </c>
      <c r="H67" s="85" t="str">
        <f t="shared" si="8"/>
        <v/>
      </c>
      <c r="I67" s="85" t="str">
        <f>IF($A67="","",IFERROR(INDEX(espFonte,MATCH($A67,Analitos!$A$4:$A$43,0)),""))</f>
        <v>VB</v>
      </c>
      <c r="J67" s="85">
        <f>IF($A67="","",IFERROR(INDEX(cvtpOficial,MATCH($A67,Analitos!$A$4:$A$43,0)),""))</f>
        <v>0</v>
      </c>
      <c r="K67" s="85">
        <f>IF($A67="","",IFERROR(INDEX(etpOficial,MATCH($A67,Analitos!$A$4:$A$43,0)),""))</f>
        <v>0</v>
      </c>
      <c r="L67" s="85" t="str">
        <f t="shared" si="9"/>
        <v/>
      </c>
      <c r="M67" s="85" t="str">
        <f>IF(NOT(ISNUMBER($L67)),"",mQualidade.ClassificarSigma($L67))</f>
        <v/>
      </c>
      <c r="N67" s="150" t="str">
        <f t="shared" si="10"/>
        <v/>
      </c>
      <c r="O67" s="151" t="str">
        <f t="shared" si="11"/>
        <v/>
      </c>
      <c r="P67" s="30" t="str">
        <f>IF(NOT(ISNUMBER($O67)),"",mQualidade.ClassificarMargem($O67))</f>
        <v/>
      </c>
      <c r="Q67" s="30" t="str">
        <f t="shared" si="12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51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  <c r="V67" s="152" t="str">
        <f t="shared" si="13"/>
        <v/>
      </c>
      <c r="W67" s="143" t="str">
        <f t="shared" si="14"/>
        <v/>
      </c>
      <c r="X67" s="30" t="str">
        <f>IF(NOT(ISNUMBER($L67)),"",mPlanoQC.PlanoQC($L67,"REGRAS"))</f>
        <v/>
      </c>
      <c r="Y67" s="144" t="str">
        <f>IF(NOT(ISNUMBER($L67)),"",mPlanoQC.PlanoQC($L67,"N"))</f>
        <v/>
      </c>
      <c r="Z67" s="142" t="str">
        <f>IF(NOT(ISNUMBER($L67)),"",mPlanoQC.PlanoQC($L67,"RUNSIZE"))</f>
        <v/>
      </c>
      <c r="AA67" s="30" t="str">
        <f>IF(NOT(ISNUMBER($L67)),"",mPlanoQC.CoberturaWestgard($L67))</f>
        <v/>
      </c>
      <c r="AB67" s="30" t="str">
        <f t="shared" si="15"/>
        <v>Proteína C-reativa|2</v>
      </c>
      <c r="AC67" s="144" t="str">
        <f>IF($A67="","",mCEQ.BiasEQ($A67,eqAnoEP,"N",eqProvedor,eqRodada))</f>
        <v>SEM EP</v>
      </c>
      <c r="AD67" s="144" t="str">
        <f>IF($A67="","",mCEQ.BiasEQ($A67,eqAnoEP,"NRODADAS",eqProvedor,eqRodada))</f>
        <v>SEM EP</v>
      </c>
    </row>
    <row r="68" spans="1:30" x14ac:dyDescent="0.3">
      <c r="A68" s="15" t="str">
        <f>Analitos!$A$31</f>
        <v>Bicarbonato</v>
      </c>
      <c r="B68" s="8">
        <v>1</v>
      </c>
      <c r="C68" s="22">
        <f>IF($A68="","",EstatPeriodo($A68,$B68,"N",Estat_Ini_Efetiva,Estat_Fim_Efetiva,Estat_Exclusoes,$H$4))</f>
        <v>110</v>
      </c>
      <c r="D68" s="122">
        <f>IF($A68="","",EstatPeriodo($A68,$B68,"MEDIA",Estat_Ini_Efetiva,Estat_Fim_Efetiva,Estat_Exclusoes,$H$4))</f>
        <v>33.800909090909087</v>
      </c>
      <c r="E68" s="122">
        <f>IF($A68="","",EstatPeriodo($A68,$B68,"DP",Estat_Ini_Efetiva,Estat_Fim_Efetiva,Estat_Exclusoes,$H$4))</f>
        <v>3.2898368787688996</v>
      </c>
      <c r="F68" s="85">
        <f>IF($A68="","",EstatPeriodo($A68,$B68,"CV",Estat_Ini_Efetiva,Estat_Fim_Efetiva,Estat_Exclusoes,$H$4))</f>
        <v>9.7329834233769663</v>
      </c>
      <c r="G68" s="85">
        <f>IF($A68="","",mCEQ.BiasEQ($A68,eqAnoEP,"ABS",eqProvedor,eqRodada))</f>
        <v>16.838844489065483</v>
      </c>
      <c r="H68" s="85">
        <f t="shared" si="8"/>
        <v>32.898267137637475</v>
      </c>
      <c r="I68" s="85" t="str">
        <f>IF($A68="","",IFERROR(INDEX(espFonte,MATCH($A68,Analitos!$A$4:$A$43,0)),""))</f>
        <v>CLIA</v>
      </c>
      <c r="J68" s="85">
        <f>IF($A68="","",IFERROR(INDEX(cvtpOficial,MATCH($A68,Analitos!$A$4:$A$43,0)),""))</f>
        <v>6.666666666666667</v>
      </c>
      <c r="K68" s="85">
        <f>IF($A68="","",IFERROR(INDEX(etpOficial,MATCH($A68,Analitos!$A$4:$A$43,0)),""))</f>
        <v>20</v>
      </c>
      <c r="L68" s="85">
        <f t="shared" si="9"/>
        <v>0.32478792713670512</v>
      </c>
      <c r="M68" s="85" t="str">
        <f>IF(NOT(ISNUMBER($L68)),"",mQualidade.ClassificarSigma($L68))</f>
        <v>Desempenho inadequado</v>
      </c>
      <c r="N68" s="150">
        <f t="shared" si="10"/>
        <v>-12.898267137637475</v>
      </c>
      <c r="O68" s="151">
        <f t="shared" si="11"/>
        <v>-64.491335688187377</v>
      </c>
      <c r="P68" s="30" t="str">
        <f>IF(NOT(ISNUMBER($O68)),"",mQualidade.ClassificarMargem($O68))</f>
        <v>ETp excedido</v>
      </c>
      <c r="Q68" s="30" t="str">
        <f t="shared" si="12"/>
        <v>CV acima da meta</v>
      </c>
      <c r="R68" s="30" t="str">
        <f>IF($A68="","",mCEQ.StatusSDIeq($A68,eqAnoEP,eqProvedor,eqRodada))</f>
        <v>FORA (|SDI| max 7,00 &gt; 2)</v>
      </c>
      <c r="S68" s="30" t="str">
        <f>IF($A68="","",mCEQ.StatusLimitesEQ($A68,eqAnoEP,eqProvedor,eqRodada))</f>
        <v>NAO OK (5 fora dos limites)</v>
      </c>
      <c r="T68" s="151">
        <f>IF($A68="","",mCEQ.BiasEQ($A68,eqAnoEP,"SIGNED",eqProvedor,eqRodada))</f>
        <v>14.886662397358544</v>
      </c>
      <c r="U68" s="30">
        <f>IF(OR($P68="ETp excedido",$P68="Margem critica"),COUNTIF($P$14:$P68,"ETp excedido")+COUNTIF($P$14:$P68,"Margem critica"),"")</f>
        <v>8</v>
      </c>
      <c r="V68" s="152">
        <f t="shared" si="13"/>
        <v>880045.05931537261</v>
      </c>
      <c r="W68" s="143">
        <f t="shared" si="14"/>
        <v>11.995494068462738</v>
      </c>
      <c r="X68" s="30" t="str">
        <f>IF(NOT(ISNUMBER($L68)),"",mPlanoQC.PlanoQC($L68,"REGRAS"))</f>
        <v/>
      </c>
      <c r="Y68" s="144" t="str">
        <f>IF(NOT(ISNUMBER($L68)),"",mPlanoQC.PlanoQC($L68,"N"))</f>
        <v/>
      </c>
      <c r="Z68" s="142" t="str">
        <f>IF(NOT(ISNUMBER($L68)),"",mPlanoQC.PlanoQC($L68,"RUNSIZE"))</f>
        <v/>
      </c>
      <c r="AA68" s="30" t="str">
        <f>IF(NOT(ISNUMBER($L68)),"",mPlanoQC.CoberturaWestgard($L68))</f>
        <v>não aplicável</v>
      </c>
      <c r="AB68" s="30" t="str">
        <f t="shared" si="15"/>
        <v>Bicarbonato|1</v>
      </c>
      <c r="AC68" s="144">
        <f>IF($A68="","",mCEQ.BiasEQ($A68,eqAnoEP,"N",eqProvedor,eqRodada))</f>
        <v>15</v>
      </c>
      <c r="AD68" s="144">
        <f>IF($A68="","",mCEQ.BiasEQ($A68,eqAnoEP,"NRODADAS",eqProvedor,eqRodada))</f>
        <v>3</v>
      </c>
    </row>
    <row r="69" spans="1:30" x14ac:dyDescent="0.3">
      <c r="A69" s="15" t="str">
        <f>Analitos!$A$31</f>
        <v>Bicarbonato</v>
      </c>
      <c r="B69" s="8">
        <v>2</v>
      </c>
      <c r="C69" s="22">
        <f>IF($A69="","",EstatPeriodo($A69,$B69,"N",Estat_Ini_Efetiva,Estat_Fim_Efetiva,Estat_Exclusoes,$H$4))</f>
        <v>110</v>
      </c>
      <c r="D69" s="122">
        <f>IF($A69="","",EstatPeriodo($A69,$B69,"MEDIA",Estat_Ini_Efetiva,Estat_Fim_Efetiva,Estat_Exclusoes,$H$4))</f>
        <v>18.048818181818181</v>
      </c>
      <c r="E69" s="122">
        <f>IF($A69="","",EstatPeriodo($A69,$B69,"DP",Estat_Ini_Efetiva,Estat_Fim_Efetiva,Estat_Exclusoes,$H$4))</f>
        <v>2.5250138456585534</v>
      </c>
      <c r="F69" s="85">
        <f>IF($A69="","",EstatPeriodo($A69,$B69,"CV",Estat_Ini_Efetiva,Estat_Fim_Efetiva,Estat_Exclusoes,$H$4))</f>
        <v>13.989912360035705</v>
      </c>
      <c r="G69" s="85">
        <f>IF($A69="","",mCEQ.BiasEQ($A69,eqAnoEP,"ABS",eqProvedor,eqRodada))</f>
        <v>16.838844489065483</v>
      </c>
      <c r="H69" s="85">
        <f t="shared" si="8"/>
        <v>39.922199883124392</v>
      </c>
      <c r="I69" s="85" t="str">
        <f>IF($A69="","",IFERROR(INDEX(espFonte,MATCH($A69,Analitos!$A$4:$A$43,0)),""))</f>
        <v>CLIA</v>
      </c>
      <c r="J69" s="85">
        <f>IF($A69="","",IFERROR(INDEX(cvtpOficial,MATCH($A69,Analitos!$A$4:$A$43,0)),""))</f>
        <v>6.666666666666667</v>
      </c>
      <c r="K69" s="85">
        <f>IF($A69="","",IFERROR(INDEX(etpOficial,MATCH($A69,Analitos!$A$4:$A$43,0)),""))</f>
        <v>20</v>
      </c>
      <c r="L69" s="85">
        <f t="shared" si="9"/>
        <v>0.22595963645668249</v>
      </c>
      <c r="M69" s="85" t="str">
        <f>IF(NOT(ISNUMBER($L69)),"",mQualidade.ClassificarSigma($L69))</f>
        <v>Desempenho inadequado</v>
      </c>
      <c r="N69" s="150">
        <f t="shared" si="10"/>
        <v>-19.922199883124392</v>
      </c>
      <c r="O69" s="151">
        <f t="shared" si="11"/>
        <v>-99.610999415621961</v>
      </c>
      <c r="P69" s="30" t="str">
        <f>IF(NOT(ISNUMBER($O69)),"",mQualidade.ClassificarMargem($O69))</f>
        <v>ETp excedido</v>
      </c>
      <c r="Q69" s="30" t="str">
        <f t="shared" si="12"/>
        <v>CV acima da meta</v>
      </c>
      <c r="R69" s="30" t="str">
        <f>IF($A69="","",mCEQ.StatusSDIeq($A69,eqAnoEP,eqProvedor,eqRodada))</f>
        <v>FORA (|SDI| max 7,00 &gt; 2)</v>
      </c>
      <c r="S69" s="30" t="str">
        <f>IF($A69="","",mCEQ.StatusLimitesEQ($A69,eqAnoEP,eqProvedor,eqRodada))</f>
        <v>NAO OK (5 fora dos limites)</v>
      </c>
      <c r="T69" s="151">
        <f>IF($A69="","",mCEQ.BiasEQ($A69,eqAnoEP,"SIGNED",eqProvedor,eqRodada))</f>
        <v>14.886662397358544</v>
      </c>
      <c r="U69" s="30">
        <f>IF(OR($P69="ETp excedido",$P69="Margem critica"),COUNTIF($P$14:$P69,"ETp excedido")+COUNTIF($P$14:$P69,"Margem critica"),"")</f>
        <v>9</v>
      </c>
      <c r="V69" s="152">
        <f t="shared" si="13"/>
        <v>898675.44414806459</v>
      </c>
      <c r="W69" s="143">
        <f t="shared" si="14"/>
        <v>10.13245558519354</v>
      </c>
      <c r="X69" s="30" t="str">
        <f>IF(NOT(ISNUMBER($L69)),"",mPlanoQC.PlanoQC($L69,"REGRAS"))</f>
        <v/>
      </c>
      <c r="Y69" s="144" t="str">
        <f>IF(NOT(ISNUMBER($L69)),"",mPlanoQC.PlanoQC($L69,"N"))</f>
        <v/>
      </c>
      <c r="Z69" s="142" t="str">
        <f>IF(NOT(ISNUMBER($L69)),"",mPlanoQC.PlanoQC($L69,"RUNSIZE"))</f>
        <v/>
      </c>
      <c r="AA69" s="30" t="str">
        <f>IF(NOT(ISNUMBER($L69)),"",mPlanoQC.CoberturaWestgard($L69))</f>
        <v>não aplicável</v>
      </c>
      <c r="AB69" s="30" t="str">
        <f t="shared" si="15"/>
        <v>Bicarbonato|2</v>
      </c>
      <c r="AC69" s="144">
        <f>IF($A69="","",mCEQ.BiasEQ($A69,eqAnoEP,"N",eqProvedor,eqRodada))</f>
        <v>15</v>
      </c>
      <c r="AD69" s="144">
        <f>IF($A69="","",mCEQ.BiasEQ($A69,eqAnoEP,"NRODADAS",eqProvedor,eqRodada))</f>
        <v>3</v>
      </c>
    </row>
    <row r="70" spans="1:30" x14ac:dyDescent="0.3">
      <c r="A70" s="15" t="str">
        <f>Analitos!$A$32</f>
        <v>Sódio</v>
      </c>
      <c r="B70" s="8">
        <v>1</v>
      </c>
      <c r="C70" s="22">
        <f>IF($A70="","",EstatPeriodo($A70,$B70,"N",Estat_Ini_Efetiva,Estat_Fim_Efetiva,Estat_Exclusoes,$H$4))</f>
        <v>108</v>
      </c>
      <c r="D70" s="122">
        <f>IF($A70="","",EstatPeriodo($A70,$B70,"MEDIA",Estat_Ini_Efetiva,Estat_Fim_Efetiva,Estat_Exclusoes,$H$4))</f>
        <v>145.78703703703704</v>
      </c>
      <c r="E70" s="122">
        <f>IF($A70="","",EstatPeriodo($A70,$B70,"DP",Estat_Ini_Efetiva,Estat_Fim_Efetiva,Estat_Exclusoes,$H$4))</f>
        <v>2.0915983510622995</v>
      </c>
      <c r="F70" s="85">
        <f>IF($A70="","",EstatPeriodo($A70,$B70,"CV",Estat_Ini_Efetiva,Estat_Fim_Efetiva,Estat_Exclusoes,$H$4))</f>
        <v>1.4346943278166298</v>
      </c>
      <c r="G70" s="85">
        <f>IF($A70="","",mCEQ.BiasEQ($A70,eqAnoEP,"ABS",eqProvedor,eqRodada))</f>
        <v>2.1050729796406253</v>
      </c>
      <c r="H70" s="85">
        <f t="shared" si="8"/>
        <v>4.4723186205380649</v>
      </c>
      <c r="I70" s="85" t="str">
        <f>IF($A70="","",IFERROR(INDEX(espFonte,MATCH($A70,Analitos!$A$4:$A$43,0)),""))</f>
        <v>CLIA</v>
      </c>
      <c r="J70" s="85">
        <f>IF($A70="","",IFERROR(INDEX(cvtpOficial,MATCH($A70,Analitos!$A$4:$A$43,0)),""))</f>
        <v>1.3333333333333333</v>
      </c>
      <c r="K70" s="85">
        <f>IF($A70="","",IFERROR(INDEX(etpOficial,MATCH($A70,Analitos!$A$4:$A$43,0)),""))</f>
        <v>4</v>
      </c>
      <c r="L70" s="85">
        <f t="shared" si="9"/>
        <v>1.3207879780518432</v>
      </c>
      <c r="M70" s="85" t="str">
        <f>IF(NOT(ISNUMBER($L70)),"",mQualidade.ClassificarSigma($L70))</f>
        <v>Desempenho inadequado</v>
      </c>
      <c r="N70" s="150">
        <f t="shared" si="10"/>
        <v>-0.47231862053806495</v>
      </c>
      <c r="O70" s="151">
        <f t="shared" si="11"/>
        <v>-11.807965513451624</v>
      </c>
      <c r="P70" s="30" t="str">
        <f>IF(NOT(ISNUMBER($O70)),"",mQualidade.ClassificarMargem($O70))</f>
        <v>ETp excedido</v>
      </c>
      <c r="Q70" s="30" t="str">
        <f t="shared" si="12"/>
        <v>CV acima da meta</v>
      </c>
      <c r="R70" s="30" t="str">
        <f>IF($A70="","",mCEQ.StatusSDIeq($A70,eqAnoEP,eqProvedor,eqRodada))</f>
        <v>FORA (|SDI| max 3,10 &gt; 2)</v>
      </c>
      <c r="S70" s="30" t="str">
        <f>IF($A70="","",mCEQ.StatusLimitesEQ($A70,eqAnoEP,eqProvedor,eqRodada))</f>
        <v>NAO OK (3 fora dos limites)</v>
      </c>
      <c r="T70" s="151">
        <f>IF($A70="","",mCEQ.BiasEQ($A70,eqAnoEP,"SIGNED",eqProvedor,eqRodada))</f>
        <v>1.4420162665280014</v>
      </c>
      <c r="U70" s="30">
        <f>IF(OR($P70="ETp excedido",$P70="Margem critica"),COUNTIF($P$14:$P70,"ETp excedido")+COUNTIF($P$14:$P70,"Margem critica"),"")</f>
        <v>10</v>
      </c>
      <c r="V70" s="152">
        <f t="shared" si="13"/>
        <v>571114.38780313497</v>
      </c>
      <c r="W70" s="143">
        <f t="shared" si="14"/>
        <v>42.888561219686501</v>
      </c>
      <c r="X70" s="30" t="str">
        <f>IF(NOT(ISNUMBER($L70)),"",mPlanoQC.PlanoQC($L70,"REGRAS"))</f>
        <v/>
      </c>
      <c r="Y70" s="144" t="str">
        <f>IF(NOT(ISNUMBER($L70)),"",mPlanoQC.PlanoQC($L70,"N"))</f>
        <v/>
      </c>
      <c r="Z70" s="142" t="str">
        <f>IF(NOT(ISNUMBER($L70)),"",mPlanoQC.PlanoQC($L70,"RUNSIZE"))</f>
        <v/>
      </c>
      <c r="AA70" s="30" t="str">
        <f>IF(NOT(ISNUMBER($L70)),"",mPlanoQC.CoberturaWestgard($L70))</f>
        <v>não aplicável</v>
      </c>
      <c r="AB70" s="30" t="str">
        <f t="shared" si="15"/>
        <v>Sódio|1</v>
      </c>
      <c r="AC70" s="144">
        <f>IF($A70="","",mCEQ.BiasEQ($A70,eqAnoEP,"N",eqProvedor,eqRodada))</f>
        <v>15</v>
      </c>
      <c r="AD70" s="144">
        <f>IF($A70="","",mCEQ.BiasEQ($A70,eqAnoEP,"NRODADAS",eqProvedor,eqRodada))</f>
        <v>3</v>
      </c>
    </row>
    <row r="71" spans="1:30" x14ac:dyDescent="0.3">
      <c r="A71" s="15" t="str">
        <f>Analitos!$A$32</f>
        <v>Sódio</v>
      </c>
      <c r="B71" s="8">
        <v>2</v>
      </c>
      <c r="C71" s="22">
        <f>IF($A71="","",EstatPeriodo($A71,$B71,"N",Estat_Ini_Efetiva,Estat_Fim_Efetiva,Estat_Exclusoes,$H$4))</f>
        <v>108</v>
      </c>
      <c r="D71" s="122">
        <f>IF($A71="","",EstatPeriodo($A71,$B71,"MEDIA",Estat_Ini_Efetiva,Estat_Fim_Efetiva,Estat_Exclusoes,$H$4))</f>
        <v>126.71296296296296</v>
      </c>
      <c r="E71" s="122">
        <f>IF($A71="","",EstatPeriodo($A71,$B71,"DP",Estat_Ini_Efetiva,Estat_Fim_Efetiva,Estat_Exclusoes,$H$4))</f>
        <v>1.9240287071417168</v>
      </c>
      <c r="F71" s="85">
        <f>IF($A71="","",EstatPeriodo($A71,$B71,"CV",Estat_Ini_Efetiva,Estat_Fim_Efetiva,Estat_Exclusoes,$H$4))</f>
        <v>1.5184150556909419</v>
      </c>
      <c r="G71" s="85">
        <f>IF($A71="","",mCEQ.BiasEQ($A71,eqAnoEP,"ABS",eqProvedor,eqRodada))</f>
        <v>2.1050729796406253</v>
      </c>
      <c r="H71" s="85">
        <f t="shared" si="8"/>
        <v>4.6104578215306793</v>
      </c>
      <c r="I71" s="85" t="str">
        <f>IF($A71="","",IFERROR(INDEX(espFonte,MATCH($A71,Analitos!$A$4:$A$43,0)),""))</f>
        <v>CLIA</v>
      </c>
      <c r="J71" s="85">
        <f>IF($A71="","",IFERROR(INDEX(cvtpOficial,MATCH($A71,Analitos!$A$4:$A$43,0)),""))</f>
        <v>1.3333333333333333</v>
      </c>
      <c r="K71" s="85">
        <f>IF($A71="","",IFERROR(INDEX(etpOficial,MATCH($A71,Analitos!$A$4:$A$43,0)),""))</f>
        <v>4</v>
      </c>
      <c r="L71" s="85">
        <f t="shared" si="9"/>
        <v>1.2479637983417546</v>
      </c>
      <c r="M71" s="85" t="str">
        <f>IF(NOT(ISNUMBER($L71)),"",mQualidade.ClassificarSigma($L71))</f>
        <v>Desempenho inadequado</v>
      </c>
      <c r="N71" s="150">
        <f t="shared" si="10"/>
        <v>-0.61045782153067929</v>
      </c>
      <c r="O71" s="151">
        <f t="shared" si="11"/>
        <v>-15.261445538266983</v>
      </c>
      <c r="P71" s="30" t="str">
        <f>IF(NOT(ISNUMBER($O71)),"",mQualidade.ClassificarMargem($O71))</f>
        <v>ETp excedido</v>
      </c>
      <c r="Q71" s="30" t="str">
        <f t="shared" si="12"/>
        <v>CV acima da meta</v>
      </c>
      <c r="R71" s="30" t="str">
        <f>IF($A71="","",mCEQ.StatusSDIeq($A71,eqAnoEP,eqProvedor,eqRodada))</f>
        <v>FORA (|SDI| max 3,10 &gt; 2)</v>
      </c>
      <c r="S71" s="30" t="str">
        <f>IF($A71="","",mCEQ.StatusLimitesEQ($A71,eqAnoEP,eqProvedor,eqRodada))</f>
        <v>NAO OK (3 fora dos limites)</v>
      </c>
      <c r="T71" s="151">
        <f>IF($A71="","",mCEQ.BiasEQ($A71,eqAnoEP,"SIGNED",eqProvedor,eqRodada))</f>
        <v>1.4420162665280014</v>
      </c>
      <c r="U71" s="30">
        <f>IF(OR($P71="ETp excedido",$P71="Margem critica"),COUNTIF($P$14:$P71,"ETp excedido")+COUNTIF($P$14:$P71,"Margem critica"),"")</f>
        <v>11</v>
      </c>
      <c r="V71" s="152">
        <f t="shared" si="13"/>
        <v>599493.4590372768</v>
      </c>
      <c r="W71" s="143">
        <f t="shared" si="14"/>
        <v>40.050654096272318</v>
      </c>
      <c r="X71" s="30" t="str">
        <f>IF(NOT(ISNUMBER($L71)),"",mPlanoQC.PlanoQC($L71,"REGRAS"))</f>
        <v/>
      </c>
      <c r="Y71" s="144" t="str">
        <f>IF(NOT(ISNUMBER($L71)),"",mPlanoQC.PlanoQC($L71,"N"))</f>
        <v/>
      </c>
      <c r="Z71" s="142" t="str">
        <f>IF(NOT(ISNUMBER($L71)),"",mPlanoQC.PlanoQC($L71,"RUNSIZE"))</f>
        <v/>
      </c>
      <c r="AA71" s="30" t="str">
        <f>IF(NOT(ISNUMBER($L71)),"",mPlanoQC.CoberturaWestgard($L71))</f>
        <v>não aplicável</v>
      </c>
      <c r="AB71" s="30" t="str">
        <f t="shared" si="15"/>
        <v>Sódio|2</v>
      </c>
      <c r="AC71" s="144">
        <f>IF($A71="","",mCEQ.BiasEQ($A71,eqAnoEP,"N",eqProvedor,eqRodada))</f>
        <v>15</v>
      </c>
      <c r="AD71" s="144">
        <f>IF($A71="","",mCEQ.BiasEQ($A71,eqAnoEP,"NRODADAS",eqProvedor,eqRodada))</f>
        <v>3</v>
      </c>
    </row>
    <row r="72" spans="1:30" x14ac:dyDescent="0.3">
      <c r="A72" s="15" t="str">
        <f>Analitos!$A$33</f>
        <v>Potássio</v>
      </c>
      <c r="B72" s="8">
        <v>1</v>
      </c>
      <c r="C72" s="22">
        <f>IF($A72="","",EstatPeriodo($A72,$B72,"N",Estat_Ini_Efetiva,Estat_Fim_Efetiva,Estat_Exclusoes,$H$4))</f>
        <v>108</v>
      </c>
      <c r="D72" s="122">
        <f>IF($A72="","",EstatPeriodo($A72,$B72,"MEDIA",Estat_Ini_Efetiva,Estat_Fim_Efetiva,Estat_Exclusoes,$H$4))</f>
        <v>3.7750000000000004</v>
      </c>
      <c r="E72" s="122">
        <f>IF($A72="","",EstatPeriodo($A72,$B72,"DP",Estat_Ini_Efetiva,Estat_Fim_Efetiva,Estat_Exclusoes,$H$4))</f>
        <v>8.4416634760736312E-2</v>
      </c>
      <c r="F72" s="85">
        <f>IF($A72="","",EstatPeriodo($A72,$B72,"CV",Estat_Ini_Efetiva,Estat_Fim_Efetiva,Estat_Exclusoes,$H$4))</f>
        <v>2.2362022453175179</v>
      </c>
      <c r="G72" s="85">
        <f>IF($A72="","",mCEQ.BiasEQ($A72,eqAnoEP,"ABS",eqProvedor,eqRodada))</f>
        <v>2.5798366806888784</v>
      </c>
      <c r="H72" s="85">
        <f t="shared" si="8"/>
        <v>6.2695703854627833</v>
      </c>
      <c r="I72" s="85" t="str">
        <f>IF($A72="","",IFERROR(INDEX(espFonte,MATCH($A72,Analitos!$A$4:$A$43,0)),""))</f>
        <v>CLIA</v>
      </c>
      <c r="J72" s="85">
        <f>IF($A72="","",IFERROR(INDEX(cvtpOficial,MATCH($A72,Analitos!$A$4:$A$43,0)),""))</f>
        <v>2</v>
      </c>
      <c r="K72" s="85">
        <f>IF($A72="","",IFERROR(INDEX(etpOficial,MATCH($A72,Analitos!$A$4:$A$43,0)),""))</f>
        <v>6</v>
      </c>
      <c r="L72" s="85">
        <f t="shared" si="9"/>
        <v>1.5294516971677101</v>
      </c>
      <c r="M72" s="85" t="str">
        <f>IF(NOT(ISNUMBER($L72)),"",mQualidade.ClassificarSigma($L72))</f>
        <v>Desempenho inadequado</v>
      </c>
      <c r="N72" s="150">
        <f t="shared" si="10"/>
        <v>-0.26957038546278334</v>
      </c>
      <c r="O72" s="151">
        <f t="shared" si="11"/>
        <v>-4.492839757713055</v>
      </c>
      <c r="P72" s="30" t="str">
        <f>IF(NOT(ISNUMBER($O72)),"",mQualidade.ClassificarMargem($O72))</f>
        <v>ETp excedido</v>
      </c>
      <c r="Q72" s="30" t="str">
        <f t="shared" si="12"/>
        <v>CV acima da meta</v>
      </c>
      <c r="R72" s="30" t="str">
        <f>IF($A72="","",mCEQ.StatusSDIeq($A72,eqAnoEP,eqProvedor,eqRodada))</f>
        <v>FORA (|SDI| max 4,10 &gt; 2)</v>
      </c>
      <c r="S72" s="30" t="str">
        <f>IF($A72="","",mCEQ.StatusLimitesEQ($A72,eqAnoEP,eqProvedor,eqRodada))</f>
        <v>OK (15 dentro dos limites)</v>
      </c>
      <c r="T72" s="151">
        <f>IF($A72="","",mCEQ.BiasEQ($A72,eqAnoEP,"SIGNED",eqProvedor,eqRodada))</f>
        <v>-0.24276331066311033</v>
      </c>
      <c r="U72" s="30">
        <f>IF(OR($P72="ETp excedido",$P72="Margem critica"),COUNTIF($P$14:$P72,"ETp excedido")+COUNTIF($P$14:$P72,"Margem critica"),"")</f>
        <v>12</v>
      </c>
      <c r="V72" s="152">
        <f t="shared" si="13"/>
        <v>488252.17114405509</v>
      </c>
      <c r="W72" s="143">
        <f t="shared" si="14"/>
        <v>51.174782885594489</v>
      </c>
      <c r="X72" s="30" t="str">
        <f>IF(NOT(ISNUMBER($L72)),"",mPlanoQC.PlanoQC($L72,"REGRAS"))</f>
        <v/>
      </c>
      <c r="Y72" s="144" t="str">
        <f>IF(NOT(ISNUMBER($L72)),"",mPlanoQC.PlanoQC($L72,"N"))</f>
        <v/>
      </c>
      <c r="Z72" s="142" t="str">
        <f>IF(NOT(ISNUMBER($L72)),"",mPlanoQC.PlanoQC($L72,"RUNSIZE"))</f>
        <v/>
      </c>
      <c r="AA72" s="30" t="str">
        <f>IF(NOT(ISNUMBER($L72)),"",mPlanoQC.CoberturaWestgard($L72))</f>
        <v>não aplicável</v>
      </c>
      <c r="AB72" s="30" t="str">
        <f t="shared" si="15"/>
        <v>Potássio|1</v>
      </c>
      <c r="AC72" s="144">
        <f>IF($A72="","",mCEQ.BiasEQ($A72,eqAnoEP,"N",eqProvedor,eqRodada))</f>
        <v>15</v>
      </c>
      <c r="AD72" s="144">
        <f>IF($A72="","",mCEQ.BiasEQ($A72,eqAnoEP,"NRODADAS",eqProvedor,eqRodada))</f>
        <v>3</v>
      </c>
    </row>
    <row r="73" spans="1:30" x14ac:dyDescent="0.3">
      <c r="A73" s="15" t="str">
        <f>Analitos!$A$33</f>
        <v>Potássio</v>
      </c>
      <c r="B73" s="8">
        <v>2</v>
      </c>
      <c r="C73" s="22">
        <f>IF($A73="","",EstatPeriodo($A73,$B73,"N",Estat_Ini_Efetiva,Estat_Fim_Efetiva,Estat_Exclusoes,$H$4))</f>
        <v>108</v>
      </c>
      <c r="D73" s="122">
        <f>IF($A73="","",EstatPeriodo($A73,$B73,"MEDIA",Estat_Ini_Efetiva,Estat_Fim_Efetiva,Estat_Exclusoes,$H$4))</f>
        <v>6.4620370370370379</v>
      </c>
      <c r="E73" s="122">
        <f>IF($A73="","",EstatPeriodo($A73,$B73,"DP",Estat_Ini_Efetiva,Estat_Fim_Efetiva,Estat_Exclusoes,$H$4))</f>
        <v>0.11167174241808914</v>
      </c>
      <c r="F73" s="85">
        <f>IF($A73="","",EstatPeriodo($A73,$B73,"CV",Estat_Ini_Efetiva,Estat_Fim_Efetiva,Estat_Exclusoes,$H$4))</f>
        <v>1.7281198138921945</v>
      </c>
      <c r="G73" s="85">
        <f>IF($A73="","",mCEQ.BiasEQ($A73,eqAnoEP,"ABS",eqProvedor,eqRodada))</f>
        <v>2.5798366806888784</v>
      </c>
      <c r="H73" s="85">
        <f t="shared" si="8"/>
        <v>5.4312343736109998</v>
      </c>
      <c r="I73" s="85" t="str">
        <f>IF($A73="","",IFERROR(INDEX(espFonte,MATCH($A73,Analitos!$A$4:$A$43,0)),""))</f>
        <v>CLIA</v>
      </c>
      <c r="J73" s="85">
        <f>IF($A73="","",IFERROR(INDEX(cvtpOficial,MATCH($A73,Analitos!$A$4:$A$43,0)),""))</f>
        <v>2</v>
      </c>
      <c r="K73" s="85">
        <f>IF($A73="","",IFERROR(INDEX(etpOficial,MATCH($A73,Analitos!$A$4:$A$43,0)),""))</f>
        <v>6</v>
      </c>
      <c r="L73" s="85">
        <f t="shared" si="9"/>
        <v>1.9791239541475925</v>
      </c>
      <c r="M73" s="85" t="str">
        <f>IF(NOT(ISNUMBER($L73)),"",mQualidade.ClassificarSigma($L73))</f>
        <v>Desempenho inadequado</v>
      </c>
      <c r="N73" s="150">
        <f t="shared" si="10"/>
        <v>0.56876562638900019</v>
      </c>
      <c r="O73" s="151">
        <f t="shared" si="11"/>
        <v>9.4794271064833353</v>
      </c>
      <c r="P73" s="30" t="str">
        <f>IF(NOT(ISNUMBER($O73)),"",mQualidade.ClassificarMargem($O73))</f>
        <v>Margem critica</v>
      </c>
      <c r="Q73" s="30" t="str">
        <f t="shared" si="12"/>
        <v>OK</v>
      </c>
      <c r="R73" s="30" t="str">
        <f>IF($A73="","",mCEQ.StatusSDIeq($A73,eqAnoEP,eqProvedor,eqRodada))</f>
        <v>FORA (|SDI| max 4,10 &gt; 2)</v>
      </c>
      <c r="S73" s="30" t="str">
        <f>IF($A73="","",mCEQ.StatusLimitesEQ($A73,eqAnoEP,eqProvedor,eqRodada))</f>
        <v>OK (15 dentro dos limites)</v>
      </c>
      <c r="T73" s="151">
        <f>IF($A73="","",mCEQ.BiasEQ($A73,eqAnoEP,"SIGNED",eqProvedor,eqRodada))</f>
        <v>-0.24276331066311033</v>
      </c>
      <c r="U73" s="30">
        <f>IF(OR($P73="ETp excedido",$P73="Margem critica"),COUNTIF($P$14:$P73,"ETp excedido")+COUNTIF($P$14:$P73,"Margem critica"),"")</f>
        <v>13</v>
      </c>
      <c r="V73" s="152">
        <f t="shared" si="13"/>
        <v>315925.22476791043</v>
      </c>
      <c r="W73" s="143">
        <f t="shared" si="14"/>
        <v>68.407477523208954</v>
      </c>
      <c r="X73" s="30" t="str">
        <f>IF(NOT(ISNUMBER($L73)),"",mPlanoQC.PlanoQC($L73,"REGRAS"))</f>
        <v/>
      </c>
      <c r="Y73" s="144" t="str">
        <f>IF(NOT(ISNUMBER($L73)),"",mPlanoQC.PlanoQC($L73,"N"))</f>
        <v/>
      </c>
      <c r="Z73" s="142" t="str">
        <f>IF(NOT(ISNUMBER($L73)),"",mPlanoQC.PlanoQC($L73,"RUNSIZE"))</f>
        <v/>
      </c>
      <c r="AA73" s="30" t="str">
        <f>IF(NOT(ISNUMBER($L73)),"",mPlanoQC.CoberturaWestgard($L73))</f>
        <v>não aplicável</v>
      </c>
      <c r="AB73" s="30" t="str">
        <f t="shared" si="15"/>
        <v>Potássio|2</v>
      </c>
      <c r="AC73" s="144">
        <f>IF($A73="","",mCEQ.BiasEQ($A73,eqAnoEP,"N",eqProvedor,eqRodada))</f>
        <v>15</v>
      </c>
      <c r="AD73" s="144">
        <f>IF($A73="","",mCEQ.BiasEQ($A73,eqAnoEP,"NRODADAS",eqProvedor,eqRodada))</f>
        <v>3</v>
      </c>
    </row>
    <row r="74" spans="1:30" x14ac:dyDescent="0.3">
      <c r="A74" s="15" t="str">
        <f>Analitos!$A$34</f>
        <v>Cloro</v>
      </c>
      <c r="B74" s="8">
        <v>1</v>
      </c>
      <c r="C74" s="22">
        <f>IF($A74="","",EstatPeriodo($A74,$B74,"N",Estat_Ini_Efetiva,Estat_Fim_Efetiva,Estat_Exclusoes,$H$4))</f>
        <v>108</v>
      </c>
      <c r="D74" s="122">
        <f>IF($A74="","",EstatPeriodo($A74,$B74,"MEDIA",Estat_Ini_Efetiva,Estat_Fim_Efetiva,Estat_Exclusoes,$H$4))</f>
        <v>115.87037037037037</v>
      </c>
      <c r="E74" s="122">
        <f>IF($A74="","",EstatPeriodo($A74,$B74,"DP",Estat_Ini_Efetiva,Estat_Fim_Efetiva,Estat_Exclusoes,$H$4))</f>
        <v>3.6070869821864111</v>
      </c>
      <c r="F74" s="85">
        <f>IF($A74="","",EstatPeriodo($A74,$B74,"CV",Estat_Ini_Efetiva,Estat_Fim_Efetiva,Estat_Exclusoes,$H$4))</f>
        <v>3.1130365516711875</v>
      </c>
      <c r="G74" s="85">
        <f>IF($A74="","",mCEQ.BiasEQ($A74,eqAnoEP,"ABS",eqProvedor,eqRodada))</f>
        <v>3.5022905779565767</v>
      </c>
      <c r="H74" s="85">
        <f t="shared" si="8"/>
        <v>8.6388008882140355</v>
      </c>
      <c r="I74" s="85" t="str">
        <f>IF($A74="","",IFERROR(INDEX(espFonte,MATCH($A74,Analitos!$A$4:$A$43,0)),""))</f>
        <v>CLIA</v>
      </c>
      <c r="J74" s="85">
        <f>IF($A74="","",IFERROR(INDEX(cvtpOficial,MATCH($A74,Analitos!$A$4:$A$43,0)),""))</f>
        <v>1.6666666666666667</v>
      </c>
      <c r="K74" s="85">
        <f>IF($A74="","",IFERROR(INDEX(etpOficial,MATCH($A74,Analitos!$A$4:$A$43,0)),""))</f>
        <v>5</v>
      </c>
      <c r="L74" s="85">
        <f t="shared" si="9"/>
        <v>0.48110884571509455</v>
      </c>
      <c r="M74" s="85" t="str">
        <f>IF(NOT(ISNUMBER($L74)),"",mQualidade.ClassificarSigma($L74))</f>
        <v>Desempenho inadequado</v>
      </c>
      <c r="N74" s="150">
        <f t="shared" si="10"/>
        <v>-3.6388008882140355</v>
      </c>
      <c r="O74" s="151">
        <f t="shared" si="11"/>
        <v>-72.776017764280709</v>
      </c>
      <c r="P74" s="30" t="str">
        <f>IF(NOT(ISNUMBER($O74)),"",mQualidade.ClassificarMargem($O74))</f>
        <v>ETp excedido</v>
      </c>
      <c r="Q74" s="30" t="str">
        <f t="shared" si="12"/>
        <v>CV acima da meta</v>
      </c>
      <c r="R74" s="30" t="str">
        <f>IF($A74="","",mCEQ.StatusSDIeq($A74,eqAnoEP,eqProvedor,eqRodada))</f>
        <v>FORA (|SDI| max 5,40 &gt; 2)</v>
      </c>
      <c r="S74" s="30" t="str">
        <f>IF($A74="","",mCEQ.StatusLimitesEQ($A74,eqAnoEP,eqProvedor,eqRodada))</f>
        <v>NAO OK (2 fora dos limites)</v>
      </c>
      <c r="T74" s="151">
        <f>IF($A74="","",mCEQ.BiasEQ($A74,eqAnoEP,"SIGNED",eqProvedor,eqRodada))</f>
        <v>3.094176465889181</v>
      </c>
      <c r="U74" s="30">
        <f>IF(OR($P74="ETp excedido",$P74="Margem critica"),COUNTIF($P$14:$P74,"ETp excedido")+COUNTIF($P$14:$P74,"Margem critica"),"")</f>
        <v>14</v>
      </c>
      <c r="V74" s="152">
        <f t="shared" si="13"/>
        <v>845872.67817910993</v>
      </c>
      <c r="W74" s="143">
        <f t="shared" si="14"/>
        <v>15.412732182089007</v>
      </c>
      <c r="X74" s="30" t="str">
        <f>IF(NOT(ISNUMBER($L74)),"",mPlanoQC.PlanoQC($L74,"REGRAS"))</f>
        <v/>
      </c>
      <c r="Y74" s="144" t="str">
        <f>IF(NOT(ISNUMBER($L74)),"",mPlanoQC.PlanoQC($L74,"N"))</f>
        <v/>
      </c>
      <c r="Z74" s="142" t="str">
        <f>IF(NOT(ISNUMBER($L74)),"",mPlanoQC.PlanoQC($L74,"RUNSIZE"))</f>
        <v/>
      </c>
      <c r="AA74" s="30" t="str">
        <f>IF(NOT(ISNUMBER($L74)),"",mPlanoQC.CoberturaWestgard($L74))</f>
        <v>não aplicável</v>
      </c>
      <c r="AB74" s="30" t="str">
        <f t="shared" si="15"/>
        <v>Cloro|1</v>
      </c>
      <c r="AC74" s="144">
        <f>IF($A74="","",mCEQ.BiasEQ($A74,eqAnoEP,"N",eqProvedor,eqRodada))</f>
        <v>15</v>
      </c>
      <c r="AD74" s="144">
        <f>IF($A74="","",mCEQ.BiasEQ($A74,eqAnoEP,"NRODADAS",eqProvedor,eqRodada))</f>
        <v>3</v>
      </c>
    </row>
    <row r="75" spans="1:30" x14ac:dyDescent="0.3">
      <c r="A75" s="15" t="str">
        <f>Analitos!$A$34</f>
        <v>Cloro</v>
      </c>
      <c r="B75" s="8">
        <v>2</v>
      </c>
      <c r="C75" s="22">
        <f>IF($A75="","",EstatPeriodo($A75,$B75,"N",Estat_Ini_Efetiva,Estat_Fim_Efetiva,Estat_Exclusoes,$H$4))</f>
        <v>108</v>
      </c>
      <c r="D75" s="122">
        <f>IF($A75="","",EstatPeriodo($A75,$B75,"MEDIA",Estat_Ini_Efetiva,Estat_Fim_Efetiva,Estat_Exclusoes,$H$4))</f>
        <v>93.777777777777771</v>
      </c>
      <c r="E75" s="122">
        <f>IF($A75="","",EstatPeriodo($A75,$B75,"DP",Estat_Ini_Efetiva,Estat_Fim_Efetiva,Estat_Exclusoes,$H$4))</f>
        <v>3.1454858125392859</v>
      </c>
      <c r="F75" s="85">
        <f>IF($A75="","",EstatPeriodo($A75,$B75,"CV",Estat_Ini_Efetiva,Estat_Fim_Efetiva,Estat_Exclusoes,$H$4))</f>
        <v>3.3541910323286226</v>
      </c>
      <c r="G75" s="85">
        <f>IF($A75="","",mCEQ.BiasEQ($A75,eqAnoEP,"ABS",eqProvedor,eqRodada))</f>
        <v>3.5022905779565767</v>
      </c>
      <c r="H75" s="85">
        <f t="shared" si="8"/>
        <v>9.036705781298803</v>
      </c>
      <c r="I75" s="85" t="str">
        <f>IF($A75="","",IFERROR(INDEX(espFonte,MATCH($A75,Analitos!$A$4:$A$43,0)),""))</f>
        <v>CLIA</v>
      </c>
      <c r="J75" s="85">
        <f>IF($A75="","",IFERROR(INDEX(cvtpOficial,MATCH($A75,Analitos!$A$4:$A$43,0)),""))</f>
        <v>1.6666666666666667</v>
      </c>
      <c r="K75" s="85">
        <f>IF($A75="","",IFERROR(INDEX(etpOficial,MATCH($A75,Analitos!$A$4:$A$43,0)),""))</f>
        <v>5</v>
      </c>
      <c r="L75" s="85">
        <f t="shared" si="9"/>
        <v>0.44651882006960392</v>
      </c>
      <c r="M75" s="85" t="str">
        <f>IF(NOT(ISNUMBER($L75)),"",mQualidade.ClassificarSigma($L75))</f>
        <v>Desempenho inadequado</v>
      </c>
      <c r="N75" s="150">
        <f t="shared" si="10"/>
        <v>-4.036705781298803</v>
      </c>
      <c r="O75" s="151">
        <f t="shared" si="11"/>
        <v>-80.73411562597606</v>
      </c>
      <c r="P75" s="30" t="str">
        <f>IF(NOT(ISNUMBER($O75)),"",mQualidade.ClassificarMargem($O75))</f>
        <v>ETp excedido</v>
      </c>
      <c r="Q75" s="30" t="str">
        <f t="shared" si="12"/>
        <v>CV acima da meta</v>
      </c>
      <c r="R75" s="30" t="str">
        <f>IF($A75="","",mCEQ.StatusSDIeq($A75,eqAnoEP,eqProvedor,eqRodada))</f>
        <v>FORA (|SDI| max 5,40 &gt; 2)</v>
      </c>
      <c r="S75" s="30" t="str">
        <f>IF($A75="","",mCEQ.StatusLimitesEQ($A75,eqAnoEP,eqProvedor,eqRodada))</f>
        <v>NAO OK (2 fora dos limites)</v>
      </c>
      <c r="T75" s="151">
        <f>IF($A75="","",mCEQ.BiasEQ($A75,eqAnoEP,"SIGNED",eqProvedor,eqRodada))</f>
        <v>3.094176465889181</v>
      </c>
      <c r="U75" s="30">
        <f>IF(OR($P75="ETp excedido",$P75="Margem critica"),COUNTIF($P$14:$P75,"ETp excedido")+COUNTIF($P$14:$P75,"Margem critica"),"")</f>
        <v>15</v>
      </c>
      <c r="V75" s="152">
        <f t="shared" si="13"/>
        <v>853939.74231433379</v>
      </c>
      <c r="W75" s="143">
        <f t="shared" si="14"/>
        <v>14.606025768566621</v>
      </c>
      <c r="X75" s="30" t="str">
        <f>IF(NOT(ISNUMBER($L75)),"",mPlanoQC.PlanoQC($L75,"REGRAS"))</f>
        <v/>
      </c>
      <c r="Y75" s="144" t="str">
        <f>IF(NOT(ISNUMBER($L75)),"",mPlanoQC.PlanoQC($L75,"N"))</f>
        <v/>
      </c>
      <c r="Z75" s="142" t="str">
        <f>IF(NOT(ISNUMBER($L75)),"",mPlanoQC.PlanoQC($L75,"RUNSIZE"))</f>
        <v/>
      </c>
      <c r="AA75" s="30" t="str">
        <f>IF(NOT(ISNUMBER($L75)),"",mPlanoQC.CoberturaWestgard($L75))</f>
        <v>não aplicável</v>
      </c>
      <c r="AB75" s="30" t="str">
        <f t="shared" si="15"/>
        <v>Cloro|2</v>
      </c>
      <c r="AC75" s="144">
        <f>IF($A75="","",mCEQ.BiasEQ($A75,eqAnoEP,"N",eqProvedor,eqRodada))</f>
        <v>15</v>
      </c>
      <c r="AD75" s="144">
        <f>IF($A75="","",mCEQ.BiasEQ($A75,eqAnoEP,"NRODADAS",eqProvedor,eqRodada))</f>
        <v>3</v>
      </c>
    </row>
    <row r="76" spans="1:30" x14ac:dyDescent="0.3">
      <c r="A76" s="15">
        <f>Analitos!$A$35</f>
        <v>0</v>
      </c>
      <c r="B76" s="8">
        <v>1</v>
      </c>
      <c r="C76" s="22">
        <f>IF($A76="","",EstatPeriodo($A76,$B76,"N",Estat_Ini_Efetiva,Estat_Fim_Efetiva,Estat_Exclusoes,$H$4))</f>
        <v>0</v>
      </c>
      <c r="D76" s="122" t="str">
        <f>IF($A76="","",EstatPeriodo($A76,$B76,"MEDIA",Estat_Ini_Efetiva,Estat_Fim_Efetiva,Estat_Exclusoes,$H$4))</f>
        <v/>
      </c>
      <c r="E76" s="122" t="str">
        <f>IF($A76="","",EstatPeriodo($A76,$B76,"DP",Estat_Ini_Efetiva,Estat_Fim_Efetiva,Estat_Exclusoes,$H$4))</f>
        <v/>
      </c>
      <c r="F76" s="85" t="str">
        <f>IF($A76="","",EstatPeriodo($A76,$B76,"CV",Estat_Ini_Efetiva,Estat_Fim_Efetiva,Estat_Exclusoes,$H$4))</f>
        <v/>
      </c>
      <c r="G76" s="85" t="str">
        <f>IF($A76="","",mCEQ.BiasEQ($A76,eqAnoEP,"ABS",eqProvedor,eqRodada))</f>
        <v>SEM EP</v>
      </c>
      <c r="H76" s="85" t="str">
        <f t="shared" si="8"/>
        <v/>
      </c>
      <c r="I76" s="85" t="str">
        <f>IF($A76="","",IFERROR(INDEX(espFonte,MATCH($A76,Analitos!$A$4:$A$43,0)),""))</f>
        <v/>
      </c>
      <c r="J76" s="85" t="str">
        <f>IF($A76="","",IFERROR(INDEX(cvtpOficial,MATCH($A76,Analitos!$A$4:$A$43,0)),""))</f>
        <v/>
      </c>
      <c r="K76" s="85" t="str">
        <f>IF($A76="","",IFERROR(INDEX(etpOficial,MATCH($A76,Analitos!$A$4:$A$43,0)),""))</f>
        <v/>
      </c>
      <c r="L76" s="85" t="str">
        <f t="shared" si="9"/>
        <v/>
      </c>
      <c r="M76" s="85" t="str">
        <f>IF(NOT(ISNUMBER($L76)),"",mQualidade.ClassificarSigma($L76))</f>
        <v/>
      </c>
      <c r="N76" s="150" t="str">
        <f t="shared" si="10"/>
        <v/>
      </c>
      <c r="O76" s="151" t="str">
        <f t="shared" si="11"/>
        <v/>
      </c>
      <c r="P76" s="30" t="str">
        <f>IF(NOT(ISNUMBER($O76)),"",mQualidade.ClassificarMargem($O76))</f>
        <v/>
      </c>
      <c r="Q76" s="30" t="str">
        <f t="shared" si="12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51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  <c r="V76" s="152" t="str">
        <f t="shared" si="13"/>
        <v/>
      </c>
      <c r="W76" s="143" t="str">
        <f t="shared" si="14"/>
        <v/>
      </c>
      <c r="X76" s="30" t="str">
        <f>IF(NOT(ISNUMBER($L76)),"",mPlanoQC.PlanoQC($L76,"REGRAS"))</f>
        <v/>
      </c>
      <c r="Y76" s="144" t="str">
        <f>IF(NOT(ISNUMBER($L76)),"",mPlanoQC.PlanoQC($L76,"N"))</f>
        <v/>
      </c>
      <c r="Z76" s="142" t="str">
        <f>IF(NOT(ISNUMBER($L76)),"",mPlanoQC.PlanoQC($L76,"RUNSIZE"))</f>
        <v/>
      </c>
      <c r="AA76" s="30" t="str">
        <f>IF(NOT(ISNUMBER($L76)),"",mPlanoQC.CoberturaWestgard($L76))</f>
        <v/>
      </c>
      <c r="AB76" s="30" t="str">
        <f t="shared" si="15"/>
        <v>0|1</v>
      </c>
      <c r="AC76" s="144" t="str">
        <f>IF($A76="","",mCEQ.BiasEQ($A76,eqAnoEP,"N",eqProvedor,eqRodada))</f>
        <v>SEM EP</v>
      </c>
      <c r="AD76" s="144" t="str">
        <f>IF($A76="","",mCEQ.BiasEQ($A76,eqAnoEP,"NRODADAS",eqProvedor,eqRodada))</f>
        <v>SEM EP</v>
      </c>
    </row>
    <row r="77" spans="1:30" x14ac:dyDescent="0.3">
      <c r="A77" s="15">
        <f>Analitos!$A$35</f>
        <v>0</v>
      </c>
      <c r="B77" s="8">
        <v>2</v>
      </c>
      <c r="C77" s="22">
        <f>IF($A77="","",EstatPeriodo($A77,$B77,"N",Estat_Ini_Efetiva,Estat_Fim_Efetiva,Estat_Exclusoes,$H$4))</f>
        <v>0</v>
      </c>
      <c r="D77" s="122" t="str">
        <f>IF($A77="","",EstatPeriodo($A77,$B77,"MEDIA",Estat_Ini_Efetiva,Estat_Fim_Efetiva,Estat_Exclusoes,$H$4))</f>
        <v/>
      </c>
      <c r="E77" s="122" t="str">
        <f>IF($A77="","",EstatPeriodo($A77,$B77,"DP",Estat_Ini_Efetiva,Estat_Fim_Efetiva,Estat_Exclusoes,$H$4))</f>
        <v/>
      </c>
      <c r="F77" s="85" t="str">
        <f>IF($A77="","",EstatPeriodo($A77,$B77,"CV",Estat_Ini_Efetiva,Estat_Fim_Efetiva,Estat_Exclusoes,$H$4))</f>
        <v/>
      </c>
      <c r="G77" s="85" t="str">
        <f>IF($A77="","",mCEQ.BiasEQ($A77,eqAnoEP,"ABS",eqProvedor,eqRodada))</f>
        <v>SEM EP</v>
      </c>
      <c r="H77" s="85" t="str">
        <f t="shared" si="8"/>
        <v/>
      </c>
      <c r="I77" s="85" t="str">
        <f>IF($A77="","",IFERROR(INDEX(espFonte,MATCH($A77,Analitos!$A$4:$A$43,0)),""))</f>
        <v/>
      </c>
      <c r="J77" s="85" t="str">
        <f>IF($A77="","",IFERROR(INDEX(cvtpOficial,MATCH($A77,Analitos!$A$4:$A$43,0)),""))</f>
        <v/>
      </c>
      <c r="K77" s="85" t="str">
        <f>IF($A77="","",IFERROR(INDEX(etpOficial,MATCH($A77,Analitos!$A$4:$A$43,0)),""))</f>
        <v/>
      </c>
      <c r="L77" s="85" t="str">
        <f t="shared" si="9"/>
        <v/>
      </c>
      <c r="M77" s="85" t="str">
        <f>IF(NOT(ISNUMBER($L77)),"",mQualidade.ClassificarSigma($L77))</f>
        <v/>
      </c>
      <c r="N77" s="150" t="str">
        <f t="shared" si="10"/>
        <v/>
      </c>
      <c r="O77" s="151" t="str">
        <f t="shared" si="11"/>
        <v/>
      </c>
      <c r="P77" s="30" t="str">
        <f>IF(NOT(ISNUMBER($O77)),"",mQualidade.ClassificarMargem($O77))</f>
        <v/>
      </c>
      <c r="Q77" s="30" t="str">
        <f t="shared" si="12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51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  <c r="V77" s="152" t="str">
        <f t="shared" si="13"/>
        <v/>
      </c>
      <c r="W77" s="143" t="str">
        <f t="shared" si="14"/>
        <v/>
      </c>
      <c r="X77" s="30" t="str">
        <f>IF(NOT(ISNUMBER($L77)),"",mPlanoQC.PlanoQC($L77,"REGRAS"))</f>
        <v/>
      </c>
      <c r="Y77" s="144" t="str">
        <f>IF(NOT(ISNUMBER($L77)),"",mPlanoQC.PlanoQC($L77,"N"))</f>
        <v/>
      </c>
      <c r="Z77" s="142" t="str">
        <f>IF(NOT(ISNUMBER($L77)),"",mPlanoQC.PlanoQC($L77,"RUNSIZE"))</f>
        <v/>
      </c>
      <c r="AA77" s="30" t="str">
        <f>IF(NOT(ISNUMBER($L77)),"",mPlanoQC.CoberturaWestgard($L77))</f>
        <v/>
      </c>
      <c r="AB77" s="30" t="str">
        <f t="shared" si="15"/>
        <v>0|2</v>
      </c>
      <c r="AC77" s="144" t="str">
        <f>IF($A77="","",mCEQ.BiasEQ($A77,eqAnoEP,"N",eqProvedor,eqRodada))</f>
        <v>SEM EP</v>
      </c>
      <c r="AD77" s="144" t="str">
        <f>IF($A77="","",mCEQ.BiasEQ($A77,eqAnoEP,"NRODADAS",eqProvedor,eqRodada))</f>
        <v>SEM EP</v>
      </c>
    </row>
    <row r="78" spans="1:30" x14ac:dyDescent="0.3">
      <c r="A78" s="15">
        <f>Analitos!$A$36</f>
        <v>0</v>
      </c>
      <c r="B78" s="8">
        <v>1</v>
      </c>
      <c r="C78" s="22">
        <f>IF($A78="","",EstatPeriodo($A78,$B78,"N",Estat_Ini_Efetiva,Estat_Fim_Efetiva,Estat_Exclusoes,$H$4))</f>
        <v>0</v>
      </c>
      <c r="D78" s="122" t="str">
        <f>IF($A78="","",EstatPeriodo($A78,$B78,"MEDIA",Estat_Ini_Efetiva,Estat_Fim_Efetiva,Estat_Exclusoes,$H$4))</f>
        <v/>
      </c>
      <c r="E78" s="122" t="str">
        <f>IF($A78="","",EstatPeriodo($A78,$B78,"DP",Estat_Ini_Efetiva,Estat_Fim_Efetiva,Estat_Exclusoes,$H$4))</f>
        <v/>
      </c>
      <c r="F78" s="85" t="str">
        <f>IF($A78="","",EstatPeriodo($A78,$B78,"CV",Estat_Ini_Efetiva,Estat_Fim_Efetiva,Estat_Exclusoes,$H$4))</f>
        <v/>
      </c>
      <c r="G78" s="85" t="str">
        <f>IF($A78="","",mCEQ.BiasEQ($A78,eqAnoEP,"ABS",eqProvedor,eqRodada))</f>
        <v>SEM EP</v>
      </c>
      <c r="H78" s="85" t="str">
        <f t="shared" ref="H78:H93" si="16">IF(OR(NOT(ISNUMBER($F78)),NOT(ISNUMBER($G78))),"",1.65*$F78+ABS($G78))</f>
        <v/>
      </c>
      <c r="I78" s="85" t="str">
        <f>IF($A78="","",IFERROR(INDEX(espFonte,MATCH($A78,Analitos!$A$4:$A$43,0)),""))</f>
        <v/>
      </c>
      <c r="J78" s="85" t="str">
        <f>IF($A78="","",IFERROR(INDEX(cvtpOficial,MATCH($A78,Analitos!$A$4:$A$43,0)),""))</f>
        <v/>
      </c>
      <c r="K78" s="85" t="str">
        <f>IF($A78="","",IFERROR(INDEX(etpOficial,MATCH($A78,Analitos!$A$4:$A$43,0)),""))</f>
        <v/>
      </c>
      <c r="L78" s="85" t="str">
        <f t="shared" ref="L78:L93" si="17">IF(OR(NOT(ISNUMBER($F78)),$F78=0,NOT(ISNUMBER($G78)),NOT(ISNUMBER($K78))),"",($K78-ABS($G78))/$F78)</f>
        <v/>
      </c>
      <c r="M78" s="85" t="str">
        <f>IF(NOT(ISNUMBER($L78)),"",mQualidade.ClassificarSigma($L78))</f>
        <v/>
      </c>
      <c r="N78" s="150" t="str">
        <f t="shared" ref="N78:N93" si="18">IF(OR(NOT(ISNUMBER($K78)),NOT(ISNUMBER($H78))),"",$K78-$H78)</f>
        <v/>
      </c>
      <c r="O78" s="151" t="str">
        <f t="shared" ref="O78:O93" si="19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20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51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  <c r="V78" s="152" t="str">
        <f t="shared" ref="V78:V93" si="21">IF(NOT(ISNUMBER($L78)),"",mPlanoQC.DPMdoSigma($L78))</f>
        <v/>
      </c>
      <c r="W78" s="143" t="str">
        <f t="shared" ref="W78:W93" si="22">IF(NOT(ISNUMBER($L78)),"",mPlanoQC.RendimentoDoSigma($L78))</f>
        <v/>
      </c>
      <c r="X78" s="30" t="str">
        <f>IF(NOT(ISNUMBER($L78)),"",mPlanoQC.PlanoQC($L78,"REGRAS"))</f>
        <v/>
      </c>
      <c r="Y78" s="144" t="str">
        <f>IF(NOT(ISNUMBER($L78)),"",mPlanoQC.PlanoQC($L78,"N"))</f>
        <v/>
      </c>
      <c r="Z78" s="142" t="str">
        <f>IF(NOT(ISNUMBER($L78)),"",mPlanoQC.PlanoQC($L78,"RUNSIZE"))</f>
        <v/>
      </c>
      <c r="AA78" s="30" t="str">
        <f>IF(NOT(ISNUMBER($L78)),"",mPlanoQC.CoberturaWestgard($L78))</f>
        <v/>
      </c>
      <c r="AB78" s="30" t="str">
        <f t="shared" ref="AB78:AB93" si="23">IF($A78="","",$A78&amp;"|"&amp;$B78)</f>
        <v>0|1</v>
      </c>
      <c r="AC78" s="144" t="str">
        <f>IF($A78="","",mCEQ.BiasEQ($A78,eqAnoEP,"N",eqProvedor,eqRodada))</f>
        <v>SEM EP</v>
      </c>
      <c r="AD78" s="144" t="str">
        <f>IF($A78="","",mCEQ.BiasEQ($A78,eqAnoEP,"NRODADAS",eqProvedor,eqRodada))</f>
        <v>SEM EP</v>
      </c>
    </row>
    <row r="79" spans="1:30" x14ac:dyDescent="0.3">
      <c r="A79" s="15">
        <f>Analitos!$A$36</f>
        <v>0</v>
      </c>
      <c r="B79" s="8">
        <v>2</v>
      </c>
      <c r="C79" s="22">
        <f>IF($A79="","",EstatPeriodo($A79,$B79,"N",Estat_Ini_Efetiva,Estat_Fim_Efetiva,Estat_Exclusoes,$H$4))</f>
        <v>0</v>
      </c>
      <c r="D79" s="122" t="str">
        <f>IF($A79="","",EstatPeriodo($A79,$B79,"MEDIA",Estat_Ini_Efetiva,Estat_Fim_Efetiva,Estat_Exclusoes,$H$4))</f>
        <v/>
      </c>
      <c r="E79" s="122" t="str">
        <f>IF($A79="","",EstatPeriodo($A79,$B79,"DP",Estat_Ini_Efetiva,Estat_Fim_Efetiva,Estat_Exclusoes,$H$4))</f>
        <v/>
      </c>
      <c r="F79" s="85" t="str">
        <f>IF($A79="","",EstatPeriodo($A79,$B79,"CV",Estat_Ini_Efetiva,Estat_Fim_Efetiva,Estat_Exclusoes,$H$4))</f>
        <v/>
      </c>
      <c r="G79" s="85" t="str">
        <f>IF($A79="","",mCEQ.BiasEQ($A79,eqAnoEP,"ABS",eqProvedor,eqRodada))</f>
        <v>SEM EP</v>
      </c>
      <c r="H79" s="85" t="str">
        <f t="shared" si="16"/>
        <v/>
      </c>
      <c r="I79" s="85" t="str">
        <f>IF($A79="","",IFERROR(INDEX(espFonte,MATCH($A79,Analitos!$A$4:$A$43,0)),""))</f>
        <v/>
      </c>
      <c r="J79" s="85" t="str">
        <f>IF($A79="","",IFERROR(INDEX(cvtpOficial,MATCH($A79,Analitos!$A$4:$A$43,0)),""))</f>
        <v/>
      </c>
      <c r="K79" s="85" t="str">
        <f>IF($A79="","",IFERROR(INDEX(etpOficial,MATCH($A79,Analitos!$A$4:$A$43,0)),""))</f>
        <v/>
      </c>
      <c r="L79" s="85" t="str">
        <f t="shared" si="17"/>
        <v/>
      </c>
      <c r="M79" s="85" t="str">
        <f>IF(NOT(ISNUMBER($L79)),"",mQualidade.ClassificarSigma($L79))</f>
        <v/>
      </c>
      <c r="N79" s="150" t="str">
        <f t="shared" si="18"/>
        <v/>
      </c>
      <c r="O79" s="151" t="str">
        <f t="shared" si="19"/>
        <v/>
      </c>
      <c r="P79" s="30" t="str">
        <f>IF(NOT(ISNUMBER($O79)),"",mQualidade.ClassificarMargem($O79))</f>
        <v/>
      </c>
      <c r="Q79" s="30" t="str">
        <f t="shared" si="20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51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  <c r="V79" s="152" t="str">
        <f t="shared" si="21"/>
        <v/>
      </c>
      <c r="W79" s="143" t="str">
        <f t="shared" si="22"/>
        <v/>
      </c>
      <c r="X79" s="30" t="str">
        <f>IF(NOT(ISNUMBER($L79)),"",mPlanoQC.PlanoQC($L79,"REGRAS"))</f>
        <v/>
      </c>
      <c r="Y79" s="144" t="str">
        <f>IF(NOT(ISNUMBER($L79)),"",mPlanoQC.PlanoQC($L79,"N"))</f>
        <v/>
      </c>
      <c r="Z79" s="142" t="str">
        <f>IF(NOT(ISNUMBER($L79)),"",mPlanoQC.PlanoQC($L79,"RUNSIZE"))</f>
        <v/>
      </c>
      <c r="AA79" s="30" t="str">
        <f>IF(NOT(ISNUMBER($L79)),"",mPlanoQC.CoberturaWestgard($L79))</f>
        <v/>
      </c>
      <c r="AB79" s="30" t="str">
        <f t="shared" si="23"/>
        <v>0|2</v>
      </c>
      <c r="AC79" s="144" t="str">
        <f>IF($A79="","",mCEQ.BiasEQ($A79,eqAnoEP,"N",eqProvedor,eqRodada))</f>
        <v>SEM EP</v>
      </c>
      <c r="AD79" s="144" t="str">
        <f>IF($A79="","",mCEQ.BiasEQ($A79,eqAnoEP,"NRODADAS",eqProvedor,eqRodada))</f>
        <v>SEM EP</v>
      </c>
    </row>
    <row r="80" spans="1:30" x14ac:dyDescent="0.3">
      <c r="A80" s="15">
        <f>Analitos!$A$37</f>
        <v>0</v>
      </c>
      <c r="B80" s="8">
        <v>1</v>
      </c>
      <c r="C80" s="22">
        <f>IF($A80="","",EstatPeriodo($A80,$B80,"N",Estat_Ini_Efetiva,Estat_Fim_Efetiva,Estat_Exclusoes,$H$4))</f>
        <v>0</v>
      </c>
      <c r="D80" s="122" t="str">
        <f>IF($A80="","",EstatPeriodo($A80,$B80,"MEDIA",Estat_Ini_Efetiva,Estat_Fim_Efetiva,Estat_Exclusoes,$H$4))</f>
        <v/>
      </c>
      <c r="E80" s="122" t="str">
        <f>IF($A80="","",EstatPeriodo($A80,$B80,"DP",Estat_Ini_Efetiva,Estat_Fim_Efetiva,Estat_Exclusoes,$H$4))</f>
        <v/>
      </c>
      <c r="F80" s="85" t="str">
        <f>IF($A80="","",EstatPeriodo($A80,$B80,"CV",Estat_Ini_Efetiva,Estat_Fim_Efetiva,Estat_Exclusoes,$H$4))</f>
        <v/>
      </c>
      <c r="G80" s="85" t="str">
        <f>IF($A80="","",mCEQ.BiasEQ($A80,eqAnoEP,"ABS",eqProvedor,eqRodada))</f>
        <v>SEM EP</v>
      </c>
      <c r="H80" s="85" t="str">
        <f t="shared" si="16"/>
        <v/>
      </c>
      <c r="I80" s="85" t="str">
        <f>IF($A80="","",IFERROR(INDEX(espFonte,MATCH($A80,Analitos!$A$4:$A$43,0)),""))</f>
        <v/>
      </c>
      <c r="J80" s="85" t="str">
        <f>IF($A80="","",IFERROR(INDEX(cvtpOficial,MATCH($A80,Analitos!$A$4:$A$43,0)),""))</f>
        <v/>
      </c>
      <c r="K80" s="85" t="str">
        <f>IF($A80="","",IFERROR(INDEX(etpOficial,MATCH($A80,Analitos!$A$4:$A$43,0)),""))</f>
        <v/>
      </c>
      <c r="L80" s="85" t="str">
        <f t="shared" si="17"/>
        <v/>
      </c>
      <c r="M80" s="85" t="str">
        <f>IF(NOT(ISNUMBER($L80)),"",mQualidade.ClassificarSigma($L80))</f>
        <v/>
      </c>
      <c r="N80" s="150" t="str">
        <f t="shared" si="18"/>
        <v/>
      </c>
      <c r="O80" s="151" t="str">
        <f t="shared" si="19"/>
        <v/>
      </c>
      <c r="P80" s="30" t="str">
        <f>IF(NOT(ISNUMBER($O80)),"",mQualidade.ClassificarMargem($O80))</f>
        <v/>
      </c>
      <c r="Q80" s="30" t="str">
        <f t="shared" si="20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51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  <c r="V80" s="152" t="str">
        <f t="shared" si="21"/>
        <v/>
      </c>
      <c r="W80" s="143" t="str">
        <f t="shared" si="22"/>
        <v/>
      </c>
      <c r="X80" s="30" t="str">
        <f>IF(NOT(ISNUMBER($L80)),"",mPlanoQC.PlanoQC($L80,"REGRAS"))</f>
        <v/>
      </c>
      <c r="Y80" s="144" t="str">
        <f>IF(NOT(ISNUMBER($L80)),"",mPlanoQC.PlanoQC($L80,"N"))</f>
        <v/>
      </c>
      <c r="Z80" s="142" t="str">
        <f>IF(NOT(ISNUMBER($L80)),"",mPlanoQC.PlanoQC($L80,"RUNSIZE"))</f>
        <v/>
      </c>
      <c r="AA80" s="30" t="str">
        <f>IF(NOT(ISNUMBER($L80)),"",mPlanoQC.CoberturaWestgard($L80))</f>
        <v/>
      </c>
      <c r="AB80" s="30" t="str">
        <f t="shared" si="23"/>
        <v>0|1</v>
      </c>
      <c r="AC80" s="144" t="str">
        <f>IF($A80="","",mCEQ.BiasEQ($A80,eqAnoEP,"N",eqProvedor,eqRodada))</f>
        <v>SEM EP</v>
      </c>
      <c r="AD80" s="144" t="str">
        <f>IF($A80="","",mCEQ.BiasEQ($A80,eqAnoEP,"NRODADAS",eqProvedor,eqRodada))</f>
        <v>SEM EP</v>
      </c>
    </row>
    <row r="81" spans="1:30" x14ac:dyDescent="0.3">
      <c r="A81" s="15">
        <f>Analitos!$A$37</f>
        <v>0</v>
      </c>
      <c r="B81" s="8">
        <v>2</v>
      </c>
      <c r="C81" s="22">
        <f>IF($A81="","",EstatPeriodo($A81,$B81,"N",Estat_Ini_Efetiva,Estat_Fim_Efetiva,Estat_Exclusoes,$H$4))</f>
        <v>0</v>
      </c>
      <c r="D81" s="122" t="str">
        <f>IF($A81="","",EstatPeriodo($A81,$B81,"MEDIA",Estat_Ini_Efetiva,Estat_Fim_Efetiva,Estat_Exclusoes,$H$4))</f>
        <v/>
      </c>
      <c r="E81" s="122" t="str">
        <f>IF($A81="","",EstatPeriodo($A81,$B81,"DP",Estat_Ini_Efetiva,Estat_Fim_Efetiva,Estat_Exclusoes,$H$4))</f>
        <v/>
      </c>
      <c r="F81" s="85" t="str">
        <f>IF($A81="","",EstatPeriodo($A81,$B81,"CV",Estat_Ini_Efetiva,Estat_Fim_Efetiva,Estat_Exclusoes,$H$4))</f>
        <v/>
      </c>
      <c r="G81" s="85" t="str">
        <f>IF($A81="","",mCEQ.BiasEQ($A81,eqAnoEP,"ABS",eqProvedor,eqRodada))</f>
        <v>SEM EP</v>
      </c>
      <c r="H81" s="85" t="str">
        <f t="shared" si="16"/>
        <v/>
      </c>
      <c r="I81" s="85" t="str">
        <f>IF($A81="","",IFERROR(INDEX(espFonte,MATCH($A81,Analitos!$A$4:$A$43,0)),""))</f>
        <v/>
      </c>
      <c r="J81" s="85" t="str">
        <f>IF($A81="","",IFERROR(INDEX(cvtpOficial,MATCH($A81,Analitos!$A$4:$A$43,0)),""))</f>
        <v/>
      </c>
      <c r="K81" s="85" t="str">
        <f>IF($A81="","",IFERROR(INDEX(etpOficial,MATCH($A81,Analitos!$A$4:$A$43,0)),""))</f>
        <v/>
      </c>
      <c r="L81" s="85" t="str">
        <f t="shared" si="17"/>
        <v/>
      </c>
      <c r="M81" s="85" t="str">
        <f>IF(NOT(ISNUMBER($L81)),"",mQualidade.ClassificarSigma($L81))</f>
        <v/>
      </c>
      <c r="N81" s="150" t="str">
        <f t="shared" si="18"/>
        <v/>
      </c>
      <c r="O81" s="151" t="str">
        <f t="shared" si="19"/>
        <v/>
      </c>
      <c r="P81" s="30" t="str">
        <f>IF(NOT(ISNUMBER($O81)),"",mQualidade.ClassificarMargem($O81))</f>
        <v/>
      </c>
      <c r="Q81" s="30" t="str">
        <f t="shared" si="20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51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  <c r="V81" s="152" t="str">
        <f t="shared" si="21"/>
        <v/>
      </c>
      <c r="W81" s="143" t="str">
        <f t="shared" si="22"/>
        <v/>
      </c>
      <c r="X81" s="30" t="str">
        <f>IF(NOT(ISNUMBER($L81)),"",mPlanoQC.PlanoQC($L81,"REGRAS"))</f>
        <v/>
      </c>
      <c r="Y81" s="144" t="str">
        <f>IF(NOT(ISNUMBER($L81)),"",mPlanoQC.PlanoQC($L81,"N"))</f>
        <v/>
      </c>
      <c r="Z81" s="142" t="str">
        <f>IF(NOT(ISNUMBER($L81)),"",mPlanoQC.PlanoQC($L81,"RUNSIZE"))</f>
        <v/>
      </c>
      <c r="AA81" s="30" t="str">
        <f>IF(NOT(ISNUMBER($L81)),"",mPlanoQC.CoberturaWestgard($L81))</f>
        <v/>
      </c>
      <c r="AB81" s="30" t="str">
        <f t="shared" si="23"/>
        <v>0|2</v>
      </c>
      <c r="AC81" s="144" t="str">
        <f>IF($A81="","",mCEQ.BiasEQ($A81,eqAnoEP,"N",eqProvedor,eqRodada))</f>
        <v>SEM EP</v>
      </c>
      <c r="AD81" s="144" t="str">
        <f>IF($A81="","",mCEQ.BiasEQ($A81,eqAnoEP,"NRODADAS",eqProvedor,eqRodada))</f>
        <v>SEM EP</v>
      </c>
    </row>
    <row r="82" spans="1:30" x14ac:dyDescent="0.3">
      <c r="A82" s="15">
        <f>Analitos!$A$38</f>
        <v>0</v>
      </c>
      <c r="B82" s="8">
        <v>1</v>
      </c>
      <c r="C82" s="22">
        <f>IF($A82="","",EstatPeriodo($A82,$B82,"N",Estat_Ini_Efetiva,Estat_Fim_Efetiva,Estat_Exclusoes,$H$4))</f>
        <v>0</v>
      </c>
      <c r="D82" s="122" t="str">
        <f>IF($A82="","",EstatPeriodo($A82,$B82,"MEDIA",Estat_Ini_Efetiva,Estat_Fim_Efetiva,Estat_Exclusoes,$H$4))</f>
        <v/>
      </c>
      <c r="E82" s="122" t="str">
        <f>IF($A82="","",EstatPeriodo($A82,$B82,"DP",Estat_Ini_Efetiva,Estat_Fim_Efetiva,Estat_Exclusoes,$H$4))</f>
        <v/>
      </c>
      <c r="F82" s="85" t="str">
        <f>IF($A82="","",EstatPeriodo($A82,$B82,"CV",Estat_Ini_Efetiva,Estat_Fim_Efetiva,Estat_Exclusoes,$H$4))</f>
        <v/>
      </c>
      <c r="G82" s="85" t="str">
        <f>IF($A82="","",mCEQ.BiasEQ($A82,eqAnoEP,"ABS",eqProvedor,eqRodada))</f>
        <v>SEM EP</v>
      </c>
      <c r="H82" s="85" t="str">
        <f t="shared" si="16"/>
        <v/>
      </c>
      <c r="I82" s="85" t="str">
        <f>IF($A82="","",IFERROR(INDEX(espFonte,MATCH($A82,Analitos!$A$4:$A$43,0)),""))</f>
        <v/>
      </c>
      <c r="J82" s="85" t="str">
        <f>IF($A82="","",IFERROR(INDEX(cvtpOficial,MATCH($A82,Analitos!$A$4:$A$43,0)),""))</f>
        <v/>
      </c>
      <c r="K82" s="85" t="str">
        <f>IF($A82="","",IFERROR(INDEX(etpOficial,MATCH($A82,Analitos!$A$4:$A$43,0)),""))</f>
        <v/>
      </c>
      <c r="L82" s="85" t="str">
        <f t="shared" si="17"/>
        <v/>
      </c>
      <c r="M82" s="85" t="str">
        <f>IF(NOT(ISNUMBER($L82)),"",mQualidade.ClassificarSigma($L82))</f>
        <v/>
      </c>
      <c r="N82" s="150" t="str">
        <f t="shared" si="18"/>
        <v/>
      </c>
      <c r="O82" s="151" t="str">
        <f t="shared" si="19"/>
        <v/>
      </c>
      <c r="P82" s="30" t="str">
        <f>IF(NOT(ISNUMBER($O82)),"",mQualidade.ClassificarMargem($O82))</f>
        <v/>
      </c>
      <c r="Q82" s="30" t="str">
        <f t="shared" si="20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51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  <c r="V82" s="152" t="str">
        <f t="shared" si="21"/>
        <v/>
      </c>
      <c r="W82" s="143" t="str">
        <f t="shared" si="22"/>
        <v/>
      </c>
      <c r="X82" s="30" t="str">
        <f>IF(NOT(ISNUMBER($L82)),"",mPlanoQC.PlanoQC($L82,"REGRAS"))</f>
        <v/>
      </c>
      <c r="Y82" s="144" t="str">
        <f>IF(NOT(ISNUMBER($L82)),"",mPlanoQC.PlanoQC($L82,"N"))</f>
        <v/>
      </c>
      <c r="Z82" s="142" t="str">
        <f>IF(NOT(ISNUMBER($L82)),"",mPlanoQC.PlanoQC($L82,"RUNSIZE"))</f>
        <v/>
      </c>
      <c r="AA82" s="30" t="str">
        <f>IF(NOT(ISNUMBER($L82)),"",mPlanoQC.CoberturaWestgard($L82))</f>
        <v/>
      </c>
      <c r="AB82" s="30" t="str">
        <f t="shared" si="23"/>
        <v>0|1</v>
      </c>
      <c r="AC82" s="144" t="str">
        <f>IF($A82="","",mCEQ.BiasEQ($A82,eqAnoEP,"N",eqProvedor,eqRodada))</f>
        <v>SEM EP</v>
      </c>
      <c r="AD82" s="144" t="str">
        <f>IF($A82="","",mCEQ.BiasEQ($A82,eqAnoEP,"NRODADAS",eqProvedor,eqRodada))</f>
        <v>SEM EP</v>
      </c>
    </row>
    <row r="83" spans="1:30" x14ac:dyDescent="0.3">
      <c r="A83" s="15">
        <f>Analitos!$A$38</f>
        <v>0</v>
      </c>
      <c r="B83" s="8">
        <v>2</v>
      </c>
      <c r="C83" s="22">
        <f>IF($A83="","",EstatPeriodo($A83,$B83,"N",Estat_Ini_Efetiva,Estat_Fim_Efetiva,Estat_Exclusoes,$H$4))</f>
        <v>0</v>
      </c>
      <c r="D83" s="122" t="str">
        <f>IF($A83="","",EstatPeriodo($A83,$B83,"MEDIA",Estat_Ini_Efetiva,Estat_Fim_Efetiva,Estat_Exclusoes,$H$4))</f>
        <v/>
      </c>
      <c r="E83" s="122" t="str">
        <f>IF($A83="","",EstatPeriodo($A83,$B83,"DP",Estat_Ini_Efetiva,Estat_Fim_Efetiva,Estat_Exclusoes,$H$4))</f>
        <v/>
      </c>
      <c r="F83" s="85" t="str">
        <f>IF($A83="","",EstatPeriodo($A83,$B83,"CV",Estat_Ini_Efetiva,Estat_Fim_Efetiva,Estat_Exclusoes,$H$4))</f>
        <v/>
      </c>
      <c r="G83" s="85" t="str">
        <f>IF($A83="","",mCEQ.BiasEQ($A83,eqAnoEP,"ABS",eqProvedor,eqRodada))</f>
        <v>SEM EP</v>
      </c>
      <c r="H83" s="85" t="str">
        <f t="shared" si="16"/>
        <v/>
      </c>
      <c r="I83" s="85" t="str">
        <f>IF($A83="","",IFERROR(INDEX(espFonte,MATCH($A83,Analitos!$A$4:$A$43,0)),""))</f>
        <v/>
      </c>
      <c r="J83" s="85" t="str">
        <f>IF($A83="","",IFERROR(INDEX(cvtpOficial,MATCH($A83,Analitos!$A$4:$A$43,0)),""))</f>
        <v/>
      </c>
      <c r="K83" s="85" t="str">
        <f>IF($A83="","",IFERROR(INDEX(etpOficial,MATCH($A83,Analitos!$A$4:$A$43,0)),""))</f>
        <v/>
      </c>
      <c r="L83" s="85" t="str">
        <f t="shared" si="17"/>
        <v/>
      </c>
      <c r="M83" s="85" t="str">
        <f>IF(NOT(ISNUMBER($L83)),"",mQualidade.ClassificarSigma($L83))</f>
        <v/>
      </c>
      <c r="N83" s="150" t="str">
        <f t="shared" si="18"/>
        <v/>
      </c>
      <c r="O83" s="151" t="str">
        <f t="shared" si="19"/>
        <v/>
      </c>
      <c r="P83" s="30" t="str">
        <f>IF(NOT(ISNUMBER($O83)),"",mQualidade.ClassificarMargem($O83))</f>
        <v/>
      </c>
      <c r="Q83" s="30" t="str">
        <f t="shared" si="20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51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  <c r="V83" s="152" t="str">
        <f t="shared" si="21"/>
        <v/>
      </c>
      <c r="W83" s="143" t="str">
        <f t="shared" si="22"/>
        <v/>
      </c>
      <c r="X83" s="30" t="str">
        <f>IF(NOT(ISNUMBER($L83)),"",mPlanoQC.PlanoQC($L83,"REGRAS"))</f>
        <v/>
      </c>
      <c r="Y83" s="144" t="str">
        <f>IF(NOT(ISNUMBER($L83)),"",mPlanoQC.PlanoQC($L83,"N"))</f>
        <v/>
      </c>
      <c r="Z83" s="142" t="str">
        <f>IF(NOT(ISNUMBER($L83)),"",mPlanoQC.PlanoQC($L83,"RUNSIZE"))</f>
        <v/>
      </c>
      <c r="AA83" s="30" t="str">
        <f>IF(NOT(ISNUMBER($L83)),"",mPlanoQC.CoberturaWestgard($L83))</f>
        <v/>
      </c>
      <c r="AB83" s="30" t="str">
        <f t="shared" si="23"/>
        <v>0|2</v>
      </c>
      <c r="AC83" s="144" t="str">
        <f>IF($A83="","",mCEQ.BiasEQ($A83,eqAnoEP,"N",eqProvedor,eqRodada))</f>
        <v>SEM EP</v>
      </c>
      <c r="AD83" s="144" t="str">
        <f>IF($A83="","",mCEQ.BiasEQ($A83,eqAnoEP,"NRODADAS",eqProvedor,eqRodada))</f>
        <v>SEM EP</v>
      </c>
    </row>
    <row r="84" spans="1:30" x14ac:dyDescent="0.3">
      <c r="A84" s="15">
        <f>Analitos!$A$39</f>
        <v>0</v>
      </c>
      <c r="B84" s="8">
        <v>1</v>
      </c>
      <c r="C84" s="22">
        <f>IF($A84="","",EstatPeriodo($A84,$B84,"N",Estat_Ini_Efetiva,Estat_Fim_Efetiva,Estat_Exclusoes,$H$4))</f>
        <v>0</v>
      </c>
      <c r="D84" s="122" t="str">
        <f>IF($A84="","",EstatPeriodo($A84,$B84,"MEDIA",Estat_Ini_Efetiva,Estat_Fim_Efetiva,Estat_Exclusoes,$H$4))</f>
        <v/>
      </c>
      <c r="E84" s="122" t="str">
        <f>IF($A84="","",EstatPeriodo($A84,$B84,"DP",Estat_Ini_Efetiva,Estat_Fim_Efetiva,Estat_Exclusoes,$H$4))</f>
        <v/>
      </c>
      <c r="F84" s="85" t="str">
        <f>IF($A84="","",EstatPeriodo($A84,$B84,"CV",Estat_Ini_Efetiva,Estat_Fim_Efetiva,Estat_Exclusoes,$H$4))</f>
        <v/>
      </c>
      <c r="G84" s="85" t="str">
        <f>IF($A84="","",mCEQ.BiasEQ($A84,eqAnoEP,"ABS",eqProvedor,eqRodada))</f>
        <v>SEM EP</v>
      </c>
      <c r="H84" s="85" t="str">
        <f t="shared" si="16"/>
        <v/>
      </c>
      <c r="I84" s="85" t="str">
        <f>IF($A84="","",IFERROR(INDEX(espFonte,MATCH($A84,Analitos!$A$4:$A$43,0)),""))</f>
        <v/>
      </c>
      <c r="J84" s="85" t="str">
        <f>IF($A84="","",IFERROR(INDEX(cvtpOficial,MATCH($A84,Analitos!$A$4:$A$43,0)),""))</f>
        <v/>
      </c>
      <c r="K84" s="85" t="str">
        <f>IF($A84="","",IFERROR(INDEX(etpOficial,MATCH($A84,Analitos!$A$4:$A$43,0)),""))</f>
        <v/>
      </c>
      <c r="L84" s="85" t="str">
        <f t="shared" si="17"/>
        <v/>
      </c>
      <c r="M84" s="85" t="str">
        <f>IF(NOT(ISNUMBER($L84)),"",mQualidade.ClassificarSigma($L84))</f>
        <v/>
      </c>
      <c r="N84" s="150" t="str">
        <f t="shared" si="18"/>
        <v/>
      </c>
      <c r="O84" s="151" t="str">
        <f t="shared" si="19"/>
        <v/>
      </c>
      <c r="P84" s="30" t="str">
        <f>IF(NOT(ISNUMBER($O84)),"",mQualidade.ClassificarMargem($O84))</f>
        <v/>
      </c>
      <c r="Q84" s="30" t="str">
        <f t="shared" si="20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51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  <c r="V84" s="152" t="str">
        <f t="shared" si="21"/>
        <v/>
      </c>
      <c r="W84" s="143" t="str">
        <f t="shared" si="22"/>
        <v/>
      </c>
      <c r="X84" s="30" t="str">
        <f>IF(NOT(ISNUMBER($L84)),"",mPlanoQC.PlanoQC($L84,"REGRAS"))</f>
        <v/>
      </c>
      <c r="Y84" s="144" t="str">
        <f>IF(NOT(ISNUMBER($L84)),"",mPlanoQC.PlanoQC($L84,"N"))</f>
        <v/>
      </c>
      <c r="Z84" s="142" t="str">
        <f>IF(NOT(ISNUMBER($L84)),"",mPlanoQC.PlanoQC($L84,"RUNSIZE"))</f>
        <v/>
      </c>
      <c r="AA84" s="30" t="str">
        <f>IF(NOT(ISNUMBER($L84)),"",mPlanoQC.CoberturaWestgard($L84))</f>
        <v/>
      </c>
      <c r="AB84" s="30" t="str">
        <f t="shared" si="23"/>
        <v>0|1</v>
      </c>
      <c r="AC84" s="144" t="str">
        <f>IF($A84="","",mCEQ.BiasEQ($A84,eqAnoEP,"N",eqProvedor,eqRodada))</f>
        <v>SEM EP</v>
      </c>
      <c r="AD84" s="144" t="str">
        <f>IF($A84="","",mCEQ.BiasEQ($A84,eqAnoEP,"NRODADAS",eqProvedor,eqRodada))</f>
        <v>SEM EP</v>
      </c>
    </row>
    <row r="85" spans="1:30" x14ac:dyDescent="0.3">
      <c r="A85" s="15">
        <f>Analitos!$A$39</f>
        <v>0</v>
      </c>
      <c r="B85" s="8">
        <v>2</v>
      </c>
      <c r="C85" s="22">
        <f>IF($A85="","",EstatPeriodo($A85,$B85,"N",Estat_Ini_Efetiva,Estat_Fim_Efetiva,Estat_Exclusoes,$H$4))</f>
        <v>0</v>
      </c>
      <c r="D85" s="122" t="str">
        <f>IF($A85="","",EstatPeriodo($A85,$B85,"MEDIA",Estat_Ini_Efetiva,Estat_Fim_Efetiva,Estat_Exclusoes,$H$4))</f>
        <v/>
      </c>
      <c r="E85" s="122" t="str">
        <f>IF($A85="","",EstatPeriodo($A85,$B85,"DP",Estat_Ini_Efetiva,Estat_Fim_Efetiva,Estat_Exclusoes,$H$4))</f>
        <v/>
      </c>
      <c r="F85" s="85" t="str">
        <f>IF($A85="","",EstatPeriodo($A85,$B85,"CV",Estat_Ini_Efetiva,Estat_Fim_Efetiva,Estat_Exclusoes,$H$4))</f>
        <v/>
      </c>
      <c r="G85" s="85" t="str">
        <f>IF($A85="","",mCEQ.BiasEQ($A85,eqAnoEP,"ABS",eqProvedor,eqRodada))</f>
        <v>SEM EP</v>
      </c>
      <c r="H85" s="85" t="str">
        <f t="shared" si="16"/>
        <v/>
      </c>
      <c r="I85" s="85" t="str">
        <f>IF($A85="","",IFERROR(INDEX(espFonte,MATCH($A85,Analitos!$A$4:$A$43,0)),""))</f>
        <v/>
      </c>
      <c r="J85" s="85" t="str">
        <f>IF($A85="","",IFERROR(INDEX(cvtpOficial,MATCH($A85,Analitos!$A$4:$A$43,0)),""))</f>
        <v/>
      </c>
      <c r="K85" s="85" t="str">
        <f>IF($A85="","",IFERROR(INDEX(etpOficial,MATCH($A85,Analitos!$A$4:$A$43,0)),""))</f>
        <v/>
      </c>
      <c r="L85" s="85" t="str">
        <f t="shared" si="17"/>
        <v/>
      </c>
      <c r="M85" s="85" t="str">
        <f>IF(NOT(ISNUMBER($L85)),"",mQualidade.ClassificarSigma($L85))</f>
        <v/>
      </c>
      <c r="N85" s="150" t="str">
        <f t="shared" si="18"/>
        <v/>
      </c>
      <c r="O85" s="151" t="str">
        <f t="shared" si="19"/>
        <v/>
      </c>
      <c r="P85" s="30" t="str">
        <f>IF(NOT(ISNUMBER($O85)),"",mQualidade.ClassificarMargem($O85))</f>
        <v/>
      </c>
      <c r="Q85" s="30" t="str">
        <f t="shared" si="20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51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  <c r="V85" s="152" t="str">
        <f t="shared" si="21"/>
        <v/>
      </c>
      <c r="W85" s="143" t="str">
        <f t="shared" si="22"/>
        <v/>
      </c>
      <c r="X85" s="30" t="str">
        <f>IF(NOT(ISNUMBER($L85)),"",mPlanoQC.PlanoQC($L85,"REGRAS"))</f>
        <v/>
      </c>
      <c r="Y85" s="144" t="str">
        <f>IF(NOT(ISNUMBER($L85)),"",mPlanoQC.PlanoQC($L85,"N"))</f>
        <v/>
      </c>
      <c r="Z85" s="142" t="str">
        <f>IF(NOT(ISNUMBER($L85)),"",mPlanoQC.PlanoQC($L85,"RUNSIZE"))</f>
        <v/>
      </c>
      <c r="AA85" s="30" t="str">
        <f>IF(NOT(ISNUMBER($L85)),"",mPlanoQC.CoberturaWestgard($L85))</f>
        <v/>
      </c>
      <c r="AB85" s="30" t="str">
        <f t="shared" si="23"/>
        <v>0|2</v>
      </c>
      <c r="AC85" s="144" t="str">
        <f>IF($A85="","",mCEQ.BiasEQ($A85,eqAnoEP,"N",eqProvedor,eqRodada))</f>
        <v>SEM EP</v>
      </c>
      <c r="AD85" s="144" t="str">
        <f>IF($A85="","",mCEQ.BiasEQ($A85,eqAnoEP,"NRODADAS",eqProvedor,eqRodada))</f>
        <v>SEM EP</v>
      </c>
    </row>
    <row r="86" spans="1:30" x14ac:dyDescent="0.3">
      <c r="A86" s="15">
        <f>Analitos!$A$40</f>
        <v>0</v>
      </c>
      <c r="B86" s="8">
        <v>1</v>
      </c>
      <c r="C86" s="22">
        <f>IF($A86="","",EstatPeriodo($A86,$B86,"N",Estat_Ini_Efetiva,Estat_Fim_Efetiva,Estat_Exclusoes,$H$4))</f>
        <v>0</v>
      </c>
      <c r="D86" s="122" t="str">
        <f>IF($A86="","",EstatPeriodo($A86,$B86,"MEDIA",Estat_Ini_Efetiva,Estat_Fim_Efetiva,Estat_Exclusoes,$H$4))</f>
        <v/>
      </c>
      <c r="E86" s="122" t="str">
        <f>IF($A86="","",EstatPeriodo($A86,$B86,"DP",Estat_Ini_Efetiva,Estat_Fim_Efetiva,Estat_Exclusoes,$H$4))</f>
        <v/>
      </c>
      <c r="F86" s="85" t="str">
        <f>IF($A86="","",EstatPeriodo($A86,$B86,"CV",Estat_Ini_Efetiva,Estat_Fim_Efetiva,Estat_Exclusoes,$H$4))</f>
        <v/>
      </c>
      <c r="G86" s="85" t="str">
        <f>IF($A86="","",mCEQ.BiasEQ($A86,eqAnoEP,"ABS",eqProvedor,eqRodada))</f>
        <v>SEM EP</v>
      </c>
      <c r="H86" s="85" t="str">
        <f t="shared" si="16"/>
        <v/>
      </c>
      <c r="I86" s="85" t="str">
        <f>IF($A86="","",IFERROR(INDEX(espFonte,MATCH($A86,Analitos!$A$4:$A$43,0)),""))</f>
        <v/>
      </c>
      <c r="J86" s="85" t="str">
        <f>IF($A86="","",IFERROR(INDEX(cvtpOficial,MATCH($A86,Analitos!$A$4:$A$43,0)),""))</f>
        <v/>
      </c>
      <c r="K86" s="85" t="str">
        <f>IF($A86="","",IFERROR(INDEX(etpOficial,MATCH($A86,Analitos!$A$4:$A$43,0)),""))</f>
        <v/>
      </c>
      <c r="L86" s="85" t="str">
        <f t="shared" si="17"/>
        <v/>
      </c>
      <c r="M86" s="85" t="str">
        <f>IF(NOT(ISNUMBER($L86)),"",mQualidade.ClassificarSigma($L86))</f>
        <v/>
      </c>
      <c r="N86" s="150" t="str">
        <f t="shared" si="18"/>
        <v/>
      </c>
      <c r="O86" s="151" t="str">
        <f t="shared" si="19"/>
        <v/>
      </c>
      <c r="P86" s="30" t="str">
        <f>IF(NOT(ISNUMBER($O86)),"",mQualidade.ClassificarMargem($O86))</f>
        <v/>
      </c>
      <c r="Q86" s="30" t="str">
        <f t="shared" si="20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51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  <c r="V86" s="152" t="str">
        <f t="shared" si="21"/>
        <v/>
      </c>
      <c r="W86" s="143" t="str">
        <f t="shared" si="22"/>
        <v/>
      </c>
      <c r="X86" s="30" t="str">
        <f>IF(NOT(ISNUMBER($L86)),"",mPlanoQC.PlanoQC($L86,"REGRAS"))</f>
        <v/>
      </c>
      <c r="Y86" s="144" t="str">
        <f>IF(NOT(ISNUMBER($L86)),"",mPlanoQC.PlanoQC($L86,"N"))</f>
        <v/>
      </c>
      <c r="Z86" s="142" t="str">
        <f>IF(NOT(ISNUMBER($L86)),"",mPlanoQC.PlanoQC($L86,"RUNSIZE"))</f>
        <v/>
      </c>
      <c r="AA86" s="30" t="str">
        <f>IF(NOT(ISNUMBER($L86)),"",mPlanoQC.CoberturaWestgard($L86))</f>
        <v/>
      </c>
      <c r="AB86" s="30" t="str">
        <f t="shared" si="23"/>
        <v>0|1</v>
      </c>
      <c r="AC86" s="144" t="str">
        <f>IF($A86="","",mCEQ.BiasEQ($A86,eqAnoEP,"N",eqProvedor,eqRodada))</f>
        <v>SEM EP</v>
      </c>
      <c r="AD86" s="144" t="str">
        <f>IF($A86="","",mCEQ.BiasEQ($A86,eqAnoEP,"NRODADAS",eqProvedor,eqRodada))</f>
        <v>SEM EP</v>
      </c>
    </row>
    <row r="87" spans="1:30" x14ac:dyDescent="0.3">
      <c r="A87" s="15">
        <f>Analitos!$A$40</f>
        <v>0</v>
      </c>
      <c r="B87" s="8">
        <v>2</v>
      </c>
      <c r="C87" s="22">
        <f>IF($A87="","",EstatPeriodo($A87,$B87,"N",Estat_Ini_Efetiva,Estat_Fim_Efetiva,Estat_Exclusoes,$H$4))</f>
        <v>0</v>
      </c>
      <c r="D87" s="122" t="str">
        <f>IF($A87="","",EstatPeriodo($A87,$B87,"MEDIA",Estat_Ini_Efetiva,Estat_Fim_Efetiva,Estat_Exclusoes,$H$4))</f>
        <v/>
      </c>
      <c r="E87" s="122" t="str">
        <f>IF($A87="","",EstatPeriodo($A87,$B87,"DP",Estat_Ini_Efetiva,Estat_Fim_Efetiva,Estat_Exclusoes,$H$4))</f>
        <v/>
      </c>
      <c r="F87" s="85" t="str">
        <f>IF($A87="","",EstatPeriodo($A87,$B87,"CV",Estat_Ini_Efetiva,Estat_Fim_Efetiva,Estat_Exclusoes,$H$4))</f>
        <v/>
      </c>
      <c r="G87" s="85" t="str">
        <f>IF($A87="","",mCEQ.BiasEQ($A87,eqAnoEP,"ABS",eqProvedor,eqRodada))</f>
        <v>SEM EP</v>
      </c>
      <c r="H87" s="85" t="str">
        <f t="shared" si="16"/>
        <v/>
      </c>
      <c r="I87" s="85" t="str">
        <f>IF($A87="","",IFERROR(INDEX(espFonte,MATCH($A87,Analitos!$A$4:$A$43,0)),""))</f>
        <v/>
      </c>
      <c r="J87" s="85" t="str">
        <f>IF($A87="","",IFERROR(INDEX(cvtpOficial,MATCH($A87,Analitos!$A$4:$A$43,0)),""))</f>
        <v/>
      </c>
      <c r="K87" s="85" t="str">
        <f>IF($A87="","",IFERROR(INDEX(etpOficial,MATCH($A87,Analitos!$A$4:$A$43,0)),""))</f>
        <v/>
      </c>
      <c r="L87" s="85" t="str">
        <f t="shared" si="17"/>
        <v/>
      </c>
      <c r="M87" s="85" t="str">
        <f>IF(NOT(ISNUMBER($L87)),"",mQualidade.ClassificarSigma($L87))</f>
        <v/>
      </c>
      <c r="N87" s="150" t="str">
        <f t="shared" si="18"/>
        <v/>
      </c>
      <c r="O87" s="151" t="str">
        <f t="shared" si="19"/>
        <v/>
      </c>
      <c r="P87" s="30" t="str">
        <f>IF(NOT(ISNUMBER($O87)),"",mQualidade.ClassificarMargem($O87))</f>
        <v/>
      </c>
      <c r="Q87" s="30" t="str">
        <f t="shared" si="20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51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  <c r="V87" s="152" t="str">
        <f t="shared" si="21"/>
        <v/>
      </c>
      <c r="W87" s="143" t="str">
        <f t="shared" si="22"/>
        <v/>
      </c>
      <c r="X87" s="30" t="str">
        <f>IF(NOT(ISNUMBER($L87)),"",mPlanoQC.PlanoQC($L87,"REGRAS"))</f>
        <v/>
      </c>
      <c r="Y87" s="144" t="str">
        <f>IF(NOT(ISNUMBER($L87)),"",mPlanoQC.PlanoQC($L87,"N"))</f>
        <v/>
      </c>
      <c r="Z87" s="142" t="str">
        <f>IF(NOT(ISNUMBER($L87)),"",mPlanoQC.PlanoQC($L87,"RUNSIZE"))</f>
        <v/>
      </c>
      <c r="AA87" s="30" t="str">
        <f>IF(NOT(ISNUMBER($L87)),"",mPlanoQC.CoberturaWestgard($L87))</f>
        <v/>
      </c>
      <c r="AB87" s="30" t="str">
        <f t="shared" si="23"/>
        <v>0|2</v>
      </c>
      <c r="AC87" s="144" t="str">
        <f>IF($A87="","",mCEQ.BiasEQ($A87,eqAnoEP,"N",eqProvedor,eqRodada))</f>
        <v>SEM EP</v>
      </c>
      <c r="AD87" s="144" t="str">
        <f>IF($A87="","",mCEQ.BiasEQ($A87,eqAnoEP,"NRODADAS",eqProvedor,eqRodada))</f>
        <v>SEM EP</v>
      </c>
    </row>
    <row r="88" spans="1:30" x14ac:dyDescent="0.3">
      <c r="A88" s="15">
        <f>Analitos!$A$41</f>
        <v>0</v>
      </c>
      <c r="B88" s="8">
        <v>1</v>
      </c>
      <c r="C88" s="22">
        <f>IF($A88="","",EstatPeriodo($A88,$B88,"N",Estat_Ini_Efetiva,Estat_Fim_Efetiva,Estat_Exclusoes,$H$4))</f>
        <v>0</v>
      </c>
      <c r="D88" s="122" t="str">
        <f>IF($A88="","",EstatPeriodo($A88,$B88,"MEDIA",Estat_Ini_Efetiva,Estat_Fim_Efetiva,Estat_Exclusoes,$H$4))</f>
        <v/>
      </c>
      <c r="E88" s="122" t="str">
        <f>IF($A88="","",EstatPeriodo($A88,$B88,"DP",Estat_Ini_Efetiva,Estat_Fim_Efetiva,Estat_Exclusoes,$H$4))</f>
        <v/>
      </c>
      <c r="F88" s="85" t="str">
        <f>IF($A88="","",EstatPeriodo($A88,$B88,"CV",Estat_Ini_Efetiva,Estat_Fim_Efetiva,Estat_Exclusoes,$H$4))</f>
        <v/>
      </c>
      <c r="G88" s="85" t="str">
        <f>IF($A88="","",mCEQ.BiasEQ($A88,eqAnoEP,"ABS",eqProvedor,eqRodada))</f>
        <v>SEM EP</v>
      </c>
      <c r="H88" s="85" t="str">
        <f t="shared" si="16"/>
        <v/>
      </c>
      <c r="I88" s="85" t="str">
        <f>IF($A88="","",IFERROR(INDEX(espFonte,MATCH($A88,Analitos!$A$4:$A$43,0)),""))</f>
        <v/>
      </c>
      <c r="J88" s="85" t="str">
        <f>IF($A88="","",IFERROR(INDEX(cvtpOficial,MATCH($A88,Analitos!$A$4:$A$43,0)),""))</f>
        <v/>
      </c>
      <c r="K88" s="85" t="str">
        <f>IF($A88="","",IFERROR(INDEX(etpOficial,MATCH($A88,Analitos!$A$4:$A$43,0)),""))</f>
        <v/>
      </c>
      <c r="L88" s="85" t="str">
        <f t="shared" si="17"/>
        <v/>
      </c>
      <c r="M88" s="85" t="str">
        <f>IF(NOT(ISNUMBER($L88)),"",mQualidade.ClassificarSigma($L88))</f>
        <v/>
      </c>
      <c r="N88" s="150" t="str">
        <f t="shared" si="18"/>
        <v/>
      </c>
      <c r="O88" s="151" t="str">
        <f t="shared" si="19"/>
        <v/>
      </c>
      <c r="P88" s="30" t="str">
        <f>IF(NOT(ISNUMBER($O88)),"",mQualidade.ClassificarMargem($O88))</f>
        <v/>
      </c>
      <c r="Q88" s="30" t="str">
        <f t="shared" si="20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51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  <c r="V88" s="152" t="str">
        <f t="shared" si="21"/>
        <v/>
      </c>
      <c r="W88" s="143" t="str">
        <f t="shared" si="22"/>
        <v/>
      </c>
      <c r="X88" s="30" t="str">
        <f>IF(NOT(ISNUMBER($L88)),"",mPlanoQC.PlanoQC($L88,"REGRAS"))</f>
        <v/>
      </c>
      <c r="Y88" s="144" t="str">
        <f>IF(NOT(ISNUMBER($L88)),"",mPlanoQC.PlanoQC($L88,"N"))</f>
        <v/>
      </c>
      <c r="Z88" s="142" t="str">
        <f>IF(NOT(ISNUMBER($L88)),"",mPlanoQC.PlanoQC($L88,"RUNSIZE"))</f>
        <v/>
      </c>
      <c r="AA88" s="30" t="str">
        <f>IF(NOT(ISNUMBER($L88)),"",mPlanoQC.CoberturaWestgard($L88))</f>
        <v/>
      </c>
      <c r="AB88" s="30" t="str">
        <f t="shared" si="23"/>
        <v>0|1</v>
      </c>
      <c r="AC88" s="144" t="str">
        <f>IF($A88="","",mCEQ.BiasEQ($A88,eqAnoEP,"N",eqProvedor,eqRodada))</f>
        <v>SEM EP</v>
      </c>
      <c r="AD88" s="144" t="str">
        <f>IF($A88="","",mCEQ.BiasEQ($A88,eqAnoEP,"NRODADAS",eqProvedor,eqRodada))</f>
        <v>SEM EP</v>
      </c>
    </row>
    <row r="89" spans="1:30" x14ac:dyDescent="0.3">
      <c r="A89" s="15">
        <f>Analitos!$A$41</f>
        <v>0</v>
      </c>
      <c r="B89" s="8">
        <v>2</v>
      </c>
      <c r="C89" s="22">
        <f>IF($A89="","",EstatPeriodo($A89,$B89,"N",Estat_Ini_Efetiva,Estat_Fim_Efetiva,Estat_Exclusoes,$H$4))</f>
        <v>0</v>
      </c>
      <c r="D89" s="122" t="str">
        <f>IF($A89="","",EstatPeriodo($A89,$B89,"MEDIA",Estat_Ini_Efetiva,Estat_Fim_Efetiva,Estat_Exclusoes,$H$4))</f>
        <v/>
      </c>
      <c r="E89" s="122" t="str">
        <f>IF($A89="","",EstatPeriodo($A89,$B89,"DP",Estat_Ini_Efetiva,Estat_Fim_Efetiva,Estat_Exclusoes,$H$4))</f>
        <v/>
      </c>
      <c r="F89" s="85" t="str">
        <f>IF($A89="","",EstatPeriodo($A89,$B89,"CV",Estat_Ini_Efetiva,Estat_Fim_Efetiva,Estat_Exclusoes,$H$4))</f>
        <v/>
      </c>
      <c r="G89" s="85" t="str">
        <f>IF($A89="","",mCEQ.BiasEQ($A89,eqAnoEP,"ABS",eqProvedor,eqRodada))</f>
        <v>SEM EP</v>
      </c>
      <c r="H89" s="85" t="str">
        <f t="shared" si="16"/>
        <v/>
      </c>
      <c r="I89" s="85" t="str">
        <f>IF($A89="","",IFERROR(INDEX(espFonte,MATCH($A89,Analitos!$A$4:$A$43,0)),""))</f>
        <v/>
      </c>
      <c r="J89" s="85" t="str">
        <f>IF($A89="","",IFERROR(INDEX(cvtpOficial,MATCH($A89,Analitos!$A$4:$A$43,0)),""))</f>
        <v/>
      </c>
      <c r="K89" s="85" t="str">
        <f>IF($A89="","",IFERROR(INDEX(etpOficial,MATCH($A89,Analitos!$A$4:$A$43,0)),""))</f>
        <v/>
      </c>
      <c r="L89" s="85" t="str">
        <f t="shared" si="17"/>
        <v/>
      </c>
      <c r="M89" s="85" t="str">
        <f>IF(NOT(ISNUMBER($L89)),"",mQualidade.ClassificarSigma($L89))</f>
        <v/>
      </c>
      <c r="N89" s="150" t="str">
        <f t="shared" si="18"/>
        <v/>
      </c>
      <c r="O89" s="151" t="str">
        <f t="shared" si="19"/>
        <v/>
      </c>
      <c r="P89" s="30" t="str">
        <f>IF(NOT(ISNUMBER($O89)),"",mQualidade.ClassificarMargem($O89))</f>
        <v/>
      </c>
      <c r="Q89" s="30" t="str">
        <f t="shared" si="20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51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  <c r="V89" s="152" t="str">
        <f t="shared" si="21"/>
        <v/>
      </c>
      <c r="W89" s="143" t="str">
        <f t="shared" si="22"/>
        <v/>
      </c>
      <c r="X89" s="30" t="str">
        <f>IF(NOT(ISNUMBER($L89)),"",mPlanoQC.PlanoQC($L89,"REGRAS"))</f>
        <v/>
      </c>
      <c r="Y89" s="144" t="str">
        <f>IF(NOT(ISNUMBER($L89)),"",mPlanoQC.PlanoQC($L89,"N"))</f>
        <v/>
      </c>
      <c r="Z89" s="142" t="str">
        <f>IF(NOT(ISNUMBER($L89)),"",mPlanoQC.PlanoQC($L89,"RUNSIZE"))</f>
        <v/>
      </c>
      <c r="AA89" s="30" t="str">
        <f>IF(NOT(ISNUMBER($L89)),"",mPlanoQC.CoberturaWestgard($L89))</f>
        <v/>
      </c>
      <c r="AB89" s="30" t="str">
        <f t="shared" si="23"/>
        <v>0|2</v>
      </c>
      <c r="AC89" s="144" t="str">
        <f>IF($A89="","",mCEQ.BiasEQ($A89,eqAnoEP,"N",eqProvedor,eqRodada))</f>
        <v>SEM EP</v>
      </c>
      <c r="AD89" s="144" t="str">
        <f>IF($A89="","",mCEQ.BiasEQ($A89,eqAnoEP,"NRODADAS",eqProvedor,eqRodada))</f>
        <v>SEM EP</v>
      </c>
    </row>
    <row r="90" spans="1:30" x14ac:dyDescent="0.3">
      <c r="A90" s="15">
        <f>Analitos!$A$42</f>
        <v>0</v>
      </c>
      <c r="B90" s="8">
        <v>1</v>
      </c>
      <c r="C90" s="22">
        <f>IF($A90="","",EstatPeriodo($A90,$B90,"N",Estat_Ini_Efetiva,Estat_Fim_Efetiva,Estat_Exclusoes,$H$4))</f>
        <v>0</v>
      </c>
      <c r="D90" s="122" t="str">
        <f>IF($A90="","",EstatPeriodo($A90,$B90,"MEDIA",Estat_Ini_Efetiva,Estat_Fim_Efetiva,Estat_Exclusoes,$H$4))</f>
        <v/>
      </c>
      <c r="E90" s="122" t="str">
        <f>IF($A90="","",EstatPeriodo($A90,$B90,"DP",Estat_Ini_Efetiva,Estat_Fim_Efetiva,Estat_Exclusoes,$H$4))</f>
        <v/>
      </c>
      <c r="F90" s="85" t="str">
        <f>IF($A90="","",EstatPeriodo($A90,$B90,"CV",Estat_Ini_Efetiva,Estat_Fim_Efetiva,Estat_Exclusoes,$H$4))</f>
        <v/>
      </c>
      <c r="G90" s="85" t="str">
        <f>IF($A90="","",mCEQ.BiasEQ($A90,eqAnoEP,"ABS",eqProvedor,eqRodada))</f>
        <v>SEM EP</v>
      </c>
      <c r="H90" s="85" t="str">
        <f t="shared" si="16"/>
        <v/>
      </c>
      <c r="I90" s="85" t="str">
        <f>IF($A90="","",IFERROR(INDEX(espFonte,MATCH($A90,Analitos!$A$4:$A$43,0)),""))</f>
        <v/>
      </c>
      <c r="J90" s="85" t="str">
        <f>IF($A90="","",IFERROR(INDEX(cvtpOficial,MATCH($A90,Analitos!$A$4:$A$43,0)),""))</f>
        <v/>
      </c>
      <c r="K90" s="85" t="str">
        <f>IF($A90="","",IFERROR(INDEX(etpOficial,MATCH($A90,Analitos!$A$4:$A$43,0)),""))</f>
        <v/>
      </c>
      <c r="L90" s="85" t="str">
        <f t="shared" si="17"/>
        <v/>
      </c>
      <c r="M90" s="85" t="str">
        <f>IF(NOT(ISNUMBER($L90)),"",mQualidade.ClassificarSigma($L90))</f>
        <v/>
      </c>
      <c r="N90" s="150" t="str">
        <f t="shared" si="18"/>
        <v/>
      </c>
      <c r="O90" s="151" t="str">
        <f t="shared" si="19"/>
        <v/>
      </c>
      <c r="P90" s="30" t="str">
        <f>IF(NOT(ISNUMBER($O90)),"",mQualidade.ClassificarMargem($O90))</f>
        <v/>
      </c>
      <c r="Q90" s="30" t="str">
        <f t="shared" si="20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51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  <c r="V90" s="152" t="str">
        <f t="shared" si="21"/>
        <v/>
      </c>
      <c r="W90" s="143" t="str">
        <f t="shared" si="22"/>
        <v/>
      </c>
      <c r="X90" s="30" t="str">
        <f>IF(NOT(ISNUMBER($L90)),"",mPlanoQC.PlanoQC($L90,"REGRAS"))</f>
        <v/>
      </c>
      <c r="Y90" s="144" t="str">
        <f>IF(NOT(ISNUMBER($L90)),"",mPlanoQC.PlanoQC($L90,"N"))</f>
        <v/>
      </c>
      <c r="Z90" s="142" t="str">
        <f>IF(NOT(ISNUMBER($L90)),"",mPlanoQC.PlanoQC($L90,"RUNSIZE"))</f>
        <v/>
      </c>
      <c r="AA90" s="30" t="str">
        <f>IF(NOT(ISNUMBER($L90)),"",mPlanoQC.CoberturaWestgard($L90))</f>
        <v/>
      </c>
      <c r="AB90" s="30" t="str">
        <f t="shared" si="23"/>
        <v>0|1</v>
      </c>
      <c r="AC90" s="144" t="str">
        <f>IF($A90="","",mCEQ.BiasEQ($A90,eqAnoEP,"N",eqProvedor,eqRodada))</f>
        <v>SEM EP</v>
      </c>
      <c r="AD90" s="144" t="str">
        <f>IF($A90="","",mCEQ.BiasEQ($A90,eqAnoEP,"NRODADAS",eqProvedor,eqRodada))</f>
        <v>SEM EP</v>
      </c>
    </row>
    <row r="91" spans="1:30" x14ac:dyDescent="0.3">
      <c r="A91" s="15">
        <f>Analitos!$A$42</f>
        <v>0</v>
      </c>
      <c r="B91" s="8">
        <v>2</v>
      </c>
      <c r="C91" s="22">
        <f>IF($A91="","",EstatPeriodo($A91,$B91,"N",Estat_Ini_Efetiva,Estat_Fim_Efetiva,Estat_Exclusoes,$H$4))</f>
        <v>0</v>
      </c>
      <c r="D91" s="122" t="str">
        <f>IF($A91="","",EstatPeriodo($A91,$B91,"MEDIA",Estat_Ini_Efetiva,Estat_Fim_Efetiva,Estat_Exclusoes,$H$4))</f>
        <v/>
      </c>
      <c r="E91" s="122" t="str">
        <f>IF($A91="","",EstatPeriodo($A91,$B91,"DP",Estat_Ini_Efetiva,Estat_Fim_Efetiva,Estat_Exclusoes,$H$4))</f>
        <v/>
      </c>
      <c r="F91" s="85" t="str">
        <f>IF($A91="","",EstatPeriodo($A91,$B91,"CV",Estat_Ini_Efetiva,Estat_Fim_Efetiva,Estat_Exclusoes,$H$4))</f>
        <v/>
      </c>
      <c r="G91" s="85" t="str">
        <f>IF($A91="","",mCEQ.BiasEQ($A91,eqAnoEP,"ABS",eqProvedor,eqRodada))</f>
        <v>SEM EP</v>
      </c>
      <c r="H91" s="85" t="str">
        <f t="shared" si="16"/>
        <v/>
      </c>
      <c r="I91" s="85" t="str">
        <f>IF($A91="","",IFERROR(INDEX(espFonte,MATCH($A91,Analitos!$A$4:$A$43,0)),""))</f>
        <v/>
      </c>
      <c r="J91" s="85" t="str">
        <f>IF($A91="","",IFERROR(INDEX(cvtpOficial,MATCH($A91,Analitos!$A$4:$A$43,0)),""))</f>
        <v/>
      </c>
      <c r="K91" s="85" t="str">
        <f>IF($A91="","",IFERROR(INDEX(etpOficial,MATCH($A91,Analitos!$A$4:$A$43,0)),""))</f>
        <v/>
      </c>
      <c r="L91" s="85" t="str">
        <f t="shared" si="17"/>
        <v/>
      </c>
      <c r="M91" s="85" t="str">
        <f>IF(NOT(ISNUMBER($L91)),"",mQualidade.ClassificarSigma($L91))</f>
        <v/>
      </c>
      <c r="N91" s="150" t="str">
        <f t="shared" si="18"/>
        <v/>
      </c>
      <c r="O91" s="151" t="str">
        <f t="shared" si="19"/>
        <v/>
      </c>
      <c r="P91" s="30" t="str">
        <f>IF(NOT(ISNUMBER($O91)),"",mQualidade.ClassificarMargem($O91))</f>
        <v/>
      </c>
      <c r="Q91" s="30" t="str">
        <f t="shared" si="20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51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  <c r="V91" s="152" t="str">
        <f t="shared" si="21"/>
        <v/>
      </c>
      <c r="W91" s="143" t="str">
        <f t="shared" si="22"/>
        <v/>
      </c>
      <c r="X91" s="30" t="str">
        <f>IF(NOT(ISNUMBER($L91)),"",mPlanoQC.PlanoQC($L91,"REGRAS"))</f>
        <v/>
      </c>
      <c r="Y91" s="144" t="str">
        <f>IF(NOT(ISNUMBER($L91)),"",mPlanoQC.PlanoQC($L91,"N"))</f>
        <v/>
      </c>
      <c r="Z91" s="142" t="str">
        <f>IF(NOT(ISNUMBER($L91)),"",mPlanoQC.PlanoQC($L91,"RUNSIZE"))</f>
        <v/>
      </c>
      <c r="AA91" s="30" t="str">
        <f>IF(NOT(ISNUMBER($L91)),"",mPlanoQC.CoberturaWestgard($L91))</f>
        <v/>
      </c>
      <c r="AB91" s="30" t="str">
        <f t="shared" si="23"/>
        <v>0|2</v>
      </c>
      <c r="AC91" s="144" t="str">
        <f>IF($A91="","",mCEQ.BiasEQ($A91,eqAnoEP,"N",eqProvedor,eqRodada))</f>
        <v>SEM EP</v>
      </c>
      <c r="AD91" s="144" t="str">
        <f>IF($A91="","",mCEQ.BiasEQ($A91,eqAnoEP,"NRODADAS",eqProvedor,eqRodada))</f>
        <v>SEM EP</v>
      </c>
    </row>
    <row r="92" spans="1:30" x14ac:dyDescent="0.3">
      <c r="A92" s="15">
        <f>Analitos!$A$43</f>
        <v>0</v>
      </c>
      <c r="B92" s="8">
        <v>1</v>
      </c>
      <c r="C92" s="22">
        <f>IF($A92="","",EstatPeriodo($A92,$B92,"N",Estat_Ini_Efetiva,Estat_Fim_Efetiva,Estat_Exclusoes,$H$4))</f>
        <v>0</v>
      </c>
      <c r="D92" s="122" t="str">
        <f>IF($A92="","",EstatPeriodo($A92,$B92,"MEDIA",Estat_Ini_Efetiva,Estat_Fim_Efetiva,Estat_Exclusoes,$H$4))</f>
        <v/>
      </c>
      <c r="E92" s="122" t="str">
        <f>IF($A92="","",EstatPeriodo($A92,$B92,"DP",Estat_Ini_Efetiva,Estat_Fim_Efetiva,Estat_Exclusoes,$H$4))</f>
        <v/>
      </c>
      <c r="F92" s="85" t="str">
        <f>IF($A92="","",EstatPeriodo($A92,$B92,"CV",Estat_Ini_Efetiva,Estat_Fim_Efetiva,Estat_Exclusoes,$H$4))</f>
        <v/>
      </c>
      <c r="G92" s="85" t="str">
        <f>IF($A92="","",mCEQ.BiasEQ($A92,eqAnoEP,"ABS",eqProvedor,eqRodada))</f>
        <v>SEM EP</v>
      </c>
      <c r="H92" s="85" t="str">
        <f t="shared" si="16"/>
        <v/>
      </c>
      <c r="I92" s="85" t="str">
        <f>IF($A92="","",IFERROR(INDEX(espFonte,MATCH($A92,Analitos!$A$4:$A$43,0)),""))</f>
        <v/>
      </c>
      <c r="J92" s="85" t="str">
        <f>IF($A92="","",IFERROR(INDEX(cvtpOficial,MATCH($A92,Analitos!$A$4:$A$43,0)),""))</f>
        <v/>
      </c>
      <c r="K92" s="85" t="str">
        <f>IF($A92="","",IFERROR(INDEX(etpOficial,MATCH($A92,Analitos!$A$4:$A$43,0)),""))</f>
        <v/>
      </c>
      <c r="L92" s="85" t="str">
        <f t="shared" si="17"/>
        <v/>
      </c>
      <c r="M92" s="85" t="str">
        <f>IF(NOT(ISNUMBER($L92)),"",mQualidade.ClassificarSigma($L92))</f>
        <v/>
      </c>
      <c r="N92" s="150" t="str">
        <f t="shared" si="18"/>
        <v/>
      </c>
      <c r="O92" s="151" t="str">
        <f t="shared" si="19"/>
        <v/>
      </c>
      <c r="P92" s="30" t="str">
        <f>IF(NOT(ISNUMBER($O92)),"",mQualidade.ClassificarMargem($O92))</f>
        <v/>
      </c>
      <c r="Q92" s="30" t="str">
        <f t="shared" si="20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51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  <c r="V92" s="152" t="str">
        <f t="shared" si="21"/>
        <v/>
      </c>
      <c r="W92" s="143" t="str">
        <f t="shared" si="22"/>
        <v/>
      </c>
      <c r="X92" s="30" t="str">
        <f>IF(NOT(ISNUMBER($L92)),"",mPlanoQC.PlanoQC($L92,"REGRAS"))</f>
        <v/>
      </c>
      <c r="Y92" s="144" t="str">
        <f>IF(NOT(ISNUMBER($L92)),"",mPlanoQC.PlanoQC($L92,"N"))</f>
        <v/>
      </c>
      <c r="Z92" s="142" t="str">
        <f>IF(NOT(ISNUMBER($L92)),"",mPlanoQC.PlanoQC($L92,"RUNSIZE"))</f>
        <v/>
      </c>
      <c r="AA92" s="30" t="str">
        <f>IF(NOT(ISNUMBER($L92)),"",mPlanoQC.CoberturaWestgard($L92))</f>
        <v/>
      </c>
      <c r="AB92" s="30" t="str">
        <f t="shared" si="23"/>
        <v>0|1</v>
      </c>
      <c r="AC92" s="144" t="str">
        <f>IF($A92="","",mCEQ.BiasEQ($A92,eqAnoEP,"N",eqProvedor,eqRodada))</f>
        <v>SEM EP</v>
      </c>
      <c r="AD92" s="144" t="str">
        <f>IF($A92="","",mCEQ.BiasEQ($A92,eqAnoEP,"NRODADAS",eqProvedor,eqRodada))</f>
        <v>SEM EP</v>
      </c>
    </row>
    <row r="93" spans="1:30" x14ac:dyDescent="0.3">
      <c r="A93" s="15">
        <f>Analitos!$A$43</f>
        <v>0</v>
      </c>
      <c r="B93" s="8">
        <v>2</v>
      </c>
      <c r="C93" s="22">
        <f>IF($A93="","",EstatPeriodo($A93,$B93,"N",Estat_Ini_Efetiva,Estat_Fim_Efetiva,Estat_Exclusoes,$H$4))</f>
        <v>0</v>
      </c>
      <c r="D93" s="122" t="str">
        <f>IF($A93="","",EstatPeriodo($A93,$B93,"MEDIA",Estat_Ini_Efetiva,Estat_Fim_Efetiva,Estat_Exclusoes,$H$4))</f>
        <v/>
      </c>
      <c r="E93" s="122" t="str">
        <f>IF($A93="","",EstatPeriodo($A93,$B93,"DP",Estat_Ini_Efetiva,Estat_Fim_Efetiva,Estat_Exclusoes,$H$4))</f>
        <v/>
      </c>
      <c r="F93" s="85" t="str">
        <f>IF($A93="","",EstatPeriodo($A93,$B93,"CV",Estat_Ini_Efetiva,Estat_Fim_Efetiva,Estat_Exclusoes,$H$4))</f>
        <v/>
      </c>
      <c r="G93" s="85" t="str">
        <f>IF($A93="","",mCEQ.BiasEQ($A93,eqAnoEP,"ABS",eqProvedor,eqRodada))</f>
        <v>SEM EP</v>
      </c>
      <c r="H93" s="85" t="str">
        <f t="shared" si="16"/>
        <v/>
      </c>
      <c r="I93" s="85" t="str">
        <f>IF($A93="","",IFERROR(INDEX(espFonte,MATCH($A93,Analitos!$A$4:$A$43,0)),""))</f>
        <v/>
      </c>
      <c r="J93" s="85" t="str">
        <f>IF($A93="","",IFERROR(INDEX(cvtpOficial,MATCH($A93,Analitos!$A$4:$A$43,0)),""))</f>
        <v/>
      </c>
      <c r="K93" s="85" t="str">
        <f>IF($A93="","",IFERROR(INDEX(etpOficial,MATCH($A93,Analitos!$A$4:$A$43,0)),""))</f>
        <v/>
      </c>
      <c r="L93" s="85" t="str">
        <f t="shared" si="17"/>
        <v/>
      </c>
      <c r="M93" s="85" t="str">
        <f>IF(NOT(ISNUMBER($L93)),"",mQualidade.ClassificarSigma($L93))</f>
        <v/>
      </c>
      <c r="N93" s="150" t="str">
        <f t="shared" si="18"/>
        <v/>
      </c>
      <c r="O93" s="151" t="str">
        <f t="shared" si="19"/>
        <v/>
      </c>
      <c r="P93" s="30" t="str">
        <f>IF(NOT(ISNUMBER($O93)),"",mQualidade.ClassificarMargem($O93))</f>
        <v/>
      </c>
      <c r="Q93" s="30" t="str">
        <f t="shared" si="20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51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  <c r="V93" s="152" t="str">
        <f t="shared" si="21"/>
        <v/>
      </c>
      <c r="W93" s="143" t="str">
        <f t="shared" si="22"/>
        <v/>
      </c>
      <c r="X93" s="30" t="str">
        <f>IF(NOT(ISNUMBER($L93)),"",mPlanoQC.PlanoQC($L93,"REGRAS"))</f>
        <v/>
      </c>
      <c r="Y93" s="144" t="str">
        <f>IF(NOT(ISNUMBER($L93)),"",mPlanoQC.PlanoQC($L93,"N"))</f>
        <v/>
      </c>
      <c r="Z93" s="142" t="str">
        <f>IF(NOT(ISNUMBER($L93)),"",mPlanoQC.PlanoQC($L93,"RUNSIZE"))</f>
        <v/>
      </c>
      <c r="AA93" s="30" t="str">
        <f>IF(NOT(ISNUMBER($L93)),"",mPlanoQC.CoberturaWestgard($L93))</f>
        <v/>
      </c>
      <c r="AB93" s="30" t="str">
        <f t="shared" si="23"/>
        <v>0|2</v>
      </c>
      <c r="AC93" s="144" t="str">
        <f>IF($A93="","",mCEQ.BiasEQ($A93,eqAnoEP,"N",eqProvedor,eqRodada))</f>
        <v>SEM EP</v>
      </c>
      <c r="AD93" s="144" t="str">
        <f>IF($A93="","",mCEQ.BiasEQ($A93,eqAnoEP,"NRODADAS",eqProvedor,eqRodada))</f>
        <v>SEM EP</v>
      </c>
    </row>
    <row r="96" spans="1:30" x14ac:dyDescent="0.3">
      <c r="A96" s="96" t="s">
        <v>415</v>
      </c>
      <c r="E96" s="30" t="s">
        <v>416</v>
      </c>
    </row>
    <row r="97" spans="1:8" x14ac:dyDescent="0.3">
      <c r="A97" s="96" t="s">
        <v>417</v>
      </c>
      <c r="B97" s="66" t="s">
        <v>213</v>
      </c>
      <c r="D97" s="66" t="s">
        <v>418</v>
      </c>
      <c r="F97" s="66" t="s">
        <v>213</v>
      </c>
    </row>
    <row r="98" spans="1:8" x14ac:dyDescent="0.3">
      <c r="A98" s="1" t="s">
        <v>419</v>
      </c>
      <c r="B98" s="30">
        <f>COUNTIF($M$14:$M$93,$A98)</f>
        <v>16</v>
      </c>
      <c r="D98" s="30" t="s">
        <v>423</v>
      </c>
      <c r="F98" s="30">
        <f>COUNTIF($P$14:$P$93,$D98)</f>
        <v>41</v>
      </c>
    </row>
    <row r="99" spans="1:8" x14ac:dyDescent="0.3">
      <c r="A99" s="1" t="s">
        <v>420</v>
      </c>
      <c r="B99" s="30">
        <f>COUNTIF($M$14:$M$93,$A99)</f>
        <v>3</v>
      </c>
      <c r="D99" s="30" t="s">
        <v>424</v>
      </c>
      <c r="F99" s="30">
        <f>COUNTIF($P$14:$P$93,$D99)</f>
        <v>4</v>
      </c>
    </row>
    <row r="100" spans="1:8" x14ac:dyDescent="0.3">
      <c r="A100" s="1" t="s">
        <v>421</v>
      </c>
      <c r="B100" s="30">
        <f>COUNTIF($M$14:$M$93,$A100)</f>
        <v>7</v>
      </c>
      <c r="D100" s="30" t="s">
        <v>425</v>
      </c>
      <c r="F100" s="30">
        <f>COUNTIF($P$14:$P$93,$D100)</f>
        <v>11</v>
      </c>
    </row>
    <row r="101" spans="1:8" x14ac:dyDescent="0.3">
      <c r="A101" s="1" t="s">
        <v>422</v>
      </c>
      <c r="B101" s="30">
        <f>COUNTIF($M$14:$M$93,$A101)</f>
        <v>4</v>
      </c>
    </row>
    <row r="102" spans="1:8" x14ac:dyDescent="0.3">
      <c r="A102" s="1" t="s">
        <v>1124</v>
      </c>
      <c r="B102" s="30">
        <f>COUNTIF($M$14:$M$93,$A102)</f>
        <v>28</v>
      </c>
    </row>
    <row r="103" spans="1:8" x14ac:dyDescent="0.3">
      <c r="A103" s="1" t="s">
        <v>426</v>
      </c>
      <c r="B103" s="30">
        <f>COUNTIF($G$14:$G$93,"SEM EP")</f>
        <v>22</v>
      </c>
    </row>
    <row r="106" spans="1:8" x14ac:dyDescent="0.3">
      <c r="A106" s="96" t="s">
        <v>427</v>
      </c>
    </row>
    <row r="107" spans="1:8" x14ac:dyDescent="0.3">
      <c r="A107" s="96" t="s">
        <v>88</v>
      </c>
      <c r="B107" s="66" t="s">
        <v>157</v>
      </c>
      <c r="C107" s="66" t="s">
        <v>219</v>
      </c>
      <c r="D107" s="66" t="s">
        <v>217</v>
      </c>
      <c r="E107" s="66" t="s">
        <v>428</v>
      </c>
      <c r="F107" s="66" t="s">
        <v>429</v>
      </c>
      <c r="G107" s="66" t="s">
        <v>220</v>
      </c>
      <c r="H107" s="66" t="s">
        <v>404</v>
      </c>
    </row>
    <row r="108" spans="1:8" x14ac:dyDescent="0.3">
      <c r="A108" s="1" t="str">
        <f>IFERROR(INDEX($A$14:$A$93,MATCH(1,$U$14:$U$93,0)),"")</f>
        <v>Lactato</v>
      </c>
      <c r="B108" s="30">
        <f>IFERROR(INDEX($B$14:$B$93,MATCH(1,$U$14:$U$93,0)),"")</f>
        <v>2</v>
      </c>
      <c r="C108" s="124">
        <f>IFERROR(INDEX($H$14:$H$93,MATCH(1,$U$14:$U$93,0)),"")</f>
        <v>14.012811442825511</v>
      </c>
      <c r="D108" s="124">
        <f>IFERROR(INDEX($K$14:$K$93,MATCH(1,$U$14:$U$93,0)),"")</f>
        <v>15.209693753911445</v>
      </c>
      <c r="E108" s="124">
        <f>IFERROR(INDEX($O$14:$O$93,MATCH(1,$U$14:$U$93,0)),"")</f>
        <v>7.8692071678177919</v>
      </c>
      <c r="F108" s="30" t="str">
        <f>IFERROR(INDEX($P$14:$P$93,MATCH(1,$U$14:$U$93,0)),"")</f>
        <v>Margem critica</v>
      </c>
      <c r="G108" s="124">
        <f>IFERROR(INDEX($L$14:$L$93,MATCH(1,$U$14:$U$93,0)),"")</f>
        <v>1.8245826534752143</v>
      </c>
      <c r="H108" s="30" t="str">
        <f>IFERROR(INDEX($M$14:$M$93,MATCH(1,$U$14:$U$93,0)),"")</f>
        <v>Desempenho inadequado</v>
      </c>
    </row>
    <row r="109" spans="1:8" x14ac:dyDescent="0.3">
      <c r="A109" s="1" t="str">
        <f>IFERROR(INDEX($A$14:$A$93,MATCH(2,$U$14:$U$93,0)),"")</f>
        <v>Albumina</v>
      </c>
      <c r="B109" s="30">
        <f>IFERROR(INDEX($B$14:$B$93,MATCH(2,$U$14:$U$93,0)),"")</f>
        <v>1</v>
      </c>
      <c r="C109" s="124">
        <f>IFERROR(INDEX($H$14:$H$93,MATCH(2,$U$14:$U$93,0)),"")</f>
        <v>9.7822881368956001</v>
      </c>
      <c r="D109" s="124">
        <f>IFERROR(INDEX($K$14:$K$93,MATCH(2,$U$14:$U$93,0)),"")</f>
        <v>10</v>
      </c>
      <c r="E109" s="124">
        <f>IFERROR(INDEX($O$14:$O$93,MATCH(2,$U$14:$U$93,0)),"")</f>
        <v>2.1771186310439994</v>
      </c>
      <c r="F109" s="30" t="str">
        <f>IFERROR(INDEX($P$14:$P$93,MATCH(2,$U$14:$U$93,0)),"")</f>
        <v>Margem critica</v>
      </c>
      <c r="G109" s="124">
        <f>IFERROR(INDEX($L$14:$L$93,MATCH(2,$U$14:$U$93,0)),"")</f>
        <v>1.7257415682788255</v>
      </c>
      <c r="H109" s="30" t="str">
        <f>IFERROR(INDEX($M$14:$M$93,MATCH(2,$U$14:$U$93,0)),"")</f>
        <v>Desempenho inadequado</v>
      </c>
    </row>
    <row r="110" spans="1:8" x14ac:dyDescent="0.3">
      <c r="A110" s="1" t="str">
        <f>IFERROR(INDEX($A$14:$A$93,MATCH(3,$U$14:$U$93,0)),"")</f>
        <v>Albumina</v>
      </c>
      <c r="B110" s="30">
        <f>IFERROR(INDEX($B$14:$B$93,MATCH(3,$U$14:$U$93,0)),"")</f>
        <v>2</v>
      </c>
      <c r="C110" s="124">
        <f>IFERROR(INDEX($H$14:$H$93,MATCH(3,$U$14:$U$93,0)),"")</f>
        <v>9.419016056650225</v>
      </c>
      <c r="D110" s="124">
        <f>IFERROR(INDEX($K$14:$K$93,MATCH(3,$U$14:$U$93,0)),"")</f>
        <v>10</v>
      </c>
      <c r="E110" s="124">
        <f>IFERROR(INDEX($O$14:$O$93,MATCH(3,$U$14:$U$93,0)),"")</f>
        <v>5.8098394334977499</v>
      </c>
      <c r="F110" s="30" t="str">
        <f>IFERROR(INDEX($P$14:$P$93,MATCH(3,$U$14:$U$93,0)),"")</f>
        <v>Margem critica</v>
      </c>
      <c r="G110" s="124">
        <f>IFERROR(INDEX($L$14:$L$93,MATCH(3,$U$14:$U$93,0)),"")</f>
        <v>1.8688890795395696</v>
      </c>
      <c r="H110" s="30" t="str">
        <f>IFERROR(INDEX($M$14:$M$93,MATCH(3,$U$14:$U$93,0)),"")</f>
        <v>Desempenho inadequado</v>
      </c>
    </row>
    <row r="111" spans="1:8" x14ac:dyDescent="0.3">
      <c r="A111" s="1" t="str">
        <f>IFERROR(INDEX($A$14:$A$93,MATCH(4,$U$14:$U$93,0)),"")</f>
        <v>Bilirrubina direta</v>
      </c>
      <c r="B111" s="30">
        <f>IFERROR(INDEX($B$14:$B$93,MATCH(4,$U$14:$U$93,0)),"")</f>
        <v>1</v>
      </c>
      <c r="C111" s="124">
        <f>IFERROR(INDEX($H$14:$H$93,MATCH(4,$U$14:$U$93,0)),"")</f>
        <v>40.578817279223024</v>
      </c>
      <c r="D111" s="124">
        <f>IFERROR(INDEX($K$14:$K$93,MATCH(4,$U$14:$U$93,0)),"")</f>
        <v>39.91509557613611</v>
      </c>
      <c r="E111" s="124">
        <f>IFERROR(INDEX($O$14:$O$93,MATCH(4,$U$14:$U$93,0)),"")</f>
        <v>-1.6628338063750765</v>
      </c>
      <c r="F111" s="30" t="str">
        <f>IFERROR(INDEX($P$14:$P$93,MATCH(4,$U$14:$U$93,0)),"")</f>
        <v>ETp excedido</v>
      </c>
      <c r="G111" s="124">
        <f>IFERROR(INDEX($L$14:$L$93,MATCH(4,$U$14:$U$93,0)),"")</f>
        <v>1.5383407668098907</v>
      </c>
      <c r="H111" s="30" t="str">
        <f>IFERROR(INDEX($M$14:$M$93,MATCH(4,$U$14:$U$93,0)),"")</f>
        <v>Desempenho inadequado</v>
      </c>
    </row>
    <row r="112" spans="1:8" x14ac:dyDescent="0.3">
      <c r="A112" s="1" t="str">
        <f>IFERROR(INDEX($A$14:$A$93,MATCH(5,$U$14:$U$93,0)),"")</f>
        <v>Bilirrubina direta</v>
      </c>
      <c r="B112" s="30">
        <f>IFERROR(INDEX($B$14:$B$93,MATCH(5,$U$14:$U$93,0)),"")</f>
        <v>2</v>
      </c>
      <c r="C112" s="124">
        <f>IFERROR(INDEX($H$14:$H$93,MATCH(5,$U$14:$U$93,0)),"")</f>
        <v>40.133754695708426</v>
      </c>
      <c r="D112" s="124">
        <f>IFERROR(INDEX($K$14:$K$93,MATCH(5,$U$14:$U$93,0)),"")</f>
        <v>39.91509557613611</v>
      </c>
      <c r="E112" s="124">
        <f>IFERROR(INDEX($O$14:$O$93,MATCH(5,$U$14:$U$93,0)),"")</f>
        <v>-0.54781058748872002</v>
      </c>
      <c r="F112" s="30" t="str">
        <f>IFERROR(INDEX($P$14:$P$93,MATCH(5,$U$14:$U$93,0)),"")</f>
        <v>ETp excedido</v>
      </c>
      <c r="G112" s="124">
        <f>IFERROR(INDEX($L$14:$L$93,MATCH(5,$U$14:$U$93,0)),"")</f>
        <v>1.6114659374498657</v>
      </c>
      <c r="H112" s="30" t="str">
        <f>IFERROR(INDEX($M$14:$M$93,MATCH(5,$U$14:$U$93,0)),"")</f>
        <v>Desempenho inadequado</v>
      </c>
    </row>
    <row r="113" spans="1:8" x14ac:dyDescent="0.3">
      <c r="A113" s="1" t="str">
        <f>IFERROR(INDEX($A$14:$A$93,MATCH(6,$U$14:$U$93,0)),"")</f>
        <v>Ureia</v>
      </c>
      <c r="B113" s="30">
        <f>IFERROR(INDEX($B$14:$B$93,MATCH(6,$U$14:$U$93,0)),"")</f>
        <v>1</v>
      </c>
      <c r="C113" s="124">
        <f>IFERROR(INDEX($H$14:$H$93,MATCH(6,$U$14:$U$93,0)),"")</f>
        <v>12.92962448343062</v>
      </c>
      <c r="D113" s="124">
        <f>IFERROR(INDEX($K$14:$K$93,MATCH(6,$U$14:$U$93,0)),"")</f>
        <v>9</v>
      </c>
      <c r="E113" s="124">
        <f>IFERROR(INDEX($O$14:$O$93,MATCH(6,$U$14:$U$93,0)),"")</f>
        <v>-43.662494260340232</v>
      </c>
      <c r="F113" s="30" t="str">
        <f>IFERROR(INDEX($P$14:$P$93,MATCH(6,$U$14:$U$93,0)),"")</f>
        <v>ETp excedido</v>
      </c>
      <c r="G113" s="124">
        <f>IFERROR(INDEX($L$14:$L$93,MATCH(6,$U$14:$U$93,0)),"")</f>
        <v>0.72626161033063685</v>
      </c>
      <c r="H113" s="30" t="str">
        <f>IFERROR(INDEX($M$14:$M$93,MATCH(6,$U$14:$U$93,0)),"")</f>
        <v>Desempenho inadequado</v>
      </c>
    </row>
    <row r="114" spans="1:8" x14ac:dyDescent="0.3">
      <c r="A114" s="1" t="str">
        <f>IFERROR(INDEX($A$14:$A$93,MATCH(7,$U$14:$U$93,0)),"")</f>
        <v>Ureia</v>
      </c>
      <c r="B114" s="30">
        <f>IFERROR(INDEX($B$14:$B$93,MATCH(7,$U$14:$U$93,0)),"")</f>
        <v>2</v>
      </c>
      <c r="C114" s="124">
        <f>IFERROR(INDEX($H$14:$H$93,MATCH(7,$U$14:$U$93,0)),"")</f>
        <v>10.20659330728701</v>
      </c>
      <c r="D114" s="124">
        <f>IFERROR(INDEX($K$14:$K$93,MATCH(7,$U$14:$U$93,0)),"")</f>
        <v>9</v>
      </c>
      <c r="E114" s="124">
        <f>IFERROR(INDEX($O$14:$O$93,MATCH(7,$U$14:$U$93,0)),"")</f>
        <v>-13.406592303188999</v>
      </c>
      <c r="F114" s="30" t="str">
        <f>IFERROR(INDEX($P$14:$P$93,MATCH(7,$U$14:$U$93,0)),"")</f>
        <v>ETp excedido</v>
      </c>
      <c r="G114" s="124">
        <f>IFERROR(INDEX($L$14:$L$93,MATCH(7,$U$14:$U$93,0)),"")</f>
        <v>1.1865891955284695</v>
      </c>
      <c r="H114" s="30" t="str">
        <f>IFERROR(INDEX($M$14:$M$93,MATCH(7,$U$14:$U$93,0)),"")</f>
        <v>Desempenho inadequado</v>
      </c>
    </row>
    <row r="115" spans="1:8" x14ac:dyDescent="0.3">
      <c r="A115" s="1" t="str">
        <f>IFERROR(INDEX($A$14:$A$93,MATCH(8,$U$14:$U$93,0)),"")</f>
        <v>Bicarbonato</v>
      </c>
      <c r="B115" s="30">
        <f>IFERROR(INDEX($B$14:$B$93,MATCH(8,$U$14:$U$93,0)),"")</f>
        <v>1</v>
      </c>
      <c r="C115" s="124">
        <f>IFERROR(INDEX($H$14:$H$93,MATCH(8,$U$14:$U$93,0)),"")</f>
        <v>32.898267137637475</v>
      </c>
      <c r="D115" s="124">
        <f>IFERROR(INDEX($K$14:$K$93,MATCH(8,$U$14:$U$93,0)),"")</f>
        <v>20</v>
      </c>
      <c r="E115" s="124">
        <f>IFERROR(INDEX($O$14:$O$93,MATCH(8,$U$14:$U$93,0)),"")</f>
        <v>-64.491335688187377</v>
      </c>
      <c r="F115" s="30" t="str">
        <f>IFERROR(INDEX($P$14:$P$93,MATCH(8,$U$14:$U$93,0)),"")</f>
        <v>ETp excedido</v>
      </c>
      <c r="G115" s="124">
        <f>IFERROR(INDEX($L$14:$L$93,MATCH(8,$U$14:$U$93,0)),"")</f>
        <v>0.32478792713670512</v>
      </c>
      <c r="H115" s="30" t="str">
        <f>IFERROR(INDEX($M$14:$M$93,MATCH(8,$U$14:$U$93,0)),"")</f>
        <v>Desempenho inadequado</v>
      </c>
    </row>
    <row r="116" spans="1:8" x14ac:dyDescent="0.3">
      <c r="A116" s="1" t="str">
        <f>IFERROR(INDEX($A$14:$A$93,MATCH(9,$U$14:$U$93,0)),"")</f>
        <v>Bicarbonato</v>
      </c>
      <c r="B116" s="30">
        <f>IFERROR(INDEX($B$14:$B$93,MATCH(9,$U$14:$U$93,0)),"")</f>
        <v>2</v>
      </c>
      <c r="C116" s="124">
        <f>IFERROR(INDEX($H$14:$H$93,MATCH(9,$U$14:$U$93,0)),"")</f>
        <v>39.922199883124392</v>
      </c>
      <c r="D116" s="124">
        <f>IFERROR(INDEX($K$14:$K$93,MATCH(9,$U$14:$U$93,0)),"")</f>
        <v>20</v>
      </c>
      <c r="E116" s="124">
        <f>IFERROR(INDEX($O$14:$O$93,MATCH(9,$U$14:$U$93,0)),"")</f>
        <v>-99.610999415621961</v>
      </c>
      <c r="F116" s="30" t="str">
        <f>IFERROR(INDEX($P$14:$P$93,MATCH(9,$U$14:$U$93,0)),"")</f>
        <v>ETp excedido</v>
      </c>
      <c r="G116" s="124">
        <f>IFERROR(INDEX($L$14:$L$93,MATCH(9,$U$14:$U$93,0)),"")</f>
        <v>0.22595963645668249</v>
      </c>
      <c r="H116" s="30" t="str">
        <f>IFERROR(INDEX($M$14:$M$93,MATCH(9,$U$14:$U$93,0)),"")</f>
        <v>Desempenho inadequado</v>
      </c>
    </row>
    <row r="117" spans="1:8" x14ac:dyDescent="0.3">
      <c r="A117" s="1" t="str">
        <f>IFERROR(INDEX($A$14:$A$93,MATCH(10,$U$14:$U$93,0)),"")</f>
        <v>Sódio</v>
      </c>
      <c r="B117" s="30">
        <f>IFERROR(INDEX($B$14:$B$93,MATCH(10,$U$14:$U$93,0)),"")</f>
        <v>1</v>
      </c>
      <c r="C117" s="124">
        <f>IFERROR(INDEX($H$14:$H$93,MATCH(10,$U$14:$U$93,0)),"")</f>
        <v>4.4723186205380649</v>
      </c>
      <c r="D117" s="124">
        <f>IFERROR(INDEX($K$14:$K$93,MATCH(10,$U$14:$U$93,0)),"")</f>
        <v>4</v>
      </c>
      <c r="E117" s="124">
        <f>IFERROR(INDEX($O$14:$O$93,MATCH(10,$U$14:$U$93,0)),"")</f>
        <v>-11.807965513451624</v>
      </c>
      <c r="F117" s="30" t="str">
        <f>IFERROR(INDEX($P$14:$P$93,MATCH(10,$U$14:$U$93,0)),"")</f>
        <v>ETp excedido</v>
      </c>
      <c r="G117" s="124">
        <f>IFERROR(INDEX($L$14:$L$93,MATCH(10,$U$14:$U$93,0)),"")</f>
        <v>1.3207879780518432</v>
      </c>
      <c r="H117" s="30" t="str">
        <f>IFERROR(INDEX($M$14:$M$93,MATCH(10,$U$14:$U$93,0)),"")</f>
        <v>Desempenho inadequado</v>
      </c>
    </row>
    <row r="118" spans="1:8" x14ac:dyDescent="0.3">
      <c r="A118" s="1" t="str">
        <f>IFERROR(INDEX($A$14:$A$93,MATCH(11,$U$14:$U$93,0)),"")</f>
        <v>Sódio</v>
      </c>
      <c r="B118" s="30">
        <f>IFERROR(INDEX($B$14:$B$93,MATCH(11,$U$14:$U$93,0)),"")</f>
        <v>2</v>
      </c>
      <c r="C118" s="124">
        <f>IFERROR(INDEX($H$14:$H$93,MATCH(11,$U$14:$U$93,0)),"")</f>
        <v>4.6104578215306793</v>
      </c>
      <c r="D118" s="124">
        <f>IFERROR(INDEX($K$14:$K$93,MATCH(11,$U$14:$U$93,0)),"")</f>
        <v>4</v>
      </c>
      <c r="E118" s="124">
        <f>IFERROR(INDEX($O$14:$O$93,MATCH(11,$U$14:$U$93,0)),"")</f>
        <v>-15.261445538266983</v>
      </c>
      <c r="F118" s="30" t="str">
        <f>IFERROR(INDEX($P$14:$P$93,MATCH(11,$U$14:$U$93,0)),"")</f>
        <v>ETp excedido</v>
      </c>
      <c r="G118" s="124">
        <f>IFERROR(INDEX($L$14:$L$93,MATCH(11,$U$14:$U$93,0)),"")</f>
        <v>1.2479637983417546</v>
      </c>
      <c r="H118" s="30" t="str">
        <f>IFERROR(INDEX($M$14:$M$93,MATCH(11,$U$14:$U$93,0)),"")</f>
        <v>Desempenho inadequado</v>
      </c>
    </row>
    <row r="119" spans="1:8" x14ac:dyDescent="0.3">
      <c r="A119" s="1" t="str">
        <f>IFERROR(INDEX($A$14:$A$93,MATCH(12,$U$14:$U$93,0)),"")</f>
        <v>Potássio</v>
      </c>
      <c r="B119" s="30">
        <f>IFERROR(INDEX($B$14:$B$93,MATCH(12,$U$14:$U$93,0)),"")</f>
        <v>1</v>
      </c>
      <c r="C119" s="124">
        <f>IFERROR(INDEX($H$14:$H$93,MATCH(12,$U$14:$U$93,0)),"")</f>
        <v>6.2695703854627833</v>
      </c>
      <c r="D119" s="124">
        <f>IFERROR(INDEX($K$14:$K$93,MATCH(12,$U$14:$U$93,0)),"")</f>
        <v>6</v>
      </c>
      <c r="E119" s="124">
        <f>IFERROR(INDEX($O$14:$O$93,MATCH(12,$U$14:$U$93,0)),"")</f>
        <v>-4.492839757713055</v>
      </c>
      <c r="F119" s="30" t="str">
        <f>IFERROR(INDEX($P$14:$P$93,MATCH(12,$U$14:$U$93,0)),"")</f>
        <v>ETp excedido</v>
      </c>
      <c r="G119" s="124">
        <f>IFERROR(INDEX($L$14:$L$93,MATCH(12,$U$14:$U$93,0)),"")</f>
        <v>1.5294516971677101</v>
      </c>
      <c r="H119" s="30" t="str">
        <f>IFERROR(INDEX($M$14:$M$93,MATCH(12,$U$14:$U$93,0)),"")</f>
        <v>Desempenho inadequado</v>
      </c>
    </row>
    <row r="120" spans="1:8" x14ac:dyDescent="0.3">
      <c r="A120" s="1" t="str">
        <f>IFERROR(INDEX($A$14:$A$93,MATCH(13,$U$14:$U$93,0)),"")</f>
        <v>Potássio</v>
      </c>
      <c r="B120" s="30">
        <f>IFERROR(INDEX($B$14:$B$93,MATCH(13,$U$14:$U$93,0)),"")</f>
        <v>2</v>
      </c>
      <c r="C120" s="124">
        <f>IFERROR(INDEX($H$14:$H$93,MATCH(13,$U$14:$U$93,0)),"")</f>
        <v>5.4312343736109998</v>
      </c>
      <c r="D120" s="124">
        <f>IFERROR(INDEX($K$14:$K$93,MATCH(13,$U$14:$U$93,0)),"")</f>
        <v>6</v>
      </c>
      <c r="E120" s="124">
        <f>IFERROR(INDEX($O$14:$O$93,MATCH(13,$U$14:$U$93,0)),"")</f>
        <v>9.4794271064833353</v>
      </c>
      <c r="F120" s="30" t="str">
        <f>IFERROR(INDEX($P$14:$P$93,MATCH(13,$U$14:$U$93,0)),"")</f>
        <v>Margem critica</v>
      </c>
      <c r="G120" s="124">
        <f>IFERROR(INDEX($L$14:$L$93,MATCH(13,$U$14:$U$93,0)),"")</f>
        <v>1.9791239541475925</v>
      </c>
      <c r="H120" s="30" t="str">
        <f>IFERROR(INDEX($M$14:$M$93,MATCH(13,$U$14:$U$93,0)),"")</f>
        <v>Desempenho inadequado</v>
      </c>
    </row>
    <row r="121" spans="1:8" x14ac:dyDescent="0.3">
      <c r="A121" s="1" t="str">
        <f>IFERROR(INDEX($A$14:$A$93,MATCH(14,$U$14:$U$93,0)),"")</f>
        <v>Cloro</v>
      </c>
      <c r="B121" s="30">
        <f>IFERROR(INDEX($B$14:$B$93,MATCH(14,$U$14:$U$93,0)),"")</f>
        <v>1</v>
      </c>
      <c r="C121" s="124">
        <f>IFERROR(INDEX($H$14:$H$93,MATCH(14,$U$14:$U$93,0)),"")</f>
        <v>8.6388008882140355</v>
      </c>
      <c r="D121" s="124">
        <f>IFERROR(INDEX($K$14:$K$93,MATCH(14,$U$14:$U$93,0)),"")</f>
        <v>5</v>
      </c>
      <c r="E121" s="124">
        <f>IFERROR(INDEX($O$14:$O$93,MATCH(14,$U$14:$U$93,0)),"")</f>
        <v>-72.776017764280709</v>
      </c>
      <c r="F121" s="30" t="str">
        <f>IFERROR(INDEX($P$14:$P$93,MATCH(14,$U$14:$U$93,0)),"")</f>
        <v>ETp excedido</v>
      </c>
      <c r="G121" s="124">
        <f>IFERROR(INDEX($L$14:$L$93,MATCH(14,$U$14:$U$93,0)),"")</f>
        <v>0.48110884571509455</v>
      </c>
      <c r="H121" s="30" t="str">
        <f>IFERROR(INDEX($M$14:$M$93,MATCH(14,$U$14:$U$93,0)),"")</f>
        <v>Desempenho inadequado</v>
      </c>
    </row>
    <row r="122" spans="1:8" x14ac:dyDescent="0.3">
      <c r="A122" s="1" t="str">
        <f>IFERROR(INDEX($A$14:$A$93,MATCH(15,$U$14:$U$93,0)),"")</f>
        <v>Cloro</v>
      </c>
      <c r="B122" s="30">
        <f>IFERROR(INDEX($B$14:$B$93,MATCH(15,$U$14:$U$93,0)),"")</f>
        <v>2</v>
      </c>
      <c r="C122" s="124">
        <f>IFERROR(INDEX($H$14:$H$93,MATCH(15,$U$14:$U$93,0)),"")</f>
        <v>9.036705781298803</v>
      </c>
      <c r="D122" s="124">
        <f>IFERROR(INDEX($K$14:$K$93,MATCH(15,$U$14:$U$93,0)),"")</f>
        <v>5</v>
      </c>
      <c r="E122" s="124">
        <f>IFERROR(INDEX($O$14:$O$93,MATCH(15,$U$14:$U$93,0)),"")</f>
        <v>-80.73411562597606</v>
      </c>
      <c r="F122" s="30" t="str">
        <f>IFERROR(INDEX($P$14:$P$93,MATCH(15,$U$14:$U$93,0)),"")</f>
        <v>ETp excedido</v>
      </c>
      <c r="G122" s="124">
        <f>IFERROR(INDEX($L$14:$L$93,MATCH(15,$U$14:$U$93,0)),"")</f>
        <v>0.44651882006960392</v>
      </c>
      <c r="H122" s="30" t="str">
        <f>IFERROR(INDEX($M$14:$M$93,MATCH(15,$U$14:$U$93,0)),"")</f>
        <v>Desempenho inadequado</v>
      </c>
    </row>
    <row r="123" spans="1:8" x14ac:dyDescent="0.3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24" t="str">
        <f>IFERROR(INDEX($H$14:$H$93,MATCH(16,$U$14:$U$93,0)),"")</f>
        <v/>
      </c>
      <c r="D123" s="124" t="str">
        <f>IFERROR(INDEX($K$14:$K$93,MATCH(16,$U$14:$U$93,0)),"")</f>
        <v/>
      </c>
      <c r="E123" s="124" t="str">
        <f>IFERROR(INDEX($O$14:$O$93,MATCH(16,$U$14:$U$93,0)),"")</f>
        <v/>
      </c>
      <c r="F123" s="30" t="str">
        <f>IFERROR(INDEX($P$14:$P$93,MATCH(16,$U$14:$U$93,0)),"")</f>
        <v/>
      </c>
      <c r="G123" s="124" t="str">
        <f>IFERROR(INDEX($L$14:$L$93,MATCH(16,$U$14:$U$93,0)),"")</f>
        <v/>
      </c>
      <c r="H123" s="30" t="str">
        <f>IFERROR(INDEX($M$14:$M$93,MATCH(16,$U$14:$U$93,0)),"")</f>
        <v/>
      </c>
    </row>
    <row r="127" spans="1:8" ht="15.6" x14ac:dyDescent="0.3">
      <c r="A127" s="145" t="s">
        <v>1136</v>
      </c>
    </row>
    <row r="128" spans="1:8" x14ac:dyDescent="0.3">
      <c r="A128" s="146" t="s">
        <v>1137</v>
      </c>
    </row>
    <row r="129" spans="1:3" ht="31.95" customHeight="1" x14ac:dyDescent="0.3">
      <c r="A129" s="147" t="s">
        <v>220</v>
      </c>
      <c r="B129" s="141" t="s">
        <v>1129</v>
      </c>
      <c r="C129" s="141" t="s">
        <v>1130</v>
      </c>
    </row>
    <row r="130" spans="1:3" x14ac:dyDescent="0.3">
      <c r="A130" s="148">
        <v>6</v>
      </c>
      <c r="B130" s="152">
        <f t="shared" ref="B130:B138" si="24">mPlanoQC.DPMdoSigma($A130)</f>
        <v>3.3976731247387093</v>
      </c>
      <c r="C130" s="149">
        <f t="shared" ref="C130:C138" si="25">mPlanoQC.RendimentoDoSigma($A130)</f>
        <v>99.999660232687532</v>
      </c>
    </row>
    <row r="131" spans="1:3" x14ac:dyDescent="0.3">
      <c r="A131" s="148">
        <v>5.5</v>
      </c>
      <c r="B131" s="152">
        <f t="shared" si="24"/>
        <v>31.671241833119979</v>
      </c>
      <c r="C131" s="149">
        <f t="shared" si="25"/>
        <v>99.996832875816693</v>
      </c>
    </row>
    <row r="132" spans="1:3" x14ac:dyDescent="0.3">
      <c r="A132" s="148">
        <v>5</v>
      </c>
      <c r="B132" s="152">
        <f t="shared" si="24"/>
        <v>232.62907903554009</v>
      </c>
      <c r="C132" s="149">
        <f t="shared" si="25"/>
        <v>99.976737092096442</v>
      </c>
    </row>
    <row r="133" spans="1:3" x14ac:dyDescent="0.3">
      <c r="A133" s="148">
        <v>4.5</v>
      </c>
      <c r="B133" s="152">
        <f t="shared" si="24"/>
        <v>1349.8980316301036</v>
      </c>
      <c r="C133" s="149">
        <f t="shared" si="25"/>
        <v>99.865010196836991</v>
      </c>
    </row>
    <row r="134" spans="1:3" x14ac:dyDescent="0.3">
      <c r="A134" s="148">
        <v>4</v>
      </c>
      <c r="B134" s="152">
        <f t="shared" si="24"/>
        <v>6209.6653257761591</v>
      </c>
      <c r="C134" s="149">
        <f t="shared" si="25"/>
        <v>99.379033467422389</v>
      </c>
    </row>
    <row r="135" spans="1:3" x14ac:dyDescent="0.3">
      <c r="A135" s="148">
        <v>3.5</v>
      </c>
      <c r="B135" s="152">
        <f t="shared" si="24"/>
        <v>22750.131948179209</v>
      </c>
      <c r="C135" s="149">
        <f t="shared" si="25"/>
        <v>97.724986805182084</v>
      </c>
    </row>
    <row r="136" spans="1:3" x14ac:dyDescent="0.3">
      <c r="A136" s="148">
        <v>3</v>
      </c>
      <c r="B136" s="152">
        <f t="shared" si="24"/>
        <v>66807.201268858087</v>
      </c>
      <c r="C136" s="149">
        <f t="shared" si="25"/>
        <v>93.319279873114198</v>
      </c>
    </row>
    <row r="137" spans="1:3" x14ac:dyDescent="0.3">
      <c r="A137" s="148">
        <v>2.5</v>
      </c>
      <c r="B137" s="152">
        <f t="shared" si="24"/>
        <v>158655.25393145697</v>
      </c>
      <c r="C137" s="149">
        <f t="shared" si="25"/>
        <v>84.134474606854297</v>
      </c>
    </row>
    <row r="138" spans="1:3" x14ac:dyDescent="0.3">
      <c r="A138" s="148">
        <v>2</v>
      </c>
      <c r="B138" s="152">
        <f t="shared" si="24"/>
        <v>308537.5387259869</v>
      </c>
      <c r="C138" s="149">
        <f t="shared" si="25"/>
        <v>69.146246127401312</v>
      </c>
    </row>
    <row r="140" spans="1:3" x14ac:dyDescent="0.3">
      <c r="A140" s="146" t="s">
        <v>1128</v>
      </c>
    </row>
  </sheetData>
  <sheetProtection algorithmName="SHA-512" hashValue="BDgxByXp6OUj0PIrBGS2tfPc3D0cul5vXJRFlYZJiI3Pfdf6GucJieGVtwh3r1CKADpQtttEAj09aCsoYV2WTg==" saltValue="ckeIxXKL+LVYxNKLuaxpCA==" spinCount="100000" sheet="1" scenarios="1"/>
  <mergeCells count="1">
    <mergeCell ref="B11:G11"/>
  </mergeCells>
  <dataValidations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L4" xr:uid="{4A080DA5-8CDF-49F7-B523-3CC8F3BB263F}">
      <formula1>"CAP"</formula1>
    </dataValidation>
    <dataValidation type="list" allowBlank="1" showInputMessage="1" showErrorMessage="1" sqref="P4" xr:uid="{2DDA5B47-105B-4750-A41E-49B6C8E2A07C}">
      <formula1>"TODAS,C-A,C-B,C-C"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ColWidth="8.88671875" defaultRowHeight="14.4" x14ac:dyDescent="0.3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205" t="s">
        <v>257</v>
      </c>
      <c r="B1" s="201"/>
      <c r="C1" s="201"/>
      <c r="D1" s="201"/>
      <c r="E1" s="201"/>
      <c r="F1" s="201"/>
      <c r="G1" s="201"/>
      <c r="H1" s="201"/>
      <c r="I1" s="201"/>
      <c r="J1" s="201"/>
      <c r="M1" s="48" t="s">
        <v>258</v>
      </c>
      <c r="N1" s="98" t="s">
        <v>267</v>
      </c>
    </row>
    <row r="2" spans="1:14" ht="19.95" customHeight="1" x14ac:dyDescent="0.3">
      <c r="A2" s="206" t="s">
        <v>259</v>
      </c>
      <c r="B2" s="201"/>
      <c r="C2" s="201"/>
      <c r="D2" s="201"/>
      <c r="E2" s="201"/>
      <c r="F2" s="201"/>
      <c r="G2" s="201"/>
      <c r="H2" s="201"/>
      <c r="I2" s="201"/>
      <c r="J2" s="201"/>
      <c r="M2" s="48" t="s">
        <v>260</v>
      </c>
      <c r="N2" s="98" t="s">
        <v>269</v>
      </c>
    </row>
    <row r="3" spans="1:14" ht="28.2" customHeight="1" x14ac:dyDescent="0.3">
      <c r="A3" s="99" t="s">
        <v>261</v>
      </c>
      <c r="B3" s="57" t="s">
        <v>262</v>
      </c>
      <c r="C3" s="57" t="s">
        <v>263</v>
      </c>
      <c r="D3" s="57" t="s">
        <v>264</v>
      </c>
      <c r="E3" s="57" t="s">
        <v>265</v>
      </c>
      <c r="G3" s="194" t="s">
        <v>266</v>
      </c>
      <c r="H3" s="201"/>
      <c r="I3" s="201"/>
      <c r="J3" s="201"/>
    </row>
    <row r="4" spans="1:14" ht="40.200000000000003" customHeight="1" x14ac:dyDescent="0.3">
      <c r="A4" s="27" t="s">
        <v>267</v>
      </c>
      <c r="B4" s="6" t="s">
        <v>268</v>
      </c>
      <c r="C4" s="8" t="s">
        <v>269</v>
      </c>
      <c r="D4" s="100" t="s">
        <v>270</v>
      </c>
      <c r="E4" s="17" t="s">
        <v>271</v>
      </c>
    </row>
    <row r="5" spans="1:14" ht="40.200000000000003" customHeight="1" x14ac:dyDescent="0.3">
      <c r="A5" s="28" t="s">
        <v>272</v>
      </c>
      <c r="B5" s="6" t="s">
        <v>273</v>
      </c>
      <c r="C5" s="16" t="s">
        <v>272</v>
      </c>
      <c r="D5" s="100" t="s">
        <v>274</v>
      </c>
      <c r="E5" s="18" t="s">
        <v>275</v>
      </c>
      <c r="G5" s="84" t="s">
        <v>261</v>
      </c>
      <c r="H5" s="20" t="s">
        <v>301</v>
      </c>
    </row>
    <row r="6" spans="1:14" ht="22.2" customHeight="1" x14ac:dyDescent="0.3">
      <c r="A6" s="29" t="s">
        <v>298</v>
      </c>
      <c r="B6" s="12" t="s">
        <v>299</v>
      </c>
      <c r="C6" s="10" t="s">
        <v>269</v>
      </c>
      <c r="D6" s="19" t="s">
        <v>300</v>
      </c>
      <c r="E6" s="19"/>
      <c r="G6" s="84" t="s">
        <v>262</v>
      </c>
      <c r="H6" s="20" t="s">
        <v>302</v>
      </c>
    </row>
    <row r="7" spans="1:14" ht="22.2" customHeight="1" x14ac:dyDescent="0.3">
      <c r="A7" s="29" t="s">
        <v>301</v>
      </c>
      <c r="B7" s="12" t="s">
        <v>302</v>
      </c>
      <c r="C7" s="10" t="s">
        <v>269</v>
      </c>
      <c r="D7" s="19" t="s">
        <v>300</v>
      </c>
      <c r="E7" s="19"/>
      <c r="G7" s="84" t="s">
        <v>276</v>
      </c>
      <c r="H7" s="21"/>
    </row>
    <row r="8" spans="1:14" ht="22.2" customHeight="1" x14ac:dyDescent="0.3">
      <c r="A8" s="29"/>
      <c r="B8" s="12"/>
      <c r="C8" s="10"/>
      <c r="D8" s="19"/>
      <c r="E8" s="19"/>
      <c r="G8" s="84" t="s">
        <v>263</v>
      </c>
      <c r="H8" s="20" t="s">
        <v>269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215" t="s">
        <v>303</v>
      </c>
      <c r="H11" s="201"/>
      <c r="I11" s="201"/>
      <c r="J11" s="201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sheetProtection algorithmName="SHA-512" hashValue="EyPtF6nMctI5Gf0KyHANSFPqVyhoYoWwnHlFlML7jGnuCyfu0LBA2vtFpUh7ryrKTyHFDGB3QYCGskasHy7sdA==" saltValue="1/k6hrgzHHL8F25jHMeRcw==" spinCount="100000" sheet="1" scenarios="1"/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ColWidth="8.88671875"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205" t="s">
        <v>277</v>
      </c>
      <c r="B1" s="201"/>
      <c r="C1" s="201"/>
      <c r="D1" s="201"/>
      <c r="E1" s="201"/>
      <c r="F1" s="201"/>
      <c r="H1" s="216" t="str">
        <f>"Assinaturas do lote em uso: "&amp;loteAtivo</f>
        <v>Assinaturas do lote em uso: 8974</v>
      </c>
      <c r="I1" s="203"/>
      <c r="J1" s="204"/>
    </row>
    <row r="2" spans="1:10" ht="19.95" customHeight="1" x14ac:dyDescent="0.3">
      <c r="A2" s="206" t="s">
        <v>278</v>
      </c>
      <c r="B2" s="201"/>
      <c r="C2" s="201"/>
      <c r="D2" s="201"/>
      <c r="E2" s="201"/>
      <c r="F2" s="201"/>
    </row>
    <row r="3" spans="1:10" ht="28.2" customHeight="1" x14ac:dyDescent="0.3">
      <c r="A3" s="57" t="s">
        <v>294</v>
      </c>
      <c r="B3" s="57" t="s">
        <v>156</v>
      </c>
      <c r="C3" s="57" t="s">
        <v>279</v>
      </c>
      <c r="D3" s="57" t="s">
        <v>280</v>
      </c>
      <c r="E3" s="57" t="s">
        <v>281</v>
      </c>
      <c r="F3" s="57" t="s">
        <v>282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sheetProtection algorithmName="SHA-512" hashValue="TBWwuI7EfjC0j7w2EAQwYSl/Fu6i/7AxlzGU4e+UCKY7Z68xt/wZNn1iP1cbxa480MA84upUqOuVG1NRFF+QSQ==" saltValue="YgF34QKD2uMf0/tIz6NU2A==" spinCount="100000" sheet="1" scenarios="1"/>
  <mergeCells count="3">
    <mergeCell ref="H1:J1"/>
    <mergeCell ref="A2:F2"/>
    <mergeCell ref="A1:F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ColWidth="8.88671875"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7"/>
      <c r="B1" s="67"/>
      <c r="C1" s="67"/>
      <c r="D1" s="67"/>
    </row>
  </sheetData>
  <sheetProtection algorithmName="SHA-512" hashValue="KOPg/SsTH380wilg+Zkk0j+SCWSGK4SH5lf2lQpo40RdlUiV6Dd4JNYWJP3gpHJBdNCqVAWHP3az7O8coyhfHw==" saltValue="h8UZHG42HoDdi85lPBGdlg==" spinCount="100000" sheet="1" scenarios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ColWidth="8.88671875" defaultRowHeight="14.4" x14ac:dyDescent="0.3"/>
  <cols>
    <col min="1" max="16384" width="8.88671875" style="1"/>
  </cols>
  <sheetData>
    <row r="1" spans="1:12" x14ac:dyDescent="0.3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283</v>
      </c>
      <c r="F1" s="67" t="s">
        <v>284</v>
      </c>
      <c r="G1" s="67" t="s">
        <v>285</v>
      </c>
      <c r="H1" s="67" t="s">
        <v>286</v>
      </c>
      <c r="I1" s="67" t="s">
        <v>287</v>
      </c>
      <c r="J1" s="67" t="s">
        <v>288</v>
      </c>
      <c r="K1" s="67" t="s">
        <v>289</v>
      </c>
      <c r="L1" s="67" t="s">
        <v>221</v>
      </c>
    </row>
    <row r="2" spans="1:12" x14ac:dyDescent="0.3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sheetProtection algorithmName="SHA-512" hashValue="Hpi9vxQat/Qo3RC+a65nxaD2Q0KcTI5Txt0MOx+Xn3tQma+ShyP91yZ6zw8mSKKfQbA3rxmMJutYsWY5eo4eCQ==" saltValue="QWHGVS7M52UHxjcFD6kYWg==" spinCount="100000" sheet="1" scenarios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ColWidth="8.88671875"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217" t="s">
        <v>297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</row>
    <row r="2" spans="1:27" ht="19.95" customHeight="1" x14ac:dyDescent="0.3">
      <c r="A2" s="218"/>
      <c r="B2" s="201"/>
      <c r="C2" s="201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1"/>
      <c r="Y2" s="201"/>
      <c r="Z2" s="201"/>
      <c r="AA2" s="201"/>
    </row>
    <row r="3" spans="1:27" ht="24" customHeight="1" x14ac:dyDescent="0.3">
      <c r="A3" s="101" t="s">
        <v>294</v>
      </c>
      <c r="B3" s="101" t="s">
        <v>156</v>
      </c>
      <c r="C3" s="101" t="s">
        <v>138</v>
      </c>
      <c r="D3" s="101" t="s">
        <v>88</v>
      </c>
      <c r="E3" s="101" t="s">
        <v>295</v>
      </c>
      <c r="F3" s="101" t="s">
        <v>221</v>
      </c>
      <c r="K3" s="101" t="s">
        <v>294</v>
      </c>
      <c r="L3" s="101" t="s">
        <v>156</v>
      </c>
      <c r="M3" s="101" t="s">
        <v>138</v>
      </c>
      <c r="N3" s="101" t="s">
        <v>88</v>
      </c>
      <c r="O3" s="101" t="s">
        <v>295</v>
      </c>
      <c r="P3" s="101" t="s">
        <v>221</v>
      </c>
    </row>
    <row r="4" spans="1:27" x14ac:dyDescent="0.3">
      <c r="A4" s="24">
        <v>1</v>
      </c>
      <c r="B4" s="102">
        <v>46027</v>
      </c>
      <c r="C4" s="25" t="s">
        <v>356</v>
      </c>
      <c r="D4" s="103" t="s">
        <v>339</v>
      </c>
      <c r="E4" s="26">
        <v>4.66</v>
      </c>
      <c r="F4" s="26" t="s">
        <v>293</v>
      </c>
      <c r="K4" s="24">
        <v>1</v>
      </c>
      <c r="L4" s="102">
        <v>46027</v>
      </c>
      <c r="M4" s="25" t="s">
        <v>357</v>
      </c>
      <c r="N4" s="103" t="s">
        <v>339</v>
      </c>
      <c r="O4" s="26">
        <v>1.24</v>
      </c>
      <c r="P4" s="26" t="s">
        <v>293</v>
      </c>
    </row>
    <row r="5" spans="1:27" x14ac:dyDescent="0.3">
      <c r="A5" s="24">
        <v>1</v>
      </c>
      <c r="B5" s="102">
        <v>46027</v>
      </c>
      <c r="C5" s="25" t="s">
        <v>356</v>
      </c>
      <c r="D5" s="103" t="s">
        <v>118</v>
      </c>
      <c r="E5" s="26">
        <v>4.4000000000000004</v>
      </c>
      <c r="F5" s="26" t="s">
        <v>293</v>
      </c>
      <c r="K5" s="24">
        <v>1</v>
      </c>
      <c r="L5" s="102">
        <v>46027</v>
      </c>
      <c r="M5" s="25" t="s">
        <v>357</v>
      </c>
      <c r="N5" s="103" t="s">
        <v>118</v>
      </c>
      <c r="O5" s="26">
        <v>9.4</v>
      </c>
      <c r="P5" s="26" t="s">
        <v>293</v>
      </c>
    </row>
    <row r="6" spans="1:27" x14ac:dyDescent="0.3">
      <c r="A6" s="24">
        <v>1</v>
      </c>
      <c r="B6" s="102">
        <v>46027</v>
      </c>
      <c r="C6" s="25" t="s">
        <v>356</v>
      </c>
      <c r="D6" s="103" t="s">
        <v>130</v>
      </c>
      <c r="E6" s="26">
        <v>3.83</v>
      </c>
      <c r="F6" s="26" t="s">
        <v>293</v>
      </c>
      <c r="K6" s="24">
        <v>1</v>
      </c>
      <c r="L6" s="102">
        <v>46027</v>
      </c>
      <c r="M6" s="25" t="s">
        <v>357</v>
      </c>
      <c r="N6" s="103" t="s">
        <v>130</v>
      </c>
      <c r="O6" s="26">
        <v>2.4900000000000002</v>
      </c>
      <c r="P6" s="26" t="s">
        <v>293</v>
      </c>
    </row>
    <row r="7" spans="1:27" x14ac:dyDescent="0.3">
      <c r="A7" s="24">
        <v>1</v>
      </c>
      <c r="B7" s="102">
        <v>46027</v>
      </c>
      <c r="C7" s="25" t="s">
        <v>356</v>
      </c>
      <c r="D7" s="103" t="s">
        <v>341</v>
      </c>
      <c r="E7" s="26">
        <v>0.314</v>
      </c>
      <c r="F7" s="26" t="s">
        <v>293</v>
      </c>
      <c r="K7" s="24">
        <v>1</v>
      </c>
      <c r="L7" s="102">
        <v>46027</v>
      </c>
      <c r="M7" s="25" t="s">
        <v>357</v>
      </c>
      <c r="N7" s="103" t="s">
        <v>341</v>
      </c>
      <c r="O7" s="26">
        <v>1.1299999999999999</v>
      </c>
      <c r="P7" s="26" t="s">
        <v>293</v>
      </c>
    </row>
    <row r="8" spans="1:27" x14ac:dyDescent="0.3">
      <c r="A8" s="24">
        <v>1</v>
      </c>
      <c r="B8" s="102">
        <v>46027</v>
      </c>
      <c r="C8" s="25" t="s">
        <v>356</v>
      </c>
      <c r="D8" s="103" t="s">
        <v>127</v>
      </c>
      <c r="E8" s="26">
        <v>1.21</v>
      </c>
      <c r="F8" s="26" t="s">
        <v>293</v>
      </c>
      <c r="K8" s="24">
        <v>1</v>
      </c>
      <c r="L8" s="102">
        <v>46027</v>
      </c>
      <c r="M8" s="25" t="s">
        <v>357</v>
      </c>
      <c r="N8" s="103" t="s">
        <v>127</v>
      </c>
      <c r="O8" s="26">
        <v>4.6399999999999997</v>
      </c>
      <c r="P8" s="26" t="s">
        <v>293</v>
      </c>
    </row>
    <row r="9" spans="1:27" x14ac:dyDescent="0.3">
      <c r="A9" s="24">
        <v>1</v>
      </c>
      <c r="B9" s="102">
        <v>46027</v>
      </c>
      <c r="C9" s="25" t="s">
        <v>356</v>
      </c>
      <c r="D9" s="103" t="s">
        <v>131</v>
      </c>
      <c r="E9" s="26">
        <v>9</v>
      </c>
      <c r="F9" s="26" t="s">
        <v>293</v>
      </c>
      <c r="K9" s="24">
        <v>1</v>
      </c>
      <c r="L9" s="102">
        <v>46027</v>
      </c>
      <c r="M9" s="25" t="s">
        <v>357</v>
      </c>
      <c r="N9" s="103" t="s">
        <v>131</v>
      </c>
      <c r="O9" s="26">
        <v>12.4</v>
      </c>
      <c r="P9" s="26" t="s">
        <v>293</v>
      </c>
    </row>
    <row r="10" spans="1:27" x14ac:dyDescent="0.3">
      <c r="A10" s="24">
        <v>1</v>
      </c>
      <c r="B10" s="102">
        <v>46027</v>
      </c>
      <c r="C10" s="25" t="s">
        <v>356</v>
      </c>
      <c r="D10" s="103" t="s">
        <v>342</v>
      </c>
      <c r="E10" s="26">
        <v>348</v>
      </c>
      <c r="F10" s="26" t="s">
        <v>293</v>
      </c>
      <c r="K10" s="24">
        <v>1</v>
      </c>
      <c r="L10" s="102">
        <v>46027</v>
      </c>
      <c r="M10" s="25" t="s">
        <v>357</v>
      </c>
      <c r="N10" s="103" t="s">
        <v>342</v>
      </c>
      <c r="O10" s="26">
        <v>209</v>
      </c>
      <c r="P10" s="26" t="s">
        <v>293</v>
      </c>
    </row>
    <row r="11" spans="1:27" x14ac:dyDescent="0.3">
      <c r="A11" s="24">
        <v>1</v>
      </c>
      <c r="B11" s="102">
        <v>46027</v>
      </c>
      <c r="C11" s="25" t="s">
        <v>356</v>
      </c>
      <c r="D11" s="103" t="s">
        <v>119</v>
      </c>
      <c r="E11" s="26">
        <v>237</v>
      </c>
      <c r="F11" s="26" t="s">
        <v>293</v>
      </c>
      <c r="K11" s="24">
        <v>1</v>
      </c>
      <c r="L11" s="102">
        <v>46027</v>
      </c>
      <c r="M11" s="25" t="s">
        <v>357</v>
      </c>
      <c r="N11" s="103" t="s">
        <v>119</v>
      </c>
      <c r="O11" s="26">
        <v>86</v>
      </c>
      <c r="P11" s="26" t="s">
        <v>293</v>
      </c>
    </row>
    <row r="12" spans="1:27" x14ac:dyDescent="0.3">
      <c r="A12" s="24">
        <v>1</v>
      </c>
      <c r="B12" s="102">
        <v>46027</v>
      </c>
      <c r="C12" s="25" t="s">
        <v>356</v>
      </c>
      <c r="D12" s="103" t="s">
        <v>120</v>
      </c>
      <c r="E12" s="26">
        <v>77</v>
      </c>
      <c r="F12" s="26" t="s">
        <v>293</v>
      </c>
      <c r="K12" s="24">
        <v>1</v>
      </c>
      <c r="L12" s="102">
        <v>46027</v>
      </c>
      <c r="M12" s="25" t="s">
        <v>357</v>
      </c>
      <c r="N12" s="103" t="s">
        <v>120</v>
      </c>
      <c r="O12" s="26">
        <v>26</v>
      </c>
      <c r="P12" s="26" t="s">
        <v>293</v>
      </c>
    </row>
    <row r="13" spans="1:27" x14ac:dyDescent="0.3">
      <c r="A13" s="24">
        <v>1</v>
      </c>
      <c r="B13" s="102">
        <v>46027</v>
      </c>
      <c r="C13" s="25" t="s">
        <v>356</v>
      </c>
      <c r="D13" s="103" t="s">
        <v>117</v>
      </c>
      <c r="E13" s="26">
        <v>2.58</v>
      </c>
      <c r="F13" s="26" t="s">
        <v>293</v>
      </c>
      <c r="K13" s="24">
        <v>1</v>
      </c>
      <c r="L13" s="102">
        <v>46027</v>
      </c>
      <c r="M13" s="25" t="s">
        <v>357</v>
      </c>
      <c r="N13" s="103" t="s">
        <v>117</v>
      </c>
      <c r="O13" s="26">
        <v>6.26</v>
      </c>
      <c r="P13" s="26" t="s">
        <v>293</v>
      </c>
    </row>
    <row r="14" spans="1:27" x14ac:dyDescent="0.3">
      <c r="A14" s="24">
        <v>1</v>
      </c>
      <c r="B14" s="102">
        <v>46027</v>
      </c>
      <c r="C14" s="25" t="s">
        <v>356</v>
      </c>
      <c r="D14" s="103" t="s">
        <v>344</v>
      </c>
      <c r="E14" s="26">
        <v>231</v>
      </c>
      <c r="F14" s="26" t="s">
        <v>293</v>
      </c>
      <c r="K14" s="24">
        <v>1</v>
      </c>
      <c r="L14" s="102">
        <v>46027</v>
      </c>
      <c r="M14" s="25" t="s">
        <v>357</v>
      </c>
      <c r="N14" s="103" t="s">
        <v>344</v>
      </c>
      <c r="O14" s="26">
        <v>69</v>
      </c>
      <c r="P14" s="26" t="s">
        <v>293</v>
      </c>
    </row>
    <row r="15" spans="1:27" x14ac:dyDescent="0.3">
      <c r="A15" s="24">
        <v>1</v>
      </c>
      <c r="B15" s="102">
        <v>46027</v>
      </c>
      <c r="C15" s="25" t="s">
        <v>356</v>
      </c>
      <c r="D15" s="103" t="s">
        <v>132</v>
      </c>
      <c r="E15" s="26">
        <v>3.45</v>
      </c>
      <c r="F15" s="26" t="s">
        <v>293</v>
      </c>
      <c r="K15" s="24">
        <v>1</v>
      </c>
      <c r="L15" s="102">
        <v>46027</v>
      </c>
      <c r="M15" s="25" t="s">
        <v>357</v>
      </c>
      <c r="N15" s="103" t="s">
        <v>132</v>
      </c>
      <c r="O15" s="26">
        <v>7.29</v>
      </c>
      <c r="P15" s="26" t="s">
        <v>293</v>
      </c>
    </row>
    <row r="16" spans="1:27" x14ac:dyDescent="0.3">
      <c r="A16" s="24">
        <v>1</v>
      </c>
      <c r="B16" s="102">
        <v>46027</v>
      </c>
      <c r="C16" s="25" t="s">
        <v>356</v>
      </c>
      <c r="D16" s="103" t="s">
        <v>111</v>
      </c>
      <c r="E16" s="26">
        <v>89</v>
      </c>
      <c r="F16" s="26" t="s">
        <v>293</v>
      </c>
      <c r="K16" s="24">
        <v>1</v>
      </c>
      <c r="L16" s="102">
        <v>46027</v>
      </c>
      <c r="M16" s="25" t="s">
        <v>357</v>
      </c>
      <c r="N16" s="103" t="s">
        <v>111</v>
      </c>
      <c r="O16" s="26">
        <v>290</v>
      </c>
      <c r="P16" s="26" t="s">
        <v>293</v>
      </c>
    </row>
    <row r="17" spans="1:16" x14ac:dyDescent="0.3">
      <c r="A17" s="24">
        <v>1</v>
      </c>
      <c r="B17" s="102">
        <v>46027</v>
      </c>
      <c r="C17" s="25" t="s">
        <v>356</v>
      </c>
      <c r="D17" s="103" t="s">
        <v>345</v>
      </c>
      <c r="E17" s="26">
        <v>5.0999999999999996</v>
      </c>
      <c r="F17" s="26" t="s">
        <v>293</v>
      </c>
      <c r="K17" s="24">
        <v>1</v>
      </c>
      <c r="L17" s="102">
        <v>46027</v>
      </c>
      <c r="M17" s="25" t="s">
        <v>357</v>
      </c>
      <c r="N17" s="103" t="s">
        <v>345</v>
      </c>
      <c r="O17" s="26">
        <v>10.1</v>
      </c>
      <c r="P17" s="26" t="s">
        <v>293</v>
      </c>
    </row>
    <row r="18" spans="1:16" x14ac:dyDescent="0.3">
      <c r="A18" s="24">
        <v>1</v>
      </c>
      <c r="B18" s="102">
        <v>46027</v>
      </c>
      <c r="C18" s="25" t="s">
        <v>356</v>
      </c>
      <c r="D18" s="103" t="s">
        <v>347</v>
      </c>
      <c r="E18" s="26">
        <v>2.15</v>
      </c>
      <c r="F18" s="26" t="s">
        <v>293</v>
      </c>
      <c r="K18" s="24">
        <v>1</v>
      </c>
      <c r="L18" s="102">
        <v>46027</v>
      </c>
      <c r="M18" s="25" t="s">
        <v>357</v>
      </c>
      <c r="N18" s="103" t="s">
        <v>347</v>
      </c>
      <c r="O18" s="26">
        <v>4.67</v>
      </c>
      <c r="P18" s="26" t="s">
        <v>293</v>
      </c>
    </row>
    <row r="19" spans="1:16" x14ac:dyDescent="0.3">
      <c r="A19" s="24">
        <v>1</v>
      </c>
      <c r="B19" s="102">
        <v>46027</v>
      </c>
      <c r="C19" s="25" t="s">
        <v>356</v>
      </c>
      <c r="D19" s="103" t="s">
        <v>128</v>
      </c>
      <c r="E19" s="26">
        <v>7.1</v>
      </c>
      <c r="F19" s="26" t="s">
        <v>293</v>
      </c>
      <c r="K19" s="24">
        <v>1</v>
      </c>
      <c r="L19" s="102">
        <v>46027</v>
      </c>
      <c r="M19" s="25" t="s">
        <v>357</v>
      </c>
      <c r="N19" s="103" t="s">
        <v>128</v>
      </c>
      <c r="O19" s="26">
        <v>4.5999999999999996</v>
      </c>
      <c r="P19" s="26" t="s">
        <v>293</v>
      </c>
    </row>
    <row r="20" spans="1:16" x14ac:dyDescent="0.3">
      <c r="A20" s="24">
        <v>1</v>
      </c>
      <c r="B20" s="102">
        <v>46027</v>
      </c>
      <c r="C20" s="25" t="s">
        <v>356</v>
      </c>
      <c r="D20" s="103" t="s">
        <v>121</v>
      </c>
      <c r="E20" s="26">
        <v>163</v>
      </c>
      <c r="F20" s="26" t="s">
        <v>293</v>
      </c>
      <c r="K20" s="24">
        <v>1</v>
      </c>
      <c r="L20" s="102">
        <v>46027</v>
      </c>
      <c r="M20" s="25" t="s">
        <v>357</v>
      </c>
      <c r="N20" s="103" t="s">
        <v>121</v>
      </c>
      <c r="O20" s="26">
        <v>82</v>
      </c>
      <c r="P20" s="26" t="s">
        <v>293</v>
      </c>
    </row>
    <row r="21" spans="1:16" x14ac:dyDescent="0.3">
      <c r="A21" s="24">
        <v>1</v>
      </c>
      <c r="B21" s="102">
        <v>46027</v>
      </c>
      <c r="C21" s="25" t="s">
        <v>356</v>
      </c>
      <c r="D21" s="103" t="s">
        <v>115</v>
      </c>
      <c r="E21" s="26">
        <v>34</v>
      </c>
      <c r="F21" s="26" t="s">
        <v>293</v>
      </c>
      <c r="K21" s="24">
        <v>1</v>
      </c>
      <c r="L21" s="102">
        <v>46027</v>
      </c>
      <c r="M21" s="25" t="s">
        <v>357</v>
      </c>
      <c r="N21" s="103" t="s">
        <v>115</v>
      </c>
      <c r="O21" s="26">
        <v>100</v>
      </c>
      <c r="P21" s="26" t="s">
        <v>293</v>
      </c>
    </row>
    <row r="22" spans="1:16" x14ac:dyDescent="0.3">
      <c r="A22" s="24">
        <v>1</v>
      </c>
      <c r="B22" s="102">
        <v>46027</v>
      </c>
      <c r="C22" s="25" t="s">
        <v>356</v>
      </c>
      <c r="D22" s="103" t="s">
        <v>137</v>
      </c>
      <c r="E22" s="26">
        <v>72</v>
      </c>
      <c r="F22" s="26" t="s">
        <v>293</v>
      </c>
      <c r="K22" s="24">
        <v>1</v>
      </c>
      <c r="L22" s="102">
        <v>46027</v>
      </c>
      <c r="M22" s="25" t="s">
        <v>357</v>
      </c>
      <c r="N22" s="103" t="s">
        <v>137</v>
      </c>
      <c r="O22" s="26">
        <v>470</v>
      </c>
      <c r="P22" s="26" t="s">
        <v>293</v>
      </c>
    </row>
    <row r="23" spans="1:16" x14ac:dyDescent="0.3">
      <c r="A23" s="24">
        <v>1</v>
      </c>
      <c r="B23" s="102">
        <v>46027</v>
      </c>
      <c r="C23" s="25" t="s">
        <v>356</v>
      </c>
      <c r="D23" s="103" t="s">
        <v>348</v>
      </c>
      <c r="E23" s="26">
        <v>150</v>
      </c>
      <c r="F23" s="26" t="s">
        <v>293</v>
      </c>
      <c r="K23" s="24">
        <v>1</v>
      </c>
      <c r="L23" s="102">
        <v>46027</v>
      </c>
      <c r="M23" s="25" t="s">
        <v>357</v>
      </c>
      <c r="N23" s="103" t="s">
        <v>348</v>
      </c>
      <c r="O23" s="26">
        <v>419</v>
      </c>
      <c r="P23" s="26" t="s">
        <v>293</v>
      </c>
    </row>
    <row r="24" spans="1:16" x14ac:dyDescent="0.3">
      <c r="A24" s="24">
        <v>1</v>
      </c>
      <c r="B24" s="102">
        <v>46027</v>
      </c>
      <c r="C24" s="25" t="s">
        <v>356</v>
      </c>
      <c r="D24" s="103" t="s">
        <v>125</v>
      </c>
      <c r="E24" s="26">
        <v>116</v>
      </c>
      <c r="F24" s="26" t="s">
        <v>293</v>
      </c>
      <c r="K24" s="24">
        <v>1</v>
      </c>
      <c r="L24" s="102">
        <v>46027</v>
      </c>
      <c r="M24" s="25" t="s">
        <v>357</v>
      </c>
      <c r="N24" s="103" t="s">
        <v>125</v>
      </c>
      <c r="O24" s="26">
        <v>434</v>
      </c>
      <c r="P24" s="26" t="s">
        <v>293</v>
      </c>
    </row>
    <row r="25" spans="1:16" x14ac:dyDescent="0.3">
      <c r="A25" s="24">
        <v>1</v>
      </c>
      <c r="B25" s="102">
        <v>46027</v>
      </c>
      <c r="C25" s="25" t="s">
        <v>356</v>
      </c>
      <c r="D25" s="103" t="s">
        <v>126</v>
      </c>
      <c r="E25" s="26">
        <v>81</v>
      </c>
      <c r="F25" s="26" t="s">
        <v>293</v>
      </c>
      <c r="K25" s="24">
        <v>1</v>
      </c>
      <c r="L25" s="102">
        <v>46027</v>
      </c>
      <c r="M25" s="25" t="s">
        <v>357</v>
      </c>
      <c r="N25" s="103" t="s">
        <v>126</v>
      </c>
      <c r="O25" s="26">
        <v>154</v>
      </c>
      <c r="P25" s="26" t="s">
        <v>293</v>
      </c>
    </row>
    <row r="26" spans="1:16" x14ac:dyDescent="0.3">
      <c r="A26" s="24">
        <v>1</v>
      </c>
      <c r="B26" s="102">
        <v>46027</v>
      </c>
      <c r="C26" s="25" t="s">
        <v>356</v>
      </c>
      <c r="D26" s="103" t="s">
        <v>349</v>
      </c>
      <c r="E26" s="26">
        <v>149</v>
      </c>
      <c r="F26" s="26" t="s">
        <v>293</v>
      </c>
      <c r="K26" s="24">
        <v>1</v>
      </c>
      <c r="L26" s="102">
        <v>46027</v>
      </c>
      <c r="M26" s="25" t="s">
        <v>357</v>
      </c>
      <c r="N26" s="103" t="s">
        <v>349</v>
      </c>
      <c r="O26" s="26">
        <v>380</v>
      </c>
      <c r="P26" s="26" t="s">
        <v>293</v>
      </c>
    </row>
    <row r="27" spans="1:16" x14ac:dyDescent="0.3">
      <c r="A27" s="24">
        <v>1</v>
      </c>
      <c r="B27" s="102">
        <v>46027</v>
      </c>
      <c r="C27" s="25" t="s">
        <v>356</v>
      </c>
      <c r="D27" s="103" t="s">
        <v>350</v>
      </c>
      <c r="E27" s="26">
        <v>59</v>
      </c>
      <c r="F27" s="26" t="s">
        <v>293</v>
      </c>
      <c r="K27" s="24">
        <v>1</v>
      </c>
      <c r="L27" s="102">
        <v>46027</v>
      </c>
      <c r="M27" s="25" t="s">
        <v>357</v>
      </c>
      <c r="N27" s="103" t="s">
        <v>350</v>
      </c>
      <c r="O27" s="26">
        <v>86</v>
      </c>
      <c r="P27" s="26" t="s">
        <v>293</v>
      </c>
    </row>
    <row r="28" spans="1:16" x14ac:dyDescent="0.3">
      <c r="A28" s="24">
        <v>1</v>
      </c>
      <c r="B28" s="102">
        <v>46027</v>
      </c>
      <c r="C28" s="25" t="s">
        <v>356</v>
      </c>
      <c r="D28" s="103" t="s">
        <v>122</v>
      </c>
      <c r="E28" s="26">
        <v>45</v>
      </c>
      <c r="F28" s="26" t="s">
        <v>293</v>
      </c>
      <c r="K28" s="24">
        <v>1</v>
      </c>
      <c r="L28" s="102">
        <v>46027</v>
      </c>
      <c r="M28" s="25" t="s">
        <v>357</v>
      </c>
      <c r="N28" s="103" t="s">
        <v>122</v>
      </c>
      <c r="O28" s="26">
        <v>213</v>
      </c>
      <c r="P28" s="26" t="s">
        <v>293</v>
      </c>
    </row>
    <row r="29" spans="1:16" x14ac:dyDescent="0.3">
      <c r="A29" s="24">
        <v>1</v>
      </c>
      <c r="B29" s="102">
        <v>46027</v>
      </c>
      <c r="C29" s="25" t="s">
        <v>356</v>
      </c>
      <c r="D29" s="103" t="s">
        <v>124</v>
      </c>
      <c r="E29" s="26">
        <v>36</v>
      </c>
      <c r="F29" s="26" t="s">
        <v>293</v>
      </c>
      <c r="K29" s="24">
        <v>1</v>
      </c>
      <c r="L29" s="102">
        <v>46027</v>
      </c>
      <c r="M29" s="25" t="s">
        <v>357</v>
      </c>
      <c r="N29" s="103" t="s">
        <v>124</v>
      </c>
      <c r="O29" s="26">
        <v>108</v>
      </c>
      <c r="P29" s="26" t="s">
        <v>293</v>
      </c>
    </row>
    <row r="30" spans="1:16" x14ac:dyDescent="0.3">
      <c r="A30" s="24">
        <v>1</v>
      </c>
      <c r="B30" s="102">
        <v>46027</v>
      </c>
      <c r="C30" s="25" t="s">
        <v>356</v>
      </c>
      <c r="D30" s="103" t="s">
        <v>351</v>
      </c>
      <c r="E30" s="26">
        <v>1.05</v>
      </c>
      <c r="F30" s="26" t="s">
        <v>293</v>
      </c>
      <c r="K30" s="24">
        <v>1</v>
      </c>
      <c r="L30" s="102">
        <v>46027</v>
      </c>
      <c r="M30" s="25" t="s">
        <v>357</v>
      </c>
      <c r="N30" s="103" t="s">
        <v>351</v>
      </c>
      <c r="O30" s="26">
        <v>3.85</v>
      </c>
      <c r="P30" s="26" t="s">
        <v>293</v>
      </c>
    </row>
    <row r="31" spans="1:16" x14ac:dyDescent="0.3">
      <c r="A31" s="24">
        <v>1</v>
      </c>
      <c r="B31" s="102">
        <v>46027</v>
      </c>
      <c r="C31" s="25" t="s">
        <v>356</v>
      </c>
      <c r="D31" s="103" t="s">
        <v>353</v>
      </c>
      <c r="E31" s="26">
        <v>34.1</v>
      </c>
      <c r="F31" s="26" t="s">
        <v>293</v>
      </c>
      <c r="K31" s="24">
        <v>1</v>
      </c>
      <c r="L31" s="102">
        <v>46027</v>
      </c>
      <c r="M31" s="25" t="s">
        <v>357</v>
      </c>
      <c r="N31" s="103" t="s">
        <v>353</v>
      </c>
      <c r="O31" s="26">
        <v>17.2</v>
      </c>
      <c r="P31" s="26" t="s">
        <v>293</v>
      </c>
    </row>
    <row r="32" spans="1:16" x14ac:dyDescent="0.3">
      <c r="A32" s="24">
        <v>1</v>
      </c>
      <c r="B32" s="102">
        <v>46027</v>
      </c>
      <c r="C32" s="25" t="s">
        <v>356</v>
      </c>
      <c r="D32" s="103" t="s">
        <v>133</v>
      </c>
      <c r="E32" s="26">
        <v>142</v>
      </c>
      <c r="F32" s="26" t="s">
        <v>293</v>
      </c>
      <c r="K32" s="24">
        <v>1</v>
      </c>
      <c r="L32" s="102">
        <v>46027</v>
      </c>
      <c r="M32" s="25" t="s">
        <v>357</v>
      </c>
      <c r="N32" s="103" t="s">
        <v>133</v>
      </c>
      <c r="O32" s="26">
        <v>123</v>
      </c>
      <c r="P32" s="26" t="s">
        <v>293</v>
      </c>
    </row>
    <row r="33" spans="1:16" x14ac:dyDescent="0.3">
      <c r="A33" s="24">
        <v>1</v>
      </c>
      <c r="B33" s="102">
        <v>46027</v>
      </c>
      <c r="C33" s="25" t="s">
        <v>356</v>
      </c>
      <c r="D33" s="103" t="s">
        <v>135</v>
      </c>
      <c r="E33" s="26">
        <v>3.6</v>
      </c>
      <c r="F33" s="26" t="s">
        <v>293</v>
      </c>
      <c r="K33" s="24">
        <v>1</v>
      </c>
      <c r="L33" s="102">
        <v>46027</v>
      </c>
      <c r="M33" s="25" t="s">
        <v>357</v>
      </c>
      <c r="N33" s="103" t="s">
        <v>135</v>
      </c>
      <c r="O33" s="26">
        <v>6.2</v>
      </c>
      <c r="P33" s="26" t="s">
        <v>293</v>
      </c>
    </row>
    <row r="34" spans="1:16" x14ac:dyDescent="0.3">
      <c r="A34" s="24">
        <v>1</v>
      </c>
      <c r="B34" s="102">
        <v>46027</v>
      </c>
      <c r="C34" s="25" t="s">
        <v>356</v>
      </c>
      <c r="D34" s="103" t="s">
        <v>136</v>
      </c>
      <c r="E34" s="26">
        <v>121</v>
      </c>
      <c r="F34" s="26" t="s">
        <v>293</v>
      </c>
      <c r="K34" s="24">
        <v>1</v>
      </c>
      <c r="L34" s="102">
        <v>46027</v>
      </c>
      <c r="M34" s="25" t="s">
        <v>357</v>
      </c>
      <c r="N34" s="103" t="s">
        <v>136</v>
      </c>
      <c r="O34" s="26">
        <v>96</v>
      </c>
      <c r="P34" s="26" t="s">
        <v>293</v>
      </c>
    </row>
    <row r="35" spans="1:16" x14ac:dyDescent="0.3">
      <c r="A35" s="24">
        <v>2</v>
      </c>
      <c r="B35" s="102">
        <v>46028</v>
      </c>
      <c r="C35" s="25" t="s">
        <v>356</v>
      </c>
      <c r="D35" s="103" t="s">
        <v>339</v>
      </c>
      <c r="E35" s="26">
        <v>4.91</v>
      </c>
      <c r="F35" s="26" t="s">
        <v>293</v>
      </c>
      <c r="K35" s="24">
        <v>2</v>
      </c>
      <c r="L35" s="102">
        <v>46028</v>
      </c>
      <c r="M35" s="25" t="s">
        <v>357</v>
      </c>
      <c r="N35" s="103" t="s">
        <v>339</v>
      </c>
      <c r="O35" s="26">
        <v>1.31</v>
      </c>
      <c r="P35" s="26" t="s">
        <v>293</v>
      </c>
    </row>
    <row r="36" spans="1:16" x14ac:dyDescent="0.3">
      <c r="A36" s="24">
        <v>2</v>
      </c>
      <c r="B36" s="102">
        <v>46028</v>
      </c>
      <c r="C36" s="25" t="s">
        <v>356</v>
      </c>
      <c r="D36" s="103" t="s">
        <v>118</v>
      </c>
      <c r="E36" s="26">
        <v>4.7</v>
      </c>
      <c r="F36" s="26" t="s">
        <v>293</v>
      </c>
      <c r="K36" s="24">
        <v>2</v>
      </c>
      <c r="L36" s="102">
        <v>46028</v>
      </c>
      <c r="M36" s="25" t="s">
        <v>357</v>
      </c>
      <c r="N36" s="103" t="s">
        <v>118</v>
      </c>
      <c r="O36" s="26">
        <v>9.9</v>
      </c>
      <c r="P36" s="26" t="s">
        <v>293</v>
      </c>
    </row>
    <row r="37" spans="1:16" x14ac:dyDescent="0.3">
      <c r="A37" s="24">
        <v>2</v>
      </c>
      <c r="B37" s="102">
        <v>46028</v>
      </c>
      <c r="C37" s="25" t="s">
        <v>356</v>
      </c>
      <c r="D37" s="103" t="s">
        <v>130</v>
      </c>
      <c r="E37" s="26">
        <v>3.92</v>
      </c>
      <c r="F37" s="26" t="s">
        <v>293</v>
      </c>
      <c r="K37" s="24">
        <v>2</v>
      </c>
      <c r="L37" s="102">
        <v>46028</v>
      </c>
      <c r="M37" s="25" t="s">
        <v>357</v>
      </c>
      <c r="N37" s="103" t="s">
        <v>130</v>
      </c>
      <c r="O37" s="26">
        <v>2.4220000000000002</v>
      </c>
      <c r="P37" s="26" t="s">
        <v>293</v>
      </c>
    </row>
    <row r="38" spans="1:16" x14ac:dyDescent="0.3">
      <c r="A38" s="24">
        <v>2</v>
      </c>
      <c r="B38" s="102">
        <v>46028</v>
      </c>
      <c r="C38" s="25" t="s">
        <v>356</v>
      </c>
      <c r="D38" s="103" t="s">
        <v>341</v>
      </c>
      <c r="E38" s="26">
        <v>0.311</v>
      </c>
      <c r="F38" s="26" t="s">
        <v>293</v>
      </c>
      <c r="K38" s="24">
        <v>2</v>
      </c>
      <c r="L38" s="102">
        <v>46028</v>
      </c>
      <c r="M38" s="25" t="s">
        <v>357</v>
      </c>
      <c r="N38" s="103" t="s">
        <v>341</v>
      </c>
      <c r="O38" s="26">
        <v>1.1319999999999999</v>
      </c>
      <c r="P38" s="26" t="s">
        <v>293</v>
      </c>
    </row>
    <row r="39" spans="1:16" x14ac:dyDescent="0.3">
      <c r="A39" s="24">
        <v>2</v>
      </c>
      <c r="B39" s="102">
        <v>46028</v>
      </c>
      <c r="C39" s="25" t="s">
        <v>356</v>
      </c>
      <c r="D39" s="103" t="s">
        <v>127</v>
      </c>
      <c r="E39" s="26">
        <v>1.2150000000000001</v>
      </c>
      <c r="F39" s="26" t="s">
        <v>293</v>
      </c>
      <c r="K39" s="24">
        <v>2</v>
      </c>
      <c r="L39" s="102">
        <v>46028</v>
      </c>
      <c r="M39" s="25" t="s">
        <v>357</v>
      </c>
      <c r="N39" s="103" t="s">
        <v>127</v>
      </c>
      <c r="O39" s="26">
        <v>4.7190000000000003</v>
      </c>
      <c r="P39" s="26" t="s">
        <v>293</v>
      </c>
    </row>
    <row r="40" spans="1:16" x14ac:dyDescent="0.3">
      <c r="A40" s="24">
        <v>2</v>
      </c>
      <c r="B40" s="102">
        <v>46028</v>
      </c>
      <c r="C40" s="25" t="s">
        <v>356</v>
      </c>
      <c r="D40" s="103" t="s">
        <v>131</v>
      </c>
      <c r="E40" s="26">
        <v>9.1</v>
      </c>
      <c r="F40" s="26" t="s">
        <v>293</v>
      </c>
      <c r="K40" s="24">
        <v>2</v>
      </c>
      <c r="L40" s="102">
        <v>46028</v>
      </c>
      <c r="M40" s="25" t="s">
        <v>357</v>
      </c>
      <c r="N40" s="103" t="s">
        <v>131</v>
      </c>
      <c r="O40" s="26">
        <v>12.6</v>
      </c>
      <c r="P40" s="26" t="s">
        <v>293</v>
      </c>
    </row>
    <row r="41" spans="1:16" x14ac:dyDescent="0.3">
      <c r="A41" s="24">
        <v>2</v>
      </c>
      <c r="B41" s="102">
        <v>46028</v>
      </c>
      <c r="C41" s="25" t="s">
        <v>356</v>
      </c>
      <c r="D41" s="103" t="s">
        <v>342</v>
      </c>
      <c r="E41" s="26">
        <v>316</v>
      </c>
      <c r="F41" s="26" t="s">
        <v>293</v>
      </c>
      <c r="K41" s="24">
        <v>2</v>
      </c>
      <c r="L41" s="102">
        <v>46028</v>
      </c>
      <c r="M41" s="25" t="s">
        <v>357</v>
      </c>
      <c r="N41" s="103" t="s">
        <v>342</v>
      </c>
      <c r="O41" s="26">
        <v>195</v>
      </c>
      <c r="P41" s="26" t="s">
        <v>293</v>
      </c>
    </row>
    <row r="42" spans="1:16" x14ac:dyDescent="0.3">
      <c r="A42" s="24">
        <v>2</v>
      </c>
      <c r="B42" s="102">
        <v>46028</v>
      </c>
      <c r="C42" s="25" t="s">
        <v>356</v>
      </c>
      <c r="D42" s="103" t="s">
        <v>119</v>
      </c>
      <c r="E42" s="26">
        <v>231</v>
      </c>
      <c r="F42" s="26" t="s">
        <v>293</v>
      </c>
      <c r="K42" s="24">
        <v>2</v>
      </c>
      <c r="L42" s="102">
        <v>46028</v>
      </c>
      <c r="M42" s="25" t="s">
        <v>357</v>
      </c>
      <c r="N42" s="103" t="s">
        <v>119</v>
      </c>
      <c r="O42" s="26">
        <v>84</v>
      </c>
      <c r="P42" s="26" t="s">
        <v>293</v>
      </c>
    </row>
    <row r="43" spans="1:16" x14ac:dyDescent="0.3">
      <c r="A43" s="24">
        <v>2</v>
      </c>
      <c r="B43" s="102">
        <v>46028</v>
      </c>
      <c r="C43" s="25" t="s">
        <v>356</v>
      </c>
      <c r="D43" s="103" t="s">
        <v>120</v>
      </c>
      <c r="E43" s="26">
        <v>79</v>
      </c>
      <c r="F43" s="26" t="s">
        <v>293</v>
      </c>
      <c r="K43" s="24">
        <v>2</v>
      </c>
      <c r="L43" s="102">
        <v>46028</v>
      </c>
      <c r="M43" s="25" t="s">
        <v>357</v>
      </c>
      <c r="N43" s="103" t="s">
        <v>120</v>
      </c>
      <c r="O43" s="26">
        <v>26</v>
      </c>
      <c r="P43" s="26" t="s">
        <v>293</v>
      </c>
    </row>
    <row r="44" spans="1:16" x14ac:dyDescent="0.3">
      <c r="A44" s="24">
        <v>2</v>
      </c>
      <c r="B44" s="102">
        <v>46028</v>
      </c>
      <c r="C44" s="25" t="s">
        <v>356</v>
      </c>
      <c r="D44" s="103" t="s">
        <v>117</v>
      </c>
      <c r="E44" s="26">
        <v>2.72</v>
      </c>
      <c r="F44" s="26" t="s">
        <v>293</v>
      </c>
      <c r="K44" s="24">
        <v>2</v>
      </c>
      <c r="L44" s="102">
        <v>46028</v>
      </c>
      <c r="M44" s="25" t="s">
        <v>357</v>
      </c>
      <c r="N44" s="103" t="s">
        <v>117</v>
      </c>
      <c r="O44" s="26">
        <v>6.28</v>
      </c>
      <c r="P44" s="26" t="s">
        <v>293</v>
      </c>
    </row>
    <row r="45" spans="1:16" x14ac:dyDescent="0.3">
      <c r="A45" s="24">
        <v>2</v>
      </c>
      <c r="B45" s="102">
        <v>46028</v>
      </c>
      <c r="C45" s="25" t="s">
        <v>356</v>
      </c>
      <c r="D45" s="103" t="s">
        <v>344</v>
      </c>
      <c r="E45" s="26">
        <v>233</v>
      </c>
      <c r="F45" s="26" t="s">
        <v>293</v>
      </c>
      <c r="K45" s="24">
        <v>2</v>
      </c>
      <c r="L45" s="102">
        <v>46028</v>
      </c>
      <c r="M45" s="25" t="s">
        <v>357</v>
      </c>
      <c r="N45" s="103" t="s">
        <v>344</v>
      </c>
      <c r="O45" s="26">
        <v>68</v>
      </c>
      <c r="P45" s="26" t="s">
        <v>293</v>
      </c>
    </row>
    <row r="46" spans="1:16" x14ac:dyDescent="0.3">
      <c r="A46" s="24">
        <v>2</v>
      </c>
      <c r="B46" s="102">
        <v>46028</v>
      </c>
      <c r="C46" s="25" t="s">
        <v>356</v>
      </c>
      <c r="D46" s="103" t="s">
        <v>132</v>
      </c>
      <c r="E46" s="26">
        <v>3.65</v>
      </c>
      <c r="F46" s="26" t="s">
        <v>293</v>
      </c>
      <c r="K46" s="24">
        <v>2</v>
      </c>
      <c r="L46" s="102">
        <v>46028</v>
      </c>
      <c r="M46" s="25" t="s">
        <v>357</v>
      </c>
      <c r="N46" s="103" t="s">
        <v>132</v>
      </c>
      <c r="O46" s="26">
        <v>7.32</v>
      </c>
      <c r="P46" s="26" t="s">
        <v>293</v>
      </c>
    </row>
    <row r="47" spans="1:16" x14ac:dyDescent="0.3">
      <c r="A47" s="24">
        <v>2</v>
      </c>
      <c r="B47" s="102">
        <v>46028</v>
      </c>
      <c r="C47" s="25" t="s">
        <v>356</v>
      </c>
      <c r="D47" s="103" t="s">
        <v>111</v>
      </c>
      <c r="E47" s="26">
        <v>89</v>
      </c>
      <c r="F47" s="26" t="s">
        <v>293</v>
      </c>
      <c r="K47" s="24">
        <v>2</v>
      </c>
      <c r="L47" s="102">
        <v>46028</v>
      </c>
      <c r="M47" s="25" t="s">
        <v>357</v>
      </c>
      <c r="N47" s="103" t="s">
        <v>111</v>
      </c>
      <c r="O47" s="26">
        <v>287</v>
      </c>
      <c r="P47" s="26" t="s">
        <v>293</v>
      </c>
    </row>
    <row r="48" spans="1:16" x14ac:dyDescent="0.3">
      <c r="A48" s="24">
        <v>2</v>
      </c>
      <c r="B48" s="102">
        <v>46028</v>
      </c>
      <c r="C48" s="25" t="s">
        <v>356</v>
      </c>
      <c r="D48" s="103" t="s">
        <v>345</v>
      </c>
      <c r="E48" s="26">
        <v>5.28</v>
      </c>
      <c r="F48" s="26" t="s">
        <v>293</v>
      </c>
      <c r="K48" s="24">
        <v>2</v>
      </c>
      <c r="L48" s="102">
        <v>46028</v>
      </c>
      <c r="M48" s="25" t="s">
        <v>357</v>
      </c>
      <c r="N48" s="103" t="s">
        <v>345</v>
      </c>
      <c r="O48" s="26">
        <v>9.84</v>
      </c>
      <c r="P48" s="26" t="s">
        <v>293</v>
      </c>
    </row>
    <row r="49" spans="1:16" x14ac:dyDescent="0.3">
      <c r="A49" s="24">
        <v>2</v>
      </c>
      <c r="B49" s="102">
        <v>46028</v>
      </c>
      <c r="C49" s="25" t="s">
        <v>356</v>
      </c>
      <c r="D49" s="103" t="s">
        <v>347</v>
      </c>
      <c r="E49" s="26">
        <v>2.2000000000000002</v>
      </c>
      <c r="F49" s="26" t="s">
        <v>293</v>
      </c>
      <c r="K49" s="24">
        <v>2</v>
      </c>
      <c r="L49" s="102">
        <v>46028</v>
      </c>
      <c r="M49" s="25" t="s">
        <v>357</v>
      </c>
      <c r="N49" s="103" t="s">
        <v>347</v>
      </c>
      <c r="O49" s="26">
        <v>4.8</v>
      </c>
      <c r="P49" s="26" t="s">
        <v>293</v>
      </c>
    </row>
    <row r="50" spans="1:16" x14ac:dyDescent="0.3">
      <c r="A50" s="24">
        <v>2</v>
      </c>
      <c r="B50" s="102">
        <v>46028</v>
      </c>
      <c r="C50" s="25" t="s">
        <v>356</v>
      </c>
      <c r="D50" s="103" t="s">
        <v>128</v>
      </c>
      <c r="E50" s="26">
        <v>6.8</v>
      </c>
      <c r="F50" s="26" t="s">
        <v>293</v>
      </c>
      <c r="K50" s="24">
        <v>2</v>
      </c>
      <c r="L50" s="102">
        <v>46028</v>
      </c>
      <c r="M50" s="25" t="s">
        <v>357</v>
      </c>
      <c r="N50" s="103" t="s">
        <v>128</v>
      </c>
      <c r="O50" s="26">
        <v>4.4000000000000004</v>
      </c>
      <c r="P50" s="26" t="s">
        <v>293</v>
      </c>
    </row>
    <row r="51" spans="1:16" x14ac:dyDescent="0.3">
      <c r="A51" s="24">
        <v>2</v>
      </c>
      <c r="B51" s="102">
        <v>46028</v>
      </c>
      <c r="C51" s="25" t="s">
        <v>356</v>
      </c>
      <c r="D51" s="103" t="s">
        <v>121</v>
      </c>
      <c r="E51" s="26">
        <v>159</v>
      </c>
      <c r="F51" s="26" t="s">
        <v>293</v>
      </c>
      <c r="K51" s="24">
        <v>2</v>
      </c>
      <c r="L51" s="102">
        <v>46028</v>
      </c>
      <c r="M51" s="25" t="s">
        <v>357</v>
      </c>
      <c r="N51" s="103" t="s">
        <v>121</v>
      </c>
      <c r="O51" s="26">
        <v>77</v>
      </c>
      <c r="P51" s="26" t="s">
        <v>293</v>
      </c>
    </row>
    <row r="52" spans="1:16" x14ac:dyDescent="0.3">
      <c r="A52" s="24">
        <v>2</v>
      </c>
      <c r="B52" s="102">
        <v>46028</v>
      </c>
      <c r="C52" s="25" t="s">
        <v>356</v>
      </c>
      <c r="D52" s="103" t="s">
        <v>115</v>
      </c>
      <c r="E52" s="26">
        <v>33</v>
      </c>
      <c r="F52" s="26" t="s">
        <v>293</v>
      </c>
      <c r="K52" s="24">
        <v>2</v>
      </c>
      <c r="L52" s="102">
        <v>46028</v>
      </c>
      <c r="M52" s="25" t="s">
        <v>357</v>
      </c>
      <c r="N52" s="103" t="s">
        <v>115</v>
      </c>
      <c r="O52" s="26">
        <v>94</v>
      </c>
      <c r="P52" s="26" t="s">
        <v>293</v>
      </c>
    </row>
    <row r="53" spans="1:16" x14ac:dyDescent="0.3">
      <c r="A53" s="24">
        <v>2</v>
      </c>
      <c r="B53" s="102">
        <v>46028</v>
      </c>
      <c r="C53" s="25" t="s">
        <v>356</v>
      </c>
      <c r="D53" s="103" t="s">
        <v>137</v>
      </c>
      <c r="E53" s="26">
        <v>75</v>
      </c>
      <c r="F53" s="26" t="s">
        <v>293</v>
      </c>
      <c r="K53" s="24">
        <v>2</v>
      </c>
      <c r="L53" s="102">
        <v>46028</v>
      </c>
      <c r="M53" s="25" t="s">
        <v>357</v>
      </c>
      <c r="N53" s="103" t="s">
        <v>137</v>
      </c>
      <c r="O53" s="26">
        <v>480</v>
      </c>
      <c r="P53" s="26" t="s">
        <v>293</v>
      </c>
    </row>
    <row r="54" spans="1:16" x14ac:dyDescent="0.3">
      <c r="A54" s="24">
        <v>2</v>
      </c>
      <c r="B54" s="102">
        <v>46028</v>
      </c>
      <c r="C54" s="25" t="s">
        <v>356</v>
      </c>
      <c r="D54" s="103" t="s">
        <v>348</v>
      </c>
      <c r="E54" s="26">
        <v>144</v>
      </c>
      <c r="F54" s="26" t="s">
        <v>293</v>
      </c>
      <c r="K54" s="24">
        <v>2</v>
      </c>
      <c r="L54" s="102">
        <v>46028</v>
      </c>
      <c r="M54" s="25" t="s">
        <v>357</v>
      </c>
      <c r="N54" s="103" t="s">
        <v>348</v>
      </c>
      <c r="O54" s="26">
        <v>434</v>
      </c>
      <c r="P54" s="26" t="s">
        <v>293</v>
      </c>
    </row>
    <row r="55" spans="1:16" x14ac:dyDescent="0.3">
      <c r="A55" s="24">
        <v>2</v>
      </c>
      <c r="B55" s="102">
        <v>46028</v>
      </c>
      <c r="C55" s="25" t="s">
        <v>356</v>
      </c>
      <c r="D55" s="103" t="s">
        <v>125</v>
      </c>
      <c r="E55" s="26">
        <v>104</v>
      </c>
      <c r="F55" s="26" t="s">
        <v>293</v>
      </c>
      <c r="K55" s="24">
        <v>2</v>
      </c>
      <c r="L55" s="102">
        <v>46028</v>
      </c>
      <c r="M55" s="25" t="s">
        <v>357</v>
      </c>
      <c r="N55" s="103" t="s">
        <v>125</v>
      </c>
      <c r="O55" s="26">
        <v>428</v>
      </c>
      <c r="P55" s="26" t="s">
        <v>293</v>
      </c>
    </row>
    <row r="56" spans="1:16" x14ac:dyDescent="0.3">
      <c r="A56" s="24">
        <v>2</v>
      </c>
      <c r="B56" s="102">
        <v>46028</v>
      </c>
      <c r="C56" s="25" t="s">
        <v>356</v>
      </c>
      <c r="D56" s="103" t="s">
        <v>126</v>
      </c>
      <c r="E56" s="26">
        <v>80</v>
      </c>
      <c r="F56" s="26" t="s">
        <v>293</v>
      </c>
      <c r="K56" s="24">
        <v>2</v>
      </c>
      <c r="L56" s="102">
        <v>46028</v>
      </c>
      <c r="M56" s="25" t="s">
        <v>357</v>
      </c>
      <c r="N56" s="103" t="s">
        <v>126</v>
      </c>
      <c r="O56" s="26">
        <v>152</v>
      </c>
      <c r="P56" s="26" t="s">
        <v>293</v>
      </c>
    </row>
    <row r="57" spans="1:16" x14ac:dyDescent="0.3">
      <c r="A57" s="24">
        <v>2</v>
      </c>
      <c r="B57" s="102">
        <v>46028</v>
      </c>
      <c r="C57" s="25" t="s">
        <v>356</v>
      </c>
      <c r="D57" s="103" t="s">
        <v>349</v>
      </c>
      <c r="E57" s="26">
        <v>159</v>
      </c>
      <c r="F57" s="26" t="s">
        <v>293</v>
      </c>
      <c r="K57" s="24">
        <v>2</v>
      </c>
      <c r="L57" s="102">
        <v>46028</v>
      </c>
      <c r="M57" s="25" t="s">
        <v>357</v>
      </c>
      <c r="N57" s="103" t="s">
        <v>349</v>
      </c>
      <c r="O57" s="26">
        <v>367</v>
      </c>
      <c r="P57" s="26" t="s">
        <v>293</v>
      </c>
    </row>
    <row r="58" spans="1:16" x14ac:dyDescent="0.3">
      <c r="A58" s="24">
        <v>2</v>
      </c>
      <c r="B58" s="102">
        <v>46028</v>
      </c>
      <c r="C58" s="25" t="s">
        <v>356</v>
      </c>
      <c r="D58" s="103" t="s">
        <v>350</v>
      </c>
      <c r="E58" s="26">
        <v>61</v>
      </c>
      <c r="F58" s="26" t="s">
        <v>293</v>
      </c>
      <c r="K58" s="24">
        <v>2</v>
      </c>
      <c r="L58" s="102">
        <v>46028</v>
      </c>
      <c r="M58" s="25" t="s">
        <v>357</v>
      </c>
      <c r="N58" s="103" t="s">
        <v>350</v>
      </c>
      <c r="O58" s="26">
        <v>85</v>
      </c>
      <c r="P58" s="26" t="s">
        <v>293</v>
      </c>
    </row>
    <row r="59" spans="1:16" x14ac:dyDescent="0.3">
      <c r="A59" s="24">
        <v>2</v>
      </c>
      <c r="B59" s="102">
        <v>46028</v>
      </c>
      <c r="C59" s="25" t="s">
        <v>356</v>
      </c>
      <c r="D59" s="103" t="s">
        <v>122</v>
      </c>
      <c r="E59" s="26">
        <v>48</v>
      </c>
      <c r="F59" s="26" t="s">
        <v>293</v>
      </c>
      <c r="K59" s="24">
        <v>2</v>
      </c>
      <c r="L59" s="102">
        <v>46028</v>
      </c>
      <c r="M59" s="25" t="s">
        <v>357</v>
      </c>
      <c r="N59" s="103" t="s">
        <v>122</v>
      </c>
      <c r="O59" s="26">
        <v>221</v>
      </c>
      <c r="P59" s="26" t="s">
        <v>293</v>
      </c>
    </row>
    <row r="60" spans="1:16" x14ac:dyDescent="0.3">
      <c r="A60" s="24">
        <v>2</v>
      </c>
      <c r="B60" s="102">
        <v>46028</v>
      </c>
      <c r="C60" s="25" t="s">
        <v>356</v>
      </c>
      <c r="D60" s="103" t="s">
        <v>124</v>
      </c>
      <c r="E60" s="26">
        <v>32</v>
      </c>
      <c r="F60" s="26" t="s">
        <v>293</v>
      </c>
      <c r="K60" s="24">
        <v>2</v>
      </c>
      <c r="L60" s="102">
        <v>46028</v>
      </c>
      <c r="M60" s="25" t="s">
        <v>357</v>
      </c>
      <c r="N60" s="103" t="s">
        <v>124</v>
      </c>
      <c r="O60" s="26">
        <v>110</v>
      </c>
      <c r="P60" s="26" t="s">
        <v>293</v>
      </c>
    </row>
    <row r="61" spans="1:16" x14ac:dyDescent="0.3">
      <c r="A61" s="24">
        <v>2</v>
      </c>
      <c r="B61" s="102">
        <v>46028</v>
      </c>
      <c r="C61" s="25" t="s">
        <v>356</v>
      </c>
      <c r="D61" s="103" t="s">
        <v>351</v>
      </c>
      <c r="E61" s="26">
        <v>0.96</v>
      </c>
      <c r="F61" s="26" t="s">
        <v>293</v>
      </c>
      <c r="K61" s="24">
        <v>2</v>
      </c>
      <c r="L61" s="102">
        <v>46028</v>
      </c>
      <c r="M61" s="25" t="s">
        <v>357</v>
      </c>
      <c r="N61" s="103" t="s">
        <v>351</v>
      </c>
      <c r="O61" s="26">
        <v>3.51</v>
      </c>
      <c r="P61" s="26" t="s">
        <v>293</v>
      </c>
    </row>
    <row r="62" spans="1:16" x14ac:dyDescent="0.3">
      <c r="A62" s="24">
        <v>2</v>
      </c>
      <c r="B62" s="102">
        <v>46028</v>
      </c>
      <c r="C62" s="25" t="s">
        <v>356</v>
      </c>
      <c r="D62" s="103" t="s">
        <v>353</v>
      </c>
      <c r="E62" s="26">
        <v>42</v>
      </c>
      <c r="F62" s="26" t="s">
        <v>293</v>
      </c>
      <c r="K62" s="24">
        <v>2</v>
      </c>
      <c r="L62" s="102">
        <v>46028</v>
      </c>
      <c r="M62" s="25" t="s">
        <v>357</v>
      </c>
      <c r="N62" s="103" t="s">
        <v>353</v>
      </c>
      <c r="O62" s="26">
        <v>29.2</v>
      </c>
      <c r="P62" s="26" t="s">
        <v>293</v>
      </c>
    </row>
    <row r="63" spans="1:16" x14ac:dyDescent="0.3">
      <c r="A63" s="24">
        <v>2</v>
      </c>
      <c r="B63" s="102">
        <v>46028</v>
      </c>
      <c r="C63" s="25" t="s">
        <v>356</v>
      </c>
      <c r="D63" s="103" t="s">
        <v>133</v>
      </c>
      <c r="E63" s="26">
        <v>146</v>
      </c>
      <c r="F63" s="26" t="s">
        <v>293</v>
      </c>
      <c r="K63" s="24">
        <v>2</v>
      </c>
      <c r="L63" s="102">
        <v>46028</v>
      </c>
      <c r="M63" s="25" t="s">
        <v>357</v>
      </c>
      <c r="N63" s="103" t="s">
        <v>133</v>
      </c>
      <c r="O63" s="26">
        <v>125</v>
      </c>
      <c r="P63" s="26" t="s">
        <v>293</v>
      </c>
    </row>
    <row r="64" spans="1:16" x14ac:dyDescent="0.3">
      <c r="A64" s="24">
        <v>2</v>
      </c>
      <c r="B64" s="102">
        <v>46028</v>
      </c>
      <c r="C64" s="25" t="s">
        <v>356</v>
      </c>
      <c r="D64" s="103" t="s">
        <v>135</v>
      </c>
      <c r="E64" s="26">
        <v>3.7</v>
      </c>
      <c r="F64" s="26" t="s">
        <v>293</v>
      </c>
      <c r="K64" s="24">
        <v>2</v>
      </c>
      <c r="L64" s="102">
        <v>46028</v>
      </c>
      <c r="M64" s="25" t="s">
        <v>357</v>
      </c>
      <c r="N64" s="103" t="s">
        <v>135</v>
      </c>
      <c r="O64" s="26">
        <v>6.4</v>
      </c>
      <c r="P64" s="26" t="s">
        <v>293</v>
      </c>
    </row>
    <row r="65" spans="1:16" x14ac:dyDescent="0.3">
      <c r="A65" s="24">
        <v>2</v>
      </c>
      <c r="B65" s="102">
        <v>46028</v>
      </c>
      <c r="C65" s="25" t="s">
        <v>356</v>
      </c>
      <c r="D65" s="103" t="s">
        <v>136</v>
      </c>
      <c r="E65" s="26">
        <v>116</v>
      </c>
      <c r="F65" s="26" t="s">
        <v>293</v>
      </c>
      <c r="K65" s="24">
        <v>2</v>
      </c>
      <c r="L65" s="102">
        <v>46028</v>
      </c>
      <c r="M65" s="25" t="s">
        <v>357</v>
      </c>
      <c r="N65" s="103" t="s">
        <v>136</v>
      </c>
      <c r="O65" s="26">
        <v>95</v>
      </c>
      <c r="P65" s="26" t="s">
        <v>293</v>
      </c>
    </row>
    <row r="66" spans="1:16" x14ac:dyDescent="0.3">
      <c r="A66" s="24">
        <v>3</v>
      </c>
      <c r="B66" s="102">
        <v>46029</v>
      </c>
      <c r="C66" s="25" t="s">
        <v>356</v>
      </c>
      <c r="D66" s="103" t="s">
        <v>339</v>
      </c>
      <c r="E66" s="26">
        <v>4.67</v>
      </c>
      <c r="F66" s="26" t="s">
        <v>293</v>
      </c>
      <c r="K66" s="24">
        <v>3</v>
      </c>
      <c r="L66" s="102">
        <v>46029</v>
      </c>
      <c r="M66" s="25" t="s">
        <v>357</v>
      </c>
      <c r="N66" s="103" t="s">
        <v>339</v>
      </c>
      <c r="O66" s="26">
        <v>1.1599999999999999</v>
      </c>
      <c r="P66" s="26" t="s">
        <v>293</v>
      </c>
    </row>
    <row r="67" spans="1:16" x14ac:dyDescent="0.3">
      <c r="A67" s="24">
        <v>3</v>
      </c>
      <c r="B67" s="102">
        <v>46029</v>
      </c>
      <c r="C67" s="25" t="s">
        <v>356</v>
      </c>
      <c r="D67" s="103" t="s">
        <v>118</v>
      </c>
      <c r="E67" s="26">
        <v>4.8</v>
      </c>
      <c r="F67" s="26" t="s">
        <v>293</v>
      </c>
      <c r="K67" s="24">
        <v>3</v>
      </c>
      <c r="L67" s="102">
        <v>46029</v>
      </c>
      <c r="M67" s="25" t="s">
        <v>357</v>
      </c>
      <c r="N67" s="103" t="s">
        <v>118</v>
      </c>
      <c r="O67" s="26">
        <v>9.9</v>
      </c>
      <c r="P67" s="26" t="s">
        <v>293</v>
      </c>
    </row>
    <row r="68" spans="1:16" x14ac:dyDescent="0.3">
      <c r="A68" s="24">
        <v>3</v>
      </c>
      <c r="B68" s="102">
        <v>46029</v>
      </c>
      <c r="C68" s="25" t="s">
        <v>356</v>
      </c>
      <c r="D68" s="103" t="s">
        <v>130</v>
      </c>
      <c r="E68" s="26">
        <v>3.96</v>
      </c>
      <c r="F68" s="26" t="s">
        <v>293</v>
      </c>
      <c r="K68" s="24">
        <v>3</v>
      </c>
      <c r="L68" s="102">
        <v>46029</v>
      </c>
      <c r="M68" s="25" t="s">
        <v>357</v>
      </c>
      <c r="N68" s="103" t="s">
        <v>130</v>
      </c>
      <c r="O68" s="26">
        <v>2.54</v>
      </c>
      <c r="P68" s="26" t="s">
        <v>293</v>
      </c>
    </row>
    <row r="69" spans="1:16" x14ac:dyDescent="0.3">
      <c r="A69" s="24">
        <v>3</v>
      </c>
      <c r="B69" s="102">
        <v>46029</v>
      </c>
      <c r="C69" s="25" t="s">
        <v>356</v>
      </c>
      <c r="D69" s="103" t="s">
        <v>341</v>
      </c>
      <c r="E69" s="26">
        <v>0.316</v>
      </c>
      <c r="F69" s="26" t="s">
        <v>293</v>
      </c>
      <c r="K69" s="24">
        <v>3</v>
      </c>
      <c r="L69" s="102">
        <v>46029</v>
      </c>
      <c r="M69" s="25" t="s">
        <v>357</v>
      </c>
      <c r="N69" s="103" t="s">
        <v>341</v>
      </c>
      <c r="O69" s="26">
        <v>1.1579999999999999</v>
      </c>
      <c r="P69" s="26" t="s">
        <v>293</v>
      </c>
    </row>
    <row r="70" spans="1:16" x14ac:dyDescent="0.3">
      <c r="A70" s="24">
        <v>3</v>
      </c>
      <c r="B70" s="102">
        <v>46029</v>
      </c>
      <c r="C70" s="25" t="s">
        <v>356</v>
      </c>
      <c r="D70" s="103" t="s">
        <v>127</v>
      </c>
      <c r="E70" s="26">
        <v>1.196</v>
      </c>
      <c r="F70" s="26" t="s">
        <v>293</v>
      </c>
      <c r="K70" s="24">
        <v>3</v>
      </c>
      <c r="L70" s="102">
        <v>46029</v>
      </c>
      <c r="M70" s="25" t="s">
        <v>357</v>
      </c>
      <c r="N70" s="103" t="s">
        <v>127</v>
      </c>
      <c r="O70" s="26">
        <v>4.6989999999999998</v>
      </c>
      <c r="P70" s="26" t="s">
        <v>293</v>
      </c>
    </row>
    <row r="71" spans="1:16" x14ac:dyDescent="0.3">
      <c r="A71" s="24">
        <v>3</v>
      </c>
      <c r="B71" s="102">
        <v>46029</v>
      </c>
      <c r="C71" s="25" t="s">
        <v>356</v>
      </c>
      <c r="D71" s="103" t="s">
        <v>131</v>
      </c>
      <c r="E71" s="26">
        <v>8.8000000000000007</v>
      </c>
      <c r="F71" s="26" t="s">
        <v>293</v>
      </c>
      <c r="K71" s="24">
        <v>3</v>
      </c>
      <c r="L71" s="102">
        <v>46029</v>
      </c>
      <c r="M71" s="25" t="s">
        <v>357</v>
      </c>
      <c r="N71" s="103" t="s">
        <v>131</v>
      </c>
      <c r="O71" s="26">
        <v>12.4</v>
      </c>
      <c r="P71" s="26" t="s">
        <v>293</v>
      </c>
    </row>
    <row r="72" spans="1:16" x14ac:dyDescent="0.3">
      <c r="A72" s="24">
        <v>3</v>
      </c>
      <c r="B72" s="102">
        <v>46029</v>
      </c>
      <c r="C72" s="25" t="s">
        <v>356</v>
      </c>
      <c r="D72" s="103" t="s">
        <v>342</v>
      </c>
      <c r="E72" s="26">
        <v>325</v>
      </c>
      <c r="F72" s="26" t="s">
        <v>293</v>
      </c>
      <c r="K72" s="24">
        <v>3</v>
      </c>
      <c r="L72" s="102">
        <v>46029</v>
      </c>
      <c r="M72" s="25" t="s">
        <v>357</v>
      </c>
      <c r="N72" s="103" t="s">
        <v>342</v>
      </c>
      <c r="O72" s="26">
        <v>199</v>
      </c>
      <c r="P72" s="26" t="s">
        <v>293</v>
      </c>
    </row>
    <row r="73" spans="1:16" x14ac:dyDescent="0.3">
      <c r="A73" s="24">
        <v>3</v>
      </c>
      <c r="B73" s="102">
        <v>46029</v>
      </c>
      <c r="C73" s="25" t="s">
        <v>356</v>
      </c>
      <c r="D73" s="103" t="s">
        <v>119</v>
      </c>
      <c r="E73" s="26">
        <v>238</v>
      </c>
      <c r="F73" s="26" t="s">
        <v>293</v>
      </c>
      <c r="K73" s="24">
        <v>3</v>
      </c>
      <c r="L73" s="102">
        <v>46029</v>
      </c>
      <c r="M73" s="25" t="s">
        <v>357</v>
      </c>
      <c r="N73" s="103" t="s">
        <v>119</v>
      </c>
      <c r="O73" s="26">
        <v>88</v>
      </c>
      <c r="P73" s="26" t="s">
        <v>293</v>
      </c>
    </row>
    <row r="74" spans="1:16" x14ac:dyDescent="0.3">
      <c r="A74" s="24">
        <v>3</v>
      </c>
      <c r="B74" s="102">
        <v>46029</v>
      </c>
      <c r="C74" s="25" t="s">
        <v>356</v>
      </c>
      <c r="D74" s="103" t="s">
        <v>120</v>
      </c>
      <c r="E74" s="26">
        <v>80</v>
      </c>
      <c r="F74" s="26" t="s">
        <v>293</v>
      </c>
      <c r="K74" s="24">
        <v>3</v>
      </c>
      <c r="L74" s="102">
        <v>46029</v>
      </c>
      <c r="M74" s="25" t="s">
        <v>357</v>
      </c>
      <c r="N74" s="103" t="s">
        <v>120</v>
      </c>
      <c r="O74" s="26">
        <v>26</v>
      </c>
      <c r="P74" s="26" t="s">
        <v>293</v>
      </c>
    </row>
    <row r="75" spans="1:16" x14ac:dyDescent="0.3">
      <c r="A75" s="24">
        <v>3</v>
      </c>
      <c r="B75" s="102">
        <v>46029</v>
      </c>
      <c r="C75" s="25" t="s">
        <v>356</v>
      </c>
      <c r="D75" s="103" t="s">
        <v>117</v>
      </c>
      <c r="E75" s="26">
        <v>2.78</v>
      </c>
      <c r="F75" s="26" t="s">
        <v>293</v>
      </c>
      <c r="K75" s="24">
        <v>3</v>
      </c>
      <c r="L75" s="102">
        <v>46029</v>
      </c>
      <c r="M75" s="25" t="s">
        <v>357</v>
      </c>
      <c r="N75" s="103" t="s">
        <v>117</v>
      </c>
      <c r="O75" s="26">
        <v>6.22</v>
      </c>
      <c r="P75" s="26" t="s">
        <v>293</v>
      </c>
    </row>
    <row r="76" spans="1:16" x14ac:dyDescent="0.3">
      <c r="A76" s="24">
        <v>3</v>
      </c>
      <c r="B76" s="102">
        <v>46029</v>
      </c>
      <c r="C76" s="25" t="s">
        <v>356</v>
      </c>
      <c r="D76" s="103" t="s">
        <v>344</v>
      </c>
      <c r="E76" s="26">
        <v>234</v>
      </c>
      <c r="F76" s="26" t="s">
        <v>293</v>
      </c>
      <c r="K76" s="24">
        <v>3</v>
      </c>
      <c r="L76" s="102">
        <v>46029</v>
      </c>
      <c r="M76" s="25" t="s">
        <v>357</v>
      </c>
      <c r="N76" s="103" t="s">
        <v>344</v>
      </c>
      <c r="O76" s="26">
        <v>68</v>
      </c>
      <c r="P76" s="26" t="s">
        <v>293</v>
      </c>
    </row>
    <row r="77" spans="1:16" x14ac:dyDescent="0.3">
      <c r="A77" s="24">
        <v>3</v>
      </c>
      <c r="B77" s="102">
        <v>46029</v>
      </c>
      <c r="C77" s="25" t="s">
        <v>356</v>
      </c>
      <c r="D77" s="103" t="s">
        <v>132</v>
      </c>
      <c r="E77" s="26">
        <v>3.61</v>
      </c>
      <c r="F77" s="26" t="s">
        <v>293</v>
      </c>
      <c r="K77" s="24">
        <v>3</v>
      </c>
      <c r="L77" s="102">
        <v>46029</v>
      </c>
      <c r="M77" s="25" t="s">
        <v>357</v>
      </c>
      <c r="N77" s="103" t="s">
        <v>132</v>
      </c>
      <c r="O77" s="26">
        <v>7.45</v>
      </c>
      <c r="P77" s="26" t="s">
        <v>293</v>
      </c>
    </row>
    <row r="78" spans="1:16" x14ac:dyDescent="0.3">
      <c r="A78" s="24">
        <v>3</v>
      </c>
      <c r="B78" s="102">
        <v>46029</v>
      </c>
      <c r="C78" s="25" t="s">
        <v>356</v>
      </c>
      <c r="D78" s="103" t="s">
        <v>111</v>
      </c>
      <c r="E78" s="26">
        <v>90</v>
      </c>
      <c r="F78" s="26" t="s">
        <v>293</v>
      </c>
      <c r="K78" s="24">
        <v>3</v>
      </c>
      <c r="L78" s="102">
        <v>46029</v>
      </c>
      <c r="M78" s="25" t="s">
        <v>357</v>
      </c>
      <c r="N78" s="103" t="s">
        <v>111</v>
      </c>
      <c r="O78" s="26">
        <v>283</v>
      </c>
      <c r="P78" s="26" t="s">
        <v>293</v>
      </c>
    </row>
    <row r="79" spans="1:16" x14ac:dyDescent="0.3">
      <c r="A79" s="24">
        <v>3</v>
      </c>
      <c r="B79" s="102">
        <v>46029</v>
      </c>
      <c r="C79" s="25" t="s">
        <v>356</v>
      </c>
      <c r="D79" s="103" t="s">
        <v>345</v>
      </c>
      <c r="E79" s="26">
        <v>5.19</v>
      </c>
      <c r="F79" s="26" t="s">
        <v>293</v>
      </c>
      <c r="K79" s="24">
        <v>3</v>
      </c>
      <c r="L79" s="102">
        <v>46029</v>
      </c>
      <c r="M79" s="25" t="s">
        <v>357</v>
      </c>
      <c r="N79" s="103" t="s">
        <v>345</v>
      </c>
      <c r="O79" s="26">
        <v>9.82</v>
      </c>
      <c r="P79" s="26" t="s">
        <v>293</v>
      </c>
    </row>
    <row r="80" spans="1:16" x14ac:dyDescent="0.3">
      <c r="A80" s="24">
        <v>3</v>
      </c>
      <c r="B80" s="102">
        <v>46029</v>
      </c>
      <c r="C80" s="25" t="s">
        <v>356</v>
      </c>
      <c r="D80" s="103" t="s">
        <v>347</v>
      </c>
      <c r="E80" s="26">
        <v>2.2000000000000002</v>
      </c>
      <c r="F80" s="26" t="s">
        <v>293</v>
      </c>
      <c r="K80" s="24">
        <v>3</v>
      </c>
      <c r="L80" s="102">
        <v>46029</v>
      </c>
      <c r="M80" s="25" t="s">
        <v>357</v>
      </c>
      <c r="N80" s="103" t="s">
        <v>347</v>
      </c>
      <c r="O80" s="26">
        <v>4.6500000000000004</v>
      </c>
      <c r="P80" s="26" t="s">
        <v>293</v>
      </c>
    </row>
    <row r="81" spans="1:16" x14ac:dyDescent="0.3">
      <c r="A81" s="24">
        <v>3</v>
      </c>
      <c r="B81" s="102">
        <v>46029</v>
      </c>
      <c r="C81" s="25" t="s">
        <v>356</v>
      </c>
      <c r="D81" s="103" t="s">
        <v>128</v>
      </c>
      <c r="E81" s="26">
        <v>6.7</v>
      </c>
      <c r="F81" s="26" t="s">
        <v>293</v>
      </c>
      <c r="K81" s="24">
        <v>3</v>
      </c>
      <c r="L81" s="102">
        <v>46029</v>
      </c>
      <c r="M81" s="25" t="s">
        <v>357</v>
      </c>
      <c r="N81" s="103" t="s">
        <v>128</v>
      </c>
      <c r="O81" s="26">
        <v>4.4000000000000004</v>
      </c>
      <c r="P81" s="26" t="s">
        <v>293</v>
      </c>
    </row>
    <row r="82" spans="1:16" x14ac:dyDescent="0.3">
      <c r="A82" s="24">
        <v>3</v>
      </c>
      <c r="B82" s="102">
        <v>46029</v>
      </c>
      <c r="C82" s="25" t="s">
        <v>356</v>
      </c>
      <c r="D82" s="103" t="s">
        <v>121</v>
      </c>
      <c r="E82" s="26">
        <v>158</v>
      </c>
      <c r="F82" s="26" t="s">
        <v>293</v>
      </c>
      <c r="K82" s="24">
        <v>3</v>
      </c>
      <c r="L82" s="102">
        <v>46029</v>
      </c>
      <c r="M82" s="25" t="s">
        <v>357</v>
      </c>
      <c r="N82" s="103" t="s">
        <v>121</v>
      </c>
      <c r="O82" s="26">
        <v>79</v>
      </c>
      <c r="P82" s="26" t="s">
        <v>293</v>
      </c>
    </row>
    <row r="83" spans="1:16" x14ac:dyDescent="0.3">
      <c r="A83" s="24">
        <v>3</v>
      </c>
      <c r="B83" s="102">
        <v>46029</v>
      </c>
      <c r="C83" s="25" t="s">
        <v>356</v>
      </c>
      <c r="D83" s="103" t="s">
        <v>115</v>
      </c>
      <c r="E83" s="26">
        <v>32</v>
      </c>
      <c r="F83" s="26" t="s">
        <v>293</v>
      </c>
      <c r="K83" s="24">
        <v>3</v>
      </c>
      <c r="L83" s="102">
        <v>46029</v>
      </c>
      <c r="M83" s="25" t="s">
        <v>357</v>
      </c>
      <c r="N83" s="103" t="s">
        <v>115</v>
      </c>
      <c r="O83" s="26">
        <v>96</v>
      </c>
      <c r="P83" s="26" t="s">
        <v>293</v>
      </c>
    </row>
    <row r="84" spans="1:16" x14ac:dyDescent="0.3">
      <c r="A84" s="24">
        <v>3</v>
      </c>
      <c r="B84" s="102">
        <v>46029</v>
      </c>
      <c r="C84" s="25" t="s">
        <v>356</v>
      </c>
      <c r="D84" s="103" t="s">
        <v>137</v>
      </c>
      <c r="E84" s="26">
        <v>74</v>
      </c>
      <c r="F84" s="26" t="s">
        <v>293</v>
      </c>
      <c r="K84" s="24">
        <v>3</v>
      </c>
      <c r="L84" s="102">
        <v>46029</v>
      </c>
      <c r="M84" s="25" t="s">
        <v>357</v>
      </c>
      <c r="N84" s="103" t="s">
        <v>137</v>
      </c>
      <c r="O84" s="26">
        <v>480</v>
      </c>
      <c r="P84" s="26" t="s">
        <v>293</v>
      </c>
    </row>
    <row r="85" spans="1:16" x14ac:dyDescent="0.3">
      <c r="A85" s="24">
        <v>3</v>
      </c>
      <c r="B85" s="102">
        <v>46029</v>
      </c>
      <c r="C85" s="25" t="s">
        <v>356</v>
      </c>
      <c r="D85" s="103" t="s">
        <v>348</v>
      </c>
      <c r="E85" s="26">
        <v>148</v>
      </c>
      <c r="F85" s="26" t="s">
        <v>293</v>
      </c>
      <c r="K85" s="24">
        <v>3</v>
      </c>
      <c r="L85" s="102">
        <v>46029</v>
      </c>
      <c r="M85" s="25" t="s">
        <v>357</v>
      </c>
      <c r="N85" s="103" t="s">
        <v>348</v>
      </c>
      <c r="O85" s="26">
        <v>442</v>
      </c>
      <c r="P85" s="26" t="s">
        <v>293</v>
      </c>
    </row>
    <row r="86" spans="1:16" x14ac:dyDescent="0.3">
      <c r="A86" s="24">
        <v>3</v>
      </c>
      <c r="B86" s="102">
        <v>46029</v>
      </c>
      <c r="C86" s="25" t="s">
        <v>356</v>
      </c>
      <c r="D86" s="103" t="s">
        <v>125</v>
      </c>
      <c r="E86" s="26">
        <v>106</v>
      </c>
      <c r="F86" s="26" t="s">
        <v>293</v>
      </c>
      <c r="K86" s="24">
        <v>3</v>
      </c>
      <c r="L86" s="102">
        <v>46029</v>
      </c>
      <c r="M86" s="25" t="s">
        <v>357</v>
      </c>
      <c r="N86" s="103" t="s">
        <v>125</v>
      </c>
      <c r="O86" s="26">
        <v>424</v>
      </c>
      <c r="P86" s="26" t="s">
        <v>293</v>
      </c>
    </row>
    <row r="87" spans="1:16" x14ac:dyDescent="0.3">
      <c r="A87" s="24">
        <v>3</v>
      </c>
      <c r="B87" s="102">
        <v>46029</v>
      </c>
      <c r="C87" s="25" t="s">
        <v>356</v>
      </c>
      <c r="D87" s="103" t="s">
        <v>126</v>
      </c>
      <c r="E87" s="26">
        <v>76</v>
      </c>
      <c r="F87" s="26" t="s">
        <v>293</v>
      </c>
      <c r="K87" s="24">
        <v>3</v>
      </c>
      <c r="L87" s="102">
        <v>46029</v>
      </c>
      <c r="M87" s="25" t="s">
        <v>357</v>
      </c>
      <c r="N87" s="103" t="s">
        <v>126</v>
      </c>
      <c r="O87" s="26">
        <v>147</v>
      </c>
      <c r="P87" s="26" t="s">
        <v>293</v>
      </c>
    </row>
    <row r="88" spans="1:16" x14ac:dyDescent="0.3">
      <c r="A88" s="24">
        <v>3</v>
      </c>
      <c r="B88" s="102">
        <v>46029</v>
      </c>
      <c r="C88" s="25" t="s">
        <v>356</v>
      </c>
      <c r="D88" s="103" t="s">
        <v>349</v>
      </c>
      <c r="E88" s="26">
        <v>150</v>
      </c>
      <c r="F88" s="26" t="s">
        <v>293</v>
      </c>
      <c r="K88" s="24">
        <v>3</v>
      </c>
      <c r="L88" s="102">
        <v>46029</v>
      </c>
      <c r="M88" s="25" t="s">
        <v>357</v>
      </c>
      <c r="N88" s="103" t="s">
        <v>349</v>
      </c>
      <c r="O88" s="26">
        <v>365</v>
      </c>
      <c r="P88" s="26" t="s">
        <v>293</v>
      </c>
    </row>
    <row r="89" spans="1:16" x14ac:dyDescent="0.3">
      <c r="A89" s="24">
        <v>3</v>
      </c>
      <c r="B89" s="102">
        <v>46029</v>
      </c>
      <c r="C89" s="25" t="s">
        <v>356</v>
      </c>
      <c r="D89" s="103" t="s">
        <v>350</v>
      </c>
      <c r="E89" s="26">
        <v>60</v>
      </c>
      <c r="F89" s="26" t="s">
        <v>293</v>
      </c>
      <c r="K89" s="24">
        <v>3</v>
      </c>
      <c r="L89" s="102">
        <v>46029</v>
      </c>
      <c r="M89" s="25" t="s">
        <v>357</v>
      </c>
      <c r="N89" s="103" t="s">
        <v>350</v>
      </c>
      <c r="O89" s="26">
        <v>84</v>
      </c>
      <c r="P89" s="26" t="s">
        <v>293</v>
      </c>
    </row>
    <row r="90" spans="1:16" x14ac:dyDescent="0.3">
      <c r="A90" s="24">
        <v>3</v>
      </c>
      <c r="B90" s="102">
        <v>46029</v>
      </c>
      <c r="C90" s="25" t="s">
        <v>356</v>
      </c>
      <c r="D90" s="103" t="s">
        <v>122</v>
      </c>
      <c r="E90" s="26">
        <v>46</v>
      </c>
      <c r="F90" s="26" t="s">
        <v>293</v>
      </c>
      <c r="K90" s="24">
        <v>3</v>
      </c>
      <c r="L90" s="102">
        <v>46029</v>
      </c>
      <c r="M90" s="25" t="s">
        <v>357</v>
      </c>
      <c r="N90" s="103" t="s">
        <v>122</v>
      </c>
      <c r="O90" s="26">
        <v>212</v>
      </c>
      <c r="P90" s="26" t="s">
        <v>293</v>
      </c>
    </row>
    <row r="91" spans="1:16" x14ac:dyDescent="0.3">
      <c r="A91" s="24">
        <v>3</v>
      </c>
      <c r="B91" s="102">
        <v>46029</v>
      </c>
      <c r="C91" s="25" t="s">
        <v>356</v>
      </c>
      <c r="D91" s="103" t="s">
        <v>124</v>
      </c>
      <c r="E91" s="26">
        <v>31</v>
      </c>
      <c r="F91" s="26" t="s">
        <v>293</v>
      </c>
      <c r="K91" s="24">
        <v>3</v>
      </c>
      <c r="L91" s="102">
        <v>46029</v>
      </c>
      <c r="M91" s="25" t="s">
        <v>357</v>
      </c>
      <c r="N91" s="103" t="s">
        <v>124</v>
      </c>
      <c r="O91" s="26">
        <v>106</v>
      </c>
      <c r="P91" s="26" t="s">
        <v>293</v>
      </c>
    </row>
    <row r="92" spans="1:16" x14ac:dyDescent="0.3">
      <c r="A92" s="24">
        <v>3</v>
      </c>
      <c r="B92" s="102">
        <v>46029</v>
      </c>
      <c r="C92" s="25" t="s">
        <v>356</v>
      </c>
      <c r="D92" s="103" t="s">
        <v>351</v>
      </c>
      <c r="E92" s="26">
        <v>0.98</v>
      </c>
      <c r="F92" s="26" t="s">
        <v>293</v>
      </c>
      <c r="K92" s="24">
        <v>3</v>
      </c>
      <c r="L92" s="102">
        <v>46029</v>
      </c>
      <c r="M92" s="25" t="s">
        <v>357</v>
      </c>
      <c r="N92" s="103" t="s">
        <v>351</v>
      </c>
      <c r="O92" s="26">
        <v>3.41</v>
      </c>
      <c r="P92" s="26" t="s">
        <v>293</v>
      </c>
    </row>
    <row r="93" spans="1:16" x14ac:dyDescent="0.3">
      <c r="A93" s="24">
        <v>3</v>
      </c>
      <c r="B93" s="102">
        <v>46029</v>
      </c>
      <c r="C93" s="25" t="s">
        <v>356</v>
      </c>
      <c r="D93" s="103" t="s">
        <v>353</v>
      </c>
      <c r="E93" s="26">
        <v>35.299999999999997</v>
      </c>
      <c r="F93" s="26" t="s">
        <v>293</v>
      </c>
      <c r="K93" s="24">
        <v>3</v>
      </c>
      <c r="L93" s="102">
        <v>46029</v>
      </c>
      <c r="M93" s="25" t="s">
        <v>357</v>
      </c>
      <c r="N93" s="103" t="s">
        <v>353</v>
      </c>
      <c r="O93" s="26">
        <v>19.600000000000001</v>
      </c>
      <c r="P93" s="26" t="s">
        <v>293</v>
      </c>
    </row>
    <row r="94" spans="1:16" x14ac:dyDescent="0.3">
      <c r="A94" s="24">
        <v>3</v>
      </c>
      <c r="B94" s="102">
        <v>46029</v>
      </c>
      <c r="C94" s="25" t="s">
        <v>356</v>
      </c>
      <c r="D94" s="103" t="s">
        <v>133</v>
      </c>
      <c r="E94" s="26">
        <v>145</v>
      </c>
      <c r="F94" s="26" t="s">
        <v>293</v>
      </c>
      <c r="K94" s="24">
        <v>3</v>
      </c>
      <c r="L94" s="102">
        <v>46029</v>
      </c>
      <c r="M94" s="25" t="s">
        <v>357</v>
      </c>
      <c r="N94" s="103" t="s">
        <v>133</v>
      </c>
      <c r="O94" s="26">
        <v>125</v>
      </c>
      <c r="P94" s="26" t="s">
        <v>293</v>
      </c>
    </row>
    <row r="95" spans="1:16" x14ac:dyDescent="0.3">
      <c r="A95" s="24">
        <v>3</v>
      </c>
      <c r="B95" s="102">
        <v>46029</v>
      </c>
      <c r="C95" s="25" t="s">
        <v>356</v>
      </c>
      <c r="D95" s="103" t="s">
        <v>135</v>
      </c>
      <c r="E95" s="26">
        <v>3.7</v>
      </c>
      <c r="F95" s="26" t="s">
        <v>293</v>
      </c>
      <c r="K95" s="24">
        <v>3</v>
      </c>
      <c r="L95" s="102">
        <v>46029</v>
      </c>
      <c r="M95" s="25" t="s">
        <v>357</v>
      </c>
      <c r="N95" s="103" t="s">
        <v>135</v>
      </c>
      <c r="O95" s="26">
        <v>6.3</v>
      </c>
      <c r="P95" s="26" t="s">
        <v>293</v>
      </c>
    </row>
    <row r="96" spans="1:16" x14ac:dyDescent="0.3">
      <c r="A96" s="24">
        <v>3</v>
      </c>
      <c r="B96" s="102">
        <v>46029</v>
      </c>
      <c r="C96" s="25" t="s">
        <v>356</v>
      </c>
      <c r="D96" s="103" t="s">
        <v>136</v>
      </c>
      <c r="E96" s="26">
        <v>119</v>
      </c>
      <c r="F96" s="26" t="s">
        <v>293</v>
      </c>
      <c r="K96" s="24">
        <v>3</v>
      </c>
      <c r="L96" s="102">
        <v>46029</v>
      </c>
      <c r="M96" s="25" t="s">
        <v>357</v>
      </c>
      <c r="N96" s="103" t="s">
        <v>136</v>
      </c>
      <c r="O96" s="26">
        <v>97</v>
      </c>
      <c r="P96" s="26" t="s">
        <v>293</v>
      </c>
    </row>
    <row r="97" spans="1:16" x14ac:dyDescent="0.3">
      <c r="A97" s="24">
        <v>4</v>
      </c>
      <c r="B97" s="102">
        <v>46030</v>
      </c>
      <c r="C97" s="25" t="s">
        <v>356</v>
      </c>
      <c r="D97" s="103" t="s">
        <v>339</v>
      </c>
      <c r="E97" s="26">
        <v>4.49</v>
      </c>
      <c r="F97" s="26" t="s">
        <v>293</v>
      </c>
      <c r="K97" s="24">
        <v>4</v>
      </c>
      <c r="L97" s="102">
        <v>46030</v>
      </c>
      <c r="M97" s="25" t="s">
        <v>357</v>
      </c>
      <c r="N97" s="103" t="s">
        <v>339</v>
      </c>
      <c r="O97" s="26">
        <v>1.08</v>
      </c>
      <c r="P97" s="26" t="s">
        <v>293</v>
      </c>
    </row>
    <row r="98" spans="1:16" x14ac:dyDescent="0.3">
      <c r="A98" s="24">
        <v>4</v>
      </c>
      <c r="B98" s="102">
        <v>46030</v>
      </c>
      <c r="C98" s="25" t="s">
        <v>356</v>
      </c>
      <c r="D98" s="103" t="s">
        <v>118</v>
      </c>
      <c r="E98" s="26">
        <v>4.5999999999999996</v>
      </c>
      <c r="F98" s="26" t="s">
        <v>293</v>
      </c>
      <c r="K98" s="24">
        <v>4</v>
      </c>
      <c r="L98" s="102">
        <v>46030</v>
      </c>
      <c r="M98" s="25" t="s">
        <v>357</v>
      </c>
      <c r="N98" s="103" t="s">
        <v>118</v>
      </c>
      <c r="O98" s="26">
        <v>9.6</v>
      </c>
      <c r="P98" s="26" t="s">
        <v>293</v>
      </c>
    </row>
    <row r="99" spans="1:16" x14ac:dyDescent="0.3">
      <c r="A99" s="24">
        <v>4</v>
      </c>
      <c r="B99" s="102">
        <v>46030</v>
      </c>
      <c r="C99" s="25" t="s">
        <v>356</v>
      </c>
      <c r="D99" s="103" t="s">
        <v>130</v>
      </c>
      <c r="E99" s="26">
        <v>3.92</v>
      </c>
      <c r="F99" s="26" t="s">
        <v>293</v>
      </c>
      <c r="K99" s="24">
        <v>4</v>
      </c>
      <c r="L99" s="102">
        <v>46030</v>
      </c>
      <c r="M99" s="25" t="s">
        <v>357</v>
      </c>
      <c r="N99" s="103" t="s">
        <v>130</v>
      </c>
      <c r="O99" s="26">
        <v>2.4350000000000001</v>
      </c>
      <c r="P99" s="26" t="s">
        <v>293</v>
      </c>
    </row>
    <row r="100" spans="1:16" x14ac:dyDescent="0.3">
      <c r="A100" s="24">
        <v>4</v>
      </c>
      <c r="B100" s="102">
        <v>46030</v>
      </c>
      <c r="C100" s="25" t="s">
        <v>356</v>
      </c>
      <c r="D100" s="103" t="s">
        <v>341</v>
      </c>
      <c r="E100" s="26">
        <v>0.31</v>
      </c>
      <c r="F100" s="26" t="s">
        <v>293</v>
      </c>
      <c r="K100" s="24">
        <v>4</v>
      </c>
      <c r="L100" s="102">
        <v>46030</v>
      </c>
      <c r="M100" s="25" t="s">
        <v>357</v>
      </c>
      <c r="N100" s="103" t="s">
        <v>341</v>
      </c>
      <c r="O100" s="26">
        <v>1.1779999999999999</v>
      </c>
      <c r="P100" s="26" t="s">
        <v>293</v>
      </c>
    </row>
    <row r="101" spans="1:16" x14ac:dyDescent="0.3">
      <c r="A101" s="24">
        <v>4</v>
      </c>
      <c r="B101" s="102">
        <v>46030</v>
      </c>
      <c r="C101" s="25" t="s">
        <v>356</v>
      </c>
      <c r="D101" s="103" t="s">
        <v>127</v>
      </c>
      <c r="E101" s="26">
        <v>1.1779999999999999</v>
      </c>
      <c r="F101" s="26" t="s">
        <v>293</v>
      </c>
      <c r="K101" s="24">
        <v>4</v>
      </c>
      <c r="L101" s="102">
        <v>46030</v>
      </c>
      <c r="M101" s="25" t="s">
        <v>357</v>
      </c>
      <c r="N101" s="103" t="s">
        <v>127</v>
      </c>
      <c r="O101" s="26">
        <v>4.6529999999999996</v>
      </c>
      <c r="P101" s="26" t="s">
        <v>293</v>
      </c>
    </row>
    <row r="102" spans="1:16" x14ac:dyDescent="0.3">
      <c r="A102" s="24">
        <v>4</v>
      </c>
      <c r="B102" s="102">
        <v>46030</v>
      </c>
      <c r="C102" s="25" t="s">
        <v>356</v>
      </c>
      <c r="D102" s="103" t="s">
        <v>131</v>
      </c>
      <c r="E102" s="26">
        <v>8.9</v>
      </c>
      <c r="F102" s="26" t="s">
        <v>293</v>
      </c>
      <c r="K102" s="24">
        <v>4</v>
      </c>
      <c r="L102" s="102">
        <v>46030</v>
      </c>
      <c r="M102" s="25" t="s">
        <v>357</v>
      </c>
      <c r="N102" s="103" t="s">
        <v>131</v>
      </c>
      <c r="O102" s="26">
        <v>12.3</v>
      </c>
      <c r="P102" s="26" t="s">
        <v>293</v>
      </c>
    </row>
    <row r="103" spans="1:16" x14ac:dyDescent="0.3">
      <c r="A103" s="24">
        <v>4</v>
      </c>
      <c r="B103" s="102">
        <v>46030</v>
      </c>
      <c r="C103" s="25" t="s">
        <v>356</v>
      </c>
      <c r="D103" s="103" t="s">
        <v>342</v>
      </c>
      <c r="E103" s="26">
        <v>332</v>
      </c>
      <c r="F103" s="26" t="s">
        <v>293</v>
      </c>
      <c r="K103" s="24">
        <v>4</v>
      </c>
      <c r="L103" s="102">
        <v>46030</v>
      </c>
      <c r="M103" s="25" t="s">
        <v>357</v>
      </c>
      <c r="N103" s="103" t="s">
        <v>342</v>
      </c>
      <c r="O103" s="26">
        <v>190</v>
      </c>
      <c r="P103" s="26" t="s">
        <v>293</v>
      </c>
    </row>
    <row r="104" spans="1:16" x14ac:dyDescent="0.3">
      <c r="A104" s="24">
        <v>4</v>
      </c>
      <c r="B104" s="102">
        <v>46030</v>
      </c>
      <c r="C104" s="25" t="s">
        <v>356</v>
      </c>
      <c r="D104" s="103" t="s">
        <v>119</v>
      </c>
      <c r="E104" s="26">
        <v>236</v>
      </c>
      <c r="F104" s="26" t="s">
        <v>293</v>
      </c>
      <c r="K104" s="24">
        <v>4</v>
      </c>
      <c r="L104" s="102">
        <v>46030</v>
      </c>
      <c r="M104" s="25" t="s">
        <v>357</v>
      </c>
      <c r="N104" s="103" t="s">
        <v>119</v>
      </c>
      <c r="O104" s="26">
        <v>84</v>
      </c>
      <c r="P104" s="26" t="s">
        <v>293</v>
      </c>
    </row>
    <row r="105" spans="1:16" x14ac:dyDescent="0.3">
      <c r="A105" s="24">
        <v>4</v>
      </c>
      <c r="B105" s="102">
        <v>46030</v>
      </c>
      <c r="C105" s="25" t="s">
        <v>356</v>
      </c>
      <c r="D105" s="103" t="s">
        <v>120</v>
      </c>
      <c r="E105" s="26">
        <v>79</v>
      </c>
      <c r="F105" s="26" t="s">
        <v>293</v>
      </c>
      <c r="K105" s="24">
        <v>4</v>
      </c>
      <c r="L105" s="102">
        <v>46030</v>
      </c>
      <c r="M105" s="25" t="s">
        <v>357</v>
      </c>
      <c r="N105" s="103" t="s">
        <v>120</v>
      </c>
      <c r="O105" s="26">
        <v>26</v>
      </c>
      <c r="P105" s="26" t="s">
        <v>293</v>
      </c>
    </row>
    <row r="106" spans="1:16" x14ac:dyDescent="0.3">
      <c r="A106" s="24">
        <v>4</v>
      </c>
      <c r="B106" s="102">
        <v>46030</v>
      </c>
      <c r="C106" s="25" t="s">
        <v>356</v>
      </c>
      <c r="D106" s="103" t="s">
        <v>117</v>
      </c>
      <c r="E106" s="26">
        <v>2.57</v>
      </c>
      <c r="F106" s="26" t="s">
        <v>293</v>
      </c>
      <c r="K106" s="24">
        <v>4</v>
      </c>
      <c r="L106" s="102">
        <v>46030</v>
      </c>
      <c r="M106" s="25" t="s">
        <v>357</v>
      </c>
      <c r="N106" s="103" t="s">
        <v>117</v>
      </c>
      <c r="O106" s="26">
        <v>6.11</v>
      </c>
      <c r="P106" s="26" t="s">
        <v>293</v>
      </c>
    </row>
    <row r="107" spans="1:16" x14ac:dyDescent="0.3">
      <c r="A107" s="24">
        <v>4</v>
      </c>
      <c r="B107" s="102">
        <v>46030</v>
      </c>
      <c r="C107" s="25" t="s">
        <v>356</v>
      </c>
      <c r="D107" s="103" t="s">
        <v>344</v>
      </c>
      <c r="E107" s="26">
        <v>229</v>
      </c>
      <c r="F107" s="26" t="s">
        <v>293</v>
      </c>
      <c r="K107" s="24">
        <v>4</v>
      </c>
      <c r="L107" s="102">
        <v>46030</v>
      </c>
      <c r="M107" s="25" t="s">
        <v>357</v>
      </c>
      <c r="N107" s="103" t="s">
        <v>344</v>
      </c>
      <c r="O107" s="26">
        <v>66</v>
      </c>
      <c r="P107" s="26" t="s">
        <v>293</v>
      </c>
    </row>
    <row r="108" spans="1:16" x14ac:dyDescent="0.3">
      <c r="A108" s="24">
        <v>4</v>
      </c>
      <c r="B108" s="102">
        <v>46030</v>
      </c>
      <c r="C108" s="25" t="s">
        <v>356</v>
      </c>
      <c r="D108" s="103" t="s">
        <v>132</v>
      </c>
      <c r="E108" s="26">
        <v>3.51</v>
      </c>
      <c r="F108" s="26" t="s">
        <v>293</v>
      </c>
      <c r="K108" s="24">
        <v>4</v>
      </c>
      <c r="L108" s="102">
        <v>46030</v>
      </c>
      <c r="M108" s="25" t="s">
        <v>357</v>
      </c>
      <c r="N108" s="103" t="s">
        <v>132</v>
      </c>
      <c r="O108" s="26">
        <v>7.25</v>
      </c>
      <c r="P108" s="26" t="s">
        <v>293</v>
      </c>
    </row>
    <row r="109" spans="1:16" x14ac:dyDescent="0.3">
      <c r="A109" s="24">
        <v>4</v>
      </c>
      <c r="B109" s="102">
        <v>46030</v>
      </c>
      <c r="C109" s="25" t="s">
        <v>356</v>
      </c>
      <c r="D109" s="103" t="s">
        <v>111</v>
      </c>
      <c r="E109" s="26">
        <v>87</v>
      </c>
      <c r="F109" s="26" t="s">
        <v>293</v>
      </c>
      <c r="K109" s="24">
        <v>4</v>
      </c>
      <c r="L109" s="102">
        <v>46030</v>
      </c>
      <c r="M109" s="25" t="s">
        <v>357</v>
      </c>
      <c r="N109" s="103" t="s">
        <v>111</v>
      </c>
      <c r="O109" s="26">
        <v>279</v>
      </c>
      <c r="P109" s="26" t="s">
        <v>293</v>
      </c>
    </row>
    <row r="110" spans="1:16" x14ac:dyDescent="0.3">
      <c r="A110" s="24">
        <v>4</v>
      </c>
      <c r="B110" s="102">
        <v>46030</v>
      </c>
      <c r="C110" s="25" t="s">
        <v>356</v>
      </c>
      <c r="D110" s="103" t="s">
        <v>345</v>
      </c>
      <c r="E110" s="26">
        <v>5.18</v>
      </c>
      <c r="F110" s="26" t="s">
        <v>293</v>
      </c>
      <c r="K110" s="24">
        <v>4</v>
      </c>
      <c r="L110" s="102">
        <v>46030</v>
      </c>
      <c r="M110" s="25" t="s">
        <v>357</v>
      </c>
      <c r="N110" s="103" t="s">
        <v>345</v>
      </c>
      <c r="O110" s="26">
        <v>9.8699999999999992</v>
      </c>
      <c r="P110" s="26" t="s">
        <v>293</v>
      </c>
    </row>
    <row r="111" spans="1:16" x14ac:dyDescent="0.3">
      <c r="A111" s="24">
        <v>4</v>
      </c>
      <c r="B111" s="102">
        <v>46030</v>
      </c>
      <c r="C111" s="25" t="s">
        <v>356</v>
      </c>
      <c r="D111" s="103" t="s">
        <v>347</v>
      </c>
      <c r="E111" s="26">
        <v>2.2000000000000002</v>
      </c>
      <c r="F111" s="26" t="s">
        <v>293</v>
      </c>
      <c r="K111" s="24">
        <v>4</v>
      </c>
      <c r="L111" s="102">
        <v>46030</v>
      </c>
      <c r="M111" s="25" t="s">
        <v>357</v>
      </c>
      <c r="N111" s="103" t="s">
        <v>347</v>
      </c>
      <c r="O111" s="26">
        <v>4.75</v>
      </c>
      <c r="P111" s="26" t="s">
        <v>293</v>
      </c>
    </row>
    <row r="112" spans="1:16" x14ac:dyDescent="0.3">
      <c r="A112" s="24">
        <v>4</v>
      </c>
      <c r="B112" s="102">
        <v>46030</v>
      </c>
      <c r="C112" s="25" t="s">
        <v>356</v>
      </c>
      <c r="D112" s="103" t="s">
        <v>128</v>
      </c>
      <c r="E112" s="26">
        <v>6.9</v>
      </c>
      <c r="F112" s="26" t="s">
        <v>293</v>
      </c>
      <c r="K112" s="24">
        <v>4</v>
      </c>
      <c r="L112" s="102">
        <v>46030</v>
      </c>
      <c r="M112" s="25" t="s">
        <v>357</v>
      </c>
      <c r="N112" s="103" t="s">
        <v>128</v>
      </c>
      <c r="O112" s="26">
        <v>4.43</v>
      </c>
      <c r="P112" s="26" t="s">
        <v>293</v>
      </c>
    </row>
    <row r="113" spans="1:16" x14ac:dyDescent="0.3">
      <c r="A113" s="24">
        <v>4</v>
      </c>
      <c r="B113" s="102">
        <v>46030</v>
      </c>
      <c r="C113" s="25" t="s">
        <v>356</v>
      </c>
      <c r="D113" s="103" t="s">
        <v>121</v>
      </c>
      <c r="E113" s="26">
        <v>160</v>
      </c>
      <c r="F113" s="26" t="s">
        <v>293</v>
      </c>
      <c r="K113" s="24">
        <v>4</v>
      </c>
      <c r="L113" s="102">
        <v>46030</v>
      </c>
      <c r="M113" s="25" t="s">
        <v>357</v>
      </c>
      <c r="N113" s="103" t="s">
        <v>121</v>
      </c>
      <c r="O113" s="26">
        <v>80</v>
      </c>
      <c r="P113" s="26" t="s">
        <v>293</v>
      </c>
    </row>
    <row r="114" spans="1:16" x14ac:dyDescent="0.3">
      <c r="A114" s="24">
        <v>4</v>
      </c>
      <c r="B114" s="102">
        <v>46030</v>
      </c>
      <c r="C114" s="25" t="s">
        <v>356</v>
      </c>
      <c r="D114" s="103" t="s">
        <v>115</v>
      </c>
      <c r="E114" s="26">
        <v>33</v>
      </c>
      <c r="F114" s="26" t="s">
        <v>293</v>
      </c>
      <c r="K114" s="24">
        <v>4</v>
      </c>
      <c r="L114" s="102">
        <v>46030</v>
      </c>
      <c r="M114" s="25" t="s">
        <v>357</v>
      </c>
      <c r="N114" s="103" t="s">
        <v>115</v>
      </c>
      <c r="O114" s="26">
        <v>98</v>
      </c>
      <c r="P114" s="26" t="s">
        <v>293</v>
      </c>
    </row>
    <row r="115" spans="1:16" x14ac:dyDescent="0.3">
      <c r="A115" s="24">
        <v>4</v>
      </c>
      <c r="B115" s="102">
        <v>46030</v>
      </c>
      <c r="C115" s="25" t="s">
        <v>356</v>
      </c>
      <c r="D115" s="103" t="s">
        <v>137</v>
      </c>
      <c r="E115" s="26">
        <v>74</v>
      </c>
      <c r="F115" s="26" t="s">
        <v>293</v>
      </c>
      <c r="K115" s="24">
        <v>4</v>
      </c>
      <c r="L115" s="102">
        <v>46030</v>
      </c>
      <c r="M115" s="25" t="s">
        <v>357</v>
      </c>
      <c r="N115" s="103" t="s">
        <v>137</v>
      </c>
      <c r="O115" s="26">
        <v>478</v>
      </c>
      <c r="P115" s="26" t="s">
        <v>293</v>
      </c>
    </row>
    <row r="116" spans="1:16" x14ac:dyDescent="0.3">
      <c r="A116" s="24">
        <v>4</v>
      </c>
      <c r="B116" s="102">
        <v>46030</v>
      </c>
      <c r="C116" s="25" t="s">
        <v>356</v>
      </c>
      <c r="D116" s="103" t="s">
        <v>348</v>
      </c>
      <c r="E116" s="26">
        <v>150</v>
      </c>
      <c r="F116" s="26" t="s">
        <v>293</v>
      </c>
      <c r="K116" s="24">
        <v>4</v>
      </c>
      <c r="L116" s="102">
        <v>46030</v>
      </c>
      <c r="M116" s="25" t="s">
        <v>357</v>
      </c>
      <c r="N116" s="103" t="s">
        <v>348</v>
      </c>
      <c r="O116" s="26">
        <v>430</v>
      </c>
      <c r="P116" s="26" t="s">
        <v>293</v>
      </c>
    </row>
    <row r="117" spans="1:16" x14ac:dyDescent="0.3">
      <c r="A117" s="24">
        <v>4</v>
      </c>
      <c r="B117" s="102">
        <v>46030</v>
      </c>
      <c r="C117" s="25" t="s">
        <v>356</v>
      </c>
      <c r="D117" s="103" t="s">
        <v>125</v>
      </c>
      <c r="E117" s="26">
        <v>116</v>
      </c>
      <c r="F117" s="26" t="s">
        <v>293</v>
      </c>
      <c r="K117" s="24">
        <v>4</v>
      </c>
      <c r="L117" s="102">
        <v>46030</v>
      </c>
      <c r="M117" s="25" t="s">
        <v>357</v>
      </c>
      <c r="N117" s="103" t="s">
        <v>125</v>
      </c>
      <c r="O117" s="26">
        <v>431</v>
      </c>
      <c r="P117" s="26" t="s">
        <v>293</v>
      </c>
    </row>
    <row r="118" spans="1:16" x14ac:dyDescent="0.3">
      <c r="A118" s="24">
        <v>4</v>
      </c>
      <c r="B118" s="102">
        <v>46030</v>
      </c>
      <c r="C118" s="25" t="s">
        <v>356</v>
      </c>
      <c r="D118" s="103" t="s">
        <v>126</v>
      </c>
      <c r="E118" s="26">
        <v>78</v>
      </c>
      <c r="F118" s="26" t="s">
        <v>293</v>
      </c>
      <c r="K118" s="24">
        <v>4</v>
      </c>
      <c r="L118" s="102">
        <v>46030</v>
      </c>
      <c r="M118" s="25" t="s">
        <v>357</v>
      </c>
      <c r="N118" s="103" t="s">
        <v>126</v>
      </c>
      <c r="O118" s="26">
        <v>150</v>
      </c>
      <c r="P118" s="26" t="s">
        <v>293</v>
      </c>
    </row>
    <row r="119" spans="1:16" x14ac:dyDescent="0.3">
      <c r="A119" s="24">
        <v>4</v>
      </c>
      <c r="B119" s="102">
        <v>46030</v>
      </c>
      <c r="C119" s="25" t="s">
        <v>356</v>
      </c>
      <c r="D119" s="103" t="s">
        <v>349</v>
      </c>
      <c r="E119" s="26">
        <v>156</v>
      </c>
      <c r="F119" s="26" t="s">
        <v>293</v>
      </c>
      <c r="K119" s="24">
        <v>4</v>
      </c>
      <c r="L119" s="102">
        <v>46030</v>
      </c>
      <c r="M119" s="25" t="s">
        <v>357</v>
      </c>
      <c r="N119" s="103" t="s">
        <v>349</v>
      </c>
      <c r="O119" s="26">
        <v>380</v>
      </c>
      <c r="P119" s="26" t="s">
        <v>293</v>
      </c>
    </row>
    <row r="120" spans="1:16" x14ac:dyDescent="0.3">
      <c r="A120" s="24">
        <v>4</v>
      </c>
      <c r="B120" s="102">
        <v>46030</v>
      </c>
      <c r="C120" s="25" t="s">
        <v>356</v>
      </c>
      <c r="D120" s="103" t="s">
        <v>350</v>
      </c>
      <c r="E120" s="26">
        <v>58</v>
      </c>
      <c r="F120" s="26" t="s">
        <v>293</v>
      </c>
      <c r="K120" s="24">
        <v>4</v>
      </c>
      <c r="L120" s="102">
        <v>46030</v>
      </c>
      <c r="M120" s="25" t="s">
        <v>357</v>
      </c>
      <c r="N120" s="103" t="s">
        <v>350</v>
      </c>
      <c r="O120" s="26">
        <v>86</v>
      </c>
      <c r="P120" s="26" t="s">
        <v>293</v>
      </c>
    </row>
    <row r="121" spans="1:16" x14ac:dyDescent="0.3">
      <c r="A121" s="24">
        <v>4</v>
      </c>
      <c r="B121" s="102">
        <v>46030</v>
      </c>
      <c r="C121" s="25" t="s">
        <v>356</v>
      </c>
      <c r="D121" s="103" t="s">
        <v>122</v>
      </c>
      <c r="E121" s="26">
        <v>45</v>
      </c>
      <c r="F121" s="26" t="s">
        <v>293</v>
      </c>
      <c r="K121" s="24">
        <v>4</v>
      </c>
      <c r="L121" s="102">
        <v>46030</v>
      </c>
      <c r="M121" s="25" t="s">
        <v>357</v>
      </c>
      <c r="N121" s="103" t="s">
        <v>122</v>
      </c>
      <c r="O121" s="26">
        <v>211</v>
      </c>
      <c r="P121" s="26" t="s">
        <v>293</v>
      </c>
    </row>
    <row r="122" spans="1:16" x14ac:dyDescent="0.3">
      <c r="A122" s="24">
        <v>4</v>
      </c>
      <c r="B122" s="102">
        <v>46030</v>
      </c>
      <c r="C122" s="25" t="s">
        <v>356</v>
      </c>
      <c r="D122" s="103" t="s">
        <v>124</v>
      </c>
      <c r="E122" s="26">
        <v>31</v>
      </c>
      <c r="F122" s="26" t="s">
        <v>293</v>
      </c>
      <c r="K122" s="24">
        <v>4</v>
      </c>
      <c r="L122" s="102">
        <v>46030</v>
      </c>
      <c r="M122" s="25" t="s">
        <v>357</v>
      </c>
      <c r="N122" s="103" t="s">
        <v>124</v>
      </c>
      <c r="O122" s="26">
        <v>104</v>
      </c>
      <c r="P122" s="26" t="s">
        <v>293</v>
      </c>
    </row>
    <row r="123" spans="1:16" x14ac:dyDescent="0.3">
      <c r="A123" s="24">
        <v>4</v>
      </c>
      <c r="B123" s="102">
        <v>46030</v>
      </c>
      <c r="C123" s="25" t="s">
        <v>356</v>
      </c>
      <c r="D123" s="103" t="s">
        <v>351</v>
      </c>
      <c r="E123" s="26">
        <v>0.99</v>
      </c>
      <c r="F123" s="26" t="s">
        <v>293</v>
      </c>
      <c r="K123" s="24">
        <v>4</v>
      </c>
      <c r="L123" s="102">
        <v>46030</v>
      </c>
      <c r="M123" s="25" t="s">
        <v>357</v>
      </c>
      <c r="N123" s="103" t="s">
        <v>351</v>
      </c>
      <c r="O123" s="26">
        <v>3.91</v>
      </c>
      <c r="P123" s="26" t="s">
        <v>293</v>
      </c>
    </row>
    <row r="124" spans="1:16" x14ac:dyDescent="0.3">
      <c r="A124" s="24">
        <v>4</v>
      </c>
      <c r="B124" s="102">
        <v>46030</v>
      </c>
      <c r="C124" s="25" t="s">
        <v>356</v>
      </c>
      <c r="D124" s="103" t="s">
        <v>353</v>
      </c>
      <c r="E124" s="26">
        <v>34</v>
      </c>
      <c r="F124" s="26" t="s">
        <v>293</v>
      </c>
      <c r="K124" s="24">
        <v>4</v>
      </c>
      <c r="L124" s="102">
        <v>46030</v>
      </c>
      <c r="M124" s="25" t="s">
        <v>357</v>
      </c>
      <c r="N124" s="103" t="s">
        <v>353</v>
      </c>
      <c r="O124" s="26">
        <v>21.7</v>
      </c>
      <c r="P124" s="26" t="s">
        <v>293</v>
      </c>
    </row>
    <row r="125" spans="1:16" x14ac:dyDescent="0.3">
      <c r="A125" s="24">
        <v>4</v>
      </c>
      <c r="B125" s="102">
        <v>46030</v>
      </c>
      <c r="C125" s="25" t="s">
        <v>356</v>
      </c>
      <c r="D125" s="103" t="s">
        <v>133</v>
      </c>
      <c r="E125" s="26">
        <v>144</v>
      </c>
      <c r="F125" s="26" t="s">
        <v>293</v>
      </c>
      <c r="K125" s="24">
        <v>4</v>
      </c>
      <c r="L125" s="102">
        <v>46030</v>
      </c>
      <c r="M125" s="25" t="s">
        <v>357</v>
      </c>
      <c r="N125" s="103" t="s">
        <v>133</v>
      </c>
      <c r="O125" s="26">
        <v>124</v>
      </c>
      <c r="P125" s="26" t="s">
        <v>293</v>
      </c>
    </row>
    <row r="126" spans="1:16" x14ac:dyDescent="0.3">
      <c r="A126" s="24">
        <v>4</v>
      </c>
      <c r="B126" s="102">
        <v>46030</v>
      </c>
      <c r="C126" s="25" t="s">
        <v>356</v>
      </c>
      <c r="D126" s="103" t="s">
        <v>135</v>
      </c>
      <c r="E126" s="26">
        <v>3.8</v>
      </c>
      <c r="F126" s="26" t="s">
        <v>293</v>
      </c>
      <c r="K126" s="24">
        <v>4</v>
      </c>
      <c r="L126" s="102">
        <v>46030</v>
      </c>
      <c r="M126" s="25" t="s">
        <v>357</v>
      </c>
      <c r="N126" s="103" t="s">
        <v>135</v>
      </c>
      <c r="O126" s="26">
        <v>6.2</v>
      </c>
      <c r="P126" s="26" t="s">
        <v>293</v>
      </c>
    </row>
    <row r="127" spans="1:16" x14ac:dyDescent="0.3">
      <c r="A127" s="24">
        <v>4</v>
      </c>
      <c r="B127" s="102">
        <v>46030</v>
      </c>
      <c r="C127" s="25" t="s">
        <v>356</v>
      </c>
      <c r="D127" s="103" t="s">
        <v>136</v>
      </c>
      <c r="E127" s="26">
        <v>118</v>
      </c>
      <c r="F127" s="26" t="s">
        <v>293</v>
      </c>
      <c r="K127" s="24">
        <v>4</v>
      </c>
      <c r="L127" s="102">
        <v>46030</v>
      </c>
      <c r="M127" s="25" t="s">
        <v>357</v>
      </c>
      <c r="N127" s="103" t="s">
        <v>136</v>
      </c>
      <c r="O127" s="26">
        <v>96</v>
      </c>
      <c r="P127" s="26" t="s">
        <v>293</v>
      </c>
    </row>
    <row r="128" spans="1:16" x14ac:dyDescent="0.3">
      <c r="A128" s="24">
        <v>5</v>
      </c>
      <c r="B128" s="102">
        <v>46031</v>
      </c>
      <c r="C128" s="25" t="s">
        <v>356</v>
      </c>
      <c r="D128" s="103" t="s">
        <v>339</v>
      </c>
      <c r="E128" s="26">
        <v>4.45</v>
      </c>
      <c r="F128" s="26" t="s">
        <v>293</v>
      </c>
      <c r="K128" s="24">
        <v>5</v>
      </c>
      <c r="L128" s="102">
        <v>46031</v>
      </c>
      <c r="M128" s="25" t="s">
        <v>357</v>
      </c>
      <c r="N128" s="103" t="s">
        <v>339</v>
      </c>
      <c r="O128" s="26">
        <v>1.1000000000000001</v>
      </c>
      <c r="P128" s="26" t="s">
        <v>293</v>
      </c>
    </row>
    <row r="129" spans="1:16" x14ac:dyDescent="0.3">
      <c r="A129" s="24">
        <v>5</v>
      </c>
      <c r="B129" s="102">
        <v>46031</v>
      </c>
      <c r="C129" s="25" t="s">
        <v>356</v>
      </c>
      <c r="D129" s="103" t="s">
        <v>118</v>
      </c>
      <c r="E129" s="26">
        <v>4.7</v>
      </c>
      <c r="F129" s="26" t="s">
        <v>293</v>
      </c>
      <c r="K129" s="24">
        <v>5</v>
      </c>
      <c r="L129" s="102">
        <v>46031</v>
      </c>
      <c r="M129" s="25" t="s">
        <v>357</v>
      </c>
      <c r="N129" s="103" t="s">
        <v>118</v>
      </c>
      <c r="O129" s="26">
        <v>9.6999999999999993</v>
      </c>
      <c r="P129" s="26" t="s">
        <v>293</v>
      </c>
    </row>
    <row r="130" spans="1:16" x14ac:dyDescent="0.3">
      <c r="A130" s="24">
        <v>5</v>
      </c>
      <c r="B130" s="102">
        <v>46031</v>
      </c>
      <c r="C130" s="25" t="s">
        <v>356</v>
      </c>
      <c r="D130" s="103" t="s">
        <v>130</v>
      </c>
      <c r="E130" s="26">
        <v>4.016</v>
      </c>
      <c r="F130" s="26" t="s">
        <v>293</v>
      </c>
      <c r="K130" s="24">
        <v>5</v>
      </c>
      <c r="L130" s="102">
        <v>46031</v>
      </c>
      <c r="M130" s="25" t="s">
        <v>357</v>
      </c>
      <c r="N130" s="103" t="s">
        <v>130</v>
      </c>
      <c r="O130" s="26">
        <v>2.4969999999999999</v>
      </c>
      <c r="P130" s="26" t="s">
        <v>293</v>
      </c>
    </row>
    <row r="131" spans="1:16" x14ac:dyDescent="0.3">
      <c r="A131" s="24">
        <v>5</v>
      </c>
      <c r="B131" s="102">
        <v>46031</v>
      </c>
      <c r="C131" s="25" t="s">
        <v>356</v>
      </c>
      <c r="D131" s="103" t="s">
        <v>341</v>
      </c>
      <c r="E131" s="26">
        <v>0.3</v>
      </c>
      <c r="F131" s="26" t="s">
        <v>293</v>
      </c>
      <c r="K131" s="24">
        <v>5</v>
      </c>
      <c r="L131" s="102">
        <v>46031</v>
      </c>
      <c r="M131" s="25" t="s">
        <v>357</v>
      </c>
      <c r="N131" s="103" t="s">
        <v>341</v>
      </c>
      <c r="O131" s="26">
        <v>1.143</v>
      </c>
      <c r="P131" s="26" t="s">
        <v>293</v>
      </c>
    </row>
    <row r="132" spans="1:16" x14ac:dyDescent="0.3">
      <c r="A132" s="24">
        <v>5</v>
      </c>
      <c r="B132" s="102">
        <v>46031</v>
      </c>
      <c r="C132" s="25" t="s">
        <v>356</v>
      </c>
      <c r="D132" s="103" t="s">
        <v>127</v>
      </c>
      <c r="E132" s="26">
        <v>1.177</v>
      </c>
      <c r="F132" s="26" t="s">
        <v>293</v>
      </c>
      <c r="K132" s="24">
        <v>5</v>
      </c>
      <c r="L132" s="102">
        <v>46031</v>
      </c>
      <c r="M132" s="25" t="s">
        <v>357</v>
      </c>
      <c r="N132" s="103" t="s">
        <v>127</v>
      </c>
      <c r="O132" s="26">
        <v>4.617</v>
      </c>
      <c r="P132" s="26" t="s">
        <v>293</v>
      </c>
    </row>
    <row r="133" spans="1:16" x14ac:dyDescent="0.3">
      <c r="A133" s="24">
        <v>5</v>
      </c>
      <c r="B133" s="102">
        <v>46031</v>
      </c>
      <c r="C133" s="25" t="s">
        <v>356</v>
      </c>
      <c r="D133" s="103" t="s">
        <v>131</v>
      </c>
      <c r="E133" s="26">
        <v>8.4</v>
      </c>
      <c r="F133" s="26" t="s">
        <v>293</v>
      </c>
      <c r="K133" s="24">
        <v>5</v>
      </c>
      <c r="L133" s="102">
        <v>46031</v>
      </c>
      <c r="M133" s="25" t="s">
        <v>357</v>
      </c>
      <c r="N133" s="103" t="s">
        <v>131</v>
      </c>
      <c r="O133" s="26">
        <v>12</v>
      </c>
      <c r="P133" s="26" t="s">
        <v>293</v>
      </c>
    </row>
    <row r="134" spans="1:16" x14ac:dyDescent="0.3">
      <c r="A134" s="24">
        <v>5</v>
      </c>
      <c r="B134" s="102">
        <v>46031</v>
      </c>
      <c r="C134" s="25" t="s">
        <v>356</v>
      </c>
      <c r="D134" s="103" t="s">
        <v>342</v>
      </c>
      <c r="E134" s="26">
        <v>321</v>
      </c>
      <c r="F134" s="26" t="s">
        <v>293</v>
      </c>
      <c r="K134" s="24">
        <v>5</v>
      </c>
      <c r="L134" s="102">
        <v>46031</v>
      </c>
      <c r="M134" s="25" t="s">
        <v>357</v>
      </c>
      <c r="N134" s="103" t="s">
        <v>342</v>
      </c>
      <c r="O134" s="26">
        <v>195</v>
      </c>
      <c r="P134" s="26" t="s">
        <v>293</v>
      </c>
    </row>
    <row r="135" spans="1:16" x14ac:dyDescent="0.3">
      <c r="A135" s="24">
        <v>5</v>
      </c>
      <c r="B135" s="102">
        <v>46031</v>
      </c>
      <c r="C135" s="25" t="s">
        <v>356</v>
      </c>
      <c r="D135" s="103" t="s">
        <v>119</v>
      </c>
      <c r="E135" s="26">
        <v>237</v>
      </c>
      <c r="F135" s="26" t="s">
        <v>293</v>
      </c>
      <c r="K135" s="24">
        <v>5</v>
      </c>
      <c r="L135" s="102">
        <v>46031</v>
      </c>
      <c r="M135" s="25" t="s">
        <v>357</v>
      </c>
      <c r="N135" s="103" t="s">
        <v>119</v>
      </c>
      <c r="O135" s="26">
        <v>87</v>
      </c>
      <c r="P135" s="26" t="s">
        <v>293</v>
      </c>
    </row>
    <row r="136" spans="1:16" x14ac:dyDescent="0.3">
      <c r="A136" s="24">
        <v>5</v>
      </c>
      <c r="B136" s="102">
        <v>46031</v>
      </c>
      <c r="C136" s="25" t="s">
        <v>356</v>
      </c>
      <c r="D136" s="103" t="s">
        <v>120</v>
      </c>
      <c r="E136" s="26">
        <v>80</v>
      </c>
      <c r="F136" s="26" t="s">
        <v>293</v>
      </c>
      <c r="K136" s="24">
        <v>5</v>
      </c>
      <c r="L136" s="102">
        <v>46031</v>
      </c>
      <c r="M136" s="25" t="s">
        <v>357</v>
      </c>
      <c r="N136" s="103" t="s">
        <v>120</v>
      </c>
      <c r="O136" s="26">
        <v>26</v>
      </c>
      <c r="P136" s="26" t="s">
        <v>293</v>
      </c>
    </row>
    <row r="137" spans="1:16" x14ac:dyDescent="0.3">
      <c r="A137" s="24">
        <v>5</v>
      </c>
      <c r="B137" s="102">
        <v>46031</v>
      </c>
      <c r="C137" s="25" t="s">
        <v>356</v>
      </c>
      <c r="D137" s="103" t="s">
        <v>117</v>
      </c>
      <c r="E137" s="26">
        <v>2.63</v>
      </c>
      <c r="F137" s="26" t="s">
        <v>293</v>
      </c>
      <c r="K137" s="24">
        <v>5</v>
      </c>
      <c r="L137" s="102">
        <v>46031</v>
      </c>
      <c r="M137" s="25" t="s">
        <v>357</v>
      </c>
      <c r="N137" s="103" t="s">
        <v>117</v>
      </c>
      <c r="O137" s="26">
        <v>6.05</v>
      </c>
      <c r="P137" s="26" t="s">
        <v>293</v>
      </c>
    </row>
    <row r="138" spans="1:16" x14ac:dyDescent="0.3">
      <c r="A138" s="24">
        <v>5</v>
      </c>
      <c r="B138" s="102">
        <v>46031</v>
      </c>
      <c r="C138" s="25" t="s">
        <v>356</v>
      </c>
      <c r="D138" s="103" t="s">
        <v>344</v>
      </c>
      <c r="E138" s="26">
        <v>232</v>
      </c>
      <c r="F138" s="26" t="s">
        <v>293</v>
      </c>
      <c r="K138" s="24">
        <v>5</v>
      </c>
      <c r="L138" s="102">
        <v>46031</v>
      </c>
      <c r="M138" s="25" t="s">
        <v>357</v>
      </c>
      <c r="N138" s="103" t="s">
        <v>344</v>
      </c>
      <c r="O138" s="26">
        <v>67</v>
      </c>
      <c r="P138" s="26" t="s">
        <v>293</v>
      </c>
    </row>
    <row r="139" spans="1:16" x14ac:dyDescent="0.3">
      <c r="A139" s="24">
        <v>5</v>
      </c>
      <c r="B139" s="102">
        <v>46031</v>
      </c>
      <c r="C139" s="25" t="s">
        <v>356</v>
      </c>
      <c r="D139" s="103" t="s">
        <v>132</v>
      </c>
      <c r="E139" s="26">
        <v>3.61</v>
      </c>
      <c r="F139" s="26" t="s">
        <v>293</v>
      </c>
      <c r="K139" s="24">
        <v>5</v>
      </c>
      <c r="L139" s="102">
        <v>46031</v>
      </c>
      <c r="M139" s="25" t="s">
        <v>357</v>
      </c>
      <c r="N139" s="103" t="s">
        <v>132</v>
      </c>
      <c r="O139" s="26">
        <v>7.39</v>
      </c>
      <c r="P139" s="26" t="s">
        <v>293</v>
      </c>
    </row>
    <row r="140" spans="1:16" x14ac:dyDescent="0.3">
      <c r="A140" s="24">
        <v>5</v>
      </c>
      <c r="B140" s="102">
        <v>46031</v>
      </c>
      <c r="C140" s="25" t="s">
        <v>356</v>
      </c>
      <c r="D140" s="103" t="s">
        <v>111</v>
      </c>
      <c r="E140" s="26">
        <v>87</v>
      </c>
      <c r="F140" s="26" t="s">
        <v>293</v>
      </c>
      <c r="K140" s="24">
        <v>5</v>
      </c>
      <c r="L140" s="102">
        <v>46031</v>
      </c>
      <c r="M140" s="25" t="s">
        <v>357</v>
      </c>
      <c r="N140" s="103" t="s">
        <v>111</v>
      </c>
      <c r="O140" s="26">
        <v>280</v>
      </c>
      <c r="P140" s="26" t="s">
        <v>293</v>
      </c>
    </row>
    <row r="141" spans="1:16" x14ac:dyDescent="0.3">
      <c r="A141" s="24">
        <v>5</v>
      </c>
      <c r="B141" s="102">
        <v>46031</v>
      </c>
      <c r="C141" s="25" t="s">
        <v>356</v>
      </c>
      <c r="D141" s="103" t="s">
        <v>345</v>
      </c>
      <c r="E141" s="26">
        <v>5.2</v>
      </c>
      <c r="F141" s="26" t="s">
        <v>293</v>
      </c>
      <c r="K141" s="24">
        <v>5</v>
      </c>
      <c r="L141" s="102">
        <v>46031</v>
      </c>
      <c r="M141" s="25" t="s">
        <v>357</v>
      </c>
      <c r="N141" s="103" t="s">
        <v>345</v>
      </c>
      <c r="O141" s="26">
        <v>9.92</v>
      </c>
      <c r="P141" s="26" t="s">
        <v>293</v>
      </c>
    </row>
    <row r="142" spans="1:16" x14ac:dyDescent="0.3">
      <c r="A142" s="24">
        <v>5</v>
      </c>
      <c r="B142" s="102">
        <v>46031</v>
      </c>
      <c r="C142" s="25" t="s">
        <v>356</v>
      </c>
      <c r="D142" s="103" t="s">
        <v>347</v>
      </c>
      <c r="E142" s="26">
        <v>1.99</v>
      </c>
      <c r="F142" s="26" t="s">
        <v>293</v>
      </c>
      <c r="K142" s="24">
        <v>5</v>
      </c>
      <c r="L142" s="102">
        <v>46031</v>
      </c>
      <c r="M142" s="25" t="s">
        <v>357</v>
      </c>
      <c r="N142" s="103" t="s">
        <v>347</v>
      </c>
      <c r="O142" s="26">
        <v>4.6100000000000003</v>
      </c>
      <c r="P142" s="26" t="s">
        <v>293</v>
      </c>
    </row>
    <row r="143" spans="1:16" x14ac:dyDescent="0.3">
      <c r="A143" s="24">
        <v>5</v>
      </c>
      <c r="B143" s="102">
        <v>46031</v>
      </c>
      <c r="C143" s="25" t="s">
        <v>356</v>
      </c>
      <c r="D143" s="103" t="s">
        <v>128</v>
      </c>
      <c r="E143" s="26">
        <v>7</v>
      </c>
      <c r="F143" s="26" t="s">
        <v>293</v>
      </c>
      <c r="K143" s="24">
        <v>5</v>
      </c>
      <c r="L143" s="102">
        <v>46031</v>
      </c>
      <c r="M143" s="25" t="s">
        <v>357</v>
      </c>
      <c r="N143" s="103" t="s">
        <v>128</v>
      </c>
      <c r="O143" s="26">
        <v>4.5</v>
      </c>
      <c r="P143" s="26" t="s">
        <v>293</v>
      </c>
    </row>
    <row r="144" spans="1:16" x14ac:dyDescent="0.3">
      <c r="A144" s="24">
        <v>5</v>
      </c>
      <c r="B144" s="102">
        <v>46031</v>
      </c>
      <c r="C144" s="25" t="s">
        <v>356</v>
      </c>
      <c r="D144" s="103" t="s">
        <v>121</v>
      </c>
      <c r="E144" s="26">
        <v>162</v>
      </c>
      <c r="F144" s="26" t="s">
        <v>293</v>
      </c>
      <c r="K144" s="24">
        <v>5</v>
      </c>
      <c r="L144" s="102">
        <v>46031</v>
      </c>
      <c r="M144" s="25" t="s">
        <v>357</v>
      </c>
      <c r="N144" s="103" t="s">
        <v>121</v>
      </c>
      <c r="O144" s="26">
        <v>81</v>
      </c>
      <c r="P144" s="26" t="s">
        <v>293</v>
      </c>
    </row>
    <row r="145" spans="1:16" x14ac:dyDescent="0.3">
      <c r="A145" s="24">
        <v>5</v>
      </c>
      <c r="B145" s="102">
        <v>46031</v>
      </c>
      <c r="C145" s="25" t="s">
        <v>356</v>
      </c>
      <c r="D145" s="103" t="s">
        <v>115</v>
      </c>
      <c r="E145" s="26">
        <v>30</v>
      </c>
      <c r="F145" s="26" t="s">
        <v>293</v>
      </c>
      <c r="K145" s="24">
        <v>5</v>
      </c>
      <c r="L145" s="102">
        <v>46031</v>
      </c>
      <c r="M145" s="25" t="s">
        <v>357</v>
      </c>
      <c r="N145" s="103" t="s">
        <v>115</v>
      </c>
      <c r="O145" s="26">
        <v>99</v>
      </c>
      <c r="P145" s="26" t="s">
        <v>293</v>
      </c>
    </row>
    <row r="146" spans="1:16" x14ac:dyDescent="0.3">
      <c r="A146" s="24">
        <v>5</v>
      </c>
      <c r="B146" s="102">
        <v>46031</v>
      </c>
      <c r="C146" s="25" t="s">
        <v>356</v>
      </c>
      <c r="D146" s="103" t="s">
        <v>137</v>
      </c>
      <c r="E146" s="26">
        <v>74</v>
      </c>
      <c r="F146" s="26" t="s">
        <v>293</v>
      </c>
      <c r="K146" s="24">
        <v>5</v>
      </c>
      <c r="L146" s="102">
        <v>46031</v>
      </c>
      <c r="M146" s="25" t="s">
        <v>357</v>
      </c>
      <c r="N146" s="103" t="s">
        <v>137</v>
      </c>
      <c r="O146" s="26">
        <v>476</v>
      </c>
      <c r="P146" s="26" t="s">
        <v>293</v>
      </c>
    </row>
    <row r="147" spans="1:16" x14ac:dyDescent="0.3">
      <c r="A147" s="24">
        <v>5</v>
      </c>
      <c r="B147" s="102">
        <v>46031</v>
      </c>
      <c r="C147" s="25" t="s">
        <v>356</v>
      </c>
      <c r="D147" s="103" t="s">
        <v>348</v>
      </c>
      <c r="E147" s="26">
        <v>144</v>
      </c>
      <c r="F147" s="26" t="s">
        <v>293</v>
      </c>
      <c r="K147" s="24">
        <v>5</v>
      </c>
      <c r="L147" s="102">
        <v>46031</v>
      </c>
      <c r="M147" s="25" t="s">
        <v>357</v>
      </c>
      <c r="N147" s="103" t="s">
        <v>348</v>
      </c>
      <c r="O147" s="26">
        <v>435</v>
      </c>
      <c r="P147" s="26" t="s">
        <v>293</v>
      </c>
    </row>
    <row r="148" spans="1:16" x14ac:dyDescent="0.3">
      <c r="A148" s="24">
        <v>5</v>
      </c>
      <c r="B148" s="102">
        <v>46031</v>
      </c>
      <c r="C148" s="25" t="s">
        <v>356</v>
      </c>
      <c r="D148" s="103" t="s">
        <v>125</v>
      </c>
      <c r="E148" s="26">
        <v>118</v>
      </c>
      <c r="F148" s="26" t="s">
        <v>293</v>
      </c>
      <c r="K148" s="24">
        <v>5</v>
      </c>
      <c r="L148" s="102">
        <v>46031</v>
      </c>
      <c r="M148" s="25" t="s">
        <v>357</v>
      </c>
      <c r="N148" s="103" t="s">
        <v>125</v>
      </c>
      <c r="O148" s="26">
        <v>444</v>
      </c>
      <c r="P148" s="26" t="s">
        <v>293</v>
      </c>
    </row>
    <row r="149" spans="1:16" x14ac:dyDescent="0.3">
      <c r="A149" s="24">
        <v>5</v>
      </c>
      <c r="B149" s="102">
        <v>46031</v>
      </c>
      <c r="C149" s="25" t="s">
        <v>356</v>
      </c>
      <c r="D149" s="103" t="s">
        <v>126</v>
      </c>
      <c r="E149" s="26">
        <v>79</v>
      </c>
      <c r="F149" s="26" t="s">
        <v>293</v>
      </c>
      <c r="K149" s="24">
        <v>5</v>
      </c>
      <c r="L149" s="102">
        <v>46031</v>
      </c>
      <c r="M149" s="25" t="s">
        <v>357</v>
      </c>
      <c r="N149" s="103" t="s">
        <v>126</v>
      </c>
      <c r="O149" s="26">
        <v>153</v>
      </c>
      <c r="P149" s="26" t="s">
        <v>293</v>
      </c>
    </row>
    <row r="150" spans="1:16" x14ac:dyDescent="0.3">
      <c r="A150" s="24">
        <v>5</v>
      </c>
      <c r="B150" s="102">
        <v>46031</v>
      </c>
      <c r="C150" s="25" t="s">
        <v>356</v>
      </c>
      <c r="D150" s="103" t="s">
        <v>349</v>
      </c>
      <c r="E150" s="26">
        <v>160</v>
      </c>
      <c r="F150" s="26" t="s">
        <v>293</v>
      </c>
      <c r="K150" s="24">
        <v>5</v>
      </c>
      <c r="L150" s="102">
        <v>46031</v>
      </c>
      <c r="M150" s="25" t="s">
        <v>357</v>
      </c>
      <c r="N150" s="103" t="s">
        <v>349</v>
      </c>
      <c r="O150" s="26">
        <v>378</v>
      </c>
      <c r="P150" s="26" t="s">
        <v>293</v>
      </c>
    </row>
    <row r="151" spans="1:16" x14ac:dyDescent="0.3">
      <c r="A151" s="24">
        <v>5</v>
      </c>
      <c r="B151" s="102">
        <v>46031</v>
      </c>
      <c r="C151" s="25" t="s">
        <v>356</v>
      </c>
      <c r="D151" s="103" t="s">
        <v>350</v>
      </c>
      <c r="E151" s="26">
        <v>60</v>
      </c>
      <c r="F151" s="26" t="s">
        <v>293</v>
      </c>
      <c r="K151" s="24">
        <v>5</v>
      </c>
      <c r="L151" s="102">
        <v>46031</v>
      </c>
      <c r="M151" s="25" t="s">
        <v>357</v>
      </c>
      <c r="N151" s="103" t="s">
        <v>350</v>
      </c>
      <c r="O151" s="26">
        <v>86</v>
      </c>
      <c r="P151" s="26" t="s">
        <v>293</v>
      </c>
    </row>
    <row r="152" spans="1:16" x14ac:dyDescent="0.3">
      <c r="A152" s="24">
        <v>5</v>
      </c>
      <c r="B152" s="102">
        <v>46031</v>
      </c>
      <c r="C152" s="25" t="s">
        <v>356</v>
      </c>
      <c r="D152" s="103" t="s">
        <v>122</v>
      </c>
      <c r="E152" s="26">
        <v>49</v>
      </c>
      <c r="F152" s="26" t="s">
        <v>293</v>
      </c>
      <c r="K152" s="24">
        <v>5</v>
      </c>
      <c r="L152" s="102">
        <v>46031</v>
      </c>
      <c r="M152" s="25" t="s">
        <v>357</v>
      </c>
      <c r="N152" s="103" t="s">
        <v>122</v>
      </c>
      <c r="O152" s="26">
        <v>218</v>
      </c>
      <c r="P152" s="26" t="s">
        <v>293</v>
      </c>
    </row>
    <row r="153" spans="1:16" x14ac:dyDescent="0.3">
      <c r="A153" s="24">
        <v>5</v>
      </c>
      <c r="B153" s="102">
        <v>46031</v>
      </c>
      <c r="C153" s="25" t="s">
        <v>356</v>
      </c>
      <c r="D153" s="103" t="s">
        <v>124</v>
      </c>
      <c r="E153" s="26">
        <v>32</v>
      </c>
      <c r="F153" s="26" t="s">
        <v>293</v>
      </c>
      <c r="K153" s="24">
        <v>5</v>
      </c>
      <c r="L153" s="102">
        <v>46031</v>
      </c>
      <c r="M153" s="25" t="s">
        <v>357</v>
      </c>
      <c r="N153" s="103" t="s">
        <v>124</v>
      </c>
      <c r="O153" s="26">
        <v>101</v>
      </c>
      <c r="P153" s="26" t="s">
        <v>293</v>
      </c>
    </row>
    <row r="154" spans="1:16" x14ac:dyDescent="0.3">
      <c r="A154" s="24">
        <v>5</v>
      </c>
      <c r="B154" s="102">
        <v>46031</v>
      </c>
      <c r="C154" s="25" t="s">
        <v>356</v>
      </c>
      <c r="D154" s="103" t="s">
        <v>351</v>
      </c>
      <c r="E154" s="26">
        <v>0.96</v>
      </c>
      <c r="F154" s="26" t="s">
        <v>293</v>
      </c>
      <c r="K154" s="24">
        <v>5</v>
      </c>
      <c r="L154" s="102">
        <v>46031</v>
      </c>
      <c r="M154" s="25" t="s">
        <v>357</v>
      </c>
      <c r="N154" s="103" t="s">
        <v>351</v>
      </c>
      <c r="O154" s="26">
        <v>3.53</v>
      </c>
      <c r="P154" s="26" t="s">
        <v>293</v>
      </c>
    </row>
    <row r="155" spans="1:16" x14ac:dyDescent="0.3">
      <c r="A155" s="24">
        <v>5</v>
      </c>
      <c r="B155" s="102">
        <v>46031</v>
      </c>
      <c r="C155" s="25" t="s">
        <v>356</v>
      </c>
      <c r="D155" s="103" t="s">
        <v>353</v>
      </c>
      <c r="E155" s="26">
        <v>33.299999999999997</v>
      </c>
      <c r="F155" s="26" t="s">
        <v>293</v>
      </c>
      <c r="K155" s="24">
        <v>5</v>
      </c>
      <c r="L155" s="102">
        <v>46031</v>
      </c>
      <c r="M155" s="25" t="s">
        <v>357</v>
      </c>
      <c r="N155" s="103" t="s">
        <v>353</v>
      </c>
      <c r="O155" s="26">
        <v>16.8</v>
      </c>
      <c r="P155" s="26" t="s">
        <v>293</v>
      </c>
    </row>
    <row r="156" spans="1:16" x14ac:dyDescent="0.3">
      <c r="A156" s="24">
        <v>5</v>
      </c>
      <c r="B156" s="102">
        <v>46031</v>
      </c>
      <c r="C156" s="25" t="s">
        <v>356</v>
      </c>
      <c r="D156" s="103" t="s">
        <v>133</v>
      </c>
      <c r="E156" s="26">
        <v>145</v>
      </c>
      <c r="F156" s="26" t="s">
        <v>293</v>
      </c>
      <c r="K156" s="24">
        <v>5</v>
      </c>
      <c r="L156" s="102">
        <v>46031</v>
      </c>
      <c r="M156" s="25" t="s">
        <v>357</v>
      </c>
      <c r="N156" s="103" t="s">
        <v>133</v>
      </c>
      <c r="O156" s="26">
        <v>126</v>
      </c>
      <c r="P156" s="26" t="s">
        <v>293</v>
      </c>
    </row>
    <row r="157" spans="1:16" x14ac:dyDescent="0.3">
      <c r="A157" s="24">
        <v>5</v>
      </c>
      <c r="B157" s="102">
        <v>46031</v>
      </c>
      <c r="C157" s="25" t="s">
        <v>356</v>
      </c>
      <c r="D157" s="103" t="s">
        <v>135</v>
      </c>
      <c r="E157" s="26">
        <v>3.8</v>
      </c>
      <c r="F157" s="26" t="s">
        <v>293</v>
      </c>
      <c r="K157" s="24">
        <v>5</v>
      </c>
      <c r="L157" s="102">
        <v>46031</v>
      </c>
      <c r="M157" s="25" t="s">
        <v>357</v>
      </c>
      <c r="N157" s="103" t="s">
        <v>135</v>
      </c>
      <c r="O157" s="26">
        <v>6.4</v>
      </c>
      <c r="P157" s="26" t="s">
        <v>293</v>
      </c>
    </row>
    <row r="158" spans="1:16" x14ac:dyDescent="0.3">
      <c r="A158" s="24">
        <v>5</v>
      </c>
      <c r="B158" s="102">
        <v>46031</v>
      </c>
      <c r="C158" s="25" t="s">
        <v>356</v>
      </c>
      <c r="D158" s="103" t="s">
        <v>136</v>
      </c>
      <c r="E158" s="26">
        <v>117</v>
      </c>
      <c r="F158" s="26" t="s">
        <v>293</v>
      </c>
      <c r="K158" s="24">
        <v>5</v>
      </c>
      <c r="L158" s="102">
        <v>46031</v>
      </c>
      <c r="M158" s="25" t="s">
        <v>357</v>
      </c>
      <c r="N158" s="103" t="s">
        <v>136</v>
      </c>
      <c r="O158" s="26">
        <v>96</v>
      </c>
      <c r="P158" s="26" t="s">
        <v>293</v>
      </c>
    </row>
    <row r="159" spans="1:16" x14ac:dyDescent="0.3">
      <c r="A159" s="24">
        <v>6</v>
      </c>
      <c r="B159" s="102">
        <v>46034</v>
      </c>
      <c r="C159" s="25" t="s">
        <v>356</v>
      </c>
      <c r="D159" s="103" t="s">
        <v>339</v>
      </c>
      <c r="E159" s="26">
        <v>4.45</v>
      </c>
      <c r="F159" s="26" t="s">
        <v>293</v>
      </c>
      <c r="K159" s="24">
        <v>6</v>
      </c>
      <c r="L159" s="102">
        <v>46034</v>
      </c>
      <c r="M159" s="25" t="s">
        <v>357</v>
      </c>
      <c r="N159" s="103" t="s">
        <v>339</v>
      </c>
      <c r="O159" s="26">
        <v>1.1000000000000001</v>
      </c>
      <c r="P159" s="26" t="s">
        <v>293</v>
      </c>
    </row>
    <row r="160" spans="1:16" x14ac:dyDescent="0.3">
      <c r="A160" s="24">
        <v>6</v>
      </c>
      <c r="B160" s="102">
        <v>46034</v>
      </c>
      <c r="C160" s="25" t="s">
        <v>356</v>
      </c>
      <c r="D160" s="103" t="s">
        <v>118</v>
      </c>
      <c r="E160" s="26">
        <v>4.7</v>
      </c>
      <c r="F160" s="26" t="s">
        <v>293</v>
      </c>
      <c r="K160" s="24">
        <v>6</v>
      </c>
      <c r="L160" s="102">
        <v>46034</v>
      </c>
      <c r="M160" s="25" t="s">
        <v>357</v>
      </c>
      <c r="N160" s="103" t="s">
        <v>118</v>
      </c>
      <c r="O160" s="26">
        <v>9.9</v>
      </c>
      <c r="P160" s="26" t="s">
        <v>293</v>
      </c>
    </row>
    <row r="161" spans="1:16" x14ac:dyDescent="0.3">
      <c r="A161" s="24">
        <v>6</v>
      </c>
      <c r="B161" s="102">
        <v>46034</v>
      </c>
      <c r="C161" s="25" t="s">
        <v>356</v>
      </c>
      <c r="D161" s="103" t="s">
        <v>130</v>
      </c>
      <c r="E161" s="26">
        <v>4.1029999999999998</v>
      </c>
      <c r="F161" s="26" t="s">
        <v>293</v>
      </c>
      <c r="K161" s="24">
        <v>6</v>
      </c>
      <c r="L161" s="102">
        <v>46034</v>
      </c>
      <c r="M161" s="25" t="s">
        <v>357</v>
      </c>
      <c r="N161" s="103" t="s">
        <v>130</v>
      </c>
      <c r="O161" s="26">
        <v>2.6110000000000002</v>
      </c>
      <c r="P161" s="26" t="s">
        <v>293</v>
      </c>
    </row>
    <row r="162" spans="1:16" x14ac:dyDescent="0.3">
      <c r="A162" s="24">
        <v>6</v>
      </c>
      <c r="B162" s="102">
        <v>46034</v>
      </c>
      <c r="C162" s="25" t="s">
        <v>356</v>
      </c>
      <c r="D162" s="103" t="s">
        <v>341</v>
      </c>
      <c r="E162" s="26">
        <v>0.30299999999999999</v>
      </c>
      <c r="F162" s="26" t="s">
        <v>293</v>
      </c>
      <c r="K162" s="24">
        <v>6</v>
      </c>
      <c r="L162" s="102">
        <v>46034</v>
      </c>
      <c r="M162" s="25" t="s">
        <v>357</v>
      </c>
      <c r="N162" s="103" t="s">
        <v>341</v>
      </c>
      <c r="O162" s="26">
        <v>1.165</v>
      </c>
      <c r="P162" s="26" t="s">
        <v>293</v>
      </c>
    </row>
    <row r="163" spans="1:16" x14ac:dyDescent="0.3">
      <c r="A163" s="24">
        <v>6</v>
      </c>
      <c r="B163" s="102">
        <v>46034</v>
      </c>
      <c r="C163" s="25" t="s">
        <v>356</v>
      </c>
      <c r="D163" s="103" t="s">
        <v>127</v>
      </c>
      <c r="E163" s="26">
        <v>1.1879999999999999</v>
      </c>
      <c r="F163" s="26" t="s">
        <v>293</v>
      </c>
      <c r="K163" s="24">
        <v>6</v>
      </c>
      <c r="L163" s="102">
        <v>46034</v>
      </c>
      <c r="M163" s="25" t="s">
        <v>357</v>
      </c>
      <c r="N163" s="103" t="s">
        <v>127</v>
      </c>
      <c r="O163" s="26">
        <v>4.6980000000000004</v>
      </c>
      <c r="P163" s="26" t="s">
        <v>293</v>
      </c>
    </row>
    <row r="164" spans="1:16" x14ac:dyDescent="0.3">
      <c r="A164" s="24">
        <v>6</v>
      </c>
      <c r="B164" s="102">
        <v>46034</v>
      </c>
      <c r="C164" s="25" t="s">
        <v>356</v>
      </c>
      <c r="D164" s="103" t="s">
        <v>131</v>
      </c>
      <c r="E164" s="26">
        <v>8.6999999999999993</v>
      </c>
      <c r="F164" s="26" t="s">
        <v>293</v>
      </c>
      <c r="K164" s="24">
        <v>6</v>
      </c>
      <c r="L164" s="102">
        <v>46034</v>
      </c>
      <c r="M164" s="25" t="s">
        <v>357</v>
      </c>
      <c r="N164" s="103" t="s">
        <v>131</v>
      </c>
      <c r="O164" s="26">
        <v>12.3</v>
      </c>
      <c r="P164" s="26" t="s">
        <v>293</v>
      </c>
    </row>
    <row r="165" spans="1:16" x14ac:dyDescent="0.3">
      <c r="A165" s="24">
        <v>6</v>
      </c>
      <c r="B165" s="102">
        <v>46034</v>
      </c>
      <c r="C165" s="25" t="s">
        <v>356</v>
      </c>
      <c r="D165" s="103" t="s">
        <v>342</v>
      </c>
      <c r="E165" s="26">
        <v>335</v>
      </c>
      <c r="F165" s="26" t="s">
        <v>293</v>
      </c>
      <c r="K165" s="24">
        <v>6</v>
      </c>
      <c r="L165" s="102">
        <v>46034</v>
      </c>
      <c r="M165" s="25" t="s">
        <v>357</v>
      </c>
      <c r="N165" s="103" t="s">
        <v>342</v>
      </c>
      <c r="O165" s="26">
        <v>206</v>
      </c>
      <c r="P165" s="26" t="s">
        <v>293</v>
      </c>
    </row>
    <row r="166" spans="1:16" x14ac:dyDescent="0.3">
      <c r="A166" s="24">
        <v>6</v>
      </c>
      <c r="B166" s="102">
        <v>46034</v>
      </c>
      <c r="C166" s="25" t="s">
        <v>356</v>
      </c>
      <c r="D166" s="103" t="s">
        <v>119</v>
      </c>
      <c r="E166" s="26">
        <v>237</v>
      </c>
      <c r="F166" s="26" t="s">
        <v>293</v>
      </c>
      <c r="K166" s="24">
        <v>6</v>
      </c>
      <c r="L166" s="102">
        <v>46034</v>
      </c>
      <c r="M166" s="25" t="s">
        <v>357</v>
      </c>
      <c r="N166" s="103" t="s">
        <v>119</v>
      </c>
      <c r="O166" s="26">
        <v>84</v>
      </c>
      <c r="P166" s="26" t="s">
        <v>293</v>
      </c>
    </row>
    <row r="167" spans="1:16" x14ac:dyDescent="0.3">
      <c r="A167" s="24">
        <v>6</v>
      </c>
      <c r="B167" s="102">
        <v>46034</v>
      </c>
      <c r="C167" s="25" t="s">
        <v>356</v>
      </c>
      <c r="D167" s="103" t="s">
        <v>120</v>
      </c>
      <c r="E167" s="26">
        <v>79</v>
      </c>
      <c r="F167" s="26" t="s">
        <v>293</v>
      </c>
      <c r="K167" s="24">
        <v>6</v>
      </c>
      <c r="L167" s="102">
        <v>46034</v>
      </c>
      <c r="M167" s="25" t="s">
        <v>357</v>
      </c>
      <c r="N167" s="103" t="s">
        <v>120</v>
      </c>
      <c r="O167" s="26">
        <v>27</v>
      </c>
      <c r="P167" s="26" t="s">
        <v>293</v>
      </c>
    </row>
    <row r="168" spans="1:16" x14ac:dyDescent="0.3">
      <c r="A168" s="24">
        <v>6</v>
      </c>
      <c r="B168" s="102">
        <v>46034</v>
      </c>
      <c r="C168" s="25" t="s">
        <v>356</v>
      </c>
      <c r="D168" s="103" t="s">
        <v>117</v>
      </c>
      <c r="E168" s="26">
        <v>2.64</v>
      </c>
      <c r="F168" s="26" t="s">
        <v>293</v>
      </c>
      <c r="K168" s="24">
        <v>6</v>
      </c>
      <c r="L168" s="102">
        <v>46034</v>
      </c>
      <c r="M168" s="25" t="s">
        <v>357</v>
      </c>
      <c r="N168" s="103" t="s">
        <v>117</v>
      </c>
      <c r="O168" s="26">
        <v>6.24</v>
      </c>
      <c r="P168" s="26" t="s">
        <v>293</v>
      </c>
    </row>
    <row r="169" spans="1:16" x14ac:dyDescent="0.3">
      <c r="A169" s="24">
        <v>6</v>
      </c>
      <c r="B169" s="102">
        <v>46034</v>
      </c>
      <c r="C169" s="25" t="s">
        <v>356</v>
      </c>
      <c r="D169" s="103" t="s">
        <v>344</v>
      </c>
      <c r="E169" s="26">
        <v>230</v>
      </c>
      <c r="F169" s="26" t="s">
        <v>293</v>
      </c>
      <c r="K169" s="24">
        <v>6</v>
      </c>
      <c r="L169" s="102">
        <v>46034</v>
      </c>
      <c r="M169" s="25" t="s">
        <v>357</v>
      </c>
      <c r="N169" s="103" t="s">
        <v>344</v>
      </c>
      <c r="O169" s="26">
        <v>68</v>
      </c>
      <c r="P169" s="26" t="s">
        <v>293</v>
      </c>
    </row>
    <row r="170" spans="1:16" x14ac:dyDescent="0.3">
      <c r="A170" s="24">
        <v>6</v>
      </c>
      <c r="B170" s="102">
        <v>46034</v>
      </c>
      <c r="C170" s="25" t="s">
        <v>356</v>
      </c>
      <c r="D170" s="103" t="s">
        <v>132</v>
      </c>
      <c r="E170" s="26">
        <v>3.57</v>
      </c>
      <c r="F170" s="26" t="s">
        <v>293</v>
      </c>
      <c r="K170" s="24">
        <v>6</v>
      </c>
      <c r="L170" s="102">
        <v>46034</v>
      </c>
      <c r="M170" s="25" t="s">
        <v>357</v>
      </c>
      <c r="N170" s="103" t="s">
        <v>132</v>
      </c>
      <c r="O170" s="26">
        <v>7.35</v>
      </c>
      <c r="P170" s="26" t="s">
        <v>293</v>
      </c>
    </row>
    <row r="171" spans="1:16" x14ac:dyDescent="0.3">
      <c r="A171" s="24">
        <v>6</v>
      </c>
      <c r="B171" s="102">
        <v>46034</v>
      </c>
      <c r="C171" s="25" t="s">
        <v>356</v>
      </c>
      <c r="D171" s="103" t="s">
        <v>111</v>
      </c>
      <c r="E171" s="26">
        <v>87</v>
      </c>
      <c r="F171" s="26" t="s">
        <v>293</v>
      </c>
      <c r="K171" s="24">
        <v>6</v>
      </c>
      <c r="L171" s="102">
        <v>46034</v>
      </c>
      <c r="M171" s="25" t="s">
        <v>357</v>
      </c>
      <c r="N171" s="103" t="s">
        <v>111</v>
      </c>
      <c r="O171" s="26">
        <v>283</v>
      </c>
      <c r="P171" s="26" t="s">
        <v>293</v>
      </c>
    </row>
    <row r="172" spans="1:16" x14ac:dyDescent="0.3">
      <c r="A172" s="24">
        <v>6</v>
      </c>
      <c r="B172" s="102">
        <v>46034</v>
      </c>
      <c r="C172" s="25" t="s">
        <v>356</v>
      </c>
      <c r="D172" s="103" t="s">
        <v>345</v>
      </c>
      <c r="E172" s="26">
        <v>5.1100000000000003</v>
      </c>
      <c r="F172" s="26" t="s">
        <v>293</v>
      </c>
      <c r="K172" s="24">
        <v>6</v>
      </c>
      <c r="L172" s="102">
        <v>46034</v>
      </c>
      <c r="M172" s="25" t="s">
        <v>357</v>
      </c>
      <c r="N172" s="103" t="s">
        <v>345</v>
      </c>
      <c r="O172" s="26">
        <v>9.6999999999999993</v>
      </c>
      <c r="P172" s="26" t="s">
        <v>293</v>
      </c>
    </row>
    <row r="173" spans="1:16" x14ac:dyDescent="0.3">
      <c r="A173" s="24">
        <v>6</v>
      </c>
      <c r="B173" s="102">
        <v>46034</v>
      </c>
      <c r="C173" s="25" t="s">
        <v>356</v>
      </c>
      <c r="D173" s="103" t="s">
        <v>347</v>
      </c>
      <c r="E173" s="26">
        <v>2.13</v>
      </c>
      <c r="F173" s="26" t="s">
        <v>293</v>
      </c>
      <c r="K173" s="24">
        <v>6</v>
      </c>
      <c r="L173" s="102">
        <v>46034</v>
      </c>
      <c r="M173" s="25" t="s">
        <v>357</v>
      </c>
      <c r="N173" s="103" t="s">
        <v>347</v>
      </c>
      <c r="O173" s="26">
        <v>4.67</v>
      </c>
      <c r="P173" s="26" t="s">
        <v>293</v>
      </c>
    </row>
    <row r="174" spans="1:16" x14ac:dyDescent="0.3">
      <c r="A174" s="24">
        <v>6</v>
      </c>
      <c r="B174" s="102">
        <v>46034</v>
      </c>
      <c r="C174" s="25" t="s">
        <v>356</v>
      </c>
      <c r="D174" s="103" t="s">
        <v>128</v>
      </c>
      <c r="E174" s="26">
        <v>7</v>
      </c>
      <c r="F174" s="26" t="s">
        <v>293</v>
      </c>
      <c r="K174" s="24">
        <v>6</v>
      </c>
      <c r="L174" s="102">
        <v>46034</v>
      </c>
      <c r="M174" s="25" t="s">
        <v>357</v>
      </c>
      <c r="N174" s="103" t="s">
        <v>128</v>
      </c>
      <c r="O174" s="26">
        <v>4.5999999999999996</v>
      </c>
      <c r="P174" s="26" t="s">
        <v>293</v>
      </c>
    </row>
    <row r="175" spans="1:16" x14ac:dyDescent="0.3">
      <c r="A175" s="24">
        <v>6</v>
      </c>
      <c r="B175" s="102">
        <v>46034</v>
      </c>
      <c r="C175" s="25" t="s">
        <v>356</v>
      </c>
      <c r="D175" s="103" t="s">
        <v>121</v>
      </c>
      <c r="E175" s="26">
        <v>160</v>
      </c>
      <c r="F175" s="26" t="s">
        <v>293</v>
      </c>
      <c r="K175" s="24">
        <v>6</v>
      </c>
      <c r="L175" s="102">
        <v>46034</v>
      </c>
      <c r="M175" s="25" t="s">
        <v>357</v>
      </c>
      <c r="N175" s="103" t="s">
        <v>121</v>
      </c>
      <c r="O175" s="26">
        <v>83</v>
      </c>
      <c r="P175" s="26" t="s">
        <v>293</v>
      </c>
    </row>
    <row r="176" spans="1:16" x14ac:dyDescent="0.3">
      <c r="A176" s="24">
        <v>6</v>
      </c>
      <c r="B176" s="102">
        <v>46034</v>
      </c>
      <c r="C176" s="25" t="s">
        <v>356</v>
      </c>
      <c r="D176" s="103" t="s">
        <v>115</v>
      </c>
      <c r="E176" s="26">
        <v>34</v>
      </c>
      <c r="F176" s="26" t="s">
        <v>293</v>
      </c>
      <c r="K176" s="24">
        <v>6</v>
      </c>
      <c r="L176" s="102">
        <v>46034</v>
      </c>
      <c r="M176" s="25" t="s">
        <v>357</v>
      </c>
      <c r="N176" s="103" t="s">
        <v>115</v>
      </c>
      <c r="O176" s="26">
        <v>97</v>
      </c>
      <c r="P176" s="26" t="s">
        <v>293</v>
      </c>
    </row>
    <row r="177" spans="1:16" x14ac:dyDescent="0.3">
      <c r="A177" s="24">
        <v>6</v>
      </c>
      <c r="B177" s="102">
        <v>46034</v>
      </c>
      <c r="C177" s="25" t="s">
        <v>356</v>
      </c>
      <c r="D177" s="103" t="s">
        <v>137</v>
      </c>
      <c r="E177" s="26">
        <v>75</v>
      </c>
      <c r="F177" s="26" t="s">
        <v>293</v>
      </c>
      <c r="K177" s="24">
        <v>6</v>
      </c>
      <c r="L177" s="102">
        <v>46034</v>
      </c>
      <c r="M177" s="25" t="s">
        <v>357</v>
      </c>
      <c r="N177" s="103" t="s">
        <v>137</v>
      </c>
      <c r="O177" s="26">
        <v>490</v>
      </c>
      <c r="P177" s="26" t="s">
        <v>293</v>
      </c>
    </row>
    <row r="178" spans="1:16" x14ac:dyDescent="0.3">
      <c r="A178" s="24">
        <v>6</v>
      </c>
      <c r="B178" s="102">
        <v>46034</v>
      </c>
      <c r="C178" s="25" t="s">
        <v>356</v>
      </c>
      <c r="D178" s="103" t="s">
        <v>348</v>
      </c>
      <c r="E178" s="26">
        <v>143</v>
      </c>
      <c r="F178" s="26" t="s">
        <v>293</v>
      </c>
      <c r="K178" s="24">
        <v>6</v>
      </c>
      <c r="L178" s="102">
        <v>46034</v>
      </c>
      <c r="M178" s="25" t="s">
        <v>357</v>
      </c>
      <c r="N178" s="103" t="s">
        <v>348</v>
      </c>
      <c r="O178" s="26">
        <v>443</v>
      </c>
      <c r="P178" s="26" t="s">
        <v>293</v>
      </c>
    </row>
    <row r="179" spans="1:16" x14ac:dyDescent="0.3">
      <c r="A179" s="24">
        <v>6</v>
      </c>
      <c r="B179" s="102">
        <v>46034</v>
      </c>
      <c r="C179" s="25" t="s">
        <v>356</v>
      </c>
      <c r="D179" s="103" t="s">
        <v>125</v>
      </c>
      <c r="E179" s="26">
        <v>107</v>
      </c>
      <c r="F179" s="26" t="s">
        <v>293</v>
      </c>
      <c r="K179" s="24">
        <v>6</v>
      </c>
      <c r="L179" s="102">
        <v>46034</v>
      </c>
      <c r="M179" s="25" t="s">
        <v>357</v>
      </c>
      <c r="N179" s="103" t="s">
        <v>125</v>
      </c>
      <c r="O179" s="26">
        <v>441</v>
      </c>
      <c r="P179" s="26" t="s">
        <v>293</v>
      </c>
    </row>
    <row r="180" spans="1:16" x14ac:dyDescent="0.3">
      <c r="A180" s="24">
        <v>6</v>
      </c>
      <c r="B180" s="102">
        <v>46034</v>
      </c>
      <c r="C180" s="25" t="s">
        <v>356</v>
      </c>
      <c r="D180" s="103" t="s">
        <v>126</v>
      </c>
      <c r="E180" s="26">
        <v>78</v>
      </c>
      <c r="F180" s="26" t="s">
        <v>293</v>
      </c>
      <c r="K180" s="24">
        <v>6</v>
      </c>
      <c r="L180" s="102">
        <v>46034</v>
      </c>
      <c r="M180" s="25" t="s">
        <v>357</v>
      </c>
      <c r="N180" s="103" t="s">
        <v>126</v>
      </c>
      <c r="O180" s="26">
        <v>151</v>
      </c>
      <c r="P180" s="26" t="s">
        <v>293</v>
      </c>
    </row>
    <row r="181" spans="1:16" x14ac:dyDescent="0.3">
      <c r="A181" s="24">
        <v>6</v>
      </c>
      <c r="B181" s="102">
        <v>46034</v>
      </c>
      <c r="C181" s="25" t="s">
        <v>356</v>
      </c>
      <c r="D181" s="103" t="s">
        <v>349</v>
      </c>
      <c r="E181" s="26">
        <v>170</v>
      </c>
      <c r="F181" s="26" t="s">
        <v>293</v>
      </c>
      <c r="K181" s="24">
        <v>6</v>
      </c>
      <c r="L181" s="102">
        <v>46034</v>
      </c>
      <c r="M181" s="25" t="s">
        <v>357</v>
      </c>
      <c r="N181" s="103" t="s">
        <v>349</v>
      </c>
      <c r="O181" s="26">
        <v>394</v>
      </c>
      <c r="P181" s="26" t="s">
        <v>293</v>
      </c>
    </row>
    <row r="182" spans="1:16" x14ac:dyDescent="0.3">
      <c r="A182" s="24">
        <v>6</v>
      </c>
      <c r="B182" s="102">
        <v>46034</v>
      </c>
      <c r="C182" s="25" t="s">
        <v>356</v>
      </c>
      <c r="D182" s="103" t="s">
        <v>350</v>
      </c>
      <c r="E182" s="26">
        <v>61</v>
      </c>
      <c r="F182" s="26" t="s">
        <v>293</v>
      </c>
      <c r="K182" s="24">
        <v>6</v>
      </c>
      <c r="L182" s="102">
        <v>46034</v>
      </c>
      <c r="M182" s="25" t="s">
        <v>357</v>
      </c>
      <c r="N182" s="103" t="s">
        <v>350</v>
      </c>
      <c r="O182" s="26">
        <v>86</v>
      </c>
      <c r="P182" s="26" t="s">
        <v>293</v>
      </c>
    </row>
    <row r="183" spans="1:16" x14ac:dyDescent="0.3">
      <c r="A183" s="24">
        <v>6</v>
      </c>
      <c r="B183" s="102">
        <v>46034</v>
      </c>
      <c r="C183" s="25" t="s">
        <v>356</v>
      </c>
      <c r="D183" s="103" t="s">
        <v>122</v>
      </c>
      <c r="E183" s="26">
        <v>49</v>
      </c>
      <c r="F183" s="26" t="s">
        <v>293</v>
      </c>
      <c r="K183" s="24">
        <v>6</v>
      </c>
      <c r="L183" s="102">
        <v>46034</v>
      </c>
      <c r="M183" s="25" t="s">
        <v>357</v>
      </c>
      <c r="N183" s="103" t="s">
        <v>122</v>
      </c>
      <c r="O183" s="26">
        <v>220</v>
      </c>
      <c r="P183" s="26" t="s">
        <v>293</v>
      </c>
    </row>
    <row r="184" spans="1:16" x14ac:dyDescent="0.3">
      <c r="A184" s="24">
        <v>6</v>
      </c>
      <c r="B184" s="102">
        <v>46034</v>
      </c>
      <c r="C184" s="25" t="s">
        <v>356</v>
      </c>
      <c r="D184" s="103" t="s">
        <v>124</v>
      </c>
      <c r="E184" s="26">
        <v>32</v>
      </c>
      <c r="F184" s="26" t="s">
        <v>293</v>
      </c>
      <c r="K184" s="24">
        <v>6</v>
      </c>
      <c r="L184" s="102">
        <v>46034</v>
      </c>
      <c r="M184" s="25" t="s">
        <v>357</v>
      </c>
      <c r="N184" s="103" t="s">
        <v>124</v>
      </c>
      <c r="O184" s="26">
        <v>106</v>
      </c>
      <c r="P184" s="26" t="s">
        <v>293</v>
      </c>
    </row>
    <row r="185" spans="1:16" x14ac:dyDescent="0.3">
      <c r="A185" s="24">
        <v>6</v>
      </c>
      <c r="B185" s="102">
        <v>46034</v>
      </c>
      <c r="C185" s="25" t="s">
        <v>356</v>
      </c>
      <c r="D185" s="103" t="s">
        <v>351</v>
      </c>
      <c r="E185" s="26">
        <v>1.06</v>
      </c>
      <c r="F185" s="26" t="s">
        <v>293</v>
      </c>
      <c r="K185" s="24">
        <v>6</v>
      </c>
      <c r="L185" s="102">
        <v>46034</v>
      </c>
      <c r="M185" s="25" t="s">
        <v>357</v>
      </c>
      <c r="N185" s="103" t="s">
        <v>351</v>
      </c>
      <c r="O185" s="26">
        <v>3.65</v>
      </c>
      <c r="P185" s="26" t="s">
        <v>293</v>
      </c>
    </row>
    <row r="186" spans="1:16" x14ac:dyDescent="0.3">
      <c r="A186" s="24">
        <v>6</v>
      </c>
      <c r="B186" s="102">
        <v>46034</v>
      </c>
      <c r="C186" s="25" t="s">
        <v>356</v>
      </c>
      <c r="D186" s="103" t="s">
        <v>353</v>
      </c>
      <c r="E186" s="26">
        <v>32.6</v>
      </c>
      <c r="F186" s="26" t="s">
        <v>293</v>
      </c>
      <c r="K186" s="24">
        <v>6</v>
      </c>
      <c r="L186" s="102">
        <v>46034</v>
      </c>
      <c r="M186" s="25" t="s">
        <v>357</v>
      </c>
      <c r="N186" s="103" t="s">
        <v>353</v>
      </c>
      <c r="O186" s="26">
        <v>16.5</v>
      </c>
      <c r="P186" s="26" t="s">
        <v>293</v>
      </c>
    </row>
    <row r="187" spans="1:16" x14ac:dyDescent="0.3">
      <c r="A187" s="24">
        <v>6</v>
      </c>
      <c r="B187" s="102">
        <v>46034</v>
      </c>
      <c r="C187" s="25" t="s">
        <v>356</v>
      </c>
      <c r="D187" s="103" t="s">
        <v>133</v>
      </c>
      <c r="E187" s="26">
        <v>143</v>
      </c>
      <c r="F187" s="26" t="s">
        <v>293</v>
      </c>
      <c r="K187" s="24">
        <v>6</v>
      </c>
      <c r="L187" s="102">
        <v>46034</v>
      </c>
      <c r="M187" s="25" t="s">
        <v>357</v>
      </c>
      <c r="N187" s="103" t="s">
        <v>133</v>
      </c>
      <c r="O187" s="26">
        <v>121</v>
      </c>
      <c r="P187" s="26" t="s">
        <v>293</v>
      </c>
    </row>
    <row r="188" spans="1:16" x14ac:dyDescent="0.3">
      <c r="A188" s="24">
        <v>6</v>
      </c>
      <c r="B188" s="102">
        <v>46034</v>
      </c>
      <c r="C188" s="25" t="s">
        <v>356</v>
      </c>
      <c r="D188" s="103" t="s">
        <v>135</v>
      </c>
      <c r="E188" s="26">
        <v>3.6</v>
      </c>
      <c r="F188" s="26" t="s">
        <v>293</v>
      </c>
      <c r="K188" s="24">
        <v>6</v>
      </c>
      <c r="L188" s="102">
        <v>46034</v>
      </c>
      <c r="M188" s="25" t="s">
        <v>357</v>
      </c>
      <c r="N188" s="103" t="s">
        <v>135</v>
      </c>
      <c r="O188" s="26">
        <v>6.2</v>
      </c>
      <c r="P188" s="26" t="s">
        <v>293</v>
      </c>
    </row>
    <row r="189" spans="1:16" x14ac:dyDescent="0.3">
      <c r="A189" s="24">
        <v>6</v>
      </c>
      <c r="B189" s="102">
        <v>46034</v>
      </c>
      <c r="C189" s="25" t="s">
        <v>356</v>
      </c>
      <c r="D189" s="103" t="s">
        <v>136</v>
      </c>
      <c r="E189" s="26">
        <v>116</v>
      </c>
      <c r="F189" s="26" t="s">
        <v>293</v>
      </c>
      <c r="K189" s="24">
        <v>6</v>
      </c>
      <c r="L189" s="102">
        <v>46034</v>
      </c>
      <c r="M189" s="25" t="s">
        <v>357</v>
      </c>
      <c r="N189" s="103" t="s">
        <v>136</v>
      </c>
      <c r="O189" s="26">
        <v>95</v>
      </c>
      <c r="P189" s="26" t="s">
        <v>293</v>
      </c>
    </row>
    <row r="190" spans="1:16" x14ac:dyDescent="0.3">
      <c r="A190" s="24">
        <v>7</v>
      </c>
      <c r="B190" s="102">
        <v>46035</v>
      </c>
      <c r="C190" s="25" t="s">
        <v>356</v>
      </c>
      <c r="D190" s="103" t="s">
        <v>339</v>
      </c>
      <c r="E190" s="26">
        <v>4.5</v>
      </c>
      <c r="F190" s="26" t="s">
        <v>293</v>
      </c>
      <c r="K190" s="24">
        <v>7</v>
      </c>
      <c r="L190" s="102">
        <v>46035</v>
      </c>
      <c r="M190" s="25" t="s">
        <v>357</v>
      </c>
      <c r="N190" s="103" t="s">
        <v>339</v>
      </c>
      <c r="O190" s="26">
        <v>1.27</v>
      </c>
      <c r="P190" s="26" t="s">
        <v>293</v>
      </c>
    </row>
    <row r="191" spans="1:16" x14ac:dyDescent="0.3">
      <c r="A191" s="24">
        <v>7</v>
      </c>
      <c r="B191" s="102">
        <v>46035</v>
      </c>
      <c r="C191" s="25" t="s">
        <v>356</v>
      </c>
      <c r="D191" s="103" t="s">
        <v>118</v>
      </c>
      <c r="E191" s="26">
        <v>4.7</v>
      </c>
      <c r="F191" s="26" t="s">
        <v>293</v>
      </c>
      <c r="K191" s="24">
        <v>7</v>
      </c>
      <c r="L191" s="102">
        <v>46035</v>
      </c>
      <c r="M191" s="25" t="s">
        <v>357</v>
      </c>
      <c r="N191" s="103" t="s">
        <v>118</v>
      </c>
      <c r="O191" s="26">
        <v>9.9</v>
      </c>
      <c r="P191" s="26" t="s">
        <v>293</v>
      </c>
    </row>
    <row r="192" spans="1:16" x14ac:dyDescent="0.3">
      <c r="A192" s="24">
        <v>7</v>
      </c>
      <c r="B192" s="102">
        <v>46035</v>
      </c>
      <c r="C192" s="25" t="s">
        <v>356</v>
      </c>
      <c r="D192" s="103" t="s">
        <v>130</v>
      </c>
      <c r="E192" s="26">
        <v>4.1189999999999998</v>
      </c>
      <c r="F192" s="26" t="s">
        <v>293</v>
      </c>
      <c r="K192" s="24">
        <v>7</v>
      </c>
      <c r="L192" s="102">
        <v>46035</v>
      </c>
      <c r="M192" s="25" t="s">
        <v>357</v>
      </c>
      <c r="N192" s="103" t="s">
        <v>130</v>
      </c>
      <c r="O192" s="26">
        <v>2.63</v>
      </c>
      <c r="P192" s="26" t="s">
        <v>293</v>
      </c>
    </row>
    <row r="193" spans="1:16" x14ac:dyDescent="0.3">
      <c r="A193" s="24">
        <v>7</v>
      </c>
      <c r="B193" s="102">
        <v>46035</v>
      </c>
      <c r="C193" s="25" t="s">
        <v>356</v>
      </c>
      <c r="D193" s="103" t="s">
        <v>341</v>
      </c>
      <c r="E193" s="26">
        <v>0.309</v>
      </c>
      <c r="F193" s="26" t="s">
        <v>293</v>
      </c>
      <c r="K193" s="24">
        <v>7</v>
      </c>
      <c r="L193" s="102">
        <v>46035</v>
      </c>
      <c r="M193" s="25" t="s">
        <v>357</v>
      </c>
      <c r="N193" s="103" t="s">
        <v>341</v>
      </c>
      <c r="O193" s="26">
        <v>1.1499999999999999</v>
      </c>
      <c r="P193" s="26" t="s">
        <v>293</v>
      </c>
    </row>
    <row r="194" spans="1:16" x14ac:dyDescent="0.3">
      <c r="A194" s="24">
        <v>7</v>
      </c>
      <c r="B194" s="102">
        <v>46035</v>
      </c>
      <c r="C194" s="25" t="s">
        <v>356</v>
      </c>
      <c r="D194" s="103" t="s">
        <v>127</v>
      </c>
      <c r="E194" s="26">
        <v>1.1759999999999999</v>
      </c>
      <c r="F194" s="26" t="s">
        <v>293</v>
      </c>
      <c r="K194" s="24">
        <v>7</v>
      </c>
      <c r="L194" s="102">
        <v>46035</v>
      </c>
      <c r="M194" s="25" t="s">
        <v>357</v>
      </c>
      <c r="N194" s="103" t="s">
        <v>127</v>
      </c>
      <c r="O194" s="26">
        <v>4.5430000000000001</v>
      </c>
      <c r="P194" s="26" t="s">
        <v>293</v>
      </c>
    </row>
    <row r="195" spans="1:16" x14ac:dyDescent="0.3">
      <c r="A195" s="24">
        <v>7</v>
      </c>
      <c r="B195" s="102">
        <v>46035</v>
      </c>
      <c r="C195" s="25" t="s">
        <v>356</v>
      </c>
      <c r="D195" s="103" t="s">
        <v>131</v>
      </c>
      <c r="E195" s="26">
        <v>8.6</v>
      </c>
      <c r="F195" s="26" t="s">
        <v>293</v>
      </c>
      <c r="K195" s="24">
        <v>7</v>
      </c>
      <c r="L195" s="102">
        <v>46035</v>
      </c>
      <c r="M195" s="25" t="s">
        <v>357</v>
      </c>
      <c r="N195" s="103" t="s">
        <v>131</v>
      </c>
      <c r="O195" s="26">
        <v>12</v>
      </c>
      <c r="P195" s="26" t="s">
        <v>293</v>
      </c>
    </row>
    <row r="196" spans="1:16" x14ac:dyDescent="0.3">
      <c r="A196" s="24">
        <v>7</v>
      </c>
      <c r="B196" s="102">
        <v>46035</v>
      </c>
      <c r="C196" s="25" t="s">
        <v>356</v>
      </c>
      <c r="D196" s="103" t="s">
        <v>342</v>
      </c>
      <c r="E196" s="26">
        <v>331</v>
      </c>
      <c r="F196" s="26" t="s">
        <v>293</v>
      </c>
      <c r="K196" s="24">
        <v>7</v>
      </c>
      <c r="L196" s="102">
        <v>46035</v>
      </c>
      <c r="M196" s="25" t="s">
        <v>357</v>
      </c>
      <c r="N196" s="103" t="s">
        <v>342</v>
      </c>
      <c r="O196" s="26">
        <v>197</v>
      </c>
      <c r="P196" s="26" t="s">
        <v>293</v>
      </c>
    </row>
    <row r="197" spans="1:16" x14ac:dyDescent="0.3">
      <c r="A197" s="24">
        <v>7</v>
      </c>
      <c r="B197" s="102">
        <v>46035</v>
      </c>
      <c r="C197" s="25" t="s">
        <v>356</v>
      </c>
      <c r="D197" s="103" t="s">
        <v>119</v>
      </c>
      <c r="E197" s="26">
        <v>237</v>
      </c>
      <c r="F197" s="26" t="s">
        <v>293</v>
      </c>
      <c r="K197" s="24">
        <v>7</v>
      </c>
      <c r="L197" s="102">
        <v>46035</v>
      </c>
      <c r="M197" s="25" t="s">
        <v>357</v>
      </c>
      <c r="N197" s="103" t="s">
        <v>119</v>
      </c>
      <c r="O197" s="26">
        <v>87</v>
      </c>
      <c r="P197" s="26" t="s">
        <v>293</v>
      </c>
    </row>
    <row r="198" spans="1:16" x14ac:dyDescent="0.3">
      <c r="A198" s="24">
        <v>7</v>
      </c>
      <c r="B198" s="102">
        <v>46035</v>
      </c>
      <c r="C198" s="25" t="s">
        <v>356</v>
      </c>
      <c r="D198" s="103" t="s">
        <v>120</v>
      </c>
      <c r="E198" s="26">
        <v>79</v>
      </c>
      <c r="F198" s="26" t="s">
        <v>293</v>
      </c>
      <c r="K198" s="24">
        <v>7</v>
      </c>
      <c r="L198" s="102">
        <v>46035</v>
      </c>
      <c r="M198" s="25" t="s">
        <v>357</v>
      </c>
      <c r="N198" s="103" t="s">
        <v>120</v>
      </c>
      <c r="O198" s="26">
        <v>26</v>
      </c>
      <c r="P198" s="26" t="s">
        <v>293</v>
      </c>
    </row>
    <row r="199" spans="1:16" x14ac:dyDescent="0.3">
      <c r="A199" s="24">
        <v>7</v>
      </c>
      <c r="B199" s="102">
        <v>46035</v>
      </c>
      <c r="C199" s="25" t="s">
        <v>356</v>
      </c>
      <c r="D199" s="103" t="s">
        <v>117</v>
      </c>
      <c r="E199" s="26">
        <v>2.63</v>
      </c>
      <c r="F199" s="26" t="s">
        <v>293</v>
      </c>
      <c r="K199" s="24">
        <v>7</v>
      </c>
      <c r="L199" s="102">
        <v>46035</v>
      </c>
      <c r="M199" s="25" t="s">
        <v>357</v>
      </c>
      <c r="N199" s="103" t="s">
        <v>117</v>
      </c>
      <c r="O199" s="26">
        <v>6.25</v>
      </c>
      <c r="P199" s="26" t="s">
        <v>293</v>
      </c>
    </row>
    <row r="200" spans="1:16" x14ac:dyDescent="0.3">
      <c r="A200" s="24">
        <v>7</v>
      </c>
      <c r="B200" s="102">
        <v>46035</v>
      </c>
      <c r="C200" s="25" t="s">
        <v>356</v>
      </c>
      <c r="D200" s="103" t="s">
        <v>344</v>
      </c>
      <c r="E200" s="26">
        <v>231</v>
      </c>
      <c r="F200" s="26" t="s">
        <v>293</v>
      </c>
      <c r="K200" s="24">
        <v>7</v>
      </c>
      <c r="L200" s="102">
        <v>46035</v>
      </c>
      <c r="M200" s="25" t="s">
        <v>357</v>
      </c>
      <c r="N200" s="103" t="s">
        <v>344</v>
      </c>
      <c r="O200" s="26">
        <v>67</v>
      </c>
      <c r="P200" s="26" t="s">
        <v>293</v>
      </c>
    </row>
    <row r="201" spans="1:16" x14ac:dyDescent="0.3">
      <c r="A201" s="24">
        <v>7</v>
      </c>
      <c r="B201" s="102">
        <v>46035</v>
      </c>
      <c r="C201" s="25" t="s">
        <v>356</v>
      </c>
      <c r="D201" s="103" t="s">
        <v>132</v>
      </c>
      <c r="E201" s="26">
        <v>3.84</v>
      </c>
      <c r="F201" s="26" t="s">
        <v>293</v>
      </c>
      <c r="K201" s="24">
        <v>7</v>
      </c>
      <c r="L201" s="102">
        <v>46035</v>
      </c>
      <c r="M201" s="25" t="s">
        <v>357</v>
      </c>
      <c r="N201" s="103" t="s">
        <v>132</v>
      </c>
      <c r="O201" s="26">
        <v>7.5</v>
      </c>
      <c r="P201" s="26" t="s">
        <v>293</v>
      </c>
    </row>
    <row r="202" spans="1:16" x14ac:dyDescent="0.3">
      <c r="A202" s="24">
        <v>7</v>
      </c>
      <c r="B202" s="102">
        <v>46035</v>
      </c>
      <c r="C202" s="25" t="s">
        <v>356</v>
      </c>
      <c r="D202" s="103" t="s">
        <v>111</v>
      </c>
      <c r="E202" s="26">
        <v>88</v>
      </c>
      <c r="F202" s="26" t="s">
        <v>293</v>
      </c>
      <c r="K202" s="24">
        <v>7</v>
      </c>
      <c r="L202" s="102">
        <v>46035</v>
      </c>
      <c r="M202" s="25" t="s">
        <v>357</v>
      </c>
      <c r="N202" s="103" t="s">
        <v>111</v>
      </c>
      <c r="O202" s="26">
        <v>286</v>
      </c>
      <c r="P202" s="26" t="s">
        <v>293</v>
      </c>
    </row>
    <row r="203" spans="1:16" x14ac:dyDescent="0.3">
      <c r="A203" s="24">
        <v>7</v>
      </c>
      <c r="B203" s="102">
        <v>46035</v>
      </c>
      <c r="C203" s="25" t="s">
        <v>356</v>
      </c>
      <c r="D203" s="103" t="s">
        <v>345</v>
      </c>
      <c r="E203" s="26">
        <v>5.24</v>
      </c>
      <c r="F203" s="26" t="s">
        <v>293</v>
      </c>
      <c r="K203" s="24">
        <v>7</v>
      </c>
      <c r="L203" s="102">
        <v>46035</v>
      </c>
      <c r="M203" s="25" t="s">
        <v>357</v>
      </c>
      <c r="N203" s="103" t="s">
        <v>345</v>
      </c>
      <c r="O203" s="26">
        <v>10.25</v>
      </c>
      <c r="P203" s="26" t="s">
        <v>293</v>
      </c>
    </row>
    <row r="204" spans="1:16" x14ac:dyDescent="0.3">
      <c r="A204" s="24">
        <v>7</v>
      </c>
      <c r="B204" s="102">
        <v>46035</v>
      </c>
      <c r="C204" s="25" t="s">
        <v>356</v>
      </c>
      <c r="D204" s="103" t="s">
        <v>347</v>
      </c>
      <c r="E204" s="26">
        <v>2.02</v>
      </c>
      <c r="F204" s="26" t="s">
        <v>293</v>
      </c>
      <c r="K204" s="24">
        <v>7</v>
      </c>
      <c r="L204" s="102">
        <v>46035</v>
      </c>
      <c r="M204" s="25" t="s">
        <v>357</v>
      </c>
      <c r="N204" s="103" t="s">
        <v>347</v>
      </c>
      <c r="O204" s="26">
        <v>4.6100000000000003</v>
      </c>
      <c r="P204" s="26" t="s">
        <v>293</v>
      </c>
    </row>
    <row r="205" spans="1:16" x14ac:dyDescent="0.3">
      <c r="A205" s="24">
        <v>7</v>
      </c>
      <c r="B205" s="102">
        <v>46035</v>
      </c>
      <c r="C205" s="25" t="s">
        <v>356</v>
      </c>
      <c r="D205" s="103" t="s">
        <v>128</v>
      </c>
      <c r="E205" s="26">
        <v>6.9</v>
      </c>
      <c r="F205" s="26" t="s">
        <v>293</v>
      </c>
      <c r="K205" s="24">
        <v>7</v>
      </c>
      <c r="L205" s="102">
        <v>46035</v>
      </c>
      <c r="M205" s="25" t="s">
        <v>357</v>
      </c>
      <c r="N205" s="103" t="s">
        <v>128</v>
      </c>
      <c r="O205" s="26">
        <v>4.5</v>
      </c>
      <c r="P205" s="26" t="s">
        <v>293</v>
      </c>
    </row>
    <row r="206" spans="1:16" x14ac:dyDescent="0.3">
      <c r="A206" s="24">
        <v>7</v>
      </c>
      <c r="B206" s="102">
        <v>46035</v>
      </c>
      <c r="C206" s="25" t="s">
        <v>356</v>
      </c>
      <c r="D206" s="103" t="s">
        <v>121</v>
      </c>
      <c r="E206" s="26">
        <v>161</v>
      </c>
      <c r="F206" s="26" t="s">
        <v>293</v>
      </c>
      <c r="K206" s="24">
        <v>7</v>
      </c>
      <c r="L206" s="102">
        <v>46035</v>
      </c>
      <c r="M206" s="25" t="s">
        <v>357</v>
      </c>
      <c r="N206" s="103" t="s">
        <v>121</v>
      </c>
      <c r="O206" s="26">
        <v>81</v>
      </c>
      <c r="P206" s="26" t="s">
        <v>293</v>
      </c>
    </row>
    <row r="207" spans="1:16" x14ac:dyDescent="0.3">
      <c r="A207" s="24">
        <v>7</v>
      </c>
      <c r="B207" s="102">
        <v>46035</v>
      </c>
      <c r="C207" s="25" t="s">
        <v>356</v>
      </c>
      <c r="D207" s="103" t="s">
        <v>115</v>
      </c>
      <c r="E207" s="26">
        <v>33</v>
      </c>
      <c r="F207" s="26" t="s">
        <v>293</v>
      </c>
      <c r="K207" s="24">
        <v>7</v>
      </c>
      <c r="L207" s="102">
        <v>46035</v>
      </c>
      <c r="M207" s="25" t="s">
        <v>357</v>
      </c>
      <c r="N207" s="103" t="s">
        <v>115</v>
      </c>
      <c r="O207" s="26">
        <v>96</v>
      </c>
      <c r="P207" s="26" t="s">
        <v>293</v>
      </c>
    </row>
    <row r="208" spans="1:16" x14ac:dyDescent="0.3">
      <c r="A208" s="24">
        <v>7</v>
      </c>
      <c r="B208" s="102">
        <v>46035</v>
      </c>
      <c r="C208" s="25" t="s">
        <v>356</v>
      </c>
      <c r="D208" s="103" t="s">
        <v>137</v>
      </c>
      <c r="E208" s="26">
        <v>75</v>
      </c>
      <c r="F208" s="26" t="s">
        <v>293</v>
      </c>
      <c r="K208" s="24">
        <v>7</v>
      </c>
      <c r="L208" s="102">
        <v>46035</v>
      </c>
      <c r="M208" s="25" t="s">
        <v>357</v>
      </c>
      <c r="N208" s="103" t="s">
        <v>137</v>
      </c>
      <c r="O208" s="26">
        <v>487</v>
      </c>
      <c r="P208" s="26" t="s">
        <v>293</v>
      </c>
    </row>
    <row r="209" spans="1:16" x14ac:dyDescent="0.3">
      <c r="A209" s="24">
        <v>7</v>
      </c>
      <c r="B209" s="102">
        <v>46035</v>
      </c>
      <c r="C209" s="25" t="s">
        <v>356</v>
      </c>
      <c r="D209" s="103" t="s">
        <v>348</v>
      </c>
      <c r="E209" s="26">
        <v>143</v>
      </c>
      <c r="F209" s="26" t="s">
        <v>293</v>
      </c>
      <c r="K209" s="24">
        <v>7</v>
      </c>
      <c r="L209" s="102">
        <v>46035</v>
      </c>
      <c r="M209" s="25" t="s">
        <v>357</v>
      </c>
      <c r="N209" s="103" t="s">
        <v>348</v>
      </c>
      <c r="O209" s="26">
        <v>440</v>
      </c>
      <c r="P209" s="26" t="s">
        <v>293</v>
      </c>
    </row>
    <row r="210" spans="1:16" x14ac:dyDescent="0.3">
      <c r="A210" s="24">
        <v>7</v>
      </c>
      <c r="B210" s="102">
        <v>46035</v>
      </c>
      <c r="C210" s="25" t="s">
        <v>356</v>
      </c>
      <c r="D210" s="103" t="s">
        <v>125</v>
      </c>
      <c r="E210" s="26">
        <v>108</v>
      </c>
      <c r="F210" s="26" t="s">
        <v>293</v>
      </c>
      <c r="K210" s="24">
        <v>7</v>
      </c>
      <c r="L210" s="102">
        <v>46035</v>
      </c>
      <c r="M210" s="25" t="s">
        <v>357</v>
      </c>
      <c r="N210" s="103" t="s">
        <v>125</v>
      </c>
      <c r="O210" s="26">
        <v>439</v>
      </c>
      <c r="P210" s="26" t="s">
        <v>293</v>
      </c>
    </row>
    <row r="211" spans="1:16" x14ac:dyDescent="0.3">
      <c r="A211" s="24">
        <v>7</v>
      </c>
      <c r="B211" s="102">
        <v>46035</v>
      </c>
      <c r="C211" s="25" t="s">
        <v>356</v>
      </c>
      <c r="D211" s="103" t="s">
        <v>126</v>
      </c>
      <c r="E211" s="26">
        <v>77</v>
      </c>
      <c r="F211" s="26" t="s">
        <v>293</v>
      </c>
      <c r="K211" s="24">
        <v>7</v>
      </c>
      <c r="L211" s="102">
        <v>46035</v>
      </c>
      <c r="M211" s="25" t="s">
        <v>357</v>
      </c>
      <c r="N211" s="103" t="s">
        <v>126</v>
      </c>
      <c r="O211" s="26">
        <v>151</v>
      </c>
      <c r="P211" s="26" t="s">
        <v>293</v>
      </c>
    </row>
    <row r="212" spans="1:16" x14ac:dyDescent="0.3">
      <c r="A212" s="24">
        <v>7</v>
      </c>
      <c r="B212" s="102">
        <v>46035</v>
      </c>
      <c r="C212" s="25" t="s">
        <v>356</v>
      </c>
      <c r="D212" s="103" t="s">
        <v>349</v>
      </c>
      <c r="E212" s="26">
        <v>163</v>
      </c>
      <c r="F212" s="26" t="s">
        <v>293</v>
      </c>
      <c r="K212" s="24">
        <v>7</v>
      </c>
      <c r="L212" s="102">
        <v>46035</v>
      </c>
      <c r="M212" s="25" t="s">
        <v>357</v>
      </c>
      <c r="N212" s="103" t="s">
        <v>349</v>
      </c>
      <c r="O212" s="26">
        <v>383</v>
      </c>
      <c r="P212" s="26" t="s">
        <v>293</v>
      </c>
    </row>
    <row r="213" spans="1:16" x14ac:dyDescent="0.3">
      <c r="A213" s="24">
        <v>7</v>
      </c>
      <c r="B213" s="102">
        <v>46035</v>
      </c>
      <c r="C213" s="25" t="s">
        <v>356</v>
      </c>
      <c r="D213" s="103" t="s">
        <v>350</v>
      </c>
      <c r="E213" s="26">
        <v>60</v>
      </c>
      <c r="F213" s="26" t="s">
        <v>293</v>
      </c>
      <c r="K213" s="24">
        <v>7</v>
      </c>
      <c r="L213" s="102">
        <v>46035</v>
      </c>
      <c r="M213" s="25" t="s">
        <v>357</v>
      </c>
      <c r="N213" s="103" t="s">
        <v>350</v>
      </c>
      <c r="O213" s="26">
        <v>85</v>
      </c>
      <c r="P213" s="26" t="s">
        <v>293</v>
      </c>
    </row>
    <row r="214" spans="1:16" x14ac:dyDescent="0.3">
      <c r="A214" s="24">
        <v>7</v>
      </c>
      <c r="B214" s="102">
        <v>46035</v>
      </c>
      <c r="C214" s="25" t="s">
        <v>356</v>
      </c>
      <c r="D214" s="103" t="s">
        <v>122</v>
      </c>
      <c r="E214" s="26">
        <v>47</v>
      </c>
      <c r="F214" s="26" t="s">
        <v>293</v>
      </c>
      <c r="K214" s="24">
        <v>7</v>
      </c>
      <c r="L214" s="102">
        <v>46035</v>
      </c>
      <c r="M214" s="25" t="s">
        <v>357</v>
      </c>
      <c r="N214" s="103" t="s">
        <v>122</v>
      </c>
      <c r="O214" s="26">
        <v>219</v>
      </c>
      <c r="P214" s="26" t="s">
        <v>293</v>
      </c>
    </row>
    <row r="215" spans="1:16" x14ac:dyDescent="0.3">
      <c r="A215" s="24">
        <v>7</v>
      </c>
      <c r="B215" s="102">
        <v>46035</v>
      </c>
      <c r="C215" s="25" t="s">
        <v>356</v>
      </c>
      <c r="D215" s="103" t="s">
        <v>124</v>
      </c>
      <c r="E215" s="26">
        <v>30</v>
      </c>
      <c r="F215" s="26" t="s">
        <v>293</v>
      </c>
      <c r="K215" s="24">
        <v>7</v>
      </c>
      <c r="L215" s="102">
        <v>46035</v>
      </c>
      <c r="M215" s="25" t="s">
        <v>357</v>
      </c>
      <c r="N215" s="103" t="s">
        <v>124</v>
      </c>
      <c r="O215" s="26">
        <v>106</v>
      </c>
      <c r="P215" s="26" t="s">
        <v>293</v>
      </c>
    </row>
    <row r="216" spans="1:16" x14ac:dyDescent="0.3">
      <c r="A216" s="24">
        <v>7</v>
      </c>
      <c r="B216" s="102">
        <v>46035</v>
      </c>
      <c r="C216" s="25" t="s">
        <v>356</v>
      </c>
      <c r="D216" s="103" t="s">
        <v>351</v>
      </c>
      <c r="E216" s="26">
        <v>1.05</v>
      </c>
      <c r="F216" s="26" t="s">
        <v>293</v>
      </c>
      <c r="K216" s="24">
        <v>7</v>
      </c>
      <c r="L216" s="102">
        <v>46035</v>
      </c>
      <c r="M216" s="25" t="s">
        <v>357</v>
      </c>
      <c r="N216" s="103" t="s">
        <v>351</v>
      </c>
      <c r="O216" s="26">
        <v>3.7</v>
      </c>
      <c r="P216" s="26" t="s">
        <v>293</v>
      </c>
    </row>
    <row r="217" spans="1:16" x14ac:dyDescent="0.3">
      <c r="A217" s="24">
        <v>7</v>
      </c>
      <c r="B217" s="102">
        <v>46035</v>
      </c>
      <c r="C217" s="25" t="s">
        <v>356</v>
      </c>
      <c r="D217" s="103" t="s">
        <v>353</v>
      </c>
      <c r="E217" s="26">
        <v>36.299999999999997</v>
      </c>
      <c r="F217" s="26" t="s">
        <v>293</v>
      </c>
      <c r="K217" s="24">
        <v>7</v>
      </c>
      <c r="L217" s="102">
        <v>46035</v>
      </c>
      <c r="M217" s="25" t="s">
        <v>357</v>
      </c>
      <c r="N217" s="103" t="s">
        <v>353</v>
      </c>
      <c r="O217" s="26">
        <v>20.2</v>
      </c>
      <c r="P217" s="26" t="s">
        <v>293</v>
      </c>
    </row>
    <row r="218" spans="1:16" x14ac:dyDescent="0.3">
      <c r="A218" s="24">
        <v>7</v>
      </c>
      <c r="B218" s="102">
        <v>46035</v>
      </c>
      <c r="C218" s="25" t="s">
        <v>356</v>
      </c>
      <c r="D218" s="103" t="s">
        <v>133</v>
      </c>
      <c r="E218" s="26">
        <v>142</v>
      </c>
      <c r="F218" s="26" t="s">
        <v>293</v>
      </c>
      <c r="K218" s="24">
        <v>7</v>
      </c>
      <c r="L218" s="102">
        <v>46035</v>
      </c>
      <c r="M218" s="25" t="s">
        <v>357</v>
      </c>
      <c r="N218" s="103" t="s">
        <v>133</v>
      </c>
      <c r="O218" s="26">
        <v>121</v>
      </c>
      <c r="P218" s="26" t="s">
        <v>293</v>
      </c>
    </row>
    <row r="219" spans="1:16" x14ac:dyDescent="0.3">
      <c r="A219" s="24">
        <v>7</v>
      </c>
      <c r="B219" s="102">
        <v>46035</v>
      </c>
      <c r="C219" s="25" t="s">
        <v>356</v>
      </c>
      <c r="D219" s="103" t="s">
        <v>135</v>
      </c>
      <c r="E219" s="26">
        <v>3.6</v>
      </c>
      <c r="F219" s="26" t="s">
        <v>293</v>
      </c>
      <c r="K219" s="24">
        <v>7</v>
      </c>
      <c r="L219" s="102">
        <v>46035</v>
      </c>
      <c r="M219" s="25" t="s">
        <v>357</v>
      </c>
      <c r="N219" s="103" t="s">
        <v>135</v>
      </c>
      <c r="O219" s="26">
        <v>6.2</v>
      </c>
      <c r="P219" s="26" t="s">
        <v>293</v>
      </c>
    </row>
    <row r="220" spans="1:16" x14ac:dyDescent="0.3">
      <c r="A220" s="24">
        <v>7</v>
      </c>
      <c r="B220" s="102">
        <v>46035</v>
      </c>
      <c r="C220" s="25" t="s">
        <v>356</v>
      </c>
      <c r="D220" s="103" t="s">
        <v>136</v>
      </c>
      <c r="E220" s="26">
        <v>118</v>
      </c>
      <c r="F220" s="26" t="s">
        <v>293</v>
      </c>
      <c r="K220" s="24">
        <v>7</v>
      </c>
      <c r="L220" s="102">
        <v>46035</v>
      </c>
      <c r="M220" s="25" t="s">
        <v>357</v>
      </c>
      <c r="N220" s="103" t="s">
        <v>136</v>
      </c>
      <c r="O220" s="26">
        <v>96</v>
      </c>
      <c r="P220" s="26" t="s">
        <v>293</v>
      </c>
    </row>
    <row r="221" spans="1:16" x14ac:dyDescent="0.3">
      <c r="A221" s="24">
        <v>8</v>
      </c>
      <c r="B221" s="102">
        <v>46036</v>
      </c>
      <c r="C221" s="25" t="s">
        <v>356</v>
      </c>
      <c r="D221" s="103" t="s">
        <v>339</v>
      </c>
      <c r="E221" s="26">
        <v>4.5999999999999996</v>
      </c>
      <c r="F221" s="26" t="s">
        <v>293</v>
      </c>
      <c r="K221" s="24">
        <v>8</v>
      </c>
      <c r="L221" s="102">
        <v>46036</v>
      </c>
      <c r="M221" s="25" t="s">
        <v>357</v>
      </c>
      <c r="N221" s="103" t="s">
        <v>339</v>
      </c>
      <c r="O221" s="26">
        <v>1.2</v>
      </c>
      <c r="P221" s="26" t="s">
        <v>293</v>
      </c>
    </row>
    <row r="222" spans="1:16" x14ac:dyDescent="0.3">
      <c r="A222" s="24">
        <v>8</v>
      </c>
      <c r="B222" s="102">
        <v>46036</v>
      </c>
      <c r="C222" s="25" t="s">
        <v>356</v>
      </c>
      <c r="D222" s="103" t="s">
        <v>118</v>
      </c>
      <c r="E222" s="26">
        <v>4.8</v>
      </c>
      <c r="F222" s="26" t="s">
        <v>293</v>
      </c>
      <c r="K222" s="24">
        <v>8</v>
      </c>
      <c r="L222" s="102">
        <v>46036</v>
      </c>
      <c r="M222" s="25" t="s">
        <v>357</v>
      </c>
      <c r="N222" s="103" t="s">
        <v>118</v>
      </c>
      <c r="O222" s="26">
        <v>9.6999999999999993</v>
      </c>
      <c r="P222" s="26" t="s">
        <v>293</v>
      </c>
    </row>
    <row r="223" spans="1:16" x14ac:dyDescent="0.3">
      <c r="A223" s="24">
        <v>8</v>
      </c>
      <c r="B223" s="102">
        <v>46036</v>
      </c>
      <c r="C223" s="25" t="s">
        <v>356</v>
      </c>
      <c r="D223" s="103" t="s">
        <v>130</v>
      </c>
      <c r="E223" s="26">
        <v>4.03</v>
      </c>
      <c r="F223" s="26" t="s">
        <v>293</v>
      </c>
      <c r="K223" s="24">
        <v>8</v>
      </c>
      <c r="L223" s="102">
        <v>46036</v>
      </c>
      <c r="M223" s="25" t="s">
        <v>357</v>
      </c>
      <c r="N223" s="103" t="s">
        <v>130</v>
      </c>
      <c r="O223" s="26">
        <v>2.57</v>
      </c>
      <c r="P223" s="26" t="s">
        <v>293</v>
      </c>
    </row>
    <row r="224" spans="1:16" x14ac:dyDescent="0.3">
      <c r="A224" s="24">
        <v>8</v>
      </c>
      <c r="B224" s="102">
        <v>46036</v>
      </c>
      <c r="C224" s="25" t="s">
        <v>356</v>
      </c>
      <c r="D224" s="103" t="s">
        <v>341</v>
      </c>
      <c r="E224" s="26">
        <v>0.315</v>
      </c>
      <c r="F224" s="26" t="s">
        <v>293</v>
      </c>
      <c r="K224" s="24">
        <v>8</v>
      </c>
      <c r="L224" s="102">
        <v>46036</v>
      </c>
      <c r="M224" s="25" t="s">
        <v>357</v>
      </c>
      <c r="N224" s="103" t="s">
        <v>341</v>
      </c>
      <c r="O224" s="26">
        <v>1.17</v>
      </c>
      <c r="P224" s="26" t="s">
        <v>293</v>
      </c>
    </row>
    <row r="225" spans="1:16" x14ac:dyDescent="0.3">
      <c r="A225" s="24">
        <v>8</v>
      </c>
      <c r="B225" s="102">
        <v>46036</v>
      </c>
      <c r="C225" s="25" t="s">
        <v>356</v>
      </c>
      <c r="D225" s="103" t="s">
        <v>127</v>
      </c>
      <c r="E225" s="26">
        <v>1.17</v>
      </c>
      <c r="F225" s="26" t="s">
        <v>293</v>
      </c>
      <c r="K225" s="24">
        <v>8</v>
      </c>
      <c r="L225" s="102">
        <v>46036</v>
      </c>
      <c r="M225" s="25" t="s">
        <v>357</v>
      </c>
      <c r="N225" s="103" t="s">
        <v>127</v>
      </c>
      <c r="O225" s="26">
        <v>4.5599999999999996</v>
      </c>
      <c r="P225" s="26" t="s">
        <v>293</v>
      </c>
    </row>
    <row r="226" spans="1:16" x14ac:dyDescent="0.3">
      <c r="A226" s="24">
        <v>8</v>
      </c>
      <c r="B226" s="102">
        <v>46036</v>
      </c>
      <c r="C226" s="25" t="s">
        <v>356</v>
      </c>
      <c r="D226" s="103" t="s">
        <v>131</v>
      </c>
      <c r="E226" s="26">
        <v>8.6999999999999993</v>
      </c>
      <c r="F226" s="26" t="s">
        <v>293</v>
      </c>
      <c r="K226" s="24">
        <v>8</v>
      </c>
      <c r="L226" s="102">
        <v>46036</v>
      </c>
      <c r="M226" s="25" t="s">
        <v>357</v>
      </c>
      <c r="N226" s="103" t="s">
        <v>131</v>
      </c>
      <c r="O226" s="26">
        <v>12.3</v>
      </c>
      <c r="P226" s="26" t="s">
        <v>293</v>
      </c>
    </row>
    <row r="227" spans="1:16" x14ac:dyDescent="0.3">
      <c r="A227" s="24">
        <v>8</v>
      </c>
      <c r="B227" s="102">
        <v>46036</v>
      </c>
      <c r="C227" s="25" t="s">
        <v>356</v>
      </c>
      <c r="D227" s="103" t="s">
        <v>342</v>
      </c>
      <c r="E227" s="26">
        <v>323</v>
      </c>
      <c r="F227" s="26" t="s">
        <v>293</v>
      </c>
      <c r="K227" s="24">
        <v>8</v>
      </c>
      <c r="L227" s="102">
        <v>46036</v>
      </c>
      <c r="M227" s="25" t="s">
        <v>357</v>
      </c>
      <c r="N227" s="103" t="s">
        <v>342</v>
      </c>
      <c r="O227" s="26">
        <v>199</v>
      </c>
      <c r="P227" s="26" t="s">
        <v>293</v>
      </c>
    </row>
    <row r="228" spans="1:16" x14ac:dyDescent="0.3">
      <c r="A228" s="24">
        <v>8</v>
      </c>
      <c r="B228" s="102">
        <v>46036</v>
      </c>
      <c r="C228" s="25" t="s">
        <v>356</v>
      </c>
      <c r="D228" s="103" t="s">
        <v>119</v>
      </c>
      <c r="E228" s="26">
        <v>238</v>
      </c>
      <c r="F228" s="26" t="s">
        <v>293</v>
      </c>
      <c r="K228" s="24">
        <v>8</v>
      </c>
      <c r="L228" s="102">
        <v>46036</v>
      </c>
      <c r="M228" s="25" t="s">
        <v>357</v>
      </c>
      <c r="N228" s="103" t="s">
        <v>119</v>
      </c>
      <c r="O228" s="26">
        <v>85</v>
      </c>
      <c r="P228" s="26" t="s">
        <v>293</v>
      </c>
    </row>
    <row r="229" spans="1:16" x14ac:dyDescent="0.3">
      <c r="A229" s="24">
        <v>8</v>
      </c>
      <c r="B229" s="102">
        <v>46036</v>
      </c>
      <c r="C229" s="25" t="s">
        <v>356</v>
      </c>
      <c r="D229" s="103" t="s">
        <v>120</v>
      </c>
      <c r="E229" s="26">
        <v>80</v>
      </c>
      <c r="F229" s="26" t="s">
        <v>293</v>
      </c>
      <c r="K229" s="24">
        <v>8</v>
      </c>
      <c r="L229" s="102">
        <v>46036</v>
      </c>
      <c r="M229" s="25" t="s">
        <v>357</v>
      </c>
      <c r="N229" s="103" t="s">
        <v>120</v>
      </c>
      <c r="O229" s="26">
        <v>26</v>
      </c>
      <c r="P229" s="26" t="s">
        <v>293</v>
      </c>
    </row>
    <row r="230" spans="1:16" x14ac:dyDescent="0.3">
      <c r="A230" s="24">
        <v>8</v>
      </c>
      <c r="B230" s="102">
        <v>46036</v>
      </c>
      <c r="C230" s="25" t="s">
        <v>356</v>
      </c>
      <c r="D230" s="103" t="s">
        <v>117</v>
      </c>
      <c r="E230" s="26">
        <v>2.59</v>
      </c>
      <c r="F230" s="26" t="s">
        <v>293</v>
      </c>
      <c r="K230" s="24">
        <v>8</v>
      </c>
      <c r="L230" s="102">
        <v>46036</v>
      </c>
      <c r="M230" s="25" t="s">
        <v>357</v>
      </c>
      <c r="N230" s="103" t="s">
        <v>117</v>
      </c>
      <c r="O230" s="26">
        <v>6.05</v>
      </c>
      <c r="P230" s="26" t="s">
        <v>293</v>
      </c>
    </row>
    <row r="231" spans="1:16" x14ac:dyDescent="0.3">
      <c r="A231" s="24">
        <v>8</v>
      </c>
      <c r="B231" s="102">
        <v>46036</v>
      </c>
      <c r="C231" s="25" t="s">
        <v>356</v>
      </c>
      <c r="D231" s="103" t="s">
        <v>344</v>
      </c>
      <c r="E231" s="26">
        <v>229</v>
      </c>
      <c r="F231" s="26" t="s">
        <v>293</v>
      </c>
      <c r="K231" s="24">
        <v>8</v>
      </c>
      <c r="L231" s="102">
        <v>46036</v>
      </c>
      <c r="M231" s="25" t="s">
        <v>357</v>
      </c>
      <c r="N231" s="103" t="s">
        <v>344</v>
      </c>
      <c r="O231" s="26">
        <v>66</v>
      </c>
      <c r="P231" s="26" t="s">
        <v>293</v>
      </c>
    </row>
    <row r="232" spans="1:16" x14ac:dyDescent="0.3">
      <c r="A232" s="24">
        <v>8</v>
      </c>
      <c r="B232" s="102">
        <v>46036</v>
      </c>
      <c r="C232" s="25" t="s">
        <v>356</v>
      </c>
      <c r="D232" s="103" t="s">
        <v>132</v>
      </c>
      <c r="E232" s="26">
        <v>3.6</v>
      </c>
      <c r="F232" s="26" t="s">
        <v>293</v>
      </c>
      <c r="K232" s="24">
        <v>8</v>
      </c>
      <c r="L232" s="102">
        <v>46036</v>
      </c>
      <c r="M232" s="25" t="s">
        <v>357</v>
      </c>
      <c r="N232" s="103" t="s">
        <v>132</v>
      </c>
      <c r="O232" s="26">
        <v>7.35</v>
      </c>
      <c r="P232" s="26" t="s">
        <v>293</v>
      </c>
    </row>
    <row r="233" spans="1:16" x14ac:dyDescent="0.3">
      <c r="A233" s="24">
        <v>8</v>
      </c>
      <c r="B233" s="102">
        <v>46036</v>
      </c>
      <c r="C233" s="25" t="s">
        <v>356</v>
      </c>
      <c r="D233" s="103" t="s">
        <v>111</v>
      </c>
      <c r="E233" s="26">
        <v>86</v>
      </c>
      <c r="F233" s="26" t="s">
        <v>293</v>
      </c>
      <c r="K233" s="24">
        <v>8</v>
      </c>
      <c r="L233" s="102">
        <v>46036</v>
      </c>
      <c r="M233" s="25" t="s">
        <v>357</v>
      </c>
      <c r="N233" s="103" t="s">
        <v>111</v>
      </c>
      <c r="O233" s="26">
        <v>279</v>
      </c>
      <c r="P233" s="26" t="s">
        <v>293</v>
      </c>
    </row>
    <row r="234" spans="1:16" x14ac:dyDescent="0.3">
      <c r="A234" s="24">
        <v>8</v>
      </c>
      <c r="B234" s="102">
        <v>46036</v>
      </c>
      <c r="C234" s="25" t="s">
        <v>356</v>
      </c>
      <c r="D234" s="103" t="s">
        <v>345</v>
      </c>
      <c r="E234" s="26">
        <v>5.36</v>
      </c>
      <c r="F234" s="26" t="s">
        <v>293</v>
      </c>
      <c r="K234" s="24">
        <v>8</v>
      </c>
      <c r="L234" s="102">
        <v>46036</v>
      </c>
      <c r="M234" s="25" t="s">
        <v>357</v>
      </c>
      <c r="N234" s="103" t="s">
        <v>345</v>
      </c>
      <c r="O234" s="26">
        <v>9.9499999999999993</v>
      </c>
      <c r="P234" s="26" t="s">
        <v>293</v>
      </c>
    </row>
    <row r="235" spans="1:16" x14ac:dyDescent="0.3">
      <c r="A235" s="24">
        <v>8</v>
      </c>
      <c r="B235" s="102">
        <v>46036</v>
      </c>
      <c r="C235" s="25" t="s">
        <v>356</v>
      </c>
      <c r="D235" s="103" t="s">
        <v>347</v>
      </c>
      <c r="E235" s="26">
        <v>1.98</v>
      </c>
      <c r="F235" s="26" t="s">
        <v>293</v>
      </c>
      <c r="K235" s="24">
        <v>8</v>
      </c>
      <c r="L235" s="102">
        <v>46036</v>
      </c>
      <c r="M235" s="25" t="s">
        <v>357</v>
      </c>
      <c r="N235" s="103" t="s">
        <v>347</v>
      </c>
      <c r="O235" s="26">
        <v>4.47</v>
      </c>
      <c r="P235" s="26" t="s">
        <v>293</v>
      </c>
    </row>
    <row r="236" spans="1:16" x14ac:dyDescent="0.3">
      <c r="A236" s="24">
        <v>8</v>
      </c>
      <c r="B236" s="102">
        <v>46036</v>
      </c>
      <c r="C236" s="25" t="s">
        <v>356</v>
      </c>
      <c r="D236" s="103" t="s">
        <v>128</v>
      </c>
      <c r="E236" s="26">
        <v>7</v>
      </c>
      <c r="F236" s="26" t="s">
        <v>293</v>
      </c>
      <c r="K236" s="24">
        <v>8</v>
      </c>
      <c r="L236" s="102">
        <v>46036</v>
      </c>
      <c r="M236" s="25" t="s">
        <v>357</v>
      </c>
      <c r="N236" s="103" t="s">
        <v>128</v>
      </c>
      <c r="O236" s="26">
        <v>4.5</v>
      </c>
      <c r="P236" s="26" t="s">
        <v>293</v>
      </c>
    </row>
    <row r="237" spans="1:16" x14ac:dyDescent="0.3">
      <c r="A237" s="24">
        <v>8</v>
      </c>
      <c r="B237" s="102">
        <v>46036</v>
      </c>
      <c r="C237" s="25" t="s">
        <v>356</v>
      </c>
      <c r="D237" s="103" t="s">
        <v>121</v>
      </c>
      <c r="E237" s="26">
        <v>158</v>
      </c>
      <c r="F237" s="26" t="s">
        <v>293</v>
      </c>
      <c r="K237" s="24">
        <v>8</v>
      </c>
      <c r="L237" s="102">
        <v>46036</v>
      </c>
      <c r="M237" s="25" t="s">
        <v>357</v>
      </c>
      <c r="N237" s="103" t="s">
        <v>121</v>
      </c>
      <c r="O237" s="26">
        <v>78</v>
      </c>
      <c r="P237" s="26" t="s">
        <v>293</v>
      </c>
    </row>
    <row r="238" spans="1:16" x14ac:dyDescent="0.3">
      <c r="A238" s="24">
        <v>8</v>
      </c>
      <c r="B238" s="102">
        <v>46036</v>
      </c>
      <c r="C238" s="25" t="s">
        <v>356</v>
      </c>
      <c r="D238" s="103" t="s">
        <v>115</v>
      </c>
      <c r="E238" s="26">
        <v>34</v>
      </c>
      <c r="F238" s="26" t="s">
        <v>293</v>
      </c>
      <c r="K238" s="24">
        <v>8</v>
      </c>
      <c r="L238" s="102">
        <v>46036</v>
      </c>
      <c r="M238" s="25" t="s">
        <v>357</v>
      </c>
      <c r="N238" s="103" t="s">
        <v>115</v>
      </c>
      <c r="O238" s="26">
        <v>99</v>
      </c>
      <c r="P238" s="26" t="s">
        <v>293</v>
      </c>
    </row>
    <row r="239" spans="1:16" x14ac:dyDescent="0.3">
      <c r="A239" s="24">
        <v>8</v>
      </c>
      <c r="B239" s="102">
        <v>46036</v>
      </c>
      <c r="C239" s="25" t="s">
        <v>356</v>
      </c>
      <c r="D239" s="103" t="s">
        <v>137</v>
      </c>
      <c r="E239" s="26">
        <v>74</v>
      </c>
      <c r="F239" s="26" t="s">
        <v>293</v>
      </c>
      <c r="K239" s="24">
        <v>8</v>
      </c>
      <c r="L239" s="102">
        <v>46036</v>
      </c>
      <c r="M239" s="25" t="s">
        <v>357</v>
      </c>
      <c r="N239" s="103" t="s">
        <v>137</v>
      </c>
      <c r="O239" s="26">
        <v>479</v>
      </c>
      <c r="P239" s="26" t="s">
        <v>293</v>
      </c>
    </row>
    <row r="240" spans="1:16" x14ac:dyDescent="0.3">
      <c r="A240" s="24">
        <v>8</v>
      </c>
      <c r="B240" s="102">
        <v>46036</v>
      </c>
      <c r="C240" s="25" t="s">
        <v>356</v>
      </c>
      <c r="D240" s="103" t="s">
        <v>348</v>
      </c>
      <c r="E240" s="26">
        <v>143</v>
      </c>
      <c r="F240" s="26" t="s">
        <v>293</v>
      </c>
      <c r="K240" s="24">
        <v>8</v>
      </c>
      <c r="L240" s="102">
        <v>46036</v>
      </c>
      <c r="M240" s="25" t="s">
        <v>357</v>
      </c>
      <c r="N240" s="103" t="s">
        <v>348</v>
      </c>
      <c r="O240" s="26">
        <v>431</v>
      </c>
      <c r="P240" s="26" t="s">
        <v>293</v>
      </c>
    </row>
    <row r="241" spans="1:16" x14ac:dyDescent="0.3">
      <c r="A241" s="24">
        <v>8</v>
      </c>
      <c r="B241" s="102">
        <v>46036</v>
      </c>
      <c r="C241" s="25" t="s">
        <v>356</v>
      </c>
      <c r="D241" s="103" t="s">
        <v>125</v>
      </c>
      <c r="E241" s="26">
        <v>105</v>
      </c>
      <c r="F241" s="26" t="s">
        <v>293</v>
      </c>
      <c r="K241" s="24">
        <v>8</v>
      </c>
      <c r="L241" s="102">
        <v>46036</v>
      </c>
      <c r="M241" s="25" t="s">
        <v>357</v>
      </c>
      <c r="N241" s="103" t="s">
        <v>125</v>
      </c>
      <c r="O241" s="26">
        <v>414</v>
      </c>
      <c r="P241" s="26" t="s">
        <v>293</v>
      </c>
    </row>
    <row r="242" spans="1:16" x14ac:dyDescent="0.3">
      <c r="A242" s="24">
        <v>8</v>
      </c>
      <c r="B242" s="102">
        <v>46036</v>
      </c>
      <c r="C242" s="25" t="s">
        <v>356</v>
      </c>
      <c r="D242" s="103" t="s">
        <v>126</v>
      </c>
      <c r="E242" s="26">
        <v>80</v>
      </c>
      <c r="F242" s="26" t="s">
        <v>293</v>
      </c>
      <c r="K242" s="24">
        <v>8</v>
      </c>
      <c r="L242" s="102">
        <v>46036</v>
      </c>
      <c r="M242" s="25" t="s">
        <v>357</v>
      </c>
      <c r="N242" s="103" t="s">
        <v>126</v>
      </c>
      <c r="O242" s="26">
        <v>151</v>
      </c>
      <c r="P242" s="26" t="s">
        <v>293</v>
      </c>
    </row>
    <row r="243" spans="1:16" x14ac:dyDescent="0.3">
      <c r="A243" s="24">
        <v>8</v>
      </c>
      <c r="B243" s="102">
        <v>46036</v>
      </c>
      <c r="C243" s="25" t="s">
        <v>356</v>
      </c>
      <c r="D243" s="103" t="s">
        <v>349</v>
      </c>
      <c r="E243" s="26">
        <v>152</v>
      </c>
      <c r="F243" s="26" t="s">
        <v>293</v>
      </c>
      <c r="K243" s="24">
        <v>8</v>
      </c>
      <c r="L243" s="102">
        <v>46036</v>
      </c>
      <c r="M243" s="25" t="s">
        <v>357</v>
      </c>
      <c r="N243" s="103" t="s">
        <v>349</v>
      </c>
      <c r="O243" s="26">
        <v>363</v>
      </c>
      <c r="P243" s="26" t="s">
        <v>293</v>
      </c>
    </row>
    <row r="244" spans="1:16" x14ac:dyDescent="0.3">
      <c r="A244" s="24">
        <v>8</v>
      </c>
      <c r="B244" s="102">
        <v>46036</v>
      </c>
      <c r="C244" s="25" t="s">
        <v>356</v>
      </c>
      <c r="D244" s="103" t="s">
        <v>350</v>
      </c>
      <c r="E244" s="26">
        <v>61</v>
      </c>
      <c r="F244" s="26" t="s">
        <v>293</v>
      </c>
      <c r="K244" s="24">
        <v>8</v>
      </c>
      <c r="L244" s="102">
        <v>46036</v>
      </c>
      <c r="M244" s="25" t="s">
        <v>357</v>
      </c>
      <c r="N244" s="103" t="s">
        <v>350</v>
      </c>
      <c r="O244" s="26">
        <v>87</v>
      </c>
      <c r="P244" s="26" t="s">
        <v>293</v>
      </c>
    </row>
    <row r="245" spans="1:16" x14ac:dyDescent="0.3">
      <c r="A245" s="24">
        <v>8</v>
      </c>
      <c r="B245" s="102">
        <v>46036</v>
      </c>
      <c r="C245" s="25" t="s">
        <v>356</v>
      </c>
      <c r="D245" s="103" t="s">
        <v>122</v>
      </c>
      <c r="E245" s="26">
        <v>48</v>
      </c>
      <c r="F245" s="26" t="s">
        <v>293</v>
      </c>
      <c r="K245" s="24">
        <v>8</v>
      </c>
      <c r="L245" s="102">
        <v>46036</v>
      </c>
      <c r="M245" s="25" t="s">
        <v>357</v>
      </c>
      <c r="N245" s="103" t="s">
        <v>122</v>
      </c>
      <c r="O245" s="26">
        <v>220</v>
      </c>
      <c r="P245" s="26" t="s">
        <v>293</v>
      </c>
    </row>
    <row r="246" spans="1:16" x14ac:dyDescent="0.3">
      <c r="A246" s="24">
        <v>8</v>
      </c>
      <c r="B246" s="102">
        <v>46036</v>
      </c>
      <c r="C246" s="25" t="s">
        <v>356</v>
      </c>
      <c r="D246" s="103" t="s">
        <v>124</v>
      </c>
      <c r="E246" s="26">
        <v>30</v>
      </c>
      <c r="F246" s="26" t="s">
        <v>293</v>
      </c>
      <c r="K246" s="24">
        <v>8</v>
      </c>
      <c r="L246" s="102">
        <v>46036</v>
      </c>
      <c r="M246" s="25" t="s">
        <v>357</v>
      </c>
      <c r="N246" s="103" t="s">
        <v>124</v>
      </c>
      <c r="O246" s="26">
        <v>107</v>
      </c>
      <c r="P246" s="26" t="s">
        <v>293</v>
      </c>
    </row>
    <row r="247" spans="1:16" x14ac:dyDescent="0.3">
      <c r="A247" s="24">
        <v>8</v>
      </c>
      <c r="B247" s="102">
        <v>46036</v>
      </c>
      <c r="C247" s="25" t="s">
        <v>356</v>
      </c>
      <c r="D247" s="103" t="s">
        <v>351</v>
      </c>
      <c r="E247" s="26">
        <v>1.05</v>
      </c>
      <c r="F247" s="26" t="s">
        <v>293</v>
      </c>
      <c r="K247" s="24">
        <v>8</v>
      </c>
      <c r="L247" s="102">
        <v>46036</v>
      </c>
      <c r="M247" s="25" t="s">
        <v>357</v>
      </c>
      <c r="N247" s="103" t="s">
        <v>351</v>
      </c>
      <c r="O247" s="26">
        <v>3.8</v>
      </c>
      <c r="P247" s="26" t="s">
        <v>293</v>
      </c>
    </row>
    <row r="248" spans="1:16" x14ac:dyDescent="0.3">
      <c r="A248" s="24">
        <v>8</v>
      </c>
      <c r="B248" s="102">
        <v>46036</v>
      </c>
      <c r="C248" s="25" t="s">
        <v>356</v>
      </c>
      <c r="D248" s="103" t="s">
        <v>353</v>
      </c>
      <c r="E248" s="26">
        <v>35.200000000000003</v>
      </c>
      <c r="F248" s="26" t="s">
        <v>293</v>
      </c>
      <c r="K248" s="24">
        <v>8</v>
      </c>
      <c r="L248" s="102">
        <v>46036</v>
      </c>
      <c r="M248" s="25" t="s">
        <v>357</v>
      </c>
      <c r="N248" s="103" t="s">
        <v>353</v>
      </c>
      <c r="O248" s="26">
        <v>19.399999999999999</v>
      </c>
      <c r="P248" s="26" t="s">
        <v>293</v>
      </c>
    </row>
    <row r="249" spans="1:16" x14ac:dyDescent="0.3">
      <c r="A249" s="24">
        <v>8</v>
      </c>
      <c r="B249" s="102">
        <v>46036</v>
      </c>
      <c r="C249" s="25" t="s">
        <v>356</v>
      </c>
      <c r="D249" s="103" t="s">
        <v>133</v>
      </c>
      <c r="E249" s="26">
        <v>140</v>
      </c>
      <c r="F249" s="26" t="s">
        <v>293</v>
      </c>
      <c r="K249" s="24">
        <v>8</v>
      </c>
      <c r="L249" s="102">
        <v>46036</v>
      </c>
      <c r="M249" s="25" t="s">
        <v>357</v>
      </c>
      <c r="N249" s="103" t="s">
        <v>133</v>
      </c>
      <c r="O249" s="26">
        <v>123</v>
      </c>
      <c r="P249" s="26" t="s">
        <v>293</v>
      </c>
    </row>
    <row r="250" spans="1:16" x14ac:dyDescent="0.3">
      <c r="A250" s="24">
        <v>8</v>
      </c>
      <c r="B250" s="102">
        <v>46036</v>
      </c>
      <c r="C250" s="25" t="s">
        <v>356</v>
      </c>
      <c r="D250" s="103" t="s">
        <v>135</v>
      </c>
      <c r="E250" s="26">
        <v>3.6</v>
      </c>
      <c r="F250" s="26" t="s">
        <v>293</v>
      </c>
      <c r="K250" s="24">
        <v>8</v>
      </c>
      <c r="L250" s="102">
        <v>46036</v>
      </c>
      <c r="M250" s="25" t="s">
        <v>357</v>
      </c>
      <c r="N250" s="103" t="s">
        <v>135</v>
      </c>
      <c r="O250" s="26">
        <v>6.2</v>
      </c>
      <c r="P250" s="26" t="s">
        <v>293</v>
      </c>
    </row>
    <row r="251" spans="1:16" x14ac:dyDescent="0.3">
      <c r="A251" s="24">
        <v>8</v>
      </c>
      <c r="B251" s="102">
        <v>46036</v>
      </c>
      <c r="C251" s="25" t="s">
        <v>356</v>
      </c>
      <c r="D251" s="103" t="s">
        <v>136</v>
      </c>
      <c r="E251" s="26">
        <v>116</v>
      </c>
      <c r="F251" s="26" t="s">
        <v>293</v>
      </c>
      <c r="K251" s="24">
        <v>8</v>
      </c>
      <c r="L251" s="102">
        <v>46036</v>
      </c>
      <c r="M251" s="25" t="s">
        <v>357</v>
      </c>
      <c r="N251" s="103" t="s">
        <v>136</v>
      </c>
      <c r="O251" s="26">
        <v>97</v>
      </c>
      <c r="P251" s="26" t="s">
        <v>293</v>
      </c>
    </row>
    <row r="252" spans="1:16" x14ac:dyDescent="0.3">
      <c r="A252" s="24">
        <v>9</v>
      </c>
      <c r="B252" s="102">
        <v>46037</v>
      </c>
      <c r="C252" s="25" t="s">
        <v>356</v>
      </c>
      <c r="D252" s="103" t="s">
        <v>339</v>
      </c>
      <c r="E252" s="26">
        <v>4.57</v>
      </c>
      <c r="F252" s="26" t="s">
        <v>293</v>
      </c>
      <c r="K252" s="24">
        <v>9</v>
      </c>
      <c r="L252" s="102">
        <v>46037</v>
      </c>
      <c r="M252" s="25" t="s">
        <v>357</v>
      </c>
      <c r="N252" s="103" t="s">
        <v>339</v>
      </c>
      <c r="O252" s="26">
        <v>1.26</v>
      </c>
      <c r="P252" s="26" t="s">
        <v>293</v>
      </c>
    </row>
    <row r="253" spans="1:16" x14ac:dyDescent="0.3">
      <c r="A253" s="24">
        <v>9</v>
      </c>
      <c r="B253" s="102">
        <v>46037</v>
      </c>
      <c r="C253" s="25" t="s">
        <v>356</v>
      </c>
      <c r="D253" s="103" t="s">
        <v>118</v>
      </c>
      <c r="E253" s="26">
        <v>4.7</v>
      </c>
      <c r="F253" s="26" t="s">
        <v>293</v>
      </c>
      <c r="K253" s="24">
        <v>9</v>
      </c>
      <c r="L253" s="102">
        <v>46037</v>
      </c>
      <c r="M253" s="25" t="s">
        <v>357</v>
      </c>
      <c r="N253" s="103" t="s">
        <v>118</v>
      </c>
      <c r="O253" s="26">
        <v>9.8000000000000007</v>
      </c>
      <c r="P253" s="26" t="s">
        <v>293</v>
      </c>
    </row>
    <row r="254" spans="1:16" x14ac:dyDescent="0.3">
      <c r="A254" s="24">
        <v>9</v>
      </c>
      <c r="B254" s="102">
        <v>46037</v>
      </c>
      <c r="C254" s="25" t="s">
        <v>356</v>
      </c>
      <c r="D254" s="103" t="s">
        <v>130</v>
      </c>
      <c r="E254" s="26">
        <v>4.0650000000000004</v>
      </c>
      <c r="F254" s="26" t="s">
        <v>293</v>
      </c>
      <c r="K254" s="24">
        <v>9</v>
      </c>
      <c r="L254" s="102">
        <v>46037</v>
      </c>
      <c r="M254" s="25" t="s">
        <v>357</v>
      </c>
      <c r="N254" s="103" t="s">
        <v>130</v>
      </c>
      <c r="O254" s="26">
        <v>2.6179999999999999</v>
      </c>
      <c r="P254" s="26" t="s">
        <v>293</v>
      </c>
    </row>
    <row r="255" spans="1:16" x14ac:dyDescent="0.3">
      <c r="A255" s="24">
        <v>9</v>
      </c>
      <c r="B255" s="102">
        <v>46037</v>
      </c>
      <c r="C255" s="25" t="s">
        <v>356</v>
      </c>
      <c r="D255" s="103" t="s">
        <v>341</v>
      </c>
      <c r="E255" s="26">
        <v>0.313</v>
      </c>
      <c r="F255" s="26" t="s">
        <v>293</v>
      </c>
      <c r="K255" s="24">
        <v>9</v>
      </c>
      <c r="L255" s="102">
        <v>46037</v>
      </c>
      <c r="M255" s="25" t="s">
        <v>357</v>
      </c>
      <c r="N255" s="103" t="s">
        <v>341</v>
      </c>
      <c r="O255" s="26">
        <v>1.1299999999999999</v>
      </c>
      <c r="P255" s="26" t="s">
        <v>293</v>
      </c>
    </row>
    <row r="256" spans="1:16" x14ac:dyDescent="0.3">
      <c r="A256" s="24">
        <v>9</v>
      </c>
      <c r="B256" s="102">
        <v>46037</v>
      </c>
      <c r="C256" s="25" t="s">
        <v>356</v>
      </c>
      <c r="D256" s="103" t="s">
        <v>127</v>
      </c>
      <c r="E256" s="26">
        <v>1.145</v>
      </c>
      <c r="F256" s="26" t="s">
        <v>293</v>
      </c>
      <c r="K256" s="24">
        <v>9</v>
      </c>
      <c r="L256" s="102">
        <v>46037</v>
      </c>
      <c r="M256" s="25" t="s">
        <v>357</v>
      </c>
      <c r="N256" s="103" t="s">
        <v>127</v>
      </c>
      <c r="O256" s="26">
        <v>4.57</v>
      </c>
      <c r="P256" s="26" t="s">
        <v>293</v>
      </c>
    </row>
    <row r="257" spans="1:16" x14ac:dyDescent="0.3">
      <c r="A257" s="24">
        <v>9</v>
      </c>
      <c r="B257" s="102">
        <v>46037</v>
      </c>
      <c r="C257" s="25" t="s">
        <v>356</v>
      </c>
      <c r="D257" s="103" t="s">
        <v>131</v>
      </c>
      <c r="E257" s="26">
        <v>8.5</v>
      </c>
      <c r="F257" s="26" t="s">
        <v>293</v>
      </c>
      <c r="K257" s="24">
        <v>9</v>
      </c>
      <c r="L257" s="102">
        <v>46037</v>
      </c>
      <c r="M257" s="25" t="s">
        <v>357</v>
      </c>
      <c r="N257" s="103" t="s">
        <v>131</v>
      </c>
      <c r="O257" s="26">
        <v>12</v>
      </c>
      <c r="P257" s="26" t="s">
        <v>293</v>
      </c>
    </row>
    <row r="258" spans="1:16" x14ac:dyDescent="0.3">
      <c r="A258" s="24">
        <v>9</v>
      </c>
      <c r="B258" s="102">
        <v>46037</v>
      </c>
      <c r="C258" s="25" t="s">
        <v>356</v>
      </c>
      <c r="D258" s="103" t="s">
        <v>342</v>
      </c>
      <c r="E258" s="26">
        <v>325</v>
      </c>
      <c r="F258" s="26" t="s">
        <v>293</v>
      </c>
      <c r="K258" s="24">
        <v>9</v>
      </c>
      <c r="L258" s="102">
        <v>46037</v>
      </c>
      <c r="M258" s="25" t="s">
        <v>357</v>
      </c>
      <c r="N258" s="103" t="s">
        <v>342</v>
      </c>
      <c r="O258" s="26">
        <v>197</v>
      </c>
      <c r="P258" s="26" t="s">
        <v>293</v>
      </c>
    </row>
    <row r="259" spans="1:16" x14ac:dyDescent="0.3">
      <c r="A259" s="24">
        <v>9</v>
      </c>
      <c r="B259" s="102">
        <v>46037</v>
      </c>
      <c r="C259" s="25" t="s">
        <v>356</v>
      </c>
      <c r="D259" s="103" t="s">
        <v>119</v>
      </c>
      <c r="E259" s="26">
        <v>227</v>
      </c>
      <c r="F259" s="26" t="s">
        <v>293</v>
      </c>
      <c r="K259" s="24">
        <v>9</v>
      </c>
      <c r="L259" s="102">
        <v>46037</v>
      </c>
      <c r="M259" s="25" t="s">
        <v>357</v>
      </c>
      <c r="N259" s="103" t="s">
        <v>119</v>
      </c>
      <c r="O259" s="26">
        <v>88</v>
      </c>
      <c r="P259" s="26" t="s">
        <v>293</v>
      </c>
    </row>
    <row r="260" spans="1:16" x14ac:dyDescent="0.3">
      <c r="A260" s="24">
        <v>9</v>
      </c>
      <c r="B260" s="102">
        <v>46037</v>
      </c>
      <c r="C260" s="25" t="s">
        <v>356</v>
      </c>
      <c r="D260" s="103" t="s">
        <v>120</v>
      </c>
      <c r="E260" s="26">
        <v>77</v>
      </c>
      <c r="F260" s="26" t="s">
        <v>293</v>
      </c>
      <c r="K260" s="24">
        <v>9</v>
      </c>
      <c r="L260" s="102">
        <v>46037</v>
      </c>
      <c r="M260" s="25" t="s">
        <v>357</v>
      </c>
      <c r="N260" s="103" t="s">
        <v>120</v>
      </c>
      <c r="O260" s="26">
        <v>27</v>
      </c>
      <c r="P260" s="26" t="s">
        <v>293</v>
      </c>
    </row>
    <row r="261" spans="1:16" x14ac:dyDescent="0.3">
      <c r="A261" s="24">
        <v>9</v>
      </c>
      <c r="B261" s="102">
        <v>46037</v>
      </c>
      <c r="C261" s="25" t="s">
        <v>356</v>
      </c>
      <c r="D261" s="103" t="s">
        <v>117</v>
      </c>
      <c r="E261" s="26">
        <v>2.59</v>
      </c>
      <c r="F261" s="26" t="s">
        <v>293</v>
      </c>
      <c r="K261" s="24">
        <v>9</v>
      </c>
      <c r="L261" s="102">
        <v>46037</v>
      </c>
      <c r="M261" s="25" t="s">
        <v>357</v>
      </c>
      <c r="N261" s="103" t="s">
        <v>117</v>
      </c>
      <c r="O261" s="26">
        <v>6.11</v>
      </c>
      <c r="P261" s="26" t="s">
        <v>293</v>
      </c>
    </row>
    <row r="262" spans="1:16" x14ac:dyDescent="0.3">
      <c r="A262" s="24">
        <v>9</v>
      </c>
      <c r="B262" s="102">
        <v>46037</v>
      </c>
      <c r="C262" s="25" t="s">
        <v>356</v>
      </c>
      <c r="D262" s="103" t="s">
        <v>344</v>
      </c>
      <c r="E262" s="26">
        <v>231</v>
      </c>
      <c r="F262" s="26" t="s">
        <v>293</v>
      </c>
      <c r="K262" s="24">
        <v>9</v>
      </c>
      <c r="L262" s="102">
        <v>46037</v>
      </c>
      <c r="M262" s="25" t="s">
        <v>357</v>
      </c>
      <c r="N262" s="103" t="s">
        <v>344</v>
      </c>
      <c r="O262" s="26">
        <v>66</v>
      </c>
      <c r="P262" s="26" t="s">
        <v>293</v>
      </c>
    </row>
    <row r="263" spans="1:16" x14ac:dyDescent="0.3">
      <c r="A263" s="24">
        <v>9</v>
      </c>
      <c r="B263" s="102">
        <v>46037</v>
      </c>
      <c r="C263" s="25" t="s">
        <v>356</v>
      </c>
      <c r="D263" s="103" t="s">
        <v>132</v>
      </c>
      <c r="E263" s="26">
        <v>3.56</v>
      </c>
      <c r="F263" s="26" t="s">
        <v>293</v>
      </c>
      <c r="K263" s="24">
        <v>9</v>
      </c>
      <c r="L263" s="102">
        <v>46037</v>
      </c>
      <c r="M263" s="25" t="s">
        <v>357</v>
      </c>
      <c r="N263" s="103" t="s">
        <v>132</v>
      </c>
      <c r="O263" s="26">
        <v>7.2</v>
      </c>
      <c r="P263" s="26" t="s">
        <v>293</v>
      </c>
    </row>
    <row r="264" spans="1:16" x14ac:dyDescent="0.3">
      <c r="A264" s="24">
        <v>9</v>
      </c>
      <c r="B264" s="102">
        <v>46037</v>
      </c>
      <c r="C264" s="25" t="s">
        <v>356</v>
      </c>
      <c r="D264" s="103" t="s">
        <v>111</v>
      </c>
      <c r="E264" s="26">
        <v>88</v>
      </c>
      <c r="F264" s="26" t="s">
        <v>293</v>
      </c>
      <c r="K264" s="24">
        <v>9</v>
      </c>
      <c r="L264" s="102">
        <v>46037</v>
      </c>
      <c r="M264" s="25" t="s">
        <v>357</v>
      </c>
      <c r="N264" s="103" t="s">
        <v>111</v>
      </c>
      <c r="O264" s="26">
        <v>277</v>
      </c>
      <c r="P264" s="26" t="s">
        <v>293</v>
      </c>
    </row>
    <row r="265" spans="1:16" x14ac:dyDescent="0.3">
      <c r="A265" s="24">
        <v>9</v>
      </c>
      <c r="B265" s="102">
        <v>46037</v>
      </c>
      <c r="C265" s="25" t="s">
        <v>356</v>
      </c>
      <c r="D265" s="103" t="s">
        <v>345</v>
      </c>
      <c r="E265" s="26">
        <v>5.22</v>
      </c>
      <c r="F265" s="26" t="s">
        <v>293</v>
      </c>
      <c r="K265" s="24">
        <v>9</v>
      </c>
      <c r="L265" s="102">
        <v>46037</v>
      </c>
      <c r="M265" s="25" t="s">
        <v>357</v>
      </c>
      <c r="N265" s="103" t="s">
        <v>345</v>
      </c>
      <c r="O265" s="26">
        <v>9.86</v>
      </c>
      <c r="P265" s="26" t="s">
        <v>293</v>
      </c>
    </row>
    <row r="266" spans="1:16" x14ac:dyDescent="0.3">
      <c r="A266" s="24">
        <v>9</v>
      </c>
      <c r="B266" s="102">
        <v>46037</v>
      </c>
      <c r="C266" s="25" t="s">
        <v>356</v>
      </c>
      <c r="D266" s="103" t="s">
        <v>347</v>
      </c>
      <c r="E266" s="26">
        <v>2.09</v>
      </c>
      <c r="F266" s="26" t="s">
        <v>293</v>
      </c>
      <c r="K266" s="24">
        <v>9</v>
      </c>
      <c r="L266" s="102">
        <v>46037</v>
      </c>
      <c r="M266" s="25" t="s">
        <v>357</v>
      </c>
      <c r="N266" s="103" t="s">
        <v>347</v>
      </c>
      <c r="O266" s="26">
        <v>4.5599999999999996</v>
      </c>
      <c r="P266" s="26" t="s">
        <v>293</v>
      </c>
    </row>
    <row r="267" spans="1:16" x14ac:dyDescent="0.3">
      <c r="A267" s="24">
        <v>9</v>
      </c>
      <c r="B267" s="102">
        <v>46037</v>
      </c>
      <c r="C267" s="25" t="s">
        <v>356</v>
      </c>
      <c r="D267" s="103" t="s">
        <v>128</v>
      </c>
      <c r="E267" s="26">
        <v>6.9</v>
      </c>
      <c r="F267" s="26" t="s">
        <v>293</v>
      </c>
      <c r="K267" s="24">
        <v>9</v>
      </c>
      <c r="L267" s="102">
        <v>46037</v>
      </c>
      <c r="M267" s="25" t="s">
        <v>357</v>
      </c>
      <c r="N267" s="103" t="s">
        <v>128</v>
      </c>
      <c r="O267" s="26">
        <v>4.5</v>
      </c>
      <c r="P267" s="26" t="s">
        <v>293</v>
      </c>
    </row>
    <row r="268" spans="1:16" x14ac:dyDescent="0.3">
      <c r="A268" s="24">
        <v>9</v>
      </c>
      <c r="B268" s="102">
        <v>46037</v>
      </c>
      <c r="C268" s="25" t="s">
        <v>356</v>
      </c>
      <c r="D268" s="103" t="s">
        <v>121</v>
      </c>
      <c r="E268" s="26">
        <v>163</v>
      </c>
      <c r="F268" s="26" t="s">
        <v>293</v>
      </c>
      <c r="K268" s="24">
        <v>9</v>
      </c>
      <c r="L268" s="102">
        <v>46037</v>
      </c>
      <c r="M268" s="25" t="s">
        <v>357</v>
      </c>
      <c r="N268" s="103" t="s">
        <v>121</v>
      </c>
      <c r="O268" s="26">
        <v>79</v>
      </c>
      <c r="P268" s="26" t="s">
        <v>293</v>
      </c>
    </row>
    <row r="269" spans="1:16" x14ac:dyDescent="0.3">
      <c r="A269" s="24">
        <v>9</v>
      </c>
      <c r="B269" s="102">
        <v>46037</v>
      </c>
      <c r="C269" s="25" t="s">
        <v>356</v>
      </c>
      <c r="D269" s="103" t="s">
        <v>115</v>
      </c>
      <c r="E269" s="26">
        <v>35</v>
      </c>
      <c r="F269" s="26" t="s">
        <v>293</v>
      </c>
      <c r="K269" s="24">
        <v>9</v>
      </c>
      <c r="L269" s="102">
        <v>46037</v>
      </c>
      <c r="M269" s="25" t="s">
        <v>357</v>
      </c>
      <c r="N269" s="103" t="s">
        <v>115</v>
      </c>
      <c r="O269" s="26">
        <v>101</v>
      </c>
      <c r="P269" s="26" t="s">
        <v>293</v>
      </c>
    </row>
    <row r="270" spans="1:16" x14ac:dyDescent="0.3">
      <c r="A270" s="24">
        <v>9</v>
      </c>
      <c r="B270" s="102">
        <v>46037</v>
      </c>
      <c r="C270" s="25" t="s">
        <v>356</v>
      </c>
      <c r="D270" s="103" t="s">
        <v>137</v>
      </c>
      <c r="E270" s="26">
        <v>74</v>
      </c>
      <c r="F270" s="26" t="s">
        <v>293</v>
      </c>
      <c r="K270" s="24">
        <v>9</v>
      </c>
      <c r="L270" s="102">
        <v>46037</v>
      </c>
      <c r="M270" s="25" t="s">
        <v>357</v>
      </c>
      <c r="N270" s="103" t="s">
        <v>137</v>
      </c>
      <c r="O270" s="26">
        <v>483</v>
      </c>
      <c r="P270" s="26" t="s">
        <v>293</v>
      </c>
    </row>
    <row r="271" spans="1:16" x14ac:dyDescent="0.3">
      <c r="A271" s="24">
        <v>9</v>
      </c>
      <c r="B271" s="102">
        <v>46037</v>
      </c>
      <c r="C271" s="25" t="s">
        <v>356</v>
      </c>
      <c r="D271" s="103" t="s">
        <v>348</v>
      </c>
      <c r="E271" s="26">
        <v>140</v>
      </c>
      <c r="F271" s="26" t="s">
        <v>293</v>
      </c>
      <c r="K271" s="24">
        <v>9</v>
      </c>
      <c r="L271" s="102">
        <v>46037</v>
      </c>
      <c r="M271" s="25" t="s">
        <v>357</v>
      </c>
      <c r="N271" s="103" t="s">
        <v>348</v>
      </c>
      <c r="O271" s="26">
        <v>434</v>
      </c>
      <c r="P271" s="26" t="s">
        <v>293</v>
      </c>
    </row>
    <row r="272" spans="1:16" x14ac:dyDescent="0.3">
      <c r="A272" s="24">
        <v>9</v>
      </c>
      <c r="B272" s="102">
        <v>46037</v>
      </c>
      <c r="C272" s="25" t="s">
        <v>356</v>
      </c>
      <c r="D272" s="103" t="s">
        <v>125</v>
      </c>
      <c r="E272" s="26">
        <v>114</v>
      </c>
      <c r="F272" s="26" t="s">
        <v>293</v>
      </c>
      <c r="K272" s="24">
        <v>9</v>
      </c>
      <c r="L272" s="102">
        <v>46037</v>
      </c>
      <c r="M272" s="25" t="s">
        <v>357</v>
      </c>
      <c r="N272" s="103" t="s">
        <v>125</v>
      </c>
      <c r="O272" s="26">
        <v>428</v>
      </c>
      <c r="P272" s="26" t="s">
        <v>293</v>
      </c>
    </row>
    <row r="273" spans="1:16" x14ac:dyDescent="0.3">
      <c r="A273" s="24">
        <v>9</v>
      </c>
      <c r="B273" s="102">
        <v>46037</v>
      </c>
      <c r="C273" s="25" t="s">
        <v>356</v>
      </c>
      <c r="D273" s="103" t="s">
        <v>126</v>
      </c>
      <c r="E273" s="26">
        <v>78</v>
      </c>
      <c r="F273" s="26" t="s">
        <v>293</v>
      </c>
      <c r="K273" s="24">
        <v>9</v>
      </c>
      <c r="L273" s="102">
        <v>46037</v>
      </c>
      <c r="M273" s="25" t="s">
        <v>357</v>
      </c>
      <c r="N273" s="103" t="s">
        <v>126</v>
      </c>
      <c r="O273" s="26">
        <v>150</v>
      </c>
      <c r="P273" s="26" t="s">
        <v>293</v>
      </c>
    </row>
    <row r="274" spans="1:16" x14ac:dyDescent="0.3">
      <c r="A274" s="24">
        <v>9</v>
      </c>
      <c r="B274" s="102">
        <v>46037</v>
      </c>
      <c r="C274" s="25" t="s">
        <v>356</v>
      </c>
      <c r="D274" s="103" t="s">
        <v>349</v>
      </c>
      <c r="E274" s="26">
        <v>146</v>
      </c>
      <c r="F274" s="26" t="s">
        <v>293</v>
      </c>
      <c r="K274" s="24">
        <v>9</v>
      </c>
      <c r="L274" s="102">
        <v>46037</v>
      </c>
      <c r="M274" s="25" t="s">
        <v>357</v>
      </c>
      <c r="N274" s="103" t="s">
        <v>349</v>
      </c>
      <c r="O274" s="26">
        <v>369</v>
      </c>
      <c r="P274" s="26" t="s">
        <v>293</v>
      </c>
    </row>
    <row r="275" spans="1:16" x14ac:dyDescent="0.3">
      <c r="A275" s="24">
        <v>9</v>
      </c>
      <c r="B275" s="102">
        <v>46037</v>
      </c>
      <c r="C275" s="25" t="s">
        <v>356</v>
      </c>
      <c r="D275" s="103" t="s">
        <v>350</v>
      </c>
      <c r="E275" s="26">
        <v>59</v>
      </c>
      <c r="F275" s="26" t="s">
        <v>293</v>
      </c>
      <c r="K275" s="24">
        <v>9</v>
      </c>
      <c r="L275" s="102">
        <v>46037</v>
      </c>
      <c r="M275" s="25" t="s">
        <v>357</v>
      </c>
      <c r="N275" s="103" t="s">
        <v>350</v>
      </c>
      <c r="O275" s="26">
        <v>83</v>
      </c>
      <c r="P275" s="26" t="s">
        <v>293</v>
      </c>
    </row>
    <row r="276" spans="1:16" x14ac:dyDescent="0.3">
      <c r="A276" s="24">
        <v>9</v>
      </c>
      <c r="B276" s="102">
        <v>46037</v>
      </c>
      <c r="C276" s="25" t="s">
        <v>356</v>
      </c>
      <c r="D276" s="103" t="s">
        <v>122</v>
      </c>
      <c r="E276" s="26">
        <v>45</v>
      </c>
      <c r="F276" s="26" t="s">
        <v>293</v>
      </c>
      <c r="K276" s="24">
        <v>9</v>
      </c>
      <c r="L276" s="102">
        <v>46037</v>
      </c>
      <c r="M276" s="25" t="s">
        <v>357</v>
      </c>
      <c r="N276" s="103" t="s">
        <v>122</v>
      </c>
      <c r="O276" s="26">
        <v>223</v>
      </c>
      <c r="P276" s="26" t="s">
        <v>293</v>
      </c>
    </row>
    <row r="277" spans="1:16" x14ac:dyDescent="0.3">
      <c r="A277" s="24">
        <v>9</v>
      </c>
      <c r="B277" s="102">
        <v>46037</v>
      </c>
      <c r="C277" s="25" t="s">
        <v>356</v>
      </c>
      <c r="D277" s="103" t="s">
        <v>124</v>
      </c>
      <c r="E277" s="26">
        <v>30</v>
      </c>
      <c r="F277" s="26" t="s">
        <v>293</v>
      </c>
      <c r="K277" s="24">
        <v>9</v>
      </c>
      <c r="L277" s="102">
        <v>46037</v>
      </c>
      <c r="M277" s="25" t="s">
        <v>357</v>
      </c>
      <c r="N277" s="103" t="s">
        <v>124</v>
      </c>
      <c r="O277" s="26">
        <v>107</v>
      </c>
      <c r="P277" s="26" t="s">
        <v>293</v>
      </c>
    </row>
    <row r="278" spans="1:16" x14ac:dyDescent="0.3">
      <c r="A278" s="24">
        <v>9</v>
      </c>
      <c r="B278" s="102">
        <v>46037</v>
      </c>
      <c r="C278" s="25" t="s">
        <v>356</v>
      </c>
      <c r="D278" s="103" t="s">
        <v>351</v>
      </c>
      <c r="E278" s="26">
        <v>1.01</v>
      </c>
      <c r="F278" s="26" t="s">
        <v>293</v>
      </c>
      <c r="K278" s="24">
        <v>9</v>
      </c>
      <c r="L278" s="102">
        <v>46037</v>
      </c>
      <c r="M278" s="25" t="s">
        <v>357</v>
      </c>
      <c r="N278" s="103" t="s">
        <v>351</v>
      </c>
      <c r="O278" s="26">
        <v>3.84</v>
      </c>
      <c r="P278" s="26" t="s">
        <v>293</v>
      </c>
    </row>
    <row r="279" spans="1:16" x14ac:dyDescent="0.3">
      <c r="A279" s="24">
        <v>9</v>
      </c>
      <c r="B279" s="102">
        <v>46037</v>
      </c>
      <c r="C279" s="25" t="s">
        <v>356</v>
      </c>
      <c r="D279" s="103" t="s">
        <v>353</v>
      </c>
      <c r="E279" s="26">
        <v>32.9</v>
      </c>
      <c r="F279" s="26" t="s">
        <v>293</v>
      </c>
      <c r="K279" s="24">
        <v>9</v>
      </c>
      <c r="L279" s="102">
        <v>46037</v>
      </c>
      <c r="M279" s="25" t="s">
        <v>357</v>
      </c>
      <c r="N279" s="103" t="s">
        <v>353</v>
      </c>
      <c r="O279" s="26">
        <v>16.2</v>
      </c>
      <c r="P279" s="26" t="s">
        <v>293</v>
      </c>
    </row>
    <row r="280" spans="1:16" x14ac:dyDescent="0.3">
      <c r="A280" s="24">
        <v>9</v>
      </c>
      <c r="B280" s="102">
        <v>46037</v>
      </c>
      <c r="C280" s="25" t="s">
        <v>356</v>
      </c>
      <c r="D280" s="103" t="s">
        <v>133</v>
      </c>
      <c r="E280" s="26">
        <v>145</v>
      </c>
      <c r="F280" s="26" t="s">
        <v>293</v>
      </c>
      <c r="K280" s="24">
        <v>9</v>
      </c>
      <c r="L280" s="102">
        <v>46037</v>
      </c>
      <c r="M280" s="25" t="s">
        <v>357</v>
      </c>
      <c r="N280" s="103" t="s">
        <v>133</v>
      </c>
      <c r="O280" s="26">
        <v>121</v>
      </c>
      <c r="P280" s="26" t="s">
        <v>293</v>
      </c>
    </row>
    <row r="281" spans="1:16" x14ac:dyDescent="0.3">
      <c r="A281" s="24">
        <v>9</v>
      </c>
      <c r="B281" s="102">
        <v>46037</v>
      </c>
      <c r="C281" s="25" t="s">
        <v>356</v>
      </c>
      <c r="D281" s="103" t="s">
        <v>135</v>
      </c>
      <c r="E281" s="26">
        <v>3.7</v>
      </c>
      <c r="F281" s="26" t="s">
        <v>293</v>
      </c>
      <c r="K281" s="24">
        <v>9</v>
      </c>
      <c r="L281" s="102">
        <v>46037</v>
      </c>
      <c r="M281" s="25" t="s">
        <v>357</v>
      </c>
      <c r="N281" s="103" t="s">
        <v>135</v>
      </c>
      <c r="O281" s="26">
        <v>6.3</v>
      </c>
      <c r="P281" s="26" t="s">
        <v>293</v>
      </c>
    </row>
    <row r="282" spans="1:16" x14ac:dyDescent="0.3">
      <c r="A282" s="24">
        <v>9</v>
      </c>
      <c r="B282" s="102">
        <v>46037</v>
      </c>
      <c r="C282" s="25" t="s">
        <v>356</v>
      </c>
      <c r="D282" s="103" t="s">
        <v>136</v>
      </c>
      <c r="E282" s="26">
        <v>119</v>
      </c>
      <c r="F282" s="26" t="s">
        <v>293</v>
      </c>
      <c r="K282" s="24">
        <v>9</v>
      </c>
      <c r="L282" s="102">
        <v>46037</v>
      </c>
      <c r="M282" s="25" t="s">
        <v>357</v>
      </c>
      <c r="N282" s="103" t="s">
        <v>136</v>
      </c>
      <c r="O282" s="26">
        <v>96</v>
      </c>
      <c r="P282" s="26" t="s">
        <v>293</v>
      </c>
    </row>
    <row r="283" spans="1:16" x14ac:dyDescent="0.3">
      <c r="A283" s="24">
        <v>10</v>
      </c>
      <c r="B283" s="102">
        <v>46038</v>
      </c>
      <c r="C283" s="25" t="s">
        <v>356</v>
      </c>
      <c r="D283" s="103" t="s">
        <v>339</v>
      </c>
      <c r="E283" s="26">
        <v>4.59</v>
      </c>
      <c r="F283" s="26" t="s">
        <v>293</v>
      </c>
      <c r="K283" s="24">
        <v>10</v>
      </c>
      <c r="L283" s="102">
        <v>46038</v>
      </c>
      <c r="M283" s="25" t="s">
        <v>357</v>
      </c>
      <c r="N283" s="103" t="s">
        <v>339</v>
      </c>
      <c r="O283" s="26">
        <v>1.1499999999999999</v>
      </c>
      <c r="P283" s="26" t="s">
        <v>293</v>
      </c>
    </row>
    <row r="284" spans="1:16" x14ac:dyDescent="0.3">
      <c r="A284" s="24">
        <v>10</v>
      </c>
      <c r="B284" s="102">
        <v>46038</v>
      </c>
      <c r="C284" s="25" t="s">
        <v>356</v>
      </c>
      <c r="D284" s="103" t="s">
        <v>118</v>
      </c>
      <c r="E284" s="26">
        <v>4.5999999999999996</v>
      </c>
      <c r="F284" s="26" t="s">
        <v>293</v>
      </c>
      <c r="K284" s="24">
        <v>10</v>
      </c>
      <c r="L284" s="102">
        <v>46038</v>
      </c>
      <c r="M284" s="25" t="s">
        <v>357</v>
      </c>
      <c r="N284" s="103" t="s">
        <v>118</v>
      </c>
      <c r="O284" s="26">
        <v>9.5</v>
      </c>
      <c r="P284" s="26" t="s">
        <v>293</v>
      </c>
    </row>
    <row r="285" spans="1:16" x14ac:dyDescent="0.3">
      <c r="A285" s="24">
        <v>10</v>
      </c>
      <c r="B285" s="102">
        <v>46038</v>
      </c>
      <c r="C285" s="25" t="s">
        <v>356</v>
      </c>
      <c r="D285" s="103" t="s">
        <v>130</v>
      </c>
      <c r="E285" s="26">
        <v>4.0330000000000004</v>
      </c>
      <c r="F285" s="26" t="s">
        <v>293</v>
      </c>
      <c r="K285" s="24">
        <v>10</v>
      </c>
      <c r="L285" s="102">
        <v>46038</v>
      </c>
      <c r="M285" s="25" t="s">
        <v>357</v>
      </c>
      <c r="N285" s="103" t="s">
        <v>130</v>
      </c>
      <c r="O285" s="26">
        <v>2.5139999999999998</v>
      </c>
      <c r="P285" s="26" t="s">
        <v>293</v>
      </c>
    </row>
    <row r="286" spans="1:16" x14ac:dyDescent="0.3">
      <c r="A286" s="24">
        <v>10</v>
      </c>
      <c r="B286" s="102">
        <v>46038</v>
      </c>
      <c r="C286" s="25" t="s">
        <v>356</v>
      </c>
      <c r="D286" s="103" t="s">
        <v>341</v>
      </c>
      <c r="E286" s="26">
        <v>0.28999999999999998</v>
      </c>
      <c r="F286" s="26" t="s">
        <v>293</v>
      </c>
      <c r="K286" s="24">
        <v>10</v>
      </c>
      <c r="L286" s="102">
        <v>46038</v>
      </c>
      <c r="M286" s="25" t="s">
        <v>357</v>
      </c>
      <c r="N286" s="103" t="s">
        <v>341</v>
      </c>
      <c r="O286" s="26">
        <v>1.0960000000000001</v>
      </c>
      <c r="P286" s="26" t="s">
        <v>293</v>
      </c>
    </row>
    <row r="287" spans="1:16" x14ac:dyDescent="0.3">
      <c r="A287" s="24">
        <v>10</v>
      </c>
      <c r="B287" s="102">
        <v>46038</v>
      </c>
      <c r="C287" s="25" t="s">
        <v>356</v>
      </c>
      <c r="D287" s="103" t="s">
        <v>127</v>
      </c>
      <c r="E287" s="26">
        <v>1.1180000000000001</v>
      </c>
      <c r="F287" s="26" t="s">
        <v>293</v>
      </c>
      <c r="K287" s="24">
        <v>10</v>
      </c>
      <c r="L287" s="102">
        <v>46038</v>
      </c>
      <c r="M287" s="25" t="s">
        <v>357</v>
      </c>
      <c r="N287" s="103" t="s">
        <v>127</v>
      </c>
      <c r="O287" s="26">
        <v>4.4279999999999999</v>
      </c>
      <c r="P287" s="26" t="s">
        <v>293</v>
      </c>
    </row>
    <row r="288" spans="1:16" x14ac:dyDescent="0.3">
      <c r="A288" s="24">
        <v>10</v>
      </c>
      <c r="B288" s="102">
        <v>46038</v>
      </c>
      <c r="C288" s="25" t="s">
        <v>356</v>
      </c>
      <c r="D288" s="103" t="s">
        <v>131</v>
      </c>
      <c r="E288" s="26">
        <v>8.6</v>
      </c>
      <c r="F288" s="26" t="s">
        <v>293</v>
      </c>
      <c r="K288" s="24">
        <v>10</v>
      </c>
      <c r="L288" s="102">
        <v>46038</v>
      </c>
      <c r="M288" s="25" t="s">
        <v>357</v>
      </c>
      <c r="N288" s="103" t="s">
        <v>131</v>
      </c>
      <c r="O288" s="26">
        <v>12</v>
      </c>
      <c r="P288" s="26" t="s">
        <v>293</v>
      </c>
    </row>
    <row r="289" spans="1:16" x14ac:dyDescent="0.3">
      <c r="A289" s="24">
        <v>10</v>
      </c>
      <c r="B289" s="102">
        <v>46038</v>
      </c>
      <c r="C289" s="25" t="s">
        <v>356</v>
      </c>
      <c r="D289" s="103" t="s">
        <v>342</v>
      </c>
      <c r="E289" s="26">
        <v>324</v>
      </c>
      <c r="F289" s="26" t="s">
        <v>293</v>
      </c>
      <c r="K289" s="24">
        <v>10</v>
      </c>
      <c r="L289" s="102">
        <v>46038</v>
      </c>
      <c r="M289" s="25" t="s">
        <v>357</v>
      </c>
      <c r="N289" s="103" t="s">
        <v>342</v>
      </c>
      <c r="O289" s="26">
        <v>194</v>
      </c>
      <c r="P289" s="26" t="s">
        <v>293</v>
      </c>
    </row>
    <row r="290" spans="1:16" x14ac:dyDescent="0.3">
      <c r="A290" s="24">
        <v>10</v>
      </c>
      <c r="B290" s="102">
        <v>46038</v>
      </c>
      <c r="C290" s="25" t="s">
        <v>356</v>
      </c>
      <c r="D290" s="103" t="s">
        <v>119</v>
      </c>
      <c r="E290" s="26">
        <v>233</v>
      </c>
      <c r="F290" s="26" t="s">
        <v>293</v>
      </c>
      <c r="K290" s="24">
        <v>10</v>
      </c>
      <c r="L290" s="102">
        <v>46038</v>
      </c>
      <c r="M290" s="25" t="s">
        <v>357</v>
      </c>
      <c r="N290" s="103" t="s">
        <v>119</v>
      </c>
      <c r="O290" s="26">
        <v>84</v>
      </c>
      <c r="P290" s="26" t="s">
        <v>293</v>
      </c>
    </row>
    <row r="291" spans="1:16" x14ac:dyDescent="0.3">
      <c r="A291" s="24">
        <v>10</v>
      </c>
      <c r="B291" s="102">
        <v>46038</v>
      </c>
      <c r="C291" s="25" t="s">
        <v>356</v>
      </c>
      <c r="D291" s="103" t="s">
        <v>120</v>
      </c>
      <c r="E291" s="26">
        <v>78</v>
      </c>
      <c r="F291" s="26" t="s">
        <v>293</v>
      </c>
      <c r="K291" s="24">
        <v>10</v>
      </c>
      <c r="L291" s="102">
        <v>46038</v>
      </c>
      <c r="M291" s="25" t="s">
        <v>357</v>
      </c>
      <c r="N291" s="103" t="s">
        <v>120</v>
      </c>
      <c r="O291" s="26">
        <v>26</v>
      </c>
      <c r="P291" s="26" t="s">
        <v>293</v>
      </c>
    </row>
    <row r="292" spans="1:16" x14ac:dyDescent="0.3">
      <c r="A292" s="24">
        <v>10</v>
      </c>
      <c r="B292" s="102">
        <v>46038</v>
      </c>
      <c r="C292" s="25" t="s">
        <v>356</v>
      </c>
      <c r="D292" s="103" t="s">
        <v>117</v>
      </c>
      <c r="E292" s="26">
        <v>2.58</v>
      </c>
      <c r="F292" s="26" t="s">
        <v>293</v>
      </c>
      <c r="K292" s="24">
        <v>10</v>
      </c>
      <c r="L292" s="102">
        <v>46038</v>
      </c>
      <c r="M292" s="25" t="s">
        <v>357</v>
      </c>
      <c r="N292" s="103" t="s">
        <v>117</v>
      </c>
      <c r="O292" s="26">
        <v>6.09</v>
      </c>
      <c r="P292" s="26" t="s">
        <v>293</v>
      </c>
    </row>
    <row r="293" spans="1:16" x14ac:dyDescent="0.3">
      <c r="A293" s="24">
        <v>10</v>
      </c>
      <c r="B293" s="102">
        <v>46038</v>
      </c>
      <c r="C293" s="25" t="s">
        <v>356</v>
      </c>
      <c r="D293" s="103" t="s">
        <v>344</v>
      </c>
      <c r="E293" s="26">
        <v>229</v>
      </c>
      <c r="F293" s="26" t="s">
        <v>293</v>
      </c>
      <c r="K293" s="24">
        <v>10</v>
      </c>
      <c r="L293" s="102">
        <v>46038</v>
      </c>
      <c r="M293" s="25" t="s">
        <v>357</v>
      </c>
      <c r="N293" s="103" t="s">
        <v>344</v>
      </c>
      <c r="O293" s="26">
        <v>68</v>
      </c>
      <c r="P293" s="26" t="s">
        <v>293</v>
      </c>
    </row>
    <row r="294" spans="1:16" x14ac:dyDescent="0.3">
      <c r="A294" s="24">
        <v>10</v>
      </c>
      <c r="B294" s="102">
        <v>46038</v>
      </c>
      <c r="C294" s="25" t="s">
        <v>356</v>
      </c>
      <c r="D294" s="103" t="s">
        <v>132</v>
      </c>
      <c r="E294" s="26">
        <v>3.58</v>
      </c>
      <c r="F294" s="26" t="s">
        <v>293</v>
      </c>
      <c r="K294" s="24">
        <v>10</v>
      </c>
      <c r="L294" s="102">
        <v>46038</v>
      </c>
      <c r="M294" s="25" t="s">
        <v>357</v>
      </c>
      <c r="N294" s="103" t="s">
        <v>132</v>
      </c>
      <c r="O294" s="26">
        <v>7.33</v>
      </c>
      <c r="P294" s="26" t="s">
        <v>293</v>
      </c>
    </row>
    <row r="295" spans="1:16" x14ac:dyDescent="0.3">
      <c r="A295" s="24">
        <v>10</v>
      </c>
      <c r="B295" s="102">
        <v>46038</v>
      </c>
      <c r="C295" s="25" t="s">
        <v>356</v>
      </c>
      <c r="D295" s="103" t="s">
        <v>111</v>
      </c>
      <c r="E295" s="26">
        <v>87</v>
      </c>
      <c r="F295" s="26" t="s">
        <v>293</v>
      </c>
      <c r="K295" s="24">
        <v>10</v>
      </c>
      <c r="L295" s="102">
        <v>46038</v>
      </c>
      <c r="M295" s="25" t="s">
        <v>357</v>
      </c>
      <c r="N295" s="103" t="s">
        <v>111</v>
      </c>
      <c r="O295" s="26">
        <v>276</v>
      </c>
      <c r="P295" s="26" t="s">
        <v>293</v>
      </c>
    </row>
    <row r="296" spans="1:16" x14ac:dyDescent="0.3">
      <c r="A296" s="24">
        <v>10</v>
      </c>
      <c r="B296" s="102">
        <v>46038</v>
      </c>
      <c r="C296" s="25" t="s">
        <v>356</v>
      </c>
      <c r="D296" s="103" t="s">
        <v>345</v>
      </c>
      <c r="E296" s="26">
        <v>5.24</v>
      </c>
      <c r="F296" s="26" t="s">
        <v>293</v>
      </c>
      <c r="K296" s="24">
        <v>10</v>
      </c>
      <c r="L296" s="102">
        <v>46038</v>
      </c>
      <c r="M296" s="25" t="s">
        <v>357</v>
      </c>
      <c r="N296" s="103" t="s">
        <v>345</v>
      </c>
      <c r="O296" s="26">
        <v>9.7799999999999994</v>
      </c>
      <c r="P296" s="26" t="s">
        <v>293</v>
      </c>
    </row>
    <row r="297" spans="1:16" x14ac:dyDescent="0.3">
      <c r="A297" s="24">
        <v>10</v>
      </c>
      <c r="B297" s="102">
        <v>46038</v>
      </c>
      <c r="C297" s="25" t="s">
        <v>356</v>
      </c>
      <c r="D297" s="103" t="s">
        <v>347</v>
      </c>
      <c r="E297" s="26">
        <v>2.1</v>
      </c>
      <c r="F297" s="26" t="s">
        <v>293</v>
      </c>
      <c r="K297" s="24">
        <v>10</v>
      </c>
      <c r="L297" s="102">
        <v>46038</v>
      </c>
      <c r="M297" s="25" t="s">
        <v>357</v>
      </c>
      <c r="N297" s="103" t="s">
        <v>347</v>
      </c>
      <c r="O297" s="26">
        <v>4.5</v>
      </c>
      <c r="P297" s="26" t="s">
        <v>293</v>
      </c>
    </row>
    <row r="298" spans="1:16" x14ac:dyDescent="0.3">
      <c r="A298" s="24">
        <v>10</v>
      </c>
      <c r="B298" s="102">
        <v>46038</v>
      </c>
      <c r="C298" s="25" t="s">
        <v>356</v>
      </c>
      <c r="D298" s="103" t="s">
        <v>128</v>
      </c>
      <c r="E298" s="26">
        <v>6.9</v>
      </c>
      <c r="F298" s="26" t="s">
        <v>293</v>
      </c>
      <c r="K298" s="24">
        <v>10</v>
      </c>
      <c r="L298" s="102">
        <v>46038</v>
      </c>
      <c r="M298" s="25" t="s">
        <v>357</v>
      </c>
      <c r="N298" s="103" t="s">
        <v>128</v>
      </c>
      <c r="O298" s="26">
        <v>4.5</v>
      </c>
      <c r="P298" s="26" t="s">
        <v>293</v>
      </c>
    </row>
    <row r="299" spans="1:16" x14ac:dyDescent="0.3">
      <c r="A299" s="24">
        <v>10</v>
      </c>
      <c r="B299" s="102">
        <v>46038</v>
      </c>
      <c r="C299" s="25" t="s">
        <v>356</v>
      </c>
      <c r="D299" s="103" t="s">
        <v>121</v>
      </c>
      <c r="E299" s="26">
        <v>160</v>
      </c>
      <c r="F299" s="26" t="s">
        <v>293</v>
      </c>
      <c r="K299" s="24">
        <v>10</v>
      </c>
      <c r="L299" s="102">
        <v>46038</v>
      </c>
      <c r="M299" s="25" t="s">
        <v>357</v>
      </c>
      <c r="N299" s="103" t="s">
        <v>121</v>
      </c>
      <c r="O299" s="26">
        <v>80</v>
      </c>
      <c r="P299" s="26" t="s">
        <v>293</v>
      </c>
    </row>
    <row r="300" spans="1:16" x14ac:dyDescent="0.3">
      <c r="A300" s="24">
        <v>10</v>
      </c>
      <c r="B300" s="102">
        <v>46038</v>
      </c>
      <c r="C300" s="25" t="s">
        <v>356</v>
      </c>
      <c r="D300" s="103" t="s">
        <v>115</v>
      </c>
      <c r="E300" s="26">
        <v>34</v>
      </c>
      <c r="F300" s="26" t="s">
        <v>293</v>
      </c>
      <c r="K300" s="24">
        <v>10</v>
      </c>
      <c r="L300" s="102">
        <v>46038</v>
      </c>
      <c r="M300" s="25" t="s">
        <v>357</v>
      </c>
      <c r="N300" s="103" t="s">
        <v>115</v>
      </c>
      <c r="O300" s="26">
        <v>98</v>
      </c>
      <c r="P300" s="26" t="s">
        <v>293</v>
      </c>
    </row>
    <row r="301" spans="1:16" x14ac:dyDescent="0.3">
      <c r="A301" s="24">
        <v>10</v>
      </c>
      <c r="B301" s="102">
        <v>46038</v>
      </c>
      <c r="C301" s="25" t="s">
        <v>356</v>
      </c>
      <c r="D301" s="103" t="s">
        <v>137</v>
      </c>
      <c r="E301" s="26">
        <v>74</v>
      </c>
      <c r="F301" s="26" t="s">
        <v>293</v>
      </c>
      <c r="K301" s="24">
        <v>10</v>
      </c>
      <c r="L301" s="102">
        <v>46038</v>
      </c>
      <c r="M301" s="25" t="s">
        <v>357</v>
      </c>
      <c r="N301" s="103" t="s">
        <v>137</v>
      </c>
      <c r="O301" s="26">
        <v>481</v>
      </c>
      <c r="P301" s="26" t="s">
        <v>293</v>
      </c>
    </row>
    <row r="302" spans="1:16" x14ac:dyDescent="0.3">
      <c r="A302" s="24">
        <v>10</v>
      </c>
      <c r="B302" s="102">
        <v>46038</v>
      </c>
      <c r="C302" s="25" t="s">
        <v>356</v>
      </c>
      <c r="D302" s="103" t="s">
        <v>348</v>
      </c>
      <c r="E302" s="26">
        <v>141</v>
      </c>
      <c r="F302" s="26" t="s">
        <v>293</v>
      </c>
      <c r="K302" s="24">
        <v>10</v>
      </c>
      <c r="L302" s="102">
        <v>46038</v>
      </c>
      <c r="M302" s="25" t="s">
        <v>357</v>
      </c>
      <c r="N302" s="103" t="s">
        <v>348</v>
      </c>
      <c r="O302" s="26">
        <v>430</v>
      </c>
      <c r="P302" s="26" t="s">
        <v>293</v>
      </c>
    </row>
    <row r="303" spans="1:16" x14ac:dyDescent="0.3">
      <c r="A303" s="24">
        <v>10</v>
      </c>
      <c r="B303" s="102">
        <v>46038</v>
      </c>
      <c r="C303" s="25" t="s">
        <v>356</v>
      </c>
      <c r="D303" s="103" t="s">
        <v>125</v>
      </c>
      <c r="E303" s="26">
        <v>111</v>
      </c>
      <c r="F303" s="26" t="s">
        <v>293</v>
      </c>
      <c r="K303" s="24">
        <v>10</v>
      </c>
      <c r="L303" s="102">
        <v>46038</v>
      </c>
      <c r="M303" s="25" t="s">
        <v>357</v>
      </c>
      <c r="N303" s="103" t="s">
        <v>125</v>
      </c>
      <c r="O303" s="26">
        <v>410</v>
      </c>
      <c r="P303" s="26" t="s">
        <v>293</v>
      </c>
    </row>
    <row r="304" spans="1:16" x14ac:dyDescent="0.3">
      <c r="A304" s="24">
        <v>10</v>
      </c>
      <c r="B304" s="102">
        <v>46038</v>
      </c>
      <c r="C304" s="25" t="s">
        <v>356</v>
      </c>
      <c r="D304" s="103" t="s">
        <v>126</v>
      </c>
      <c r="E304" s="26">
        <v>79</v>
      </c>
      <c r="F304" s="26" t="s">
        <v>293</v>
      </c>
      <c r="K304" s="24">
        <v>10</v>
      </c>
      <c r="L304" s="102">
        <v>46038</v>
      </c>
      <c r="M304" s="25" t="s">
        <v>357</v>
      </c>
      <c r="N304" s="103" t="s">
        <v>126</v>
      </c>
      <c r="O304" s="26">
        <v>151</v>
      </c>
      <c r="P304" s="26" t="s">
        <v>293</v>
      </c>
    </row>
    <row r="305" spans="1:16" x14ac:dyDescent="0.3">
      <c r="A305" s="24">
        <v>10</v>
      </c>
      <c r="B305" s="102">
        <v>46038</v>
      </c>
      <c r="C305" s="25" t="s">
        <v>356</v>
      </c>
      <c r="D305" s="103" t="s">
        <v>349</v>
      </c>
      <c r="E305" s="26">
        <v>160</v>
      </c>
      <c r="F305" s="26" t="s">
        <v>293</v>
      </c>
      <c r="K305" s="24">
        <v>10</v>
      </c>
      <c r="L305" s="102">
        <v>46038</v>
      </c>
      <c r="M305" s="25" t="s">
        <v>357</v>
      </c>
      <c r="N305" s="103" t="s">
        <v>349</v>
      </c>
      <c r="O305" s="26">
        <v>383</v>
      </c>
      <c r="P305" s="26" t="s">
        <v>293</v>
      </c>
    </row>
    <row r="306" spans="1:16" x14ac:dyDescent="0.3">
      <c r="A306" s="24">
        <v>10</v>
      </c>
      <c r="B306" s="102">
        <v>46038</v>
      </c>
      <c r="C306" s="25" t="s">
        <v>356</v>
      </c>
      <c r="D306" s="103" t="s">
        <v>350</v>
      </c>
      <c r="E306" s="26">
        <v>60</v>
      </c>
      <c r="F306" s="26" t="s">
        <v>293</v>
      </c>
      <c r="K306" s="24">
        <v>10</v>
      </c>
      <c r="L306" s="102">
        <v>46038</v>
      </c>
      <c r="M306" s="25" t="s">
        <v>357</v>
      </c>
      <c r="N306" s="103" t="s">
        <v>350</v>
      </c>
      <c r="O306" s="26">
        <v>85</v>
      </c>
      <c r="P306" s="26" t="s">
        <v>293</v>
      </c>
    </row>
    <row r="307" spans="1:16" x14ac:dyDescent="0.3">
      <c r="A307" s="24">
        <v>10</v>
      </c>
      <c r="B307" s="102">
        <v>46038</v>
      </c>
      <c r="C307" s="25" t="s">
        <v>356</v>
      </c>
      <c r="D307" s="103" t="s">
        <v>122</v>
      </c>
      <c r="E307" s="26">
        <v>48</v>
      </c>
      <c r="F307" s="26" t="s">
        <v>293</v>
      </c>
      <c r="K307" s="24">
        <v>10</v>
      </c>
      <c r="L307" s="102">
        <v>46038</v>
      </c>
      <c r="M307" s="25" t="s">
        <v>357</v>
      </c>
      <c r="N307" s="103" t="s">
        <v>122</v>
      </c>
      <c r="O307" s="26">
        <v>220</v>
      </c>
      <c r="P307" s="26" t="s">
        <v>293</v>
      </c>
    </row>
    <row r="308" spans="1:16" x14ac:dyDescent="0.3">
      <c r="A308" s="24">
        <v>10</v>
      </c>
      <c r="B308" s="102">
        <v>46038</v>
      </c>
      <c r="C308" s="25" t="s">
        <v>356</v>
      </c>
      <c r="D308" s="103" t="s">
        <v>124</v>
      </c>
      <c r="E308" s="26">
        <v>31</v>
      </c>
      <c r="F308" s="26" t="s">
        <v>293</v>
      </c>
      <c r="K308" s="24">
        <v>10</v>
      </c>
      <c r="L308" s="102">
        <v>46038</v>
      </c>
      <c r="M308" s="25" t="s">
        <v>357</v>
      </c>
      <c r="N308" s="103" t="s">
        <v>124</v>
      </c>
      <c r="O308" s="26">
        <v>107</v>
      </c>
      <c r="P308" s="26" t="s">
        <v>293</v>
      </c>
    </row>
    <row r="309" spans="1:16" x14ac:dyDescent="0.3">
      <c r="A309" s="24">
        <v>10</v>
      </c>
      <c r="B309" s="102">
        <v>46038</v>
      </c>
      <c r="C309" s="25" t="s">
        <v>356</v>
      </c>
      <c r="D309" s="103" t="s">
        <v>351</v>
      </c>
      <c r="E309" s="26">
        <v>1</v>
      </c>
      <c r="F309" s="26" t="s">
        <v>293</v>
      </c>
      <c r="K309" s="24">
        <v>10</v>
      </c>
      <c r="L309" s="102">
        <v>46038</v>
      </c>
      <c r="M309" s="25" t="s">
        <v>357</v>
      </c>
      <c r="N309" s="103" t="s">
        <v>351</v>
      </c>
      <c r="O309" s="26">
        <v>3.64</v>
      </c>
      <c r="P309" s="26" t="s">
        <v>293</v>
      </c>
    </row>
    <row r="310" spans="1:16" x14ac:dyDescent="0.3">
      <c r="A310" s="24">
        <v>10</v>
      </c>
      <c r="B310" s="102">
        <v>46038</v>
      </c>
      <c r="C310" s="25" t="s">
        <v>356</v>
      </c>
      <c r="D310" s="103" t="s">
        <v>353</v>
      </c>
      <c r="E310" s="26">
        <v>33.700000000000003</v>
      </c>
      <c r="F310" s="26" t="s">
        <v>293</v>
      </c>
      <c r="K310" s="24">
        <v>10</v>
      </c>
      <c r="L310" s="102">
        <v>46038</v>
      </c>
      <c r="M310" s="25" t="s">
        <v>357</v>
      </c>
      <c r="N310" s="103" t="s">
        <v>353</v>
      </c>
      <c r="O310" s="26">
        <v>17.2</v>
      </c>
      <c r="P310" s="26" t="s">
        <v>293</v>
      </c>
    </row>
    <row r="311" spans="1:16" x14ac:dyDescent="0.3">
      <c r="A311" s="24">
        <v>10</v>
      </c>
      <c r="B311" s="102">
        <v>46038</v>
      </c>
      <c r="C311" s="25" t="s">
        <v>356</v>
      </c>
      <c r="D311" s="103" t="s">
        <v>133</v>
      </c>
      <c r="E311" s="26">
        <v>140</v>
      </c>
      <c r="F311" s="26" t="s">
        <v>293</v>
      </c>
      <c r="K311" s="24">
        <v>10</v>
      </c>
      <c r="L311" s="102">
        <v>46038</v>
      </c>
      <c r="M311" s="25" t="s">
        <v>357</v>
      </c>
      <c r="N311" s="103" t="s">
        <v>133</v>
      </c>
      <c r="O311" s="26">
        <v>122</v>
      </c>
      <c r="P311" s="26" t="s">
        <v>293</v>
      </c>
    </row>
    <row r="312" spans="1:16" x14ac:dyDescent="0.3">
      <c r="A312" s="24">
        <v>10</v>
      </c>
      <c r="B312" s="102">
        <v>46038</v>
      </c>
      <c r="C312" s="25" t="s">
        <v>356</v>
      </c>
      <c r="D312" s="103" t="s">
        <v>135</v>
      </c>
      <c r="E312" s="26">
        <v>3.8</v>
      </c>
      <c r="F312" s="26" t="s">
        <v>293</v>
      </c>
      <c r="K312" s="24">
        <v>10</v>
      </c>
      <c r="L312" s="102">
        <v>46038</v>
      </c>
      <c r="M312" s="25" t="s">
        <v>357</v>
      </c>
      <c r="N312" s="103" t="s">
        <v>135</v>
      </c>
      <c r="O312" s="26">
        <v>6.2</v>
      </c>
      <c r="P312" s="26" t="s">
        <v>293</v>
      </c>
    </row>
    <row r="313" spans="1:16" x14ac:dyDescent="0.3">
      <c r="A313" s="24">
        <v>10</v>
      </c>
      <c r="B313" s="102">
        <v>46038</v>
      </c>
      <c r="C313" s="25" t="s">
        <v>356</v>
      </c>
      <c r="D313" s="103" t="s">
        <v>136</v>
      </c>
      <c r="E313" s="26">
        <v>120</v>
      </c>
      <c r="F313" s="26" t="s">
        <v>293</v>
      </c>
      <c r="K313" s="24">
        <v>10</v>
      </c>
      <c r="L313" s="102">
        <v>46038</v>
      </c>
      <c r="M313" s="25" t="s">
        <v>357</v>
      </c>
      <c r="N313" s="103" t="s">
        <v>136</v>
      </c>
      <c r="O313" s="26">
        <v>94</v>
      </c>
      <c r="P313" s="26" t="s">
        <v>293</v>
      </c>
    </row>
    <row r="314" spans="1:16" x14ac:dyDescent="0.3">
      <c r="A314" s="24">
        <v>11</v>
      </c>
      <c r="B314" s="102">
        <v>46043</v>
      </c>
      <c r="C314" s="25" t="s">
        <v>356</v>
      </c>
      <c r="D314" s="103" t="s">
        <v>339</v>
      </c>
      <c r="E314" s="26">
        <v>4.6399999999999997</v>
      </c>
      <c r="F314" s="26" t="s">
        <v>293</v>
      </c>
      <c r="K314" s="24">
        <v>11</v>
      </c>
      <c r="L314" s="102">
        <v>46043</v>
      </c>
      <c r="M314" s="25" t="s">
        <v>357</v>
      </c>
      <c r="N314" s="103" t="s">
        <v>339</v>
      </c>
      <c r="O314" s="26">
        <v>1.26</v>
      </c>
      <c r="P314" s="26" t="s">
        <v>293</v>
      </c>
    </row>
    <row r="315" spans="1:16" x14ac:dyDescent="0.3">
      <c r="A315" s="24">
        <v>11</v>
      </c>
      <c r="B315" s="102">
        <v>46043</v>
      </c>
      <c r="C315" s="25" t="s">
        <v>356</v>
      </c>
      <c r="D315" s="103" t="s">
        <v>118</v>
      </c>
      <c r="E315" s="26">
        <v>4.5999999999999996</v>
      </c>
      <c r="F315" s="26" t="s">
        <v>293</v>
      </c>
      <c r="K315" s="24">
        <v>11</v>
      </c>
      <c r="L315" s="102">
        <v>46043</v>
      </c>
      <c r="M315" s="25" t="s">
        <v>357</v>
      </c>
      <c r="N315" s="103" t="s">
        <v>118</v>
      </c>
      <c r="O315" s="26">
        <v>9.6</v>
      </c>
      <c r="P315" s="26" t="s">
        <v>293</v>
      </c>
    </row>
    <row r="316" spans="1:16" x14ac:dyDescent="0.3">
      <c r="A316" s="24">
        <v>11</v>
      </c>
      <c r="B316" s="102">
        <v>46043</v>
      </c>
      <c r="C316" s="25" t="s">
        <v>356</v>
      </c>
      <c r="D316" s="103" t="s">
        <v>130</v>
      </c>
      <c r="E316" s="26">
        <v>4.0430000000000001</v>
      </c>
      <c r="F316" s="26" t="s">
        <v>293</v>
      </c>
      <c r="K316" s="24">
        <v>11</v>
      </c>
      <c r="L316" s="102">
        <v>46043</v>
      </c>
      <c r="M316" s="25" t="s">
        <v>357</v>
      </c>
      <c r="N316" s="103" t="s">
        <v>130</v>
      </c>
      <c r="O316" s="26">
        <v>2.5219999999999998</v>
      </c>
      <c r="P316" s="26" t="s">
        <v>293</v>
      </c>
    </row>
    <row r="317" spans="1:16" x14ac:dyDescent="0.3">
      <c r="A317" s="24">
        <v>11</v>
      </c>
      <c r="B317" s="102">
        <v>46043</v>
      </c>
      <c r="C317" s="25" t="s">
        <v>356</v>
      </c>
      <c r="D317" s="103" t="s">
        <v>341</v>
      </c>
      <c r="E317" s="26">
        <v>0.27500000000000002</v>
      </c>
      <c r="F317" s="26" t="s">
        <v>293</v>
      </c>
      <c r="K317" s="24">
        <v>11</v>
      </c>
      <c r="L317" s="102">
        <v>46043</v>
      </c>
      <c r="M317" s="25" t="s">
        <v>357</v>
      </c>
      <c r="N317" s="103" t="s">
        <v>341</v>
      </c>
      <c r="O317" s="26">
        <v>1.0549999999999999</v>
      </c>
      <c r="P317" s="26" t="s">
        <v>293</v>
      </c>
    </row>
    <row r="318" spans="1:16" x14ac:dyDescent="0.3">
      <c r="A318" s="24">
        <v>11</v>
      </c>
      <c r="B318" s="102">
        <v>46043</v>
      </c>
      <c r="C318" s="25" t="s">
        <v>356</v>
      </c>
      <c r="D318" s="103" t="s">
        <v>127</v>
      </c>
      <c r="E318" s="26">
        <v>1.169</v>
      </c>
      <c r="F318" s="26" t="s">
        <v>293</v>
      </c>
      <c r="K318" s="24">
        <v>11</v>
      </c>
      <c r="L318" s="102">
        <v>46043</v>
      </c>
      <c r="M318" s="25" t="s">
        <v>357</v>
      </c>
      <c r="N318" s="103" t="s">
        <v>127</v>
      </c>
      <c r="O318" s="26">
        <v>4.4130000000000003</v>
      </c>
      <c r="P318" s="26" t="s">
        <v>293</v>
      </c>
    </row>
    <row r="319" spans="1:16" x14ac:dyDescent="0.3">
      <c r="A319" s="24">
        <v>11</v>
      </c>
      <c r="B319" s="102">
        <v>46043</v>
      </c>
      <c r="C319" s="25" t="s">
        <v>356</v>
      </c>
      <c r="D319" s="103" t="s">
        <v>131</v>
      </c>
      <c r="E319" s="26">
        <v>8.6999999999999993</v>
      </c>
      <c r="F319" s="26" t="s">
        <v>293</v>
      </c>
      <c r="K319" s="24">
        <v>11</v>
      </c>
      <c r="L319" s="102">
        <v>46043</v>
      </c>
      <c r="M319" s="25" t="s">
        <v>357</v>
      </c>
      <c r="N319" s="103" t="s">
        <v>131</v>
      </c>
      <c r="O319" s="26">
        <v>12.2</v>
      </c>
      <c r="P319" s="26" t="s">
        <v>293</v>
      </c>
    </row>
    <row r="320" spans="1:16" x14ac:dyDescent="0.3">
      <c r="A320" s="24">
        <v>11</v>
      </c>
      <c r="B320" s="102">
        <v>46043</v>
      </c>
      <c r="C320" s="25" t="s">
        <v>356</v>
      </c>
      <c r="D320" s="103" t="s">
        <v>342</v>
      </c>
      <c r="E320" s="26">
        <v>330</v>
      </c>
      <c r="F320" s="26" t="s">
        <v>293</v>
      </c>
      <c r="K320" s="24">
        <v>11</v>
      </c>
      <c r="L320" s="102">
        <v>46043</v>
      </c>
      <c r="M320" s="25" t="s">
        <v>357</v>
      </c>
      <c r="N320" s="103" t="s">
        <v>342</v>
      </c>
      <c r="O320" s="26">
        <v>207</v>
      </c>
      <c r="P320" s="26" t="s">
        <v>293</v>
      </c>
    </row>
    <row r="321" spans="1:16" x14ac:dyDescent="0.3">
      <c r="A321" s="24">
        <v>11</v>
      </c>
      <c r="B321" s="102">
        <v>46043</v>
      </c>
      <c r="C321" s="25" t="s">
        <v>356</v>
      </c>
      <c r="D321" s="103" t="s">
        <v>119</v>
      </c>
      <c r="E321" s="26">
        <v>231</v>
      </c>
      <c r="F321" s="26" t="s">
        <v>293</v>
      </c>
      <c r="K321" s="24">
        <v>11</v>
      </c>
      <c r="L321" s="102">
        <v>46043</v>
      </c>
      <c r="M321" s="25" t="s">
        <v>357</v>
      </c>
      <c r="N321" s="103" t="s">
        <v>119</v>
      </c>
      <c r="O321" s="26">
        <v>81</v>
      </c>
      <c r="P321" s="26" t="s">
        <v>293</v>
      </c>
    </row>
    <row r="322" spans="1:16" x14ac:dyDescent="0.3">
      <c r="A322" s="24">
        <v>11</v>
      </c>
      <c r="B322" s="102">
        <v>46043</v>
      </c>
      <c r="C322" s="25" t="s">
        <v>356</v>
      </c>
      <c r="D322" s="103" t="s">
        <v>120</v>
      </c>
      <c r="E322" s="26">
        <v>77</v>
      </c>
      <c r="F322" s="26" t="s">
        <v>293</v>
      </c>
      <c r="K322" s="24">
        <v>11</v>
      </c>
      <c r="L322" s="102">
        <v>46043</v>
      </c>
      <c r="M322" s="25" t="s">
        <v>357</v>
      </c>
      <c r="N322" s="103" t="s">
        <v>120</v>
      </c>
      <c r="O322" s="26">
        <v>27</v>
      </c>
      <c r="P322" s="26" t="s">
        <v>293</v>
      </c>
    </row>
    <row r="323" spans="1:16" x14ac:dyDescent="0.3">
      <c r="A323" s="24">
        <v>11</v>
      </c>
      <c r="B323" s="102">
        <v>46043</v>
      </c>
      <c r="C323" s="25" t="s">
        <v>356</v>
      </c>
      <c r="D323" s="103" t="s">
        <v>117</v>
      </c>
      <c r="E323" s="26">
        <v>2.84</v>
      </c>
      <c r="F323" s="26" t="s">
        <v>293</v>
      </c>
      <c r="K323" s="24">
        <v>11</v>
      </c>
      <c r="L323" s="102">
        <v>46043</v>
      </c>
      <c r="M323" s="25" t="s">
        <v>357</v>
      </c>
      <c r="N323" s="103" t="s">
        <v>117</v>
      </c>
      <c r="O323" s="26">
        <v>6.41</v>
      </c>
      <c r="P323" s="26" t="s">
        <v>293</v>
      </c>
    </row>
    <row r="324" spans="1:16" x14ac:dyDescent="0.3">
      <c r="A324" s="24">
        <v>11</v>
      </c>
      <c r="B324" s="102">
        <v>46043</v>
      </c>
      <c r="C324" s="25" t="s">
        <v>356</v>
      </c>
      <c r="D324" s="103" t="s">
        <v>344</v>
      </c>
      <c r="E324" s="26">
        <v>235</v>
      </c>
      <c r="F324" s="26" t="s">
        <v>293</v>
      </c>
      <c r="K324" s="24">
        <v>11</v>
      </c>
      <c r="L324" s="102">
        <v>46043</v>
      </c>
      <c r="M324" s="25" t="s">
        <v>357</v>
      </c>
      <c r="N324" s="103" t="s">
        <v>344</v>
      </c>
      <c r="O324" s="26">
        <v>66</v>
      </c>
      <c r="P324" s="26" t="s">
        <v>293</v>
      </c>
    </row>
    <row r="325" spans="1:16" x14ac:dyDescent="0.3">
      <c r="A325" s="24">
        <v>11</v>
      </c>
      <c r="B325" s="102">
        <v>46043</v>
      </c>
      <c r="C325" s="25" t="s">
        <v>356</v>
      </c>
      <c r="D325" s="103" t="s">
        <v>132</v>
      </c>
      <c r="E325" s="26">
        <v>3.5</v>
      </c>
      <c r="F325" s="26" t="s">
        <v>293</v>
      </c>
      <c r="K325" s="24">
        <v>11</v>
      </c>
      <c r="L325" s="102">
        <v>46043</v>
      </c>
      <c r="M325" s="25" t="s">
        <v>357</v>
      </c>
      <c r="N325" s="103" t="s">
        <v>132</v>
      </c>
      <c r="O325" s="26">
        <v>7.2</v>
      </c>
      <c r="P325" s="26" t="s">
        <v>293</v>
      </c>
    </row>
    <row r="326" spans="1:16" x14ac:dyDescent="0.3">
      <c r="A326" s="24">
        <v>11</v>
      </c>
      <c r="B326" s="102">
        <v>46043</v>
      </c>
      <c r="C326" s="25" t="s">
        <v>356</v>
      </c>
      <c r="D326" s="103" t="s">
        <v>111</v>
      </c>
      <c r="E326" s="26">
        <v>89</v>
      </c>
      <c r="F326" s="26" t="s">
        <v>293</v>
      </c>
      <c r="K326" s="24">
        <v>11</v>
      </c>
      <c r="L326" s="102">
        <v>46043</v>
      </c>
      <c r="M326" s="25" t="s">
        <v>357</v>
      </c>
      <c r="N326" s="103" t="s">
        <v>111</v>
      </c>
      <c r="O326" s="26">
        <v>287</v>
      </c>
      <c r="P326" s="26" t="s">
        <v>293</v>
      </c>
    </row>
    <row r="327" spans="1:16" x14ac:dyDescent="0.3">
      <c r="A327" s="24">
        <v>11</v>
      </c>
      <c r="B327" s="102">
        <v>46043</v>
      </c>
      <c r="C327" s="25" t="s">
        <v>356</v>
      </c>
      <c r="D327" s="103" t="s">
        <v>345</v>
      </c>
      <c r="E327" s="26">
        <v>5.27</v>
      </c>
      <c r="F327" s="26" t="s">
        <v>293</v>
      </c>
      <c r="K327" s="24">
        <v>11</v>
      </c>
      <c r="L327" s="102">
        <v>46043</v>
      </c>
      <c r="M327" s="25" t="s">
        <v>357</v>
      </c>
      <c r="N327" s="103" t="s">
        <v>345</v>
      </c>
      <c r="O327" s="26">
        <v>9.98</v>
      </c>
      <c r="P327" s="26" t="s">
        <v>293</v>
      </c>
    </row>
    <row r="328" spans="1:16" x14ac:dyDescent="0.3">
      <c r="A328" s="24">
        <v>11</v>
      </c>
      <c r="B328" s="102">
        <v>46043</v>
      </c>
      <c r="C328" s="25" t="s">
        <v>356</v>
      </c>
      <c r="D328" s="103" t="s">
        <v>347</v>
      </c>
      <c r="E328" s="26">
        <v>2.09</v>
      </c>
      <c r="F328" s="26" t="s">
        <v>293</v>
      </c>
      <c r="K328" s="24">
        <v>11</v>
      </c>
      <c r="L328" s="102">
        <v>46043</v>
      </c>
      <c r="M328" s="25" t="s">
        <v>357</v>
      </c>
      <c r="N328" s="103" t="s">
        <v>347</v>
      </c>
      <c r="O328" s="26">
        <v>4.74</v>
      </c>
      <c r="P328" s="26" t="s">
        <v>293</v>
      </c>
    </row>
    <row r="329" spans="1:16" x14ac:dyDescent="0.3">
      <c r="A329" s="24">
        <v>11</v>
      </c>
      <c r="B329" s="102">
        <v>46043</v>
      </c>
      <c r="C329" s="25" t="s">
        <v>356</v>
      </c>
      <c r="D329" s="103" t="s">
        <v>128</v>
      </c>
      <c r="E329" s="26">
        <v>7.1</v>
      </c>
      <c r="F329" s="26" t="s">
        <v>293</v>
      </c>
      <c r="K329" s="24">
        <v>11</v>
      </c>
      <c r="L329" s="102">
        <v>46043</v>
      </c>
      <c r="M329" s="25" t="s">
        <v>357</v>
      </c>
      <c r="N329" s="103" t="s">
        <v>128</v>
      </c>
      <c r="O329" s="26">
        <v>4.5</v>
      </c>
      <c r="P329" s="26" t="s">
        <v>293</v>
      </c>
    </row>
    <row r="330" spans="1:16" x14ac:dyDescent="0.3">
      <c r="A330" s="24">
        <v>11</v>
      </c>
      <c r="B330" s="102">
        <v>46043</v>
      </c>
      <c r="C330" s="25" t="s">
        <v>356</v>
      </c>
      <c r="D330" s="103" t="s">
        <v>121</v>
      </c>
      <c r="E330" s="26">
        <v>161</v>
      </c>
      <c r="F330" s="26" t="s">
        <v>293</v>
      </c>
      <c r="K330" s="24">
        <v>11</v>
      </c>
      <c r="L330" s="102">
        <v>46043</v>
      </c>
      <c r="M330" s="25" t="s">
        <v>357</v>
      </c>
      <c r="N330" s="103" t="s">
        <v>121</v>
      </c>
      <c r="O330" s="26">
        <v>82</v>
      </c>
      <c r="P330" s="26" t="s">
        <v>293</v>
      </c>
    </row>
    <row r="331" spans="1:16" x14ac:dyDescent="0.3">
      <c r="A331" s="24">
        <v>11</v>
      </c>
      <c r="B331" s="102">
        <v>46043</v>
      </c>
      <c r="C331" s="25" t="s">
        <v>356</v>
      </c>
      <c r="D331" s="103" t="s">
        <v>115</v>
      </c>
      <c r="E331" s="26">
        <v>36</v>
      </c>
      <c r="F331" s="26" t="s">
        <v>293</v>
      </c>
      <c r="K331" s="24">
        <v>11</v>
      </c>
      <c r="L331" s="102">
        <v>46043</v>
      </c>
      <c r="M331" s="25" t="s">
        <v>357</v>
      </c>
      <c r="N331" s="103" t="s">
        <v>115</v>
      </c>
      <c r="O331" s="26">
        <v>96</v>
      </c>
      <c r="P331" s="26" t="s">
        <v>293</v>
      </c>
    </row>
    <row r="332" spans="1:16" x14ac:dyDescent="0.3">
      <c r="A332" s="24">
        <v>11</v>
      </c>
      <c r="B332" s="102">
        <v>46043</v>
      </c>
      <c r="C332" s="25" t="s">
        <v>356</v>
      </c>
      <c r="D332" s="103" t="s">
        <v>137</v>
      </c>
      <c r="E332" s="26">
        <v>75</v>
      </c>
      <c r="F332" s="26" t="s">
        <v>293</v>
      </c>
      <c r="K332" s="24">
        <v>11</v>
      </c>
      <c r="L332" s="102">
        <v>46043</v>
      </c>
      <c r="M332" s="25" t="s">
        <v>357</v>
      </c>
      <c r="N332" s="103" t="s">
        <v>137</v>
      </c>
      <c r="O332" s="26">
        <v>484</v>
      </c>
      <c r="P332" s="26" t="s">
        <v>293</v>
      </c>
    </row>
    <row r="333" spans="1:16" x14ac:dyDescent="0.3">
      <c r="A333" s="24">
        <v>11</v>
      </c>
      <c r="B333" s="102">
        <v>46043</v>
      </c>
      <c r="C333" s="25" t="s">
        <v>356</v>
      </c>
      <c r="D333" s="103" t="s">
        <v>348</v>
      </c>
      <c r="E333" s="26">
        <v>140</v>
      </c>
      <c r="F333" s="26" t="s">
        <v>293</v>
      </c>
      <c r="K333" s="24">
        <v>11</v>
      </c>
      <c r="L333" s="102">
        <v>46043</v>
      </c>
      <c r="M333" s="25" t="s">
        <v>357</v>
      </c>
      <c r="N333" s="103" t="s">
        <v>348</v>
      </c>
      <c r="O333" s="26">
        <v>432</v>
      </c>
      <c r="P333" s="26" t="s">
        <v>293</v>
      </c>
    </row>
    <row r="334" spans="1:16" x14ac:dyDescent="0.3">
      <c r="A334" s="24">
        <v>11</v>
      </c>
      <c r="B334" s="102">
        <v>46043</v>
      </c>
      <c r="C334" s="25" t="s">
        <v>356</v>
      </c>
      <c r="D334" s="103" t="s">
        <v>125</v>
      </c>
      <c r="E334" s="26">
        <v>125</v>
      </c>
      <c r="F334" s="26" t="s">
        <v>293</v>
      </c>
      <c r="K334" s="24">
        <v>11</v>
      </c>
      <c r="L334" s="102">
        <v>46043</v>
      </c>
      <c r="M334" s="25" t="s">
        <v>357</v>
      </c>
      <c r="N334" s="103" t="s">
        <v>125</v>
      </c>
      <c r="O334" s="26">
        <v>433</v>
      </c>
      <c r="P334" s="26" t="s">
        <v>293</v>
      </c>
    </row>
    <row r="335" spans="1:16" x14ac:dyDescent="0.3">
      <c r="A335" s="24">
        <v>11</v>
      </c>
      <c r="B335" s="102">
        <v>46043</v>
      </c>
      <c r="C335" s="25" t="s">
        <v>356</v>
      </c>
      <c r="D335" s="103" t="s">
        <v>126</v>
      </c>
      <c r="E335" s="26">
        <v>80</v>
      </c>
      <c r="F335" s="26" t="s">
        <v>293</v>
      </c>
      <c r="K335" s="24">
        <v>11</v>
      </c>
      <c r="L335" s="102">
        <v>46043</v>
      </c>
      <c r="M335" s="25" t="s">
        <v>357</v>
      </c>
      <c r="N335" s="103" t="s">
        <v>126</v>
      </c>
      <c r="O335" s="26">
        <v>152</v>
      </c>
      <c r="P335" s="26" t="s">
        <v>293</v>
      </c>
    </row>
    <row r="336" spans="1:16" x14ac:dyDescent="0.3">
      <c r="A336" s="24">
        <v>11</v>
      </c>
      <c r="B336" s="102">
        <v>46043</v>
      </c>
      <c r="C336" s="25" t="s">
        <v>356</v>
      </c>
      <c r="D336" s="103" t="s">
        <v>349</v>
      </c>
      <c r="E336" s="26">
        <v>167</v>
      </c>
      <c r="F336" s="26" t="s">
        <v>293</v>
      </c>
      <c r="K336" s="24">
        <v>11</v>
      </c>
      <c r="L336" s="102">
        <v>46043</v>
      </c>
      <c r="M336" s="25" t="s">
        <v>357</v>
      </c>
      <c r="N336" s="103" t="s">
        <v>349</v>
      </c>
      <c r="O336" s="26">
        <v>383</v>
      </c>
      <c r="P336" s="26" t="s">
        <v>293</v>
      </c>
    </row>
    <row r="337" spans="1:16" x14ac:dyDescent="0.3">
      <c r="A337" s="24">
        <v>11</v>
      </c>
      <c r="B337" s="102">
        <v>46043</v>
      </c>
      <c r="C337" s="25" t="s">
        <v>356</v>
      </c>
      <c r="D337" s="103" t="s">
        <v>350</v>
      </c>
      <c r="E337" s="26">
        <v>58</v>
      </c>
      <c r="F337" s="26" t="s">
        <v>293</v>
      </c>
      <c r="K337" s="24">
        <v>11</v>
      </c>
      <c r="L337" s="102">
        <v>46043</v>
      </c>
      <c r="M337" s="25" t="s">
        <v>357</v>
      </c>
      <c r="N337" s="103" t="s">
        <v>350</v>
      </c>
      <c r="O337" s="26">
        <v>83</v>
      </c>
      <c r="P337" s="26" t="s">
        <v>293</v>
      </c>
    </row>
    <row r="338" spans="1:16" x14ac:dyDescent="0.3">
      <c r="A338" s="24">
        <v>11</v>
      </c>
      <c r="B338" s="102">
        <v>46043</v>
      </c>
      <c r="C338" s="25" t="s">
        <v>356</v>
      </c>
      <c r="D338" s="103" t="s">
        <v>122</v>
      </c>
      <c r="E338" s="26">
        <v>48</v>
      </c>
      <c r="F338" s="26" t="s">
        <v>293</v>
      </c>
      <c r="K338" s="24">
        <v>11</v>
      </c>
      <c r="L338" s="102">
        <v>46043</v>
      </c>
      <c r="M338" s="25" t="s">
        <v>357</v>
      </c>
      <c r="N338" s="103" t="s">
        <v>122</v>
      </c>
      <c r="O338" s="26">
        <v>221</v>
      </c>
      <c r="P338" s="26" t="s">
        <v>293</v>
      </c>
    </row>
    <row r="339" spans="1:16" x14ac:dyDescent="0.3">
      <c r="A339" s="24">
        <v>11</v>
      </c>
      <c r="B339" s="102">
        <v>46043</v>
      </c>
      <c r="C339" s="25" t="s">
        <v>356</v>
      </c>
      <c r="D339" s="103" t="s">
        <v>124</v>
      </c>
      <c r="E339" s="26">
        <v>30</v>
      </c>
      <c r="F339" s="26" t="s">
        <v>293</v>
      </c>
      <c r="K339" s="24">
        <v>11</v>
      </c>
      <c r="L339" s="102">
        <v>46043</v>
      </c>
      <c r="M339" s="25" t="s">
        <v>357</v>
      </c>
      <c r="N339" s="103" t="s">
        <v>124</v>
      </c>
      <c r="O339" s="26">
        <v>101</v>
      </c>
      <c r="P339" s="26" t="s">
        <v>293</v>
      </c>
    </row>
    <row r="340" spans="1:16" x14ac:dyDescent="0.3">
      <c r="A340" s="24">
        <v>11</v>
      </c>
      <c r="B340" s="102">
        <v>46043</v>
      </c>
      <c r="C340" s="25" t="s">
        <v>356</v>
      </c>
      <c r="D340" s="103" t="s">
        <v>351</v>
      </c>
      <c r="E340" s="26">
        <v>1</v>
      </c>
      <c r="F340" s="26" t="s">
        <v>293</v>
      </c>
      <c r="K340" s="24">
        <v>11</v>
      </c>
      <c r="L340" s="102">
        <v>46043</v>
      </c>
      <c r="M340" s="25" t="s">
        <v>357</v>
      </c>
      <c r="N340" s="103" t="s">
        <v>351</v>
      </c>
      <c r="O340" s="26">
        <v>3.67</v>
      </c>
      <c r="P340" s="26" t="s">
        <v>293</v>
      </c>
    </row>
    <row r="341" spans="1:16" x14ac:dyDescent="0.3">
      <c r="A341" s="24">
        <v>11</v>
      </c>
      <c r="B341" s="102">
        <v>46043</v>
      </c>
      <c r="C341" s="25" t="s">
        <v>356</v>
      </c>
      <c r="D341" s="103" t="s">
        <v>353</v>
      </c>
      <c r="E341" s="26">
        <v>32.1</v>
      </c>
      <c r="F341" s="26" t="s">
        <v>293</v>
      </c>
      <c r="K341" s="24">
        <v>11</v>
      </c>
      <c r="L341" s="102">
        <v>46043</v>
      </c>
      <c r="M341" s="25" t="s">
        <v>357</v>
      </c>
      <c r="N341" s="103" t="s">
        <v>353</v>
      </c>
      <c r="O341" s="26">
        <v>15.9</v>
      </c>
      <c r="P341" s="26" t="s">
        <v>293</v>
      </c>
    </row>
    <row r="342" spans="1:16" x14ac:dyDescent="0.3">
      <c r="A342" s="24">
        <v>12</v>
      </c>
      <c r="B342" s="102">
        <v>46044</v>
      </c>
      <c r="C342" s="25" t="s">
        <v>356</v>
      </c>
      <c r="D342" s="103" t="s">
        <v>339</v>
      </c>
      <c r="E342" s="26">
        <v>4.67</v>
      </c>
      <c r="F342" s="26" t="s">
        <v>293</v>
      </c>
      <c r="K342" s="24">
        <v>12</v>
      </c>
      <c r="L342" s="102">
        <v>46044</v>
      </c>
      <c r="M342" s="25" t="s">
        <v>357</v>
      </c>
      <c r="N342" s="103" t="s">
        <v>339</v>
      </c>
      <c r="O342" s="26">
        <v>1.27</v>
      </c>
      <c r="P342" s="26" t="s">
        <v>293</v>
      </c>
    </row>
    <row r="343" spans="1:16" x14ac:dyDescent="0.3">
      <c r="A343" s="24">
        <v>12</v>
      </c>
      <c r="B343" s="102">
        <v>46044</v>
      </c>
      <c r="C343" s="25" t="s">
        <v>356</v>
      </c>
      <c r="D343" s="103" t="s">
        <v>118</v>
      </c>
      <c r="E343" s="26">
        <v>4.8</v>
      </c>
      <c r="F343" s="26" t="s">
        <v>293</v>
      </c>
      <c r="K343" s="24">
        <v>12</v>
      </c>
      <c r="L343" s="102">
        <v>46044</v>
      </c>
      <c r="M343" s="25" t="s">
        <v>357</v>
      </c>
      <c r="N343" s="103" t="s">
        <v>118</v>
      </c>
      <c r="O343" s="26">
        <v>9.6999999999999993</v>
      </c>
      <c r="P343" s="26" t="s">
        <v>293</v>
      </c>
    </row>
    <row r="344" spans="1:16" x14ac:dyDescent="0.3">
      <c r="A344" s="24">
        <v>12</v>
      </c>
      <c r="B344" s="102">
        <v>46044</v>
      </c>
      <c r="C344" s="25" t="s">
        <v>356</v>
      </c>
      <c r="D344" s="103" t="s">
        <v>130</v>
      </c>
      <c r="E344" s="26">
        <v>4.0439999999999996</v>
      </c>
      <c r="F344" s="26" t="s">
        <v>293</v>
      </c>
      <c r="K344" s="24">
        <v>12</v>
      </c>
      <c r="L344" s="102">
        <v>46044</v>
      </c>
      <c r="M344" s="25" t="s">
        <v>357</v>
      </c>
      <c r="N344" s="103" t="s">
        <v>130</v>
      </c>
      <c r="O344" s="26">
        <v>2.5459999999999998</v>
      </c>
      <c r="P344" s="26" t="s">
        <v>293</v>
      </c>
    </row>
    <row r="345" spans="1:16" x14ac:dyDescent="0.3">
      <c r="A345" s="24">
        <v>12</v>
      </c>
      <c r="B345" s="102">
        <v>46044</v>
      </c>
      <c r="C345" s="25" t="s">
        <v>356</v>
      </c>
      <c r="D345" s="103" t="s">
        <v>341</v>
      </c>
      <c r="E345" s="26">
        <v>0.29499999999999998</v>
      </c>
      <c r="F345" s="26" t="s">
        <v>293</v>
      </c>
      <c r="K345" s="24">
        <v>12</v>
      </c>
      <c r="L345" s="102">
        <v>46044</v>
      </c>
      <c r="M345" s="25" t="s">
        <v>357</v>
      </c>
      <c r="N345" s="103" t="s">
        <v>341</v>
      </c>
      <c r="O345" s="26">
        <v>1.1100000000000001</v>
      </c>
      <c r="P345" s="26" t="s">
        <v>293</v>
      </c>
    </row>
    <row r="346" spans="1:16" x14ac:dyDescent="0.3">
      <c r="A346" s="24">
        <v>12</v>
      </c>
      <c r="B346" s="102">
        <v>46044</v>
      </c>
      <c r="C346" s="25" t="s">
        <v>356</v>
      </c>
      <c r="D346" s="103" t="s">
        <v>127</v>
      </c>
      <c r="E346" s="26">
        <v>1.167</v>
      </c>
      <c r="F346" s="26" t="s">
        <v>293</v>
      </c>
      <c r="K346" s="24">
        <v>12</v>
      </c>
      <c r="L346" s="102">
        <v>46044</v>
      </c>
      <c r="M346" s="25" t="s">
        <v>357</v>
      </c>
      <c r="N346" s="103" t="s">
        <v>127</v>
      </c>
      <c r="O346" s="26">
        <v>4.5490000000000004</v>
      </c>
      <c r="P346" s="26" t="s">
        <v>293</v>
      </c>
    </row>
    <row r="347" spans="1:16" x14ac:dyDescent="0.3">
      <c r="A347" s="24">
        <v>12</v>
      </c>
      <c r="B347" s="102">
        <v>46044</v>
      </c>
      <c r="C347" s="25" t="s">
        <v>356</v>
      </c>
      <c r="D347" s="103" t="s">
        <v>131</v>
      </c>
      <c r="E347" s="26">
        <v>8.5</v>
      </c>
      <c r="F347" s="26" t="s">
        <v>293</v>
      </c>
      <c r="K347" s="24">
        <v>12</v>
      </c>
      <c r="L347" s="102">
        <v>46044</v>
      </c>
      <c r="M347" s="25" t="s">
        <v>357</v>
      </c>
      <c r="N347" s="103" t="s">
        <v>131</v>
      </c>
      <c r="O347" s="26">
        <v>11.6</v>
      </c>
      <c r="P347" s="26" t="s">
        <v>293</v>
      </c>
    </row>
    <row r="348" spans="1:16" x14ac:dyDescent="0.3">
      <c r="A348" s="24">
        <v>12</v>
      </c>
      <c r="B348" s="102">
        <v>46044</v>
      </c>
      <c r="C348" s="25" t="s">
        <v>356</v>
      </c>
      <c r="D348" s="103" t="s">
        <v>342</v>
      </c>
      <c r="E348" s="26">
        <v>327</v>
      </c>
      <c r="F348" s="26" t="s">
        <v>293</v>
      </c>
      <c r="K348" s="24">
        <v>12</v>
      </c>
      <c r="L348" s="102">
        <v>46044</v>
      </c>
      <c r="M348" s="25" t="s">
        <v>357</v>
      </c>
      <c r="N348" s="103" t="s">
        <v>342</v>
      </c>
      <c r="O348" s="26">
        <v>202</v>
      </c>
      <c r="P348" s="26" t="s">
        <v>293</v>
      </c>
    </row>
    <row r="349" spans="1:16" x14ac:dyDescent="0.3">
      <c r="A349" s="24">
        <v>12</v>
      </c>
      <c r="B349" s="102">
        <v>46044</v>
      </c>
      <c r="C349" s="25" t="s">
        <v>356</v>
      </c>
      <c r="D349" s="103" t="s">
        <v>119</v>
      </c>
      <c r="E349" s="26">
        <v>239</v>
      </c>
      <c r="F349" s="26" t="s">
        <v>293</v>
      </c>
      <c r="K349" s="24">
        <v>12</v>
      </c>
      <c r="L349" s="102">
        <v>46044</v>
      </c>
      <c r="M349" s="25" t="s">
        <v>357</v>
      </c>
      <c r="N349" s="103" t="s">
        <v>119</v>
      </c>
      <c r="O349" s="26">
        <v>86</v>
      </c>
      <c r="P349" s="26" t="s">
        <v>293</v>
      </c>
    </row>
    <row r="350" spans="1:16" x14ac:dyDescent="0.3">
      <c r="A350" s="24">
        <v>12</v>
      </c>
      <c r="B350" s="102">
        <v>46044</v>
      </c>
      <c r="C350" s="25" t="s">
        <v>356</v>
      </c>
      <c r="D350" s="103" t="s">
        <v>120</v>
      </c>
      <c r="E350" s="26">
        <v>79</v>
      </c>
      <c r="F350" s="26" t="s">
        <v>293</v>
      </c>
      <c r="K350" s="24">
        <v>12</v>
      </c>
      <c r="L350" s="102">
        <v>46044</v>
      </c>
      <c r="M350" s="25" t="s">
        <v>357</v>
      </c>
      <c r="N350" s="103" t="s">
        <v>120</v>
      </c>
      <c r="O350" s="26">
        <v>26</v>
      </c>
      <c r="P350" s="26" t="s">
        <v>293</v>
      </c>
    </row>
    <row r="351" spans="1:16" x14ac:dyDescent="0.3">
      <c r="A351" s="24">
        <v>12</v>
      </c>
      <c r="B351" s="102">
        <v>46044</v>
      </c>
      <c r="C351" s="25" t="s">
        <v>356</v>
      </c>
      <c r="D351" s="103" t="s">
        <v>117</v>
      </c>
      <c r="E351" s="26">
        <v>2.64</v>
      </c>
      <c r="F351" s="26" t="s">
        <v>293</v>
      </c>
      <c r="K351" s="24">
        <v>12</v>
      </c>
      <c r="L351" s="102">
        <v>46044</v>
      </c>
      <c r="M351" s="25" t="s">
        <v>357</v>
      </c>
      <c r="N351" s="103" t="s">
        <v>117</v>
      </c>
      <c r="O351" s="26">
        <v>6.16</v>
      </c>
      <c r="P351" s="26" t="s">
        <v>293</v>
      </c>
    </row>
    <row r="352" spans="1:16" x14ac:dyDescent="0.3">
      <c r="A352" s="24">
        <v>12</v>
      </c>
      <c r="B352" s="102">
        <v>46044</v>
      </c>
      <c r="C352" s="25" t="s">
        <v>356</v>
      </c>
      <c r="D352" s="103" t="s">
        <v>344</v>
      </c>
      <c r="E352" s="26">
        <v>230</v>
      </c>
      <c r="F352" s="26" t="s">
        <v>293</v>
      </c>
      <c r="K352" s="24">
        <v>12</v>
      </c>
      <c r="L352" s="102">
        <v>46044</v>
      </c>
      <c r="M352" s="25" t="s">
        <v>357</v>
      </c>
      <c r="N352" s="103" t="s">
        <v>344</v>
      </c>
      <c r="O352" s="26">
        <v>66</v>
      </c>
      <c r="P352" s="26" t="s">
        <v>293</v>
      </c>
    </row>
    <row r="353" spans="1:16" x14ac:dyDescent="0.3">
      <c r="A353" s="24">
        <v>12</v>
      </c>
      <c r="B353" s="102">
        <v>46044</v>
      </c>
      <c r="C353" s="25" t="s">
        <v>356</v>
      </c>
      <c r="D353" s="103" t="s">
        <v>132</v>
      </c>
      <c r="E353" s="26">
        <v>3.57</v>
      </c>
      <c r="F353" s="26" t="s">
        <v>293</v>
      </c>
      <c r="K353" s="24">
        <v>12</v>
      </c>
      <c r="L353" s="102">
        <v>46044</v>
      </c>
      <c r="M353" s="25" t="s">
        <v>357</v>
      </c>
      <c r="N353" s="103" t="s">
        <v>132</v>
      </c>
      <c r="O353" s="26">
        <v>7.36</v>
      </c>
      <c r="P353" s="26" t="s">
        <v>293</v>
      </c>
    </row>
    <row r="354" spans="1:16" x14ac:dyDescent="0.3">
      <c r="A354" s="24">
        <v>12</v>
      </c>
      <c r="B354" s="102">
        <v>46044</v>
      </c>
      <c r="C354" s="25" t="s">
        <v>356</v>
      </c>
      <c r="D354" s="103" t="s">
        <v>111</v>
      </c>
      <c r="E354" s="26">
        <v>87</v>
      </c>
      <c r="F354" s="26" t="s">
        <v>293</v>
      </c>
      <c r="K354" s="24">
        <v>12</v>
      </c>
      <c r="L354" s="102">
        <v>46044</v>
      </c>
      <c r="M354" s="25" t="s">
        <v>357</v>
      </c>
      <c r="N354" s="103" t="s">
        <v>111</v>
      </c>
      <c r="O354" s="26">
        <v>277</v>
      </c>
      <c r="P354" s="26" t="s">
        <v>293</v>
      </c>
    </row>
    <row r="355" spans="1:16" x14ac:dyDescent="0.3">
      <c r="A355" s="24">
        <v>12</v>
      </c>
      <c r="B355" s="102">
        <v>46044</v>
      </c>
      <c r="C355" s="25" t="s">
        <v>356</v>
      </c>
      <c r="D355" s="103" t="s">
        <v>345</v>
      </c>
      <c r="E355" s="26">
        <v>5.35</v>
      </c>
      <c r="F355" s="26" t="s">
        <v>293</v>
      </c>
      <c r="K355" s="24">
        <v>12</v>
      </c>
      <c r="L355" s="102">
        <v>46044</v>
      </c>
      <c r="M355" s="25" t="s">
        <v>357</v>
      </c>
      <c r="N355" s="103" t="s">
        <v>345</v>
      </c>
      <c r="O355" s="26">
        <v>9.77</v>
      </c>
      <c r="P355" s="26" t="s">
        <v>293</v>
      </c>
    </row>
    <row r="356" spans="1:16" x14ac:dyDescent="0.3">
      <c r="A356" s="24">
        <v>12</v>
      </c>
      <c r="B356" s="102">
        <v>46044</v>
      </c>
      <c r="C356" s="25" t="s">
        <v>356</v>
      </c>
      <c r="D356" s="103" t="s">
        <v>347</v>
      </c>
      <c r="E356" s="26">
        <v>2.17</v>
      </c>
      <c r="F356" s="26" t="s">
        <v>293</v>
      </c>
      <c r="K356" s="24">
        <v>12</v>
      </c>
      <c r="L356" s="102">
        <v>46044</v>
      </c>
      <c r="M356" s="25" t="s">
        <v>357</v>
      </c>
      <c r="N356" s="103" t="s">
        <v>347</v>
      </c>
      <c r="O356" s="26">
        <v>4.58</v>
      </c>
      <c r="P356" s="26" t="s">
        <v>293</v>
      </c>
    </row>
    <row r="357" spans="1:16" x14ac:dyDescent="0.3">
      <c r="A357" s="24">
        <v>12</v>
      </c>
      <c r="B357" s="102">
        <v>46044</v>
      </c>
      <c r="C357" s="25" t="s">
        <v>356</v>
      </c>
      <c r="D357" s="103" t="s">
        <v>128</v>
      </c>
      <c r="E357" s="26">
        <v>7</v>
      </c>
      <c r="F357" s="26" t="s">
        <v>293</v>
      </c>
      <c r="K357" s="24">
        <v>12</v>
      </c>
      <c r="L357" s="102">
        <v>46044</v>
      </c>
      <c r="M357" s="25" t="s">
        <v>357</v>
      </c>
      <c r="N357" s="103" t="s">
        <v>128</v>
      </c>
      <c r="O357" s="26">
        <v>4.5</v>
      </c>
      <c r="P357" s="26" t="s">
        <v>293</v>
      </c>
    </row>
    <row r="358" spans="1:16" x14ac:dyDescent="0.3">
      <c r="A358" s="24">
        <v>12</v>
      </c>
      <c r="B358" s="102">
        <v>46044</v>
      </c>
      <c r="C358" s="25" t="s">
        <v>356</v>
      </c>
      <c r="D358" s="103" t="s">
        <v>121</v>
      </c>
      <c r="E358" s="26">
        <v>159</v>
      </c>
      <c r="F358" s="26" t="s">
        <v>293</v>
      </c>
      <c r="K358" s="24">
        <v>12</v>
      </c>
      <c r="L358" s="102">
        <v>46044</v>
      </c>
      <c r="M358" s="25" t="s">
        <v>357</v>
      </c>
      <c r="N358" s="103" t="s">
        <v>121</v>
      </c>
      <c r="O358" s="26">
        <v>84</v>
      </c>
      <c r="P358" s="26" t="s">
        <v>293</v>
      </c>
    </row>
    <row r="359" spans="1:16" x14ac:dyDescent="0.3">
      <c r="A359" s="24">
        <v>12</v>
      </c>
      <c r="B359" s="102">
        <v>46044</v>
      </c>
      <c r="C359" s="25" t="s">
        <v>356</v>
      </c>
      <c r="D359" s="103" t="s">
        <v>115</v>
      </c>
      <c r="E359" s="26">
        <v>34</v>
      </c>
      <c r="F359" s="26" t="s">
        <v>293</v>
      </c>
      <c r="K359" s="24">
        <v>12</v>
      </c>
      <c r="L359" s="102">
        <v>46044</v>
      </c>
      <c r="M359" s="25" t="s">
        <v>357</v>
      </c>
      <c r="N359" s="103" t="s">
        <v>115</v>
      </c>
      <c r="O359" s="26">
        <v>97</v>
      </c>
      <c r="P359" s="26" t="s">
        <v>293</v>
      </c>
    </row>
    <row r="360" spans="1:16" x14ac:dyDescent="0.3">
      <c r="A360" s="24">
        <v>12</v>
      </c>
      <c r="B360" s="102">
        <v>46044</v>
      </c>
      <c r="C360" s="25" t="s">
        <v>356</v>
      </c>
      <c r="D360" s="103" t="s">
        <v>137</v>
      </c>
      <c r="E360" s="26">
        <v>75</v>
      </c>
      <c r="F360" s="26" t="s">
        <v>293</v>
      </c>
      <c r="K360" s="24">
        <v>12</v>
      </c>
      <c r="L360" s="102">
        <v>46044</v>
      </c>
      <c r="M360" s="25" t="s">
        <v>357</v>
      </c>
      <c r="N360" s="103" t="s">
        <v>137</v>
      </c>
      <c r="O360" s="26">
        <v>484</v>
      </c>
      <c r="P360" s="26" t="s">
        <v>293</v>
      </c>
    </row>
    <row r="361" spans="1:16" x14ac:dyDescent="0.3">
      <c r="A361" s="24">
        <v>12</v>
      </c>
      <c r="B361" s="102">
        <v>46044</v>
      </c>
      <c r="C361" s="25" t="s">
        <v>356</v>
      </c>
      <c r="D361" s="103" t="s">
        <v>348</v>
      </c>
      <c r="E361" s="26">
        <v>141</v>
      </c>
      <c r="F361" s="26" t="s">
        <v>293</v>
      </c>
      <c r="K361" s="24">
        <v>12</v>
      </c>
      <c r="L361" s="102">
        <v>46044</v>
      </c>
      <c r="M361" s="25" t="s">
        <v>357</v>
      </c>
      <c r="N361" s="103" t="s">
        <v>348</v>
      </c>
      <c r="O361" s="26">
        <v>438</v>
      </c>
      <c r="P361" s="26" t="s">
        <v>293</v>
      </c>
    </row>
    <row r="362" spans="1:16" x14ac:dyDescent="0.3">
      <c r="A362" s="24">
        <v>12</v>
      </c>
      <c r="B362" s="102">
        <v>46044</v>
      </c>
      <c r="C362" s="25" t="s">
        <v>356</v>
      </c>
      <c r="D362" s="103" t="s">
        <v>125</v>
      </c>
      <c r="E362" s="26">
        <v>112</v>
      </c>
      <c r="F362" s="26" t="s">
        <v>293</v>
      </c>
      <c r="K362" s="24">
        <v>12</v>
      </c>
      <c r="L362" s="102">
        <v>46044</v>
      </c>
      <c r="M362" s="25" t="s">
        <v>357</v>
      </c>
      <c r="N362" s="103" t="s">
        <v>125</v>
      </c>
      <c r="O362" s="26">
        <v>416</v>
      </c>
      <c r="P362" s="26" t="s">
        <v>293</v>
      </c>
    </row>
    <row r="363" spans="1:16" x14ac:dyDescent="0.3">
      <c r="A363" s="24">
        <v>12</v>
      </c>
      <c r="B363" s="102">
        <v>46044</v>
      </c>
      <c r="C363" s="25" t="s">
        <v>356</v>
      </c>
      <c r="D363" s="103" t="s">
        <v>126</v>
      </c>
      <c r="E363" s="26">
        <v>80</v>
      </c>
      <c r="F363" s="26" t="s">
        <v>293</v>
      </c>
      <c r="K363" s="24">
        <v>12</v>
      </c>
      <c r="L363" s="102">
        <v>46044</v>
      </c>
      <c r="M363" s="25" t="s">
        <v>357</v>
      </c>
      <c r="N363" s="103" t="s">
        <v>126</v>
      </c>
      <c r="O363" s="26">
        <v>155</v>
      </c>
      <c r="P363" s="26" t="s">
        <v>293</v>
      </c>
    </row>
    <row r="364" spans="1:16" x14ac:dyDescent="0.3">
      <c r="A364" s="24">
        <v>12</v>
      </c>
      <c r="B364" s="102">
        <v>46044</v>
      </c>
      <c r="C364" s="25" t="s">
        <v>356</v>
      </c>
      <c r="D364" s="103" t="s">
        <v>349</v>
      </c>
      <c r="E364" s="26">
        <v>157</v>
      </c>
      <c r="F364" s="26" t="s">
        <v>293</v>
      </c>
      <c r="K364" s="24">
        <v>12</v>
      </c>
      <c r="L364" s="102">
        <v>46044</v>
      </c>
      <c r="M364" s="25" t="s">
        <v>357</v>
      </c>
      <c r="N364" s="103" t="s">
        <v>349</v>
      </c>
      <c r="O364" s="26">
        <v>385</v>
      </c>
      <c r="P364" s="26" t="s">
        <v>293</v>
      </c>
    </row>
    <row r="365" spans="1:16" x14ac:dyDescent="0.3">
      <c r="A365" s="24">
        <v>12</v>
      </c>
      <c r="B365" s="102">
        <v>46044</v>
      </c>
      <c r="C365" s="25" t="s">
        <v>356</v>
      </c>
      <c r="D365" s="103" t="s">
        <v>350</v>
      </c>
      <c r="E365" s="26">
        <v>56</v>
      </c>
      <c r="F365" s="26" t="s">
        <v>293</v>
      </c>
      <c r="K365" s="24">
        <v>12</v>
      </c>
      <c r="L365" s="102">
        <v>46044</v>
      </c>
      <c r="M365" s="25" t="s">
        <v>357</v>
      </c>
      <c r="N365" s="103" t="s">
        <v>350</v>
      </c>
      <c r="O365" s="26">
        <v>81</v>
      </c>
      <c r="P365" s="26" t="s">
        <v>293</v>
      </c>
    </row>
    <row r="366" spans="1:16" x14ac:dyDescent="0.3">
      <c r="A366" s="24">
        <v>12</v>
      </c>
      <c r="B366" s="102">
        <v>46044</v>
      </c>
      <c r="C366" s="25" t="s">
        <v>356</v>
      </c>
      <c r="D366" s="103" t="s">
        <v>122</v>
      </c>
      <c r="E366" s="26">
        <v>48</v>
      </c>
      <c r="F366" s="26" t="s">
        <v>293</v>
      </c>
      <c r="K366" s="24">
        <v>12</v>
      </c>
      <c r="L366" s="102">
        <v>46044</v>
      </c>
      <c r="M366" s="25" t="s">
        <v>357</v>
      </c>
      <c r="N366" s="103" t="s">
        <v>122</v>
      </c>
      <c r="O366" s="26">
        <v>222</v>
      </c>
      <c r="P366" s="26" t="s">
        <v>293</v>
      </c>
    </row>
    <row r="367" spans="1:16" x14ac:dyDescent="0.3">
      <c r="A367" s="24">
        <v>12</v>
      </c>
      <c r="B367" s="102">
        <v>46044</v>
      </c>
      <c r="C367" s="25" t="s">
        <v>356</v>
      </c>
      <c r="D367" s="103" t="s">
        <v>124</v>
      </c>
      <c r="E367" s="26">
        <v>30</v>
      </c>
      <c r="F367" s="26" t="s">
        <v>293</v>
      </c>
      <c r="K367" s="24">
        <v>12</v>
      </c>
      <c r="L367" s="102">
        <v>46044</v>
      </c>
      <c r="M367" s="25" t="s">
        <v>357</v>
      </c>
      <c r="N367" s="103" t="s">
        <v>124</v>
      </c>
      <c r="O367" s="26">
        <v>106</v>
      </c>
      <c r="P367" s="26" t="s">
        <v>293</v>
      </c>
    </row>
    <row r="368" spans="1:16" x14ac:dyDescent="0.3">
      <c r="A368" s="24">
        <v>12</v>
      </c>
      <c r="B368" s="102">
        <v>46044</v>
      </c>
      <c r="C368" s="25" t="s">
        <v>356</v>
      </c>
      <c r="D368" s="103" t="s">
        <v>351</v>
      </c>
      <c r="E368" s="26">
        <v>1</v>
      </c>
      <c r="F368" s="26" t="s">
        <v>293</v>
      </c>
      <c r="K368" s="24">
        <v>12</v>
      </c>
      <c r="L368" s="102">
        <v>46044</v>
      </c>
      <c r="M368" s="25" t="s">
        <v>357</v>
      </c>
      <c r="N368" s="103" t="s">
        <v>351</v>
      </c>
      <c r="O368" s="26">
        <v>3.58</v>
      </c>
      <c r="P368" s="26" t="s">
        <v>293</v>
      </c>
    </row>
    <row r="369" spans="1:16" x14ac:dyDescent="0.3">
      <c r="A369" s="24">
        <v>12</v>
      </c>
      <c r="B369" s="102">
        <v>46044</v>
      </c>
      <c r="C369" s="25" t="s">
        <v>356</v>
      </c>
      <c r="D369" s="103" t="s">
        <v>353</v>
      </c>
      <c r="E369" s="26">
        <v>35.299999999999997</v>
      </c>
      <c r="F369" s="26" t="s">
        <v>293</v>
      </c>
      <c r="K369" s="24">
        <v>12</v>
      </c>
      <c r="L369" s="102">
        <v>46044</v>
      </c>
      <c r="M369" s="25" t="s">
        <v>357</v>
      </c>
      <c r="N369" s="103" t="s">
        <v>353</v>
      </c>
      <c r="O369" s="26">
        <v>19.7</v>
      </c>
      <c r="P369" s="26" t="s">
        <v>293</v>
      </c>
    </row>
    <row r="370" spans="1:16" x14ac:dyDescent="0.3">
      <c r="A370" s="24">
        <v>12</v>
      </c>
      <c r="B370" s="102">
        <v>46044</v>
      </c>
      <c r="C370" s="25" t="s">
        <v>356</v>
      </c>
      <c r="D370" s="103" t="s">
        <v>133</v>
      </c>
      <c r="E370" s="26">
        <v>145</v>
      </c>
      <c r="F370" s="26" t="s">
        <v>293</v>
      </c>
      <c r="K370" s="24">
        <v>12</v>
      </c>
      <c r="L370" s="102">
        <v>46044</v>
      </c>
      <c r="M370" s="25" t="s">
        <v>357</v>
      </c>
      <c r="N370" s="103" t="s">
        <v>133</v>
      </c>
      <c r="O370" s="26">
        <v>125</v>
      </c>
      <c r="P370" s="26" t="s">
        <v>293</v>
      </c>
    </row>
    <row r="371" spans="1:16" x14ac:dyDescent="0.3">
      <c r="A371" s="24">
        <v>12</v>
      </c>
      <c r="B371" s="102">
        <v>46044</v>
      </c>
      <c r="C371" s="25" t="s">
        <v>356</v>
      </c>
      <c r="D371" s="103" t="s">
        <v>135</v>
      </c>
      <c r="E371" s="26">
        <v>3.7</v>
      </c>
      <c r="F371" s="26" t="s">
        <v>293</v>
      </c>
      <c r="K371" s="24">
        <v>12</v>
      </c>
      <c r="L371" s="102">
        <v>46044</v>
      </c>
      <c r="M371" s="25" t="s">
        <v>357</v>
      </c>
      <c r="N371" s="103" t="s">
        <v>135</v>
      </c>
      <c r="O371" s="26">
        <v>6.4</v>
      </c>
      <c r="P371" s="26" t="s">
        <v>293</v>
      </c>
    </row>
    <row r="372" spans="1:16" x14ac:dyDescent="0.3">
      <c r="A372" s="24">
        <v>12</v>
      </c>
      <c r="B372" s="102">
        <v>46044</v>
      </c>
      <c r="C372" s="25" t="s">
        <v>356</v>
      </c>
      <c r="D372" s="103" t="s">
        <v>136</v>
      </c>
      <c r="E372" s="26">
        <v>120</v>
      </c>
      <c r="F372" s="26" t="s">
        <v>293</v>
      </c>
      <c r="K372" s="24">
        <v>12</v>
      </c>
      <c r="L372" s="102">
        <v>46044</v>
      </c>
      <c r="M372" s="25" t="s">
        <v>357</v>
      </c>
      <c r="N372" s="103" t="s">
        <v>136</v>
      </c>
      <c r="O372" s="26">
        <v>94</v>
      </c>
      <c r="P372" s="26" t="s">
        <v>293</v>
      </c>
    </row>
    <row r="373" spans="1:16" x14ac:dyDescent="0.3">
      <c r="A373" s="24">
        <v>13</v>
      </c>
      <c r="B373" s="102">
        <v>46045</v>
      </c>
      <c r="C373" s="25" t="s">
        <v>356</v>
      </c>
      <c r="D373" s="103" t="s">
        <v>339</v>
      </c>
      <c r="E373" s="26">
        <v>4.68</v>
      </c>
      <c r="F373" s="26" t="s">
        <v>293</v>
      </c>
      <c r="K373" s="24">
        <v>13</v>
      </c>
      <c r="L373" s="102">
        <v>46045</v>
      </c>
      <c r="M373" s="25" t="s">
        <v>357</v>
      </c>
      <c r="N373" s="103" t="s">
        <v>339</v>
      </c>
      <c r="O373" s="26">
        <v>1.22</v>
      </c>
      <c r="P373" s="26" t="s">
        <v>293</v>
      </c>
    </row>
    <row r="374" spans="1:16" x14ac:dyDescent="0.3">
      <c r="A374" s="24">
        <v>13</v>
      </c>
      <c r="B374" s="102">
        <v>46045</v>
      </c>
      <c r="C374" s="25" t="s">
        <v>356</v>
      </c>
      <c r="D374" s="103" t="s">
        <v>118</v>
      </c>
      <c r="E374" s="26">
        <v>4.8</v>
      </c>
      <c r="F374" s="26" t="s">
        <v>293</v>
      </c>
      <c r="K374" s="24">
        <v>13</v>
      </c>
      <c r="L374" s="102">
        <v>46045</v>
      </c>
      <c r="M374" s="25" t="s">
        <v>357</v>
      </c>
      <c r="N374" s="103" t="s">
        <v>118</v>
      </c>
      <c r="O374" s="26">
        <v>9.8000000000000007</v>
      </c>
      <c r="P374" s="26" t="s">
        <v>293</v>
      </c>
    </row>
    <row r="375" spans="1:16" x14ac:dyDescent="0.3">
      <c r="A375" s="24">
        <v>13</v>
      </c>
      <c r="B375" s="102">
        <v>46045</v>
      </c>
      <c r="C375" s="25" t="s">
        <v>356</v>
      </c>
      <c r="D375" s="103" t="s">
        <v>130</v>
      </c>
      <c r="E375" s="26">
        <v>4.1070000000000002</v>
      </c>
      <c r="F375" s="26" t="s">
        <v>293</v>
      </c>
      <c r="K375" s="24">
        <v>13</v>
      </c>
      <c r="L375" s="102">
        <v>46045</v>
      </c>
      <c r="M375" s="25" t="s">
        <v>357</v>
      </c>
      <c r="N375" s="103" t="s">
        <v>130</v>
      </c>
      <c r="O375" s="26">
        <v>2.5979999999999999</v>
      </c>
      <c r="P375" s="26" t="s">
        <v>293</v>
      </c>
    </row>
    <row r="376" spans="1:16" x14ac:dyDescent="0.3">
      <c r="A376" s="24">
        <v>13</v>
      </c>
      <c r="B376" s="102">
        <v>46045</v>
      </c>
      <c r="C376" s="25" t="s">
        <v>356</v>
      </c>
      <c r="D376" s="103" t="s">
        <v>341</v>
      </c>
      <c r="E376" s="26">
        <v>0.28999999999999998</v>
      </c>
      <c r="F376" s="26" t="s">
        <v>293</v>
      </c>
      <c r="K376" s="24">
        <v>13</v>
      </c>
      <c r="L376" s="102">
        <v>46045</v>
      </c>
      <c r="M376" s="25" t="s">
        <v>357</v>
      </c>
      <c r="N376" s="103" t="s">
        <v>341</v>
      </c>
      <c r="O376" s="26">
        <v>1.083</v>
      </c>
      <c r="P376" s="26" t="s">
        <v>293</v>
      </c>
    </row>
    <row r="377" spans="1:16" x14ac:dyDescent="0.3">
      <c r="A377" s="24">
        <v>13</v>
      </c>
      <c r="B377" s="102">
        <v>46045</v>
      </c>
      <c r="C377" s="25" t="s">
        <v>356</v>
      </c>
      <c r="D377" s="103" t="s">
        <v>127</v>
      </c>
      <c r="E377" s="26">
        <v>1.1459999999999999</v>
      </c>
      <c r="F377" s="26" t="s">
        <v>293</v>
      </c>
      <c r="K377" s="24">
        <v>13</v>
      </c>
      <c r="L377" s="102">
        <v>46045</v>
      </c>
      <c r="M377" s="25" t="s">
        <v>357</v>
      </c>
      <c r="N377" s="103" t="s">
        <v>127</v>
      </c>
      <c r="O377" s="26">
        <v>4.4489999999999998</v>
      </c>
      <c r="P377" s="26" t="s">
        <v>293</v>
      </c>
    </row>
    <row r="378" spans="1:16" x14ac:dyDescent="0.3">
      <c r="A378" s="24">
        <v>13</v>
      </c>
      <c r="B378" s="102">
        <v>46045</v>
      </c>
      <c r="C378" s="25" t="s">
        <v>356</v>
      </c>
      <c r="D378" s="103" t="s">
        <v>131</v>
      </c>
      <c r="E378" s="26">
        <v>8.5</v>
      </c>
      <c r="F378" s="26" t="s">
        <v>293</v>
      </c>
      <c r="K378" s="24">
        <v>13</v>
      </c>
      <c r="L378" s="102">
        <v>46045</v>
      </c>
      <c r="M378" s="25" t="s">
        <v>357</v>
      </c>
      <c r="N378" s="103" t="s">
        <v>131</v>
      </c>
      <c r="O378" s="26">
        <v>11.9</v>
      </c>
      <c r="P378" s="26" t="s">
        <v>293</v>
      </c>
    </row>
    <row r="379" spans="1:16" x14ac:dyDescent="0.3">
      <c r="A379" s="24">
        <v>13</v>
      </c>
      <c r="B379" s="102">
        <v>46045</v>
      </c>
      <c r="C379" s="25" t="s">
        <v>356</v>
      </c>
      <c r="D379" s="103" t="s">
        <v>342</v>
      </c>
      <c r="E379" s="26">
        <v>330</v>
      </c>
      <c r="F379" s="26" t="s">
        <v>293</v>
      </c>
      <c r="K379" s="24">
        <v>13</v>
      </c>
      <c r="L379" s="102">
        <v>46045</v>
      </c>
      <c r="M379" s="25" t="s">
        <v>357</v>
      </c>
      <c r="N379" s="103" t="s">
        <v>342</v>
      </c>
      <c r="O379" s="26">
        <v>201</v>
      </c>
      <c r="P379" s="26" t="s">
        <v>293</v>
      </c>
    </row>
    <row r="380" spans="1:16" x14ac:dyDescent="0.3">
      <c r="A380" s="24">
        <v>13</v>
      </c>
      <c r="B380" s="102">
        <v>46045</v>
      </c>
      <c r="C380" s="25" t="s">
        <v>356</v>
      </c>
      <c r="D380" s="103" t="s">
        <v>119</v>
      </c>
      <c r="E380" s="26">
        <v>235</v>
      </c>
      <c r="F380" s="26" t="s">
        <v>293</v>
      </c>
      <c r="K380" s="24">
        <v>13</v>
      </c>
      <c r="L380" s="102">
        <v>46045</v>
      </c>
      <c r="M380" s="25" t="s">
        <v>357</v>
      </c>
      <c r="N380" s="103" t="s">
        <v>119</v>
      </c>
      <c r="O380" s="26">
        <v>85</v>
      </c>
      <c r="P380" s="26" t="s">
        <v>293</v>
      </c>
    </row>
    <row r="381" spans="1:16" x14ac:dyDescent="0.3">
      <c r="A381" s="24">
        <v>13</v>
      </c>
      <c r="B381" s="102">
        <v>46045</v>
      </c>
      <c r="C381" s="25" t="s">
        <v>356</v>
      </c>
      <c r="D381" s="103" t="s">
        <v>120</v>
      </c>
      <c r="E381" s="26">
        <v>77</v>
      </c>
      <c r="F381" s="26" t="s">
        <v>293</v>
      </c>
      <c r="K381" s="24">
        <v>13</v>
      </c>
      <c r="L381" s="102">
        <v>46045</v>
      </c>
      <c r="M381" s="25" t="s">
        <v>357</v>
      </c>
      <c r="N381" s="103" t="s">
        <v>120</v>
      </c>
      <c r="O381" s="26">
        <v>26</v>
      </c>
      <c r="P381" s="26" t="s">
        <v>293</v>
      </c>
    </row>
    <row r="382" spans="1:16" x14ac:dyDescent="0.3">
      <c r="A382" s="24">
        <v>13</v>
      </c>
      <c r="B382" s="102">
        <v>46045</v>
      </c>
      <c r="C382" s="25" t="s">
        <v>356</v>
      </c>
      <c r="D382" s="103" t="s">
        <v>117</v>
      </c>
      <c r="E382" s="26">
        <v>2.64</v>
      </c>
      <c r="F382" s="26" t="s">
        <v>293</v>
      </c>
      <c r="K382" s="24">
        <v>13</v>
      </c>
      <c r="L382" s="102">
        <v>46045</v>
      </c>
      <c r="M382" s="25" t="s">
        <v>357</v>
      </c>
      <c r="N382" s="103" t="s">
        <v>117</v>
      </c>
      <c r="O382" s="26">
        <v>6.11</v>
      </c>
      <c r="P382" s="26" t="s">
        <v>293</v>
      </c>
    </row>
    <row r="383" spans="1:16" x14ac:dyDescent="0.3">
      <c r="A383" s="24">
        <v>13</v>
      </c>
      <c r="B383" s="102">
        <v>46045</v>
      </c>
      <c r="C383" s="25" t="s">
        <v>356</v>
      </c>
      <c r="D383" s="103" t="s">
        <v>344</v>
      </c>
      <c r="E383" s="26">
        <v>229</v>
      </c>
      <c r="F383" s="26" t="s">
        <v>293</v>
      </c>
      <c r="K383" s="24">
        <v>13</v>
      </c>
      <c r="L383" s="102">
        <v>46045</v>
      </c>
      <c r="M383" s="25" t="s">
        <v>357</v>
      </c>
      <c r="N383" s="103" t="s">
        <v>344</v>
      </c>
      <c r="O383" s="26">
        <v>67</v>
      </c>
      <c r="P383" s="26" t="s">
        <v>293</v>
      </c>
    </row>
    <row r="384" spans="1:16" x14ac:dyDescent="0.3">
      <c r="A384" s="24">
        <v>13</v>
      </c>
      <c r="B384" s="102">
        <v>46045</v>
      </c>
      <c r="C384" s="25" t="s">
        <v>356</v>
      </c>
      <c r="D384" s="103" t="s">
        <v>132</v>
      </c>
      <c r="E384" s="26">
        <v>3.64</v>
      </c>
      <c r="F384" s="26" t="s">
        <v>293</v>
      </c>
      <c r="K384" s="24">
        <v>13</v>
      </c>
      <c r="L384" s="102">
        <v>46045</v>
      </c>
      <c r="M384" s="25" t="s">
        <v>357</v>
      </c>
      <c r="N384" s="103" t="s">
        <v>132</v>
      </c>
      <c r="O384" s="26">
        <v>7.5</v>
      </c>
      <c r="P384" s="26" t="s">
        <v>293</v>
      </c>
    </row>
    <row r="385" spans="1:16" x14ac:dyDescent="0.3">
      <c r="A385" s="24">
        <v>13</v>
      </c>
      <c r="B385" s="102">
        <v>46045</v>
      </c>
      <c r="C385" s="25" t="s">
        <v>356</v>
      </c>
      <c r="D385" s="103" t="s">
        <v>111</v>
      </c>
      <c r="E385" s="26">
        <v>88</v>
      </c>
      <c r="F385" s="26" t="s">
        <v>293</v>
      </c>
      <c r="K385" s="24">
        <v>13</v>
      </c>
      <c r="L385" s="102">
        <v>46045</v>
      </c>
      <c r="M385" s="25" t="s">
        <v>357</v>
      </c>
      <c r="N385" s="103" t="s">
        <v>111</v>
      </c>
      <c r="O385" s="26">
        <v>282</v>
      </c>
      <c r="P385" s="26" t="s">
        <v>293</v>
      </c>
    </row>
    <row r="386" spans="1:16" x14ac:dyDescent="0.3">
      <c r="A386" s="24">
        <v>13</v>
      </c>
      <c r="B386" s="102">
        <v>46045</v>
      </c>
      <c r="C386" s="25" t="s">
        <v>356</v>
      </c>
      <c r="D386" s="103" t="s">
        <v>345</v>
      </c>
      <c r="E386" s="26">
        <v>5.28</v>
      </c>
      <c r="F386" s="26" t="s">
        <v>293</v>
      </c>
      <c r="K386" s="24">
        <v>13</v>
      </c>
      <c r="L386" s="102">
        <v>46045</v>
      </c>
      <c r="M386" s="25" t="s">
        <v>357</v>
      </c>
      <c r="N386" s="103" t="s">
        <v>345</v>
      </c>
      <c r="O386" s="26">
        <v>9.66</v>
      </c>
      <c r="P386" s="26" t="s">
        <v>293</v>
      </c>
    </row>
    <row r="387" spans="1:16" x14ac:dyDescent="0.3">
      <c r="A387" s="24">
        <v>13</v>
      </c>
      <c r="B387" s="102">
        <v>46045</v>
      </c>
      <c r="C387" s="25" t="s">
        <v>356</v>
      </c>
      <c r="D387" s="103" t="s">
        <v>347</v>
      </c>
      <c r="E387" s="26">
        <v>2.2200000000000002</v>
      </c>
      <c r="F387" s="26" t="s">
        <v>293</v>
      </c>
      <c r="K387" s="24">
        <v>13</v>
      </c>
      <c r="L387" s="102">
        <v>46045</v>
      </c>
      <c r="M387" s="25" t="s">
        <v>357</v>
      </c>
      <c r="N387" s="103" t="s">
        <v>347</v>
      </c>
      <c r="O387" s="26">
        <v>4.72</v>
      </c>
      <c r="P387" s="26" t="s">
        <v>293</v>
      </c>
    </row>
    <row r="388" spans="1:16" x14ac:dyDescent="0.3">
      <c r="A388" s="24">
        <v>13</v>
      </c>
      <c r="B388" s="102">
        <v>46045</v>
      </c>
      <c r="C388" s="25" t="s">
        <v>356</v>
      </c>
      <c r="D388" s="103" t="s">
        <v>128</v>
      </c>
      <c r="E388" s="26">
        <v>6.9</v>
      </c>
      <c r="F388" s="26" t="s">
        <v>293</v>
      </c>
      <c r="K388" s="24">
        <v>13</v>
      </c>
      <c r="L388" s="102">
        <v>46045</v>
      </c>
      <c r="M388" s="25" t="s">
        <v>357</v>
      </c>
      <c r="N388" s="103" t="s">
        <v>128</v>
      </c>
      <c r="O388" s="26">
        <v>4.4000000000000004</v>
      </c>
      <c r="P388" s="26" t="s">
        <v>293</v>
      </c>
    </row>
    <row r="389" spans="1:16" x14ac:dyDescent="0.3">
      <c r="A389" s="24">
        <v>13</v>
      </c>
      <c r="B389" s="102">
        <v>46045</v>
      </c>
      <c r="C389" s="25" t="s">
        <v>356</v>
      </c>
      <c r="D389" s="103" t="s">
        <v>121</v>
      </c>
      <c r="E389" s="26">
        <v>160</v>
      </c>
      <c r="F389" s="26" t="s">
        <v>293</v>
      </c>
      <c r="K389" s="24">
        <v>13</v>
      </c>
      <c r="L389" s="102">
        <v>46045</v>
      </c>
      <c r="M389" s="25" t="s">
        <v>357</v>
      </c>
      <c r="N389" s="103" t="s">
        <v>121</v>
      </c>
      <c r="O389" s="26">
        <v>81</v>
      </c>
      <c r="P389" s="26" t="s">
        <v>293</v>
      </c>
    </row>
    <row r="390" spans="1:16" x14ac:dyDescent="0.3">
      <c r="A390" s="24">
        <v>13</v>
      </c>
      <c r="B390" s="102">
        <v>46045</v>
      </c>
      <c r="C390" s="25" t="s">
        <v>356</v>
      </c>
      <c r="D390" s="103" t="s">
        <v>115</v>
      </c>
      <c r="E390" s="26">
        <v>34</v>
      </c>
      <c r="F390" s="26" t="s">
        <v>293</v>
      </c>
      <c r="K390" s="24">
        <v>13</v>
      </c>
      <c r="L390" s="102">
        <v>46045</v>
      </c>
      <c r="M390" s="25" t="s">
        <v>357</v>
      </c>
      <c r="N390" s="103" t="s">
        <v>115</v>
      </c>
      <c r="O390" s="26">
        <v>100</v>
      </c>
      <c r="P390" s="26" t="s">
        <v>293</v>
      </c>
    </row>
    <row r="391" spans="1:16" x14ac:dyDescent="0.3">
      <c r="A391" s="24">
        <v>13</v>
      </c>
      <c r="B391" s="102">
        <v>46045</v>
      </c>
      <c r="C391" s="25" t="s">
        <v>356</v>
      </c>
      <c r="D391" s="103" t="s">
        <v>137</v>
      </c>
      <c r="E391" s="26">
        <v>75</v>
      </c>
      <c r="F391" s="26" t="s">
        <v>293</v>
      </c>
      <c r="K391" s="24">
        <v>13</v>
      </c>
      <c r="L391" s="102">
        <v>46045</v>
      </c>
      <c r="M391" s="25" t="s">
        <v>357</v>
      </c>
      <c r="N391" s="103" t="s">
        <v>137</v>
      </c>
      <c r="O391" s="26">
        <v>482</v>
      </c>
      <c r="P391" s="26" t="s">
        <v>293</v>
      </c>
    </row>
    <row r="392" spans="1:16" x14ac:dyDescent="0.3">
      <c r="A392" s="24">
        <v>13</v>
      </c>
      <c r="B392" s="102">
        <v>46045</v>
      </c>
      <c r="C392" s="25" t="s">
        <v>356</v>
      </c>
      <c r="D392" s="103" t="s">
        <v>348</v>
      </c>
      <c r="E392" s="26">
        <v>140</v>
      </c>
      <c r="F392" s="26" t="s">
        <v>293</v>
      </c>
      <c r="K392" s="24">
        <v>13</v>
      </c>
      <c r="L392" s="102">
        <v>46045</v>
      </c>
      <c r="M392" s="25" t="s">
        <v>357</v>
      </c>
      <c r="N392" s="103" t="s">
        <v>348</v>
      </c>
      <c r="O392" s="26">
        <v>437</v>
      </c>
      <c r="P392" s="26" t="s">
        <v>293</v>
      </c>
    </row>
    <row r="393" spans="1:16" x14ac:dyDescent="0.3">
      <c r="A393" s="24">
        <v>13</v>
      </c>
      <c r="B393" s="102">
        <v>46045</v>
      </c>
      <c r="C393" s="25" t="s">
        <v>356</v>
      </c>
      <c r="D393" s="103" t="s">
        <v>125</v>
      </c>
      <c r="E393" s="26">
        <v>111</v>
      </c>
      <c r="F393" s="26" t="s">
        <v>293</v>
      </c>
      <c r="K393" s="24">
        <v>13</v>
      </c>
      <c r="L393" s="102">
        <v>46045</v>
      </c>
      <c r="M393" s="25" t="s">
        <v>357</v>
      </c>
      <c r="N393" s="103" t="s">
        <v>125</v>
      </c>
      <c r="O393" s="26">
        <v>417</v>
      </c>
      <c r="P393" s="26" t="s">
        <v>293</v>
      </c>
    </row>
    <row r="394" spans="1:16" x14ac:dyDescent="0.3">
      <c r="A394" s="24">
        <v>13</v>
      </c>
      <c r="B394" s="102">
        <v>46045</v>
      </c>
      <c r="C394" s="25" t="s">
        <v>356</v>
      </c>
      <c r="D394" s="103" t="s">
        <v>126</v>
      </c>
      <c r="E394" s="26">
        <v>76</v>
      </c>
      <c r="F394" s="26" t="s">
        <v>293</v>
      </c>
      <c r="K394" s="24">
        <v>13</v>
      </c>
      <c r="L394" s="102">
        <v>46045</v>
      </c>
      <c r="M394" s="25" t="s">
        <v>357</v>
      </c>
      <c r="N394" s="103" t="s">
        <v>126</v>
      </c>
      <c r="O394" s="26">
        <v>150</v>
      </c>
      <c r="P394" s="26" t="s">
        <v>293</v>
      </c>
    </row>
    <row r="395" spans="1:16" x14ac:dyDescent="0.3">
      <c r="A395" s="24">
        <v>13</v>
      </c>
      <c r="B395" s="102">
        <v>46045</v>
      </c>
      <c r="C395" s="25" t="s">
        <v>356</v>
      </c>
      <c r="D395" s="103" t="s">
        <v>349</v>
      </c>
      <c r="E395" s="26">
        <v>160</v>
      </c>
      <c r="F395" s="26" t="s">
        <v>293</v>
      </c>
      <c r="K395" s="24">
        <v>13</v>
      </c>
      <c r="L395" s="102">
        <v>46045</v>
      </c>
      <c r="M395" s="25" t="s">
        <v>357</v>
      </c>
      <c r="N395" s="103" t="s">
        <v>349</v>
      </c>
      <c r="O395" s="26">
        <v>379</v>
      </c>
      <c r="P395" s="26" t="s">
        <v>293</v>
      </c>
    </row>
    <row r="396" spans="1:16" x14ac:dyDescent="0.3">
      <c r="A396" s="24">
        <v>13</v>
      </c>
      <c r="B396" s="102">
        <v>46045</v>
      </c>
      <c r="C396" s="25" t="s">
        <v>356</v>
      </c>
      <c r="D396" s="103" t="s">
        <v>350</v>
      </c>
      <c r="E396" s="26">
        <v>60</v>
      </c>
      <c r="F396" s="26" t="s">
        <v>293</v>
      </c>
      <c r="K396" s="24">
        <v>13</v>
      </c>
      <c r="L396" s="102">
        <v>46045</v>
      </c>
      <c r="M396" s="25" t="s">
        <v>357</v>
      </c>
      <c r="N396" s="103" t="s">
        <v>350</v>
      </c>
      <c r="O396" s="26">
        <v>86</v>
      </c>
      <c r="P396" s="26" t="s">
        <v>293</v>
      </c>
    </row>
    <row r="397" spans="1:16" x14ac:dyDescent="0.3">
      <c r="A397" s="24">
        <v>13</v>
      </c>
      <c r="B397" s="102">
        <v>46045</v>
      </c>
      <c r="C397" s="25" t="s">
        <v>356</v>
      </c>
      <c r="D397" s="103" t="s">
        <v>122</v>
      </c>
      <c r="E397" s="26">
        <v>47</v>
      </c>
      <c r="F397" s="26" t="s">
        <v>293</v>
      </c>
      <c r="K397" s="24">
        <v>13</v>
      </c>
      <c r="L397" s="102">
        <v>46045</v>
      </c>
      <c r="M397" s="25" t="s">
        <v>357</v>
      </c>
      <c r="N397" s="103" t="s">
        <v>122</v>
      </c>
      <c r="O397" s="26">
        <v>222</v>
      </c>
      <c r="P397" s="26" t="s">
        <v>293</v>
      </c>
    </row>
    <row r="398" spans="1:16" x14ac:dyDescent="0.3">
      <c r="A398" s="24">
        <v>13</v>
      </c>
      <c r="B398" s="102">
        <v>46045</v>
      </c>
      <c r="C398" s="25" t="s">
        <v>356</v>
      </c>
      <c r="D398" s="103" t="s">
        <v>124</v>
      </c>
      <c r="E398" s="26">
        <v>29</v>
      </c>
      <c r="F398" s="26" t="s">
        <v>293</v>
      </c>
      <c r="K398" s="24">
        <v>13</v>
      </c>
      <c r="L398" s="102">
        <v>46045</v>
      </c>
      <c r="M398" s="25" t="s">
        <v>357</v>
      </c>
      <c r="N398" s="103" t="s">
        <v>124</v>
      </c>
      <c r="O398" s="26">
        <v>106</v>
      </c>
      <c r="P398" s="26" t="s">
        <v>293</v>
      </c>
    </row>
    <row r="399" spans="1:16" x14ac:dyDescent="0.3">
      <c r="A399" s="24">
        <v>13</v>
      </c>
      <c r="B399" s="102">
        <v>46045</v>
      </c>
      <c r="C399" s="25" t="s">
        <v>356</v>
      </c>
      <c r="D399" s="103" t="s">
        <v>351</v>
      </c>
      <c r="E399" s="26">
        <v>0.98</v>
      </c>
      <c r="F399" s="26" t="s">
        <v>293</v>
      </c>
      <c r="K399" s="24">
        <v>13</v>
      </c>
      <c r="L399" s="102">
        <v>46045</v>
      </c>
      <c r="M399" s="25" t="s">
        <v>357</v>
      </c>
      <c r="N399" s="103" t="s">
        <v>351</v>
      </c>
      <c r="O399" s="26">
        <v>3.56</v>
      </c>
      <c r="P399" s="26" t="s">
        <v>293</v>
      </c>
    </row>
    <row r="400" spans="1:16" x14ac:dyDescent="0.3">
      <c r="A400" s="24">
        <v>13</v>
      </c>
      <c r="B400" s="102">
        <v>46045</v>
      </c>
      <c r="C400" s="25" t="s">
        <v>356</v>
      </c>
      <c r="D400" s="103" t="s">
        <v>353</v>
      </c>
      <c r="E400" s="26">
        <v>11.7</v>
      </c>
      <c r="F400" s="26" t="s">
        <v>293</v>
      </c>
      <c r="K400" s="24">
        <v>13</v>
      </c>
      <c r="L400" s="102">
        <v>46045</v>
      </c>
      <c r="M400" s="25" t="s">
        <v>357</v>
      </c>
      <c r="N400" s="103" t="s">
        <v>353</v>
      </c>
      <c r="O400" s="26">
        <v>7.7</v>
      </c>
      <c r="P400" s="26" t="s">
        <v>293</v>
      </c>
    </row>
    <row r="401" spans="1:16" x14ac:dyDescent="0.3">
      <c r="A401" s="24">
        <v>13</v>
      </c>
      <c r="B401" s="102">
        <v>46045</v>
      </c>
      <c r="C401" s="25" t="s">
        <v>356</v>
      </c>
      <c r="D401" s="103" t="s">
        <v>133</v>
      </c>
      <c r="E401" s="26">
        <v>146</v>
      </c>
      <c r="F401" s="26" t="s">
        <v>293</v>
      </c>
      <c r="K401" s="24">
        <v>13</v>
      </c>
      <c r="L401" s="102">
        <v>46045</v>
      </c>
      <c r="M401" s="25" t="s">
        <v>357</v>
      </c>
      <c r="N401" s="103" t="s">
        <v>133</v>
      </c>
      <c r="O401" s="26">
        <v>127</v>
      </c>
      <c r="P401" s="26" t="s">
        <v>293</v>
      </c>
    </row>
    <row r="402" spans="1:16" x14ac:dyDescent="0.3">
      <c r="A402" s="24">
        <v>13</v>
      </c>
      <c r="B402" s="102">
        <v>46045</v>
      </c>
      <c r="C402" s="25" t="s">
        <v>356</v>
      </c>
      <c r="D402" s="103" t="s">
        <v>135</v>
      </c>
      <c r="E402" s="26">
        <v>3.8</v>
      </c>
      <c r="F402" s="26" t="s">
        <v>293</v>
      </c>
      <c r="K402" s="24">
        <v>13</v>
      </c>
      <c r="L402" s="102">
        <v>46045</v>
      </c>
      <c r="M402" s="25" t="s">
        <v>357</v>
      </c>
      <c r="N402" s="103" t="s">
        <v>135</v>
      </c>
      <c r="O402" s="26">
        <v>6.4</v>
      </c>
      <c r="P402" s="26" t="s">
        <v>293</v>
      </c>
    </row>
    <row r="403" spans="1:16" x14ac:dyDescent="0.3">
      <c r="A403" s="24">
        <v>13</v>
      </c>
      <c r="B403" s="102">
        <v>46045</v>
      </c>
      <c r="C403" s="25" t="s">
        <v>356</v>
      </c>
      <c r="D403" s="103" t="s">
        <v>136</v>
      </c>
      <c r="E403" s="26">
        <v>119</v>
      </c>
      <c r="F403" s="26" t="s">
        <v>293</v>
      </c>
      <c r="K403" s="24">
        <v>13</v>
      </c>
      <c r="L403" s="102">
        <v>46045</v>
      </c>
      <c r="M403" s="25" t="s">
        <v>357</v>
      </c>
      <c r="N403" s="103" t="s">
        <v>136</v>
      </c>
      <c r="O403" s="26">
        <v>95</v>
      </c>
      <c r="P403" s="26" t="s">
        <v>293</v>
      </c>
    </row>
    <row r="404" spans="1:16" x14ac:dyDescent="0.3">
      <c r="A404" s="24">
        <v>14</v>
      </c>
      <c r="B404" s="102">
        <v>46048</v>
      </c>
      <c r="C404" s="25" t="s">
        <v>356</v>
      </c>
      <c r="D404" s="103" t="s">
        <v>339</v>
      </c>
      <c r="E404" s="26">
        <v>4.72</v>
      </c>
      <c r="F404" s="26" t="s">
        <v>293</v>
      </c>
      <c r="K404" s="24">
        <v>14</v>
      </c>
      <c r="L404" s="102">
        <v>46048</v>
      </c>
      <c r="M404" s="25" t="s">
        <v>357</v>
      </c>
      <c r="N404" s="103" t="s">
        <v>339</v>
      </c>
      <c r="O404" s="26">
        <v>1.1499999999999999</v>
      </c>
      <c r="P404" s="26" t="s">
        <v>293</v>
      </c>
    </row>
    <row r="405" spans="1:16" x14ac:dyDescent="0.3">
      <c r="A405" s="24">
        <v>14</v>
      </c>
      <c r="B405" s="102">
        <v>46048</v>
      </c>
      <c r="C405" s="25" t="s">
        <v>356</v>
      </c>
      <c r="D405" s="103" t="s">
        <v>118</v>
      </c>
      <c r="E405" s="26">
        <v>4.5999999999999996</v>
      </c>
      <c r="F405" s="26" t="s">
        <v>293</v>
      </c>
      <c r="K405" s="24">
        <v>14</v>
      </c>
      <c r="L405" s="102">
        <v>46048</v>
      </c>
      <c r="M405" s="25" t="s">
        <v>357</v>
      </c>
      <c r="N405" s="103" t="s">
        <v>118</v>
      </c>
      <c r="O405" s="26">
        <v>9.6</v>
      </c>
      <c r="P405" s="26" t="s">
        <v>293</v>
      </c>
    </row>
    <row r="406" spans="1:16" x14ac:dyDescent="0.3">
      <c r="A406" s="24">
        <v>14</v>
      </c>
      <c r="B406" s="102">
        <v>46048</v>
      </c>
      <c r="C406" s="25" t="s">
        <v>356</v>
      </c>
      <c r="D406" s="103" t="s">
        <v>130</v>
      </c>
      <c r="E406" s="26">
        <v>4.0919999999999996</v>
      </c>
      <c r="F406" s="26" t="s">
        <v>293</v>
      </c>
      <c r="K406" s="24">
        <v>14</v>
      </c>
      <c r="L406" s="102">
        <v>46048</v>
      </c>
      <c r="M406" s="25" t="s">
        <v>357</v>
      </c>
      <c r="N406" s="103" t="s">
        <v>130</v>
      </c>
      <c r="O406" s="26">
        <v>2.6080000000000001</v>
      </c>
      <c r="P406" s="26" t="s">
        <v>293</v>
      </c>
    </row>
    <row r="407" spans="1:16" x14ac:dyDescent="0.3">
      <c r="A407" s="24">
        <v>14</v>
      </c>
      <c r="B407" s="102">
        <v>46048</v>
      </c>
      <c r="C407" s="25" t="s">
        <v>356</v>
      </c>
      <c r="D407" s="103" t="s">
        <v>341</v>
      </c>
      <c r="E407" s="26">
        <v>0.27500000000000002</v>
      </c>
      <c r="F407" s="26" t="s">
        <v>293</v>
      </c>
      <c r="K407" s="24">
        <v>14</v>
      </c>
      <c r="L407" s="102">
        <v>46048</v>
      </c>
      <c r="M407" s="25" t="s">
        <v>357</v>
      </c>
      <c r="N407" s="103" t="s">
        <v>341</v>
      </c>
      <c r="O407" s="26">
        <v>1.0529999999999999</v>
      </c>
      <c r="P407" s="26" t="s">
        <v>293</v>
      </c>
    </row>
    <row r="408" spans="1:16" x14ac:dyDescent="0.3">
      <c r="A408" s="24">
        <v>14</v>
      </c>
      <c r="B408" s="102">
        <v>46048</v>
      </c>
      <c r="C408" s="25" t="s">
        <v>356</v>
      </c>
      <c r="D408" s="103" t="s">
        <v>127</v>
      </c>
      <c r="E408" s="26">
        <v>1.173</v>
      </c>
      <c r="F408" s="26" t="s">
        <v>293</v>
      </c>
      <c r="K408" s="24">
        <v>14</v>
      </c>
      <c r="L408" s="102">
        <v>46048</v>
      </c>
      <c r="M408" s="25" t="s">
        <v>357</v>
      </c>
      <c r="N408" s="103" t="s">
        <v>127</v>
      </c>
      <c r="O408" s="26">
        <v>4.4109999999999996</v>
      </c>
      <c r="P408" s="26" t="s">
        <v>293</v>
      </c>
    </row>
    <row r="409" spans="1:16" x14ac:dyDescent="0.3">
      <c r="A409" s="24">
        <v>14</v>
      </c>
      <c r="B409" s="102">
        <v>46048</v>
      </c>
      <c r="C409" s="25" t="s">
        <v>356</v>
      </c>
      <c r="D409" s="103" t="s">
        <v>131</v>
      </c>
      <c r="E409" s="26">
        <v>8.6999999999999993</v>
      </c>
      <c r="F409" s="26" t="s">
        <v>293</v>
      </c>
      <c r="K409" s="24">
        <v>14</v>
      </c>
      <c r="L409" s="102">
        <v>46048</v>
      </c>
      <c r="M409" s="25" t="s">
        <v>357</v>
      </c>
      <c r="N409" s="103" t="s">
        <v>131</v>
      </c>
      <c r="O409" s="26">
        <v>12.2</v>
      </c>
      <c r="P409" s="26" t="s">
        <v>293</v>
      </c>
    </row>
    <row r="410" spans="1:16" x14ac:dyDescent="0.3">
      <c r="A410" s="24">
        <v>14</v>
      </c>
      <c r="B410" s="102">
        <v>46048</v>
      </c>
      <c r="C410" s="25" t="s">
        <v>356</v>
      </c>
      <c r="D410" s="103" t="s">
        <v>342</v>
      </c>
      <c r="E410" s="26">
        <v>329</v>
      </c>
      <c r="F410" s="26" t="s">
        <v>293</v>
      </c>
      <c r="K410" s="24">
        <v>14</v>
      </c>
      <c r="L410" s="102">
        <v>46048</v>
      </c>
      <c r="M410" s="25" t="s">
        <v>357</v>
      </c>
      <c r="N410" s="103" t="s">
        <v>342</v>
      </c>
      <c r="O410" s="26">
        <v>198</v>
      </c>
      <c r="P410" s="26" t="s">
        <v>293</v>
      </c>
    </row>
    <row r="411" spans="1:16" x14ac:dyDescent="0.3">
      <c r="A411" s="24">
        <v>14</v>
      </c>
      <c r="B411" s="102">
        <v>46048</v>
      </c>
      <c r="C411" s="25" t="s">
        <v>356</v>
      </c>
      <c r="D411" s="103" t="s">
        <v>119</v>
      </c>
      <c r="E411" s="26">
        <v>235</v>
      </c>
      <c r="F411" s="26" t="s">
        <v>293</v>
      </c>
      <c r="K411" s="24">
        <v>14</v>
      </c>
      <c r="L411" s="102">
        <v>46048</v>
      </c>
      <c r="M411" s="25" t="s">
        <v>357</v>
      </c>
      <c r="N411" s="103" t="s">
        <v>119</v>
      </c>
      <c r="O411" s="26">
        <v>84</v>
      </c>
      <c r="P411" s="26" t="s">
        <v>293</v>
      </c>
    </row>
    <row r="412" spans="1:16" x14ac:dyDescent="0.3">
      <c r="A412" s="24">
        <v>14</v>
      </c>
      <c r="B412" s="102">
        <v>46048</v>
      </c>
      <c r="C412" s="25" t="s">
        <v>356</v>
      </c>
      <c r="D412" s="103" t="s">
        <v>120</v>
      </c>
      <c r="E412" s="26">
        <v>77</v>
      </c>
      <c r="F412" s="26" t="s">
        <v>293</v>
      </c>
      <c r="K412" s="24">
        <v>14</v>
      </c>
      <c r="L412" s="102">
        <v>46048</v>
      </c>
      <c r="M412" s="25" t="s">
        <v>357</v>
      </c>
      <c r="N412" s="103" t="s">
        <v>120</v>
      </c>
      <c r="O412" s="26">
        <v>27</v>
      </c>
      <c r="P412" s="26" t="s">
        <v>293</v>
      </c>
    </row>
    <row r="413" spans="1:16" x14ac:dyDescent="0.3">
      <c r="A413" s="24">
        <v>14</v>
      </c>
      <c r="B413" s="102">
        <v>46048</v>
      </c>
      <c r="C413" s="25" t="s">
        <v>356</v>
      </c>
      <c r="D413" s="103" t="s">
        <v>117</v>
      </c>
      <c r="E413" s="26">
        <v>2.64</v>
      </c>
      <c r="F413" s="26" t="s">
        <v>293</v>
      </c>
      <c r="K413" s="24">
        <v>14</v>
      </c>
      <c r="L413" s="102">
        <v>46048</v>
      </c>
      <c r="M413" s="25" t="s">
        <v>357</v>
      </c>
      <c r="N413" s="103" t="s">
        <v>117</v>
      </c>
      <c r="O413" s="26">
        <v>6.21</v>
      </c>
      <c r="P413" s="26" t="s">
        <v>293</v>
      </c>
    </row>
    <row r="414" spans="1:16" x14ac:dyDescent="0.3">
      <c r="A414" s="24">
        <v>14</v>
      </c>
      <c r="B414" s="102">
        <v>46048</v>
      </c>
      <c r="C414" s="25" t="s">
        <v>356</v>
      </c>
      <c r="D414" s="103" t="s">
        <v>344</v>
      </c>
      <c r="E414" s="26">
        <v>231</v>
      </c>
      <c r="F414" s="26" t="s">
        <v>293</v>
      </c>
      <c r="K414" s="24">
        <v>14</v>
      </c>
      <c r="L414" s="102">
        <v>46048</v>
      </c>
      <c r="M414" s="25" t="s">
        <v>357</v>
      </c>
      <c r="N414" s="103" t="s">
        <v>344</v>
      </c>
      <c r="O414" s="26">
        <v>68</v>
      </c>
      <c r="P414" s="26" t="s">
        <v>293</v>
      </c>
    </row>
    <row r="415" spans="1:16" x14ac:dyDescent="0.3">
      <c r="A415" s="24">
        <v>14</v>
      </c>
      <c r="B415" s="102">
        <v>46048</v>
      </c>
      <c r="C415" s="25" t="s">
        <v>356</v>
      </c>
      <c r="D415" s="103" t="s">
        <v>132</v>
      </c>
      <c r="E415" s="26">
        <v>3.55</v>
      </c>
      <c r="F415" s="26" t="s">
        <v>293</v>
      </c>
      <c r="K415" s="24">
        <v>14</v>
      </c>
      <c r="L415" s="102">
        <v>46048</v>
      </c>
      <c r="M415" s="25" t="s">
        <v>357</v>
      </c>
      <c r="N415" s="103" t="s">
        <v>132</v>
      </c>
      <c r="O415" s="26">
        <v>7.28</v>
      </c>
      <c r="P415" s="26" t="s">
        <v>293</v>
      </c>
    </row>
    <row r="416" spans="1:16" x14ac:dyDescent="0.3">
      <c r="A416" s="24">
        <v>14</v>
      </c>
      <c r="B416" s="102">
        <v>46048</v>
      </c>
      <c r="C416" s="25" t="s">
        <v>356</v>
      </c>
      <c r="D416" s="103" t="s">
        <v>111</v>
      </c>
      <c r="E416" s="26">
        <v>88</v>
      </c>
      <c r="F416" s="26" t="s">
        <v>293</v>
      </c>
      <c r="K416" s="24">
        <v>14</v>
      </c>
      <c r="L416" s="102">
        <v>46048</v>
      </c>
      <c r="M416" s="25" t="s">
        <v>357</v>
      </c>
      <c r="N416" s="103" t="s">
        <v>111</v>
      </c>
      <c r="O416" s="26">
        <v>285</v>
      </c>
      <c r="P416" s="26" t="s">
        <v>293</v>
      </c>
    </row>
    <row r="417" spans="1:16" x14ac:dyDescent="0.3">
      <c r="A417" s="24">
        <v>14</v>
      </c>
      <c r="B417" s="102">
        <v>46048</v>
      </c>
      <c r="C417" s="25" t="s">
        <v>356</v>
      </c>
      <c r="D417" s="103" t="s">
        <v>345</v>
      </c>
      <c r="E417" s="26">
        <v>4.99</v>
      </c>
      <c r="F417" s="26" t="s">
        <v>293</v>
      </c>
      <c r="K417" s="24">
        <v>14</v>
      </c>
      <c r="L417" s="102">
        <v>46048</v>
      </c>
      <c r="M417" s="25" t="s">
        <v>357</v>
      </c>
      <c r="N417" s="103" t="s">
        <v>345</v>
      </c>
      <c r="O417" s="26">
        <v>10.1</v>
      </c>
      <c r="P417" s="26" t="s">
        <v>293</v>
      </c>
    </row>
    <row r="418" spans="1:16" x14ac:dyDescent="0.3">
      <c r="A418" s="24">
        <v>14</v>
      </c>
      <c r="B418" s="102">
        <v>46048</v>
      </c>
      <c r="C418" s="25" t="s">
        <v>356</v>
      </c>
      <c r="D418" s="103" t="s">
        <v>347</v>
      </c>
      <c r="E418" s="26">
        <v>2.2000000000000002</v>
      </c>
      <c r="F418" s="26" t="s">
        <v>293</v>
      </c>
      <c r="K418" s="24">
        <v>14</v>
      </c>
      <c r="L418" s="102">
        <v>46048</v>
      </c>
      <c r="M418" s="25" t="s">
        <v>357</v>
      </c>
      <c r="N418" s="103" t="s">
        <v>347</v>
      </c>
      <c r="O418" s="26">
        <v>4.72</v>
      </c>
      <c r="P418" s="26" t="s">
        <v>293</v>
      </c>
    </row>
    <row r="419" spans="1:16" x14ac:dyDescent="0.3">
      <c r="A419" s="24">
        <v>14</v>
      </c>
      <c r="B419" s="102">
        <v>46048</v>
      </c>
      <c r="C419" s="25" t="s">
        <v>356</v>
      </c>
      <c r="D419" s="103" t="s">
        <v>128</v>
      </c>
      <c r="E419" s="26">
        <v>6.9</v>
      </c>
      <c r="F419" s="26" t="s">
        <v>293</v>
      </c>
      <c r="K419" s="24">
        <v>14</v>
      </c>
      <c r="L419" s="102">
        <v>46048</v>
      </c>
      <c r="M419" s="25" t="s">
        <v>357</v>
      </c>
      <c r="N419" s="103" t="s">
        <v>128</v>
      </c>
      <c r="O419" s="26">
        <v>4.4000000000000004</v>
      </c>
      <c r="P419" s="26" t="s">
        <v>293</v>
      </c>
    </row>
    <row r="420" spans="1:16" x14ac:dyDescent="0.3">
      <c r="A420" s="24">
        <v>14</v>
      </c>
      <c r="B420" s="102">
        <v>46048</v>
      </c>
      <c r="C420" s="25" t="s">
        <v>356</v>
      </c>
      <c r="D420" s="103" t="s">
        <v>121</v>
      </c>
      <c r="E420" s="26">
        <v>161</v>
      </c>
      <c r="F420" s="26" t="s">
        <v>293</v>
      </c>
      <c r="K420" s="24">
        <v>14</v>
      </c>
      <c r="L420" s="102">
        <v>46048</v>
      </c>
      <c r="M420" s="25" t="s">
        <v>357</v>
      </c>
      <c r="N420" s="103" t="s">
        <v>121</v>
      </c>
      <c r="O420" s="26">
        <v>78</v>
      </c>
      <c r="P420" s="26" t="s">
        <v>293</v>
      </c>
    </row>
    <row r="421" spans="1:16" x14ac:dyDescent="0.3">
      <c r="A421" s="24">
        <v>14</v>
      </c>
      <c r="B421" s="102">
        <v>46048</v>
      </c>
      <c r="C421" s="25" t="s">
        <v>356</v>
      </c>
      <c r="D421" s="103" t="s">
        <v>115</v>
      </c>
      <c r="E421" s="26">
        <v>31</v>
      </c>
      <c r="F421" s="26" t="s">
        <v>293</v>
      </c>
      <c r="K421" s="24">
        <v>14</v>
      </c>
      <c r="L421" s="102">
        <v>46048</v>
      </c>
      <c r="M421" s="25" t="s">
        <v>357</v>
      </c>
      <c r="N421" s="103" t="s">
        <v>115</v>
      </c>
      <c r="O421" s="26">
        <v>93</v>
      </c>
      <c r="P421" s="26" t="s">
        <v>293</v>
      </c>
    </row>
    <row r="422" spans="1:16" x14ac:dyDescent="0.3">
      <c r="A422" s="24">
        <v>14</v>
      </c>
      <c r="B422" s="102">
        <v>46048</v>
      </c>
      <c r="C422" s="25" t="s">
        <v>356</v>
      </c>
      <c r="D422" s="103" t="s">
        <v>137</v>
      </c>
      <c r="E422" s="26">
        <v>75</v>
      </c>
      <c r="F422" s="26" t="s">
        <v>293</v>
      </c>
      <c r="K422" s="24">
        <v>14</v>
      </c>
      <c r="L422" s="102">
        <v>46048</v>
      </c>
      <c r="M422" s="25" t="s">
        <v>357</v>
      </c>
      <c r="N422" s="103" t="s">
        <v>137</v>
      </c>
      <c r="O422" s="26">
        <v>483</v>
      </c>
      <c r="P422" s="26" t="s">
        <v>293</v>
      </c>
    </row>
    <row r="423" spans="1:16" x14ac:dyDescent="0.3">
      <c r="A423" s="24">
        <v>14</v>
      </c>
      <c r="B423" s="102">
        <v>46048</v>
      </c>
      <c r="C423" s="25" t="s">
        <v>356</v>
      </c>
      <c r="D423" s="103" t="s">
        <v>348</v>
      </c>
      <c r="E423" s="26">
        <v>140</v>
      </c>
      <c r="F423" s="26" t="s">
        <v>293</v>
      </c>
      <c r="K423" s="24">
        <v>14</v>
      </c>
      <c r="L423" s="102">
        <v>46048</v>
      </c>
      <c r="M423" s="25" t="s">
        <v>357</v>
      </c>
      <c r="N423" s="103" t="s">
        <v>348</v>
      </c>
      <c r="O423" s="26">
        <v>429</v>
      </c>
      <c r="P423" s="26" t="s">
        <v>293</v>
      </c>
    </row>
    <row r="424" spans="1:16" x14ac:dyDescent="0.3">
      <c r="A424" s="24">
        <v>14</v>
      </c>
      <c r="B424" s="102">
        <v>46048</v>
      </c>
      <c r="C424" s="25" t="s">
        <v>356</v>
      </c>
      <c r="D424" s="103" t="s">
        <v>125</v>
      </c>
      <c r="E424" s="26">
        <v>124</v>
      </c>
      <c r="F424" s="26" t="s">
        <v>293</v>
      </c>
      <c r="K424" s="24">
        <v>14</v>
      </c>
      <c r="L424" s="102">
        <v>46048</v>
      </c>
      <c r="M424" s="25" t="s">
        <v>357</v>
      </c>
      <c r="N424" s="103" t="s">
        <v>125</v>
      </c>
      <c r="O424" s="26">
        <v>432</v>
      </c>
      <c r="P424" s="26" t="s">
        <v>293</v>
      </c>
    </row>
    <row r="425" spans="1:16" x14ac:dyDescent="0.3">
      <c r="A425" s="24">
        <v>14</v>
      </c>
      <c r="B425" s="102">
        <v>46048</v>
      </c>
      <c r="C425" s="25" t="s">
        <v>356</v>
      </c>
      <c r="D425" s="103" t="s">
        <v>126</v>
      </c>
      <c r="E425" s="26">
        <v>79</v>
      </c>
      <c r="F425" s="26" t="s">
        <v>293</v>
      </c>
      <c r="K425" s="24">
        <v>14</v>
      </c>
      <c r="L425" s="102">
        <v>46048</v>
      </c>
      <c r="M425" s="25" t="s">
        <v>357</v>
      </c>
      <c r="N425" s="103" t="s">
        <v>126</v>
      </c>
      <c r="O425" s="26">
        <v>152</v>
      </c>
      <c r="P425" s="26" t="s">
        <v>293</v>
      </c>
    </row>
    <row r="426" spans="1:16" x14ac:dyDescent="0.3">
      <c r="A426" s="24">
        <v>14</v>
      </c>
      <c r="B426" s="102">
        <v>46048</v>
      </c>
      <c r="C426" s="25" t="s">
        <v>356</v>
      </c>
      <c r="D426" s="103" t="s">
        <v>349</v>
      </c>
      <c r="E426" s="26">
        <v>167</v>
      </c>
      <c r="F426" s="26" t="s">
        <v>293</v>
      </c>
      <c r="K426" s="24">
        <v>14</v>
      </c>
      <c r="L426" s="102">
        <v>46048</v>
      </c>
      <c r="M426" s="25" t="s">
        <v>357</v>
      </c>
      <c r="N426" s="103" t="s">
        <v>349</v>
      </c>
      <c r="O426" s="26">
        <v>389</v>
      </c>
      <c r="P426" s="26" t="s">
        <v>293</v>
      </c>
    </row>
    <row r="427" spans="1:16" x14ac:dyDescent="0.3">
      <c r="A427" s="24">
        <v>14</v>
      </c>
      <c r="B427" s="102">
        <v>46048</v>
      </c>
      <c r="C427" s="25" t="s">
        <v>356</v>
      </c>
      <c r="D427" s="103" t="s">
        <v>350</v>
      </c>
      <c r="E427" s="26">
        <v>56</v>
      </c>
      <c r="F427" s="26" t="s">
        <v>293</v>
      </c>
      <c r="K427" s="24">
        <v>14</v>
      </c>
      <c r="L427" s="102">
        <v>46048</v>
      </c>
      <c r="M427" s="25" t="s">
        <v>357</v>
      </c>
      <c r="N427" s="103" t="s">
        <v>350</v>
      </c>
      <c r="O427" s="26">
        <v>83</v>
      </c>
      <c r="P427" s="26" t="s">
        <v>293</v>
      </c>
    </row>
    <row r="428" spans="1:16" x14ac:dyDescent="0.3">
      <c r="A428" s="24">
        <v>14</v>
      </c>
      <c r="B428" s="102">
        <v>46048</v>
      </c>
      <c r="C428" s="25" t="s">
        <v>356</v>
      </c>
      <c r="D428" s="103" t="s">
        <v>122</v>
      </c>
      <c r="E428" s="26">
        <v>46</v>
      </c>
      <c r="F428" s="26" t="s">
        <v>293</v>
      </c>
      <c r="K428" s="24">
        <v>14</v>
      </c>
      <c r="L428" s="102">
        <v>46048</v>
      </c>
      <c r="M428" s="25" t="s">
        <v>357</v>
      </c>
      <c r="N428" s="103" t="s">
        <v>122</v>
      </c>
      <c r="O428" s="26">
        <v>217</v>
      </c>
      <c r="P428" s="26" t="s">
        <v>293</v>
      </c>
    </row>
    <row r="429" spans="1:16" x14ac:dyDescent="0.3">
      <c r="A429" s="24">
        <v>14</v>
      </c>
      <c r="B429" s="102">
        <v>46048</v>
      </c>
      <c r="C429" s="25" t="s">
        <v>356</v>
      </c>
      <c r="D429" s="103" t="s">
        <v>124</v>
      </c>
      <c r="E429" s="26">
        <v>28</v>
      </c>
      <c r="F429" s="26" t="s">
        <v>293</v>
      </c>
      <c r="K429" s="24">
        <v>14</v>
      </c>
      <c r="L429" s="102">
        <v>46048</v>
      </c>
      <c r="M429" s="25" t="s">
        <v>357</v>
      </c>
      <c r="N429" s="103" t="s">
        <v>124</v>
      </c>
      <c r="O429" s="26">
        <v>102</v>
      </c>
      <c r="P429" s="26" t="s">
        <v>293</v>
      </c>
    </row>
    <row r="430" spans="1:16" x14ac:dyDescent="0.3">
      <c r="A430" s="24">
        <v>14</v>
      </c>
      <c r="B430" s="102">
        <v>46048</v>
      </c>
      <c r="C430" s="25" t="s">
        <v>356</v>
      </c>
      <c r="D430" s="103" t="s">
        <v>351</v>
      </c>
      <c r="E430" s="26">
        <v>0.98</v>
      </c>
      <c r="F430" s="26" t="s">
        <v>293</v>
      </c>
      <c r="K430" s="24">
        <v>14</v>
      </c>
      <c r="L430" s="102">
        <v>46048</v>
      </c>
      <c r="M430" s="25" t="s">
        <v>357</v>
      </c>
      <c r="N430" s="103" t="s">
        <v>351</v>
      </c>
      <c r="O430" s="26">
        <v>3.62</v>
      </c>
      <c r="P430" s="26" t="s">
        <v>293</v>
      </c>
    </row>
    <row r="431" spans="1:16" x14ac:dyDescent="0.3">
      <c r="A431" s="24">
        <v>14</v>
      </c>
      <c r="B431" s="102">
        <v>46048</v>
      </c>
      <c r="C431" s="25" t="s">
        <v>356</v>
      </c>
      <c r="D431" s="103" t="s">
        <v>353</v>
      </c>
      <c r="E431" s="26">
        <v>33.4</v>
      </c>
      <c r="F431" s="26" t="s">
        <v>293</v>
      </c>
      <c r="K431" s="24">
        <v>14</v>
      </c>
      <c r="L431" s="102">
        <v>46048</v>
      </c>
      <c r="M431" s="25" t="s">
        <v>357</v>
      </c>
      <c r="N431" s="103" t="s">
        <v>353</v>
      </c>
      <c r="O431" s="26">
        <v>16.600000000000001</v>
      </c>
      <c r="P431" s="26" t="s">
        <v>293</v>
      </c>
    </row>
    <row r="432" spans="1:16" x14ac:dyDescent="0.3">
      <c r="A432" s="24">
        <v>14</v>
      </c>
      <c r="B432" s="102">
        <v>46048</v>
      </c>
      <c r="C432" s="25" t="s">
        <v>356</v>
      </c>
      <c r="D432" s="103" t="s">
        <v>133</v>
      </c>
      <c r="E432" s="26">
        <v>146</v>
      </c>
      <c r="F432" s="26" t="s">
        <v>293</v>
      </c>
      <c r="K432" s="24">
        <v>14</v>
      </c>
      <c r="L432" s="102">
        <v>46048</v>
      </c>
      <c r="M432" s="25" t="s">
        <v>357</v>
      </c>
      <c r="N432" s="103" t="s">
        <v>133</v>
      </c>
      <c r="O432" s="26">
        <v>127</v>
      </c>
      <c r="P432" s="26" t="s">
        <v>293</v>
      </c>
    </row>
    <row r="433" spans="1:16" x14ac:dyDescent="0.3">
      <c r="A433" s="24">
        <v>14</v>
      </c>
      <c r="B433" s="102">
        <v>46048</v>
      </c>
      <c r="C433" s="25" t="s">
        <v>356</v>
      </c>
      <c r="D433" s="103" t="s">
        <v>135</v>
      </c>
      <c r="E433" s="26">
        <v>3.7</v>
      </c>
      <c r="F433" s="26" t="s">
        <v>293</v>
      </c>
      <c r="K433" s="24">
        <v>14</v>
      </c>
      <c r="L433" s="102">
        <v>46048</v>
      </c>
      <c r="M433" s="25" t="s">
        <v>357</v>
      </c>
      <c r="N433" s="103" t="s">
        <v>135</v>
      </c>
      <c r="O433" s="26">
        <v>6.4</v>
      </c>
      <c r="P433" s="26" t="s">
        <v>293</v>
      </c>
    </row>
    <row r="434" spans="1:16" x14ac:dyDescent="0.3">
      <c r="A434" s="24">
        <v>14</v>
      </c>
      <c r="B434" s="102">
        <v>46048</v>
      </c>
      <c r="C434" s="25" t="s">
        <v>356</v>
      </c>
      <c r="D434" s="103" t="s">
        <v>136</v>
      </c>
      <c r="E434" s="26">
        <v>115</v>
      </c>
      <c r="F434" s="26" t="s">
        <v>293</v>
      </c>
      <c r="K434" s="24">
        <v>14</v>
      </c>
      <c r="L434" s="102">
        <v>46048</v>
      </c>
      <c r="M434" s="25" t="s">
        <v>357</v>
      </c>
      <c r="N434" s="103" t="s">
        <v>136</v>
      </c>
      <c r="O434" s="26">
        <v>95</v>
      </c>
      <c r="P434" s="26" t="s">
        <v>293</v>
      </c>
    </row>
    <row r="435" spans="1:16" x14ac:dyDescent="0.3">
      <c r="A435" s="24">
        <v>15</v>
      </c>
      <c r="B435" s="102">
        <v>46049</v>
      </c>
      <c r="C435" s="25" t="s">
        <v>356</v>
      </c>
      <c r="D435" s="103" t="s">
        <v>339</v>
      </c>
      <c r="E435" s="26">
        <v>4.6399999999999997</v>
      </c>
      <c r="F435" s="26" t="s">
        <v>293</v>
      </c>
      <c r="K435" s="24">
        <v>15</v>
      </c>
      <c r="L435" s="102">
        <v>46049</v>
      </c>
      <c r="M435" s="25" t="s">
        <v>357</v>
      </c>
      <c r="N435" s="103" t="s">
        <v>339</v>
      </c>
      <c r="O435" s="26">
        <v>1.22</v>
      </c>
      <c r="P435" s="26" t="s">
        <v>293</v>
      </c>
    </row>
    <row r="436" spans="1:16" x14ac:dyDescent="0.3">
      <c r="A436" s="24">
        <v>15</v>
      </c>
      <c r="B436" s="102">
        <v>46049</v>
      </c>
      <c r="C436" s="25" t="s">
        <v>356</v>
      </c>
      <c r="D436" s="103" t="s">
        <v>118</v>
      </c>
      <c r="E436" s="26">
        <v>4.5999999999999996</v>
      </c>
      <c r="F436" s="26" t="s">
        <v>293</v>
      </c>
      <c r="K436" s="24">
        <v>15</v>
      </c>
      <c r="L436" s="102">
        <v>46049</v>
      </c>
      <c r="M436" s="25" t="s">
        <v>357</v>
      </c>
      <c r="N436" s="103" t="s">
        <v>118</v>
      </c>
      <c r="O436" s="26">
        <v>9.6999999999999993</v>
      </c>
      <c r="P436" s="26" t="s">
        <v>293</v>
      </c>
    </row>
    <row r="437" spans="1:16" x14ac:dyDescent="0.3">
      <c r="A437" s="24">
        <v>15</v>
      </c>
      <c r="B437" s="102">
        <v>46049</v>
      </c>
      <c r="C437" s="25" t="s">
        <v>356</v>
      </c>
      <c r="D437" s="103" t="s">
        <v>130</v>
      </c>
      <c r="E437" s="26">
        <v>4.0949999999999998</v>
      </c>
      <c r="F437" s="26" t="s">
        <v>293</v>
      </c>
      <c r="K437" s="24">
        <v>15</v>
      </c>
      <c r="L437" s="102">
        <v>46049</v>
      </c>
      <c r="M437" s="25" t="s">
        <v>357</v>
      </c>
      <c r="N437" s="103" t="s">
        <v>130</v>
      </c>
      <c r="O437" s="26">
        <v>2.57</v>
      </c>
      <c r="P437" s="26" t="s">
        <v>293</v>
      </c>
    </row>
    <row r="438" spans="1:16" x14ac:dyDescent="0.3">
      <c r="A438" s="24">
        <v>15</v>
      </c>
      <c r="B438" s="102">
        <v>46049</v>
      </c>
      <c r="C438" s="25" t="s">
        <v>356</v>
      </c>
      <c r="D438" s="103" t="s">
        <v>341</v>
      </c>
      <c r="E438" s="26">
        <v>0.28699999999999998</v>
      </c>
      <c r="F438" s="26" t="s">
        <v>293</v>
      </c>
      <c r="K438" s="24">
        <v>15</v>
      </c>
      <c r="L438" s="102">
        <v>46049</v>
      </c>
      <c r="M438" s="25" t="s">
        <v>357</v>
      </c>
      <c r="N438" s="103" t="s">
        <v>341</v>
      </c>
      <c r="O438" s="26">
        <v>1.1000000000000001</v>
      </c>
      <c r="P438" s="26" t="s">
        <v>293</v>
      </c>
    </row>
    <row r="439" spans="1:16" x14ac:dyDescent="0.3">
      <c r="A439" s="24">
        <v>15</v>
      </c>
      <c r="B439" s="102">
        <v>46049</v>
      </c>
      <c r="C439" s="25" t="s">
        <v>356</v>
      </c>
      <c r="D439" s="103" t="s">
        <v>127</v>
      </c>
      <c r="E439" s="26">
        <v>1.1379999999999999</v>
      </c>
      <c r="F439" s="26" t="s">
        <v>293</v>
      </c>
      <c r="K439" s="24">
        <v>15</v>
      </c>
      <c r="L439" s="102">
        <v>46049</v>
      </c>
      <c r="M439" s="25" t="s">
        <v>357</v>
      </c>
      <c r="N439" s="103" t="s">
        <v>127</v>
      </c>
      <c r="O439" s="26">
        <v>4.49</v>
      </c>
      <c r="P439" s="26" t="s">
        <v>293</v>
      </c>
    </row>
    <row r="440" spans="1:16" x14ac:dyDescent="0.3">
      <c r="A440" s="24">
        <v>15</v>
      </c>
      <c r="B440" s="102">
        <v>46049</v>
      </c>
      <c r="C440" s="25" t="s">
        <v>356</v>
      </c>
      <c r="D440" s="103" t="s">
        <v>131</v>
      </c>
      <c r="E440" s="26">
        <v>8.3000000000000007</v>
      </c>
      <c r="F440" s="26" t="s">
        <v>293</v>
      </c>
      <c r="K440" s="24">
        <v>15</v>
      </c>
      <c r="L440" s="102">
        <v>46049</v>
      </c>
      <c r="M440" s="25" t="s">
        <v>357</v>
      </c>
      <c r="N440" s="103" t="s">
        <v>131</v>
      </c>
      <c r="O440" s="26">
        <v>11.9</v>
      </c>
      <c r="P440" s="26" t="s">
        <v>293</v>
      </c>
    </row>
    <row r="441" spans="1:16" x14ac:dyDescent="0.3">
      <c r="A441" s="24">
        <v>15</v>
      </c>
      <c r="B441" s="102">
        <v>46049</v>
      </c>
      <c r="C441" s="25" t="s">
        <v>356</v>
      </c>
      <c r="D441" s="103" t="s">
        <v>342</v>
      </c>
      <c r="E441" s="26">
        <v>322</v>
      </c>
      <c r="F441" s="26" t="s">
        <v>293</v>
      </c>
      <c r="K441" s="24">
        <v>15</v>
      </c>
      <c r="L441" s="102">
        <v>46049</v>
      </c>
      <c r="M441" s="25" t="s">
        <v>357</v>
      </c>
      <c r="N441" s="103" t="s">
        <v>342</v>
      </c>
      <c r="O441" s="26">
        <v>203</v>
      </c>
      <c r="P441" s="26" t="s">
        <v>293</v>
      </c>
    </row>
    <row r="442" spans="1:16" x14ac:dyDescent="0.3">
      <c r="A442" s="24">
        <v>15</v>
      </c>
      <c r="B442" s="102">
        <v>46049</v>
      </c>
      <c r="C442" s="25" t="s">
        <v>356</v>
      </c>
      <c r="D442" s="103" t="s">
        <v>119</v>
      </c>
      <c r="E442" s="26">
        <v>235</v>
      </c>
      <c r="F442" s="26" t="s">
        <v>293</v>
      </c>
      <c r="K442" s="24">
        <v>15</v>
      </c>
      <c r="L442" s="102">
        <v>46049</v>
      </c>
      <c r="M442" s="25" t="s">
        <v>357</v>
      </c>
      <c r="N442" s="103" t="s">
        <v>119</v>
      </c>
      <c r="O442" s="26">
        <v>86</v>
      </c>
      <c r="P442" s="26" t="s">
        <v>293</v>
      </c>
    </row>
    <row r="443" spans="1:16" x14ac:dyDescent="0.3">
      <c r="A443" s="24">
        <v>15</v>
      </c>
      <c r="B443" s="102">
        <v>46049</v>
      </c>
      <c r="C443" s="25" t="s">
        <v>356</v>
      </c>
      <c r="D443" s="103" t="s">
        <v>120</v>
      </c>
      <c r="E443" s="26">
        <v>77</v>
      </c>
      <c r="F443" s="26" t="s">
        <v>293</v>
      </c>
      <c r="K443" s="24">
        <v>15</v>
      </c>
      <c r="L443" s="102">
        <v>46049</v>
      </c>
      <c r="M443" s="25" t="s">
        <v>357</v>
      </c>
      <c r="N443" s="103" t="s">
        <v>120</v>
      </c>
      <c r="O443" s="26">
        <v>27</v>
      </c>
      <c r="P443" s="26" t="s">
        <v>293</v>
      </c>
    </row>
    <row r="444" spans="1:16" x14ac:dyDescent="0.3">
      <c r="A444" s="24">
        <v>15</v>
      </c>
      <c r="B444" s="102">
        <v>46049</v>
      </c>
      <c r="C444" s="25" t="s">
        <v>356</v>
      </c>
      <c r="D444" s="103" t="s">
        <v>117</v>
      </c>
      <c r="E444" s="26">
        <v>2.57</v>
      </c>
      <c r="F444" s="26" t="s">
        <v>293</v>
      </c>
      <c r="K444" s="24">
        <v>15</v>
      </c>
      <c r="L444" s="102">
        <v>46049</v>
      </c>
      <c r="M444" s="25" t="s">
        <v>357</v>
      </c>
      <c r="N444" s="103" t="s">
        <v>117</v>
      </c>
      <c r="O444" s="26">
        <v>6.1</v>
      </c>
      <c r="P444" s="26" t="s">
        <v>293</v>
      </c>
    </row>
    <row r="445" spans="1:16" x14ac:dyDescent="0.3">
      <c r="A445" s="24">
        <v>15</v>
      </c>
      <c r="B445" s="102">
        <v>46049</v>
      </c>
      <c r="C445" s="25" t="s">
        <v>356</v>
      </c>
      <c r="D445" s="103" t="s">
        <v>344</v>
      </c>
      <c r="E445" s="26">
        <v>227</v>
      </c>
      <c r="F445" s="26" t="s">
        <v>293</v>
      </c>
      <c r="K445" s="24">
        <v>15</v>
      </c>
      <c r="L445" s="102">
        <v>46049</v>
      </c>
      <c r="M445" s="25" t="s">
        <v>357</v>
      </c>
      <c r="N445" s="103" t="s">
        <v>344</v>
      </c>
      <c r="O445" s="26">
        <v>66</v>
      </c>
      <c r="P445" s="26" t="s">
        <v>293</v>
      </c>
    </row>
    <row r="446" spans="1:16" x14ac:dyDescent="0.3">
      <c r="A446" s="24">
        <v>15</v>
      </c>
      <c r="B446" s="102">
        <v>46049</v>
      </c>
      <c r="C446" s="25" t="s">
        <v>356</v>
      </c>
      <c r="D446" s="103" t="s">
        <v>132</v>
      </c>
      <c r="E446" s="26">
        <v>3.55</v>
      </c>
      <c r="F446" s="26" t="s">
        <v>293</v>
      </c>
      <c r="K446" s="24">
        <v>15</v>
      </c>
      <c r="L446" s="102">
        <v>46049</v>
      </c>
      <c r="M446" s="25" t="s">
        <v>357</v>
      </c>
      <c r="N446" s="103" t="s">
        <v>132</v>
      </c>
      <c r="O446" s="26">
        <v>7.29</v>
      </c>
      <c r="P446" s="26" t="s">
        <v>293</v>
      </c>
    </row>
    <row r="447" spans="1:16" x14ac:dyDescent="0.3">
      <c r="A447" s="24">
        <v>15</v>
      </c>
      <c r="B447" s="102">
        <v>46049</v>
      </c>
      <c r="C447" s="25" t="s">
        <v>356</v>
      </c>
      <c r="D447" s="103" t="s">
        <v>111</v>
      </c>
      <c r="E447" s="26">
        <v>88</v>
      </c>
      <c r="F447" s="26" t="s">
        <v>293</v>
      </c>
      <c r="K447" s="24">
        <v>15</v>
      </c>
      <c r="L447" s="102">
        <v>46049</v>
      </c>
      <c r="M447" s="25" t="s">
        <v>357</v>
      </c>
      <c r="N447" s="103" t="s">
        <v>111</v>
      </c>
      <c r="O447" s="26">
        <v>279</v>
      </c>
      <c r="P447" s="26" t="s">
        <v>293</v>
      </c>
    </row>
    <row r="448" spans="1:16" x14ac:dyDescent="0.3">
      <c r="A448" s="24">
        <v>15</v>
      </c>
      <c r="B448" s="102">
        <v>46049</v>
      </c>
      <c r="C448" s="25" t="s">
        <v>356</v>
      </c>
      <c r="D448" s="103" t="s">
        <v>345</v>
      </c>
      <c r="E448" s="26">
        <v>5.2</v>
      </c>
      <c r="F448" s="26" t="s">
        <v>293</v>
      </c>
      <c r="K448" s="24">
        <v>15</v>
      </c>
      <c r="L448" s="102">
        <v>46049</v>
      </c>
      <c r="M448" s="25" t="s">
        <v>357</v>
      </c>
      <c r="N448" s="103" t="s">
        <v>345</v>
      </c>
      <c r="O448" s="26">
        <v>9.98</v>
      </c>
      <c r="P448" s="26" t="s">
        <v>293</v>
      </c>
    </row>
    <row r="449" spans="1:16" x14ac:dyDescent="0.3">
      <c r="A449" s="24">
        <v>15</v>
      </c>
      <c r="B449" s="102">
        <v>46049</v>
      </c>
      <c r="C449" s="25" t="s">
        <v>356</v>
      </c>
      <c r="D449" s="103" t="s">
        <v>347</v>
      </c>
      <c r="E449" s="26">
        <v>1.97</v>
      </c>
      <c r="F449" s="26" t="s">
        <v>293</v>
      </c>
      <c r="K449" s="24">
        <v>15</v>
      </c>
      <c r="L449" s="102">
        <v>46049</v>
      </c>
      <c r="M449" s="25" t="s">
        <v>357</v>
      </c>
      <c r="N449" s="103" t="s">
        <v>347</v>
      </c>
      <c r="O449" s="26">
        <v>4.68</v>
      </c>
      <c r="P449" s="26" t="s">
        <v>293</v>
      </c>
    </row>
    <row r="450" spans="1:16" x14ac:dyDescent="0.3">
      <c r="A450" s="24">
        <v>15</v>
      </c>
      <c r="B450" s="102">
        <v>46049</v>
      </c>
      <c r="C450" s="25" t="s">
        <v>356</v>
      </c>
      <c r="D450" s="103" t="s">
        <v>128</v>
      </c>
      <c r="E450" s="26">
        <v>6.9</v>
      </c>
      <c r="F450" s="26" t="s">
        <v>293</v>
      </c>
      <c r="K450" s="24">
        <v>15</v>
      </c>
      <c r="L450" s="102">
        <v>46049</v>
      </c>
      <c r="M450" s="25" t="s">
        <v>357</v>
      </c>
      <c r="N450" s="103" t="s">
        <v>128</v>
      </c>
      <c r="O450" s="26">
        <v>4.4000000000000004</v>
      </c>
      <c r="P450" s="26" t="s">
        <v>293</v>
      </c>
    </row>
    <row r="451" spans="1:16" x14ac:dyDescent="0.3">
      <c r="A451" s="24">
        <v>15</v>
      </c>
      <c r="B451" s="102">
        <v>46049</v>
      </c>
      <c r="C451" s="25" t="s">
        <v>356</v>
      </c>
      <c r="D451" s="103" t="s">
        <v>121</v>
      </c>
      <c r="E451" s="26">
        <v>157</v>
      </c>
      <c r="F451" s="26" t="s">
        <v>293</v>
      </c>
      <c r="K451" s="24">
        <v>15</v>
      </c>
      <c r="L451" s="102">
        <v>46049</v>
      </c>
      <c r="M451" s="25" t="s">
        <v>357</v>
      </c>
      <c r="N451" s="103" t="s">
        <v>121</v>
      </c>
      <c r="O451" s="26">
        <v>76</v>
      </c>
      <c r="P451" s="26" t="s">
        <v>293</v>
      </c>
    </row>
    <row r="452" spans="1:16" x14ac:dyDescent="0.3">
      <c r="A452" s="24">
        <v>15</v>
      </c>
      <c r="B452" s="102">
        <v>46049</v>
      </c>
      <c r="C452" s="25" t="s">
        <v>356</v>
      </c>
      <c r="D452" s="103" t="s">
        <v>115</v>
      </c>
      <c r="E452" s="26">
        <v>34</v>
      </c>
      <c r="F452" s="26" t="s">
        <v>293</v>
      </c>
      <c r="K452" s="24">
        <v>15</v>
      </c>
      <c r="L452" s="102">
        <v>46049</v>
      </c>
      <c r="M452" s="25" t="s">
        <v>357</v>
      </c>
      <c r="N452" s="103" t="s">
        <v>115</v>
      </c>
      <c r="O452" s="26">
        <v>99</v>
      </c>
      <c r="P452" s="26" t="s">
        <v>293</v>
      </c>
    </row>
    <row r="453" spans="1:16" x14ac:dyDescent="0.3">
      <c r="A453" s="24">
        <v>15</v>
      </c>
      <c r="B453" s="102">
        <v>46049</v>
      </c>
      <c r="C453" s="25" t="s">
        <v>356</v>
      </c>
      <c r="D453" s="103" t="s">
        <v>137</v>
      </c>
      <c r="E453" s="26">
        <v>75</v>
      </c>
      <c r="F453" s="26" t="s">
        <v>293</v>
      </c>
      <c r="K453" s="24">
        <v>15</v>
      </c>
      <c r="L453" s="102">
        <v>46049</v>
      </c>
      <c r="M453" s="25" t="s">
        <v>357</v>
      </c>
      <c r="N453" s="103" t="s">
        <v>137</v>
      </c>
      <c r="O453" s="26">
        <v>486</v>
      </c>
      <c r="P453" s="26" t="s">
        <v>293</v>
      </c>
    </row>
    <row r="454" spans="1:16" x14ac:dyDescent="0.3">
      <c r="A454" s="24">
        <v>15</v>
      </c>
      <c r="B454" s="102">
        <v>46049</v>
      </c>
      <c r="C454" s="25" t="s">
        <v>356</v>
      </c>
      <c r="D454" s="103" t="s">
        <v>348</v>
      </c>
      <c r="E454" s="26">
        <v>142</v>
      </c>
      <c r="F454" s="26" t="s">
        <v>293</v>
      </c>
      <c r="K454" s="24">
        <v>15</v>
      </c>
      <c r="L454" s="102">
        <v>46049</v>
      </c>
      <c r="M454" s="25" t="s">
        <v>357</v>
      </c>
      <c r="N454" s="103" t="s">
        <v>348</v>
      </c>
      <c r="O454" s="26">
        <v>434</v>
      </c>
      <c r="P454" s="26" t="s">
        <v>293</v>
      </c>
    </row>
    <row r="455" spans="1:16" x14ac:dyDescent="0.3">
      <c r="A455" s="24">
        <v>15</v>
      </c>
      <c r="B455" s="102">
        <v>46049</v>
      </c>
      <c r="C455" s="25" t="s">
        <v>356</v>
      </c>
      <c r="D455" s="103" t="s">
        <v>125</v>
      </c>
      <c r="E455" s="26">
        <v>110</v>
      </c>
      <c r="F455" s="26" t="s">
        <v>293</v>
      </c>
      <c r="K455" s="24">
        <v>15</v>
      </c>
      <c r="L455" s="102">
        <v>46049</v>
      </c>
      <c r="M455" s="25" t="s">
        <v>357</v>
      </c>
      <c r="N455" s="103" t="s">
        <v>125</v>
      </c>
      <c r="O455" s="26">
        <v>416</v>
      </c>
      <c r="P455" s="26" t="s">
        <v>293</v>
      </c>
    </row>
    <row r="456" spans="1:16" x14ac:dyDescent="0.3">
      <c r="A456" s="24">
        <v>15</v>
      </c>
      <c r="B456" s="102">
        <v>46049</v>
      </c>
      <c r="C456" s="25" t="s">
        <v>356</v>
      </c>
      <c r="D456" s="103" t="s">
        <v>126</v>
      </c>
      <c r="E456" s="26">
        <v>78</v>
      </c>
      <c r="F456" s="26" t="s">
        <v>293</v>
      </c>
      <c r="K456" s="24">
        <v>15</v>
      </c>
      <c r="L456" s="102">
        <v>46049</v>
      </c>
      <c r="M456" s="25" t="s">
        <v>357</v>
      </c>
      <c r="N456" s="103" t="s">
        <v>126</v>
      </c>
      <c r="O456" s="26">
        <v>150</v>
      </c>
      <c r="P456" s="26" t="s">
        <v>293</v>
      </c>
    </row>
    <row r="457" spans="1:16" x14ac:dyDescent="0.3">
      <c r="A457" s="24">
        <v>15</v>
      </c>
      <c r="B457" s="102">
        <v>46049</v>
      </c>
      <c r="C457" s="25" t="s">
        <v>356</v>
      </c>
      <c r="D457" s="103" t="s">
        <v>349</v>
      </c>
      <c r="E457" s="26">
        <v>160</v>
      </c>
      <c r="F457" s="26" t="s">
        <v>293</v>
      </c>
      <c r="K457" s="24">
        <v>15</v>
      </c>
      <c r="L457" s="102">
        <v>46049</v>
      </c>
      <c r="M457" s="25" t="s">
        <v>357</v>
      </c>
      <c r="N457" s="103" t="s">
        <v>349</v>
      </c>
      <c r="O457" s="26">
        <v>390</v>
      </c>
      <c r="P457" s="26" t="s">
        <v>293</v>
      </c>
    </row>
    <row r="458" spans="1:16" x14ac:dyDescent="0.3">
      <c r="A458" s="24">
        <v>15</v>
      </c>
      <c r="B458" s="102">
        <v>46049</v>
      </c>
      <c r="C458" s="25" t="s">
        <v>356</v>
      </c>
      <c r="D458" s="103" t="s">
        <v>350</v>
      </c>
      <c r="E458" s="26">
        <v>60</v>
      </c>
      <c r="F458" s="26" t="s">
        <v>293</v>
      </c>
      <c r="K458" s="24">
        <v>15</v>
      </c>
      <c r="L458" s="102">
        <v>46049</v>
      </c>
      <c r="M458" s="25" t="s">
        <v>357</v>
      </c>
      <c r="N458" s="103" t="s">
        <v>350</v>
      </c>
      <c r="O458" s="26">
        <v>85</v>
      </c>
      <c r="P458" s="26" t="s">
        <v>293</v>
      </c>
    </row>
    <row r="459" spans="1:16" x14ac:dyDescent="0.3">
      <c r="A459" s="24">
        <v>15</v>
      </c>
      <c r="B459" s="102">
        <v>46049</v>
      </c>
      <c r="C459" s="25" t="s">
        <v>356</v>
      </c>
      <c r="D459" s="103" t="s">
        <v>122</v>
      </c>
      <c r="E459" s="26">
        <v>49</v>
      </c>
      <c r="F459" s="26" t="s">
        <v>293</v>
      </c>
      <c r="K459" s="24">
        <v>15</v>
      </c>
      <c r="L459" s="102">
        <v>46049</v>
      </c>
      <c r="M459" s="25" t="s">
        <v>357</v>
      </c>
      <c r="N459" s="103" t="s">
        <v>122</v>
      </c>
      <c r="O459" s="26">
        <v>222</v>
      </c>
      <c r="P459" s="26" t="s">
        <v>293</v>
      </c>
    </row>
    <row r="460" spans="1:16" x14ac:dyDescent="0.3">
      <c r="A460" s="24">
        <v>15</v>
      </c>
      <c r="B460" s="102">
        <v>46049</v>
      </c>
      <c r="C460" s="25" t="s">
        <v>356</v>
      </c>
      <c r="D460" s="103" t="s">
        <v>124</v>
      </c>
      <c r="E460" s="26">
        <v>30</v>
      </c>
      <c r="F460" s="26" t="s">
        <v>293</v>
      </c>
      <c r="K460" s="24">
        <v>15</v>
      </c>
      <c r="L460" s="102">
        <v>46049</v>
      </c>
      <c r="M460" s="25" t="s">
        <v>357</v>
      </c>
      <c r="N460" s="103" t="s">
        <v>124</v>
      </c>
      <c r="O460" s="26">
        <v>108</v>
      </c>
      <c r="P460" s="26" t="s">
        <v>293</v>
      </c>
    </row>
    <row r="461" spans="1:16" x14ac:dyDescent="0.3">
      <c r="A461" s="24">
        <v>15</v>
      </c>
      <c r="B461" s="102">
        <v>46049</v>
      </c>
      <c r="C461" s="25" t="s">
        <v>356</v>
      </c>
      <c r="D461" s="103" t="s">
        <v>351</v>
      </c>
      <c r="E461" s="26">
        <v>0.99</v>
      </c>
      <c r="F461" s="26" t="s">
        <v>293</v>
      </c>
      <c r="K461" s="24">
        <v>15</v>
      </c>
      <c r="L461" s="102">
        <v>46049</v>
      </c>
      <c r="M461" s="25" t="s">
        <v>357</v>
      </c>
      <c r="N461" s="103" t="s">
        <v>351</v>
      </c>
      <c r="O461" s="26">
        <v>3.65</v>
      </c>
      <c r="P461" s="26" t="s">
        <v>293</v>
      </c>
    </row>
    <row r="462" spans="1:16" x14ac:dyDescent="0.3">
      <c r="A462" s="24">
        <v>15</v>
      </c>
      <c r="B462" s="102">
        <v>46049</v>
      </c>
      <c r="C462" s="25" t="s">
        <v>356</v>
      </c>
      <c r="D462" s="103" t="s">
        <v>353</v>
      </c>
      <c r="E462" s="26">
        <v>38.4</v>
      </c>
      <c r="F462" s="26" t="s">
        <v>293</v>
      </c>
      <c r="K462" s="24">
        <v>15</v>
      </c>
      <c r="L462" s="102">
        <v>46049</v>
      </c>
      <c r="M462" s="25" t="s">
        <v>357</v>
      </c>
      <c r="N462" s="103" t="s">
        <v>353</v>
      </c>
      <c r="O462" s="26">
        <v>20.9</v>
      </c>
      <c r="P462" s="26" t="s">
        <v>293</v>
      </c>
    </row>
    <row r="463" spans="1:16" x14ac:dyDescent="0.3">
      <c r="A463" s="24">
        <v>15</v>
      </c>
      <c r="B463" s="102">
        <v>46049</v>
      </c>
      <c r="C463" s="25" t="s">
        <v>356</v>
      </c>
      <c r="D463" s="103" t="s">
        <v>133</v>
      </c>
      <c r="E463" s="26">
        <v>144</v>
      </c>
      <c r="F463" s="26" t="s">
        <v>293</v>
      </c>
      <c r="K463" s="24">
        <v>15</v>
      </c>
      <c r="L463" s="102">
        <v>46049</v>
      </c>
      <c r="M463" s="25" t="s">
        <v>357</v>
      </c>
      <c r="N463" s="103" t="s">
        <v>133</v>
      </c>
      <c r="O463" s="26">
        <v>126</v>
      </c>
      <c r="P463" s="26" t="s">
        <v>293</v>
      </c>
    </row>
    <row r="464" spans="1:16" x14ac:dyDescent="0.3">
      <c r="A464" s="24">
        <v>15</v>
      </c>
      <c r="B464" s="102">
        <v>46049</v>
      </c>
      <c r="C464" s="25" t="s">
        <v>356</v>
      </c>
      <c r="D464" s="103" t="s">
        <v>135</v>
      </c>
      <c r="E464" s="26">
        <v>3.7</v>
      </c>
      <c r="F464" s="26" t="s">
        <v>293</v>
      </c>
      <c r="K464" s="24">
        <v>15</v>
      </c>
      <c r="L464" s="102">
        <v>46049</v>
      </c>
      <c r="M464" s="25" t="s">
        <v>357</v>
      </c>
      <c r="N464" s="103" t="s">
        <v>135</v>
      </c>
      <c r="O464" s="26">
        <v>6.3</v>
      </c>
      <c r="P464" s="26" t="s">
        <v>293</v>
      </c>
    </row>
    <row r="465" spans="1:16" x14ac:dyDescent="0.3">
      <c r="A465" s="24">
        <v>15</v>
      </c>
      <c r="B465" s="102">
        <v>46049</v>
      </c>
      <c r="C465" s="25" t="s">
        <v>356</v>
      </c>
      <c r="D465" s="103" t="s">
        <v>136</v>
      </c>
      <c r="E465" s="26">
        <v>116</v>
      </c>
      <c r="F465" s="26" t="s">
        <v>293</v>
      </c>
      <c r="K465" s="24">
        <v>15</v>
      </c>
      <c r="L465" s="102">
        <v>46049</v>
      </c>
      <c r="M465" s="25" t="s">
        <v>357</v>
      </c>
      <c r="N465" s="103" t="s">
        <v>136</v>
      </c>
      <c r="O465" s="26">
        <v>94</v>
      </c>
      <c r="P465" s="26" t="s">
        <v>293</v>
      </c>
    </row>
    <row r="466" spans="1:16" x14ac:dyDescent="0.3">
      <c r="A466" s="24">
        <v>16</v>
      </c>
      <c r="B466" s="102">
        <v>46050</v>
      </c>
      <c r="C466" s="25" t="s">
        <v>356</v>
      </c>
      <c r="D466" s="103" t="s">
        <v>339</v>
      </c>
      <c r="E466" s="26">
        <v>4.6399999999999997</v>
      </c>
      <c r="F466" s="26" t="s">
        <v>293</v>
      </c>
      <c r="K466" s="24">
        <v>16</v>
      </c>
      <c r="L466" s="102">
        <v>46050</v>
      </c>
      <c r="M466" s="25" t="s">
        <v>357</v>
      </c>
      <c r="N466" s="103" t="s">
        <v>339</v>
      </c>
      <c r="O466" s="26">
        <v>1.22</v>
      </c>
      <c r="P466" s="26" t="s">
        <v>293</v>
      </c>
    </row>
    <row r="467" spans="1:16" x14ac:dyDescent="0.3">
      <c r="A467" s="24">
        <v>16</v>
      </c>
      <c r="B467" s="102">
        <v>46050</v>
      </c>
      <c r="C467" s="25" t="s">
        <v>356</v>
      </c>
      <c r="D467" s="103" t="s">
        <v>118</v>
      </c>
      <c r="E467" s="26">
        <v>4.8</v>
      </c>
      <c r="F467" s="26" t="s">
        <v>293</v>
      </c>
      <c r="K467" s="24">
        <v>16</v>
      </c>
      <c r="L467" s="102">
        <v>46050</v>
      </c>
      <c r="M467" s="25" t="s">
        <v>357</v>
      </c>
      <c r="N467" s="103" t="s">
        <v>118</v>
      </c>
      <c r="O467" s="26">
        <v>9.8000000000000007</v>
      </c>
      <c r="P467" s="26" t="s">
        <v>293</v>
      </c>
    </row>
    <row r="468" spans="1:16" x14ac:dyDescent="0.3">
      <c r="A468" s="24">
        <v>16</v>
      </c>
      <c r="B468" s="102">
        <v>46050</v>
      </c>
      <c r="C468" s="25" t="s">
        <v>356</v>
      </c>
      <c r="D468" s="103" t="s">
        <v>130</v>
      </c>
      <c r="E468" s="26">
        <v>3.7829999999999999</v>
      </c>
      <c r="F468" s="26" t="s">
        <v>293</v>
      </c>
      <c r="K468" s="24">
        <v>16</v>
      </c>
      <c r="L468" s="102">
        <v>46050</v>
      </c>
      <c r="M468" s="25" t="s">
        <v>357</v>
      </c>
      <c r="N468" s="103" t="s">
        <v>130</v>
      </c>
      <c r="O468" s="26">
        <v>2.5030000000000001</v>
      </c>
      <c r="P468" s="26" t="s">
        <v>293</v>
      </c>
    </row>
    <row r="469" spans="1:16" x14ac:dyDescent="0.3">
      <c r="A469" s="24">
        <v>16</v>
      </c>
      <c r="B469" s="102">
        <v>46050</v>
      </c>
      <c r="C469" s="25" t="s">
        <v>356</v>
      </c>
      <c r="D469" s="103" t="s">
        <v>341</v>
      </c>
      <c r="E469" s="26">
        <v>0.29799999999999999</v>
      </c>
      <c r="F469" s="26" t="s">
        <v>293</v>
      </c>
      <c r="K469" s="24">
        <v>16</v>
      </c>
      <c r="L469" s="102">
        <v>46050</v>
      </c>
      <c r="M469" s="25" t="s">
        <v>357</v>
      </c>
      <c r="N469" s="103" t="s">
        <v>341</v>
      </c>
      <c r="O469" s="26">
        <v>1.095</v>
      </c>
      <c r="P469" s="26" t="s">
        <v>293</v>
      </c>
    </row>
    <row r="470" spans="1:16" x14ac:dyDescent="0.3">
      <c r="A470" s="24">
        <v>16</v>
      </c>
      <c r="B470" s="102">
        <v>46050</v>
      </c>
      <c r="C470" s="25" t="s">
        <v>356</v>
      </c>
      <c r="D470" s="103" t="s">
        <v>127</v>
      </c>
      <c r="E470" s="26">
        <v>1.135</v>
      </c>
      <c r="F470" s="26" t="s">
        <v>293</v>
      </c>
      <c r="K470" s="24">
        <v>16</v>
      </c>
      <c r="L470" s="102">
        <v>46050</v>
      </c>
      <c r="M470" s="25" t="s">
        <v>357</v>
      </c>
      <c r="N470" s="103" t="s">
        <v>127</v>
      </c>
      <c r="O470" s="26">
        <v>4.5880000000000001</v>
      </c>
      <c r="P470" s="26" t="s">
        <v>293</v>
      </c>
    </row>
    <row r="471" spans="1:16" x14ac:dyDescent="0.3">
      <c r="A471" s="24">
        <v>16</v>
      </c>
      <c r="B471" s="102">
        <v>46050</v>
      </c>
      <c r="C471" s="25" t="s">
        <v>356</v>
      </c>
      <c r="D471" s="103" t="s">
        <v>131</v>
      </c>
      <c r="E471" s="26">
        <v>8.6</v>
      </c>
      <c r="F471" s="26" t="s">
        <v>293</v>
      </c>
      <c r="K471" s="24">
        <v>16</v>
      </c>
      <c r="L471" s="102">
        <v>46050</v>
      </c>
      <c r="M471" s="25" t="s">
        <v>357</v>
      </c>
      <c r="N471" s="103" t="s">
        <v>131</v>
      </c>
      <c r="O471" s="26">
        <v>11.9</v>
      </c>
      <c r="P471" s="26" t="s">
        <v>293</v>
      </c>
    </row>
    <row r="472" spans="1:16" x14ac:dyDescent="0.3">
      <c r="A472" s="24">
        <v>16</v>
      </c>
      <c r="B472" s="102">
        <v>46050</v>
      </c>
      <c r="C472" s="25" t="s">
        <v>356</v>
      </c>
      <c r="D472" s="103" t="s">
        <v>342</v>
      </c>
      <c r="E472" s="26">
        <v>321</v>
      </c>
      <c r="F472" s="26" t="s">
        <v>293</v>
      </c>
      <c r="K472" s="24">
        <v>16</v>
      </c>
      <c r="L472" s="102">
        <v>46050</v>
      </c>
      <c r="M472" s="25" t="s">
        <v>357</v>
      </c>
      <c r="N472" s="103" t="s">
        <v>342</v>
      </c>
      <c r="O472" s="26">
        <v>203</v>
      </c>
      <c r="P472" s="26" t="s">
        <v>293</v>
      </c>
    </row>
    <row r="473" spans="1:16" x14ac:dyDescent="0.3">
      <c r="A473" s="24">
        <v>16</v>
      </c>
      <c r="B473" s="102">
        <v>46050</v>
      </c>
      <c r="C473" s="25" t="s">
        <v>356</v>
      </c>
      <c r="D473" s="103" t="s">
        <v>119</v>
      </c>
      <c r="E473" s="26">
        <v>233</v>
      </c>
      <c r="F473" s="26" t="s">
        <v>293</v>
      </c>
      <c r="K473" s="24">
        <v>16</v>
      </c>
      <c r="L473" s="102">
        <v>46050</v>
      </c>
      <c r="M473" s="25" t="s">
        <v>357</v>
      </c>
      <c r="N473" s="103" t="s">
        <v>119</v>
      </c>
      <c r="O473" s="26">
        <v>88</v>
      </c>
      <c r="P473" s="26" t="s">
        <v>293</v>
      </c>
    </row>
    <row r="474" spans="1:16" x14ac:dyDescent="0.3">
      <c r="A474" s="24">
        <v>16</v>
      </c>
      <c r="B474" s="102">
        <v>46050</v>
      </c>
      <c r="C474" s="25" t="s">
        <v>356</v>
      </c>
      <c r="D474" s="103" t="s">
        <v>120</v>
      </c>
      <c r="E474" s="26">
        <v>76</v>
      </c>
      <c r="F474" s="26" t="s">
        <v>293</v>
      </c>
      <c r="K474" s="24">
        <v>16</v>
      </c>
      <c r="L474" s="102">
        <v>46050</v>
      </c>
      <c r="M474" s="25" t="s">
        <v>357</v>
      </c>
      <c r="N474" s="103" t="s">
        <v>120</v>
      </c>
      <c r="O474" s="26">
        <v>26</v>
      </c>
      <c r="P474" s="26" t="s">
        <v>293</v>
      </c>
    </row>
    <row r="475" spans="1:16" x14ac:dyDescent="0.3">
      <c r="A475" s="24">
        <v>16</v>
      </c>
      <c r="B475" s="102">
        <v>46050</v>
      </c>
      <c r="C475" s="25" t="s">
        <v>356</v>
      </c>
      <c r="D475" s="103" t="s">
        <v>117</v>
      </c>
      <c r="E475" s="26">
        <v>2.6</v>
      </c>
      <c r="F475" s="26" t="s">
        <v>293</v>
      </c>
      <c r="K475" s="24">
        <v>16</v>
      </c>
      <c r="L475" s="102">
        <v>46050</v>
      </c>
      <c r="M475" s="25" t="s">
        <v>357</v>
      </c>
      <c r="N475" s="103" t="s">
        <v>117</v>
      </c>
      <c r="O475" s="26">
        <v>6.2</v>
      </c>
      <c r="P475" s="26" t="s">
        <v>293</v>
      </c>
    </row>
    <row r="476" spans="1:16" x14ac:dyDescent="0.3">
      <c r="A476" s="24">
        <v>16</v>
      </c>
      <c r="B476" s="102">
        <v>46050</v>
      </c>
      <c r="C476" s="25" t="s">
        <v>356</v>
      </c>
      <c r="D476" s="103" t="s">
        <v>344</v>
      </c>
      <c r="E476" s="26">
        <v>227</v>
      </c>
      <c r="F476" s="26" t="s">
        <v>293</v>
      </c>
      <c r="K476" s="24">
        <v>16</v>
      </c>
      <c r="L476" s="102">
        <v>46050</v>
      </c>
      <c r="M476" s="25" t="s">
        <v>357</v>
      </c>
      <c r="N476" s="103" t="s">
        <v>344</v>
      </c>
      <c r="O476" s="26">
        <v>66</v>
      </c>
      <c r="P476" s="26" t="s">
        <v>293</v>
      </c>
    </row>
    <row r="477" spans="1:16" x14ac:dyDescent="0.3">
      <c r="A477" s="24">
        <v>16</v>
      </c>
      <c r="B477" s="102">
        <v>46050</v>
      </c>
      <c r="C477" s="25" t="s">
        <v>356</v>
      </c>
      <c r="D477" s="103" t="s">
        <v>132</v>
      </c>
      <c r="E477" s="26">
        <v>3.57</v>
      </c>
      <c r="F477" s="26" t="s">
        <v>293</v>
      </c>
      <c r="K477" s="24">
        <v>16</v>
      </c>
      <c r="L477" s="102">
        <v>46050</v>
      </c>
      <c r="M477" s="25" t="s">
        <v>357</v>
      </c>
      <c r="N477" s="103" t="s">
        <v>132</v>
      </c>
      <c r="O477" s="26">
        <v>7.39</v>
      </c>
      <c r="P477" s="26" t="s">
        <v>293</v>
      </c>
    </row>
    <row r="478" spans="1:16" x14ac:dyDescent="0.3">
      <c r="A478" s="24">
        <v>16</v>
      </c>
      <c r="B478" s="102">
        <v>46050</v>
      </c>
      <c r="C478" s="25" t="s">
        <v>356</v>
      </c>
      <c r="D478" s="103" t="s">
        <v>111</v>
      </c>
      <c r="E478" s="26">
        <v>88</v>
      </c>
      <c r="F478" s="26" t="s">
        <v>293</v>
      </c>
      <c r="K478" s="24">
        <v>16</v>
      </c>
      <c r="L478" s="102">
        <v>46050</v>
      </c>
      <c r="M478" s="25" t="s">
        <v>357</v>
      </c>
      <c r="N478" s="103" t="s">
        <v>111</v>
      </c>
      <c r="O478" s="26">
        <v>281</v>
      </c>
      <c r="P478" s="26" t="s">
        <v>293</v>
      </c>
    </row>
    <row r="479" spans="1:16" x14ac:dyDescent="0.3">
      <c r="A479" s="24">
        <v>16</v>
      </c>
      <c r="B479" s="102">
        <v>46050</v>
      </c>
      <c r="C479" s="25" t="s">
        <v>356</v>
      </c>
      <c r="D479" s="103" t="s">
        <v>345</v>
      </c>
      <c r="E479" s="26">
        <v>5.28</v>
      </c>
      <c r="F479" s="26" t="s">
        <v>293</v>
      </c>
      <c r="K479" s="24">
        <v>16</v>
      </c>
      <c r="L479" s="102">
        <v>46050</v>
      </c>
      <c r="M479" s="25" t="s">
        <v>357</v>
      </c>
      <c r="N479" s="103" t="s">
        <v>345</v>
      </c>
      <c r="O479" s="26">
        <v>9.75</v>
      </c>
      <c r="P479" s="26" t="s">
        <v>293</v>
      </c>
    </row>
    <row r="480" spans="1:16" x14ac:dyDescent="0.3">
      <c r="A480" s="24">
        <v>16</v>
      </c>
      <c r="B480" s="102">
        <v>46050</v>
      </c>
      <c r="C480" s="25" t="s">
        <v>356</v>
      </c>
      <c r="D480" s="103" t="s">
        <v>347</v>
      </c>
      <c r="E480" s="26">
        <v>1.99</v>
      </c>
      <c r="F480" s="26" t="s">
        <v>293</v>
      </c>
      <c r="K480" s="24">
        <v>16</v>
      </c>
      <c r="L480" s="102">
        <v>46050</v>
      </c>
      <c r="M480" s="25" t="s">
        <v>357</v>
      </c>
      <c r="N480" s="103" t="s">
        <v>347</v>
      </c>
      <c r="O480" s="26">
        <v>4.43</v>
      </c>
      <c r="P480" s="26" t="s">
        <v>293</v>
      </c>
    </row>
    <row r="481" spans="1:16" x14ac:dyDescent="0.3">
      <c r="A481" s="24">
        <v>16</v>
      </c>
      <c r="B481" s="102">
        <v>46050</v>
      </c>
      <c r="C481" s="25" t="s">
        <v>356</v>
      </c>
      <c r="D481" s="103" t="s">
        <v>128</v>
      </c>
      <c r="E481" s="26">
        <v>6.9</v>
      </c>
      <c r="F481" s="26" t="s">
        <v>293</v>
      </c>
      <c r="K481" s="24">
        <v>16</v>
      </c>
      <c r="L481" s="102">
        <v>46050</v>
      </c>
      <c r="M481" s="25" t="s">
        <v>357</v>
      </c>
      <c r="N481" s="103" t="s">
        <v>128</v>
      </c>
      <c r="O481" s="26">
        <v>4.4000000000000004</v>
      </c>
      <c r="P481" s="26" t="s">
        <v>293</v>
      </c>
    </row>
    <row r="482" spans="1:16" x14ac:dyDescent="0.3">
      <c r="A482" s="24">
        <v>16</v>
      </c>
      <c r="B482" s="102">
        <v>46050</v>
      </c>
      <c r="C482" s="25" t="s">
        <v>356</v>
      </c>
      <c r="D482" s="103" t="s">
        <v>121</v>
      </c>
      <c r="E482" s="26">
        <v>157</v>
      </c>
      <c r="F482" s="26" t="s">
        <v>293</v>
      </c>
      <c r="K482" s="24">
        <v>16</v>
      </c>
      <c r="L482" s="102">
        <v>46050</v>
      </c>
      <c r="M482" s="25" t="s">
        <v>357</v>
      </c>
      <c r="N482" s="103" t="s">
        <v>121</v>
      </c>
      <c r="O482" s="26">
        <v>82</v>
      </c>
      <c r="P482" s="26" t="s">
        <v>293</v>
      </c>
    </row>
    <row r="483" spans="1:16" x14ac:dyDescent="0.3">
      <c r="A483" s="24">
        <v>16</v>
      </c>
      <c r="B483" s="102">
        <v>46050</v>
      </c>
      <c r="C483" s="25" t="s">
        <v>356</v>
      </c>
      <c r="D483" s="103" t="s">
        <v>115</v>
      </c>
      <c r="E483" s="26">
        <v>33</v>
      </c>
      <c r="F483" s="26" t="s">
        <v>293</v>
      </c>
      <c r="K483" s="24">
        <v>16</v>
      </c>
      <c r="L483" s="102">
        <v>46050</v>
      </c>
      <c r="M483" s="25" t="s">
        <v>357</v>
      </c>
      <c r="N483" s="103" t="s">
        <v>115</v>
      </c>
      <c r="O483" s="26">
        <v>97</v>
      </c>
      <c r="P483" s="26" t="s">
        <v>293</v>
      </c>
    </row>
    <row r="484" spans="1:16" x14ac:dyDescent="0.3">
      <c r="A484" s="24">
        <v>16</v>
      </c>
      <c r="B484" s="102">
        <v>46050</v>
      </c>
      <c r="C484" s="25" t="s">
        <v>356</v>
      </c>
      <c r="D484" s="103" t="s">
        <v>137</v>
      </c>
      <c r="E484" s="26">
        <v>75</v>
      </c>
      <c r="F484" s="26" t="s">
        <v>293</v>
      </c>
      <c r="K484" s="24">
        <v>16</v>
      </c>
      <c r="L484" s="102">
        <v>46050</v>
      </c>
      <c r="M484" s="25" t="s">
        <v>357</v>
      </c>
      <c r="N484" s="103" t="s">
        <v>137</v>
      </c>
      <c r="O484" s="26">
        <v>483</v>
      </c>
      <c r="P484" s="26" t="s">
        <v>293</v>
      </c>
    </row>
    <row r="485" spans="1:16" x14ac:dyDescent="0.3">
      <c r="A485" s="24">
        <v>16</v>
      </c>
      <c r="B485" s="102">
        <v>46050</v>
      </c>
      <c r="C485" s="25" t="s">
        <v>356</v>
      </c>
      <c r="D485" s="103" t="s">
        <v>348</v>
      </c>
      <c r="E485" s="26">
        <v>140</v>
      </c>
      <c r="F485" s="26" t="s">
        <v>293</v>
      </c>
      <c r="K485" s="24">
        <v>16</v>
      </c>
      <c r="L485" s="102">
        <v>46050</v>
      </c>
      <c r="M485" s="25" t="s">
        <v>357</v>
      </c>
      <c r="N485" s="103" t="s">
        <v>348</v>
      </c>
      <c r="O485" s="26">
        <v>435</v>
      </c>
      <c r="P485" s="26" t="s">
        <v>293</v>
      </c>
    </row>
    <row r="486" spans="1:16" x14ac:dyDescent="0.3">
      <c r="A486" s="24">
        <v>16</v>
      </c>
      <c r="B486" s="102">
        <v>46050</v>
      </c>
      <c r="C486" s="25" t="s">
        <v>356</v>
      </c>
      <c r="D486" s="103" t="s">
        <v>125</v>
      </c>
      <c r="E486" s="26">
        <v>118</v>
      </c>
      <c r="F486" s="26" t="s">
        <v>293</v>
      </c>
      <c r="K486" s="24">
        <v>16</v>
      </c>
      <c r="L486" s="102">
        <v>46050</v>
      </c>
      <c r="M486" s="25" t="s">
        <v>357</v>
      </c>
      <c r="N486" s="103" t="s">
        <v>125</v>
      </c>
      <c r="O486" s="26">
        <v>424</v>
      </c>
      <c r="P486" s="26" t="s">
        <v>293</v>
      </c>
    </row>
    <row r="487" spans="1:16" x14ac:dyDescent="0.3">
      <c r="A487" s="24">
        <v>16</v>
      </c>
      <c r="B487" s="102">
        <v>46050</v>
      </c>
      <c r="C487" s="25" t="s">
        <v>356</v>
      </c>
      <c r="D487" s="103" t="s">
        <v>126</v>
      </c>
      <c r="E487" s="26">
        <v>75</v>
      </c>
      <c r="F487" s="26" t="s">
        <v>293</v>
      </c>
      <c r="K487" s="24">
        <v>16</v>
      </c>
      <c r="L487" s="102">
        <v>46050</v>
      </c>
      <c r="M487" s="25" t="s">
        <v>357</v>
      </c>
      <c r="N487" s="103" t="s">
        <v>126</v>
      </c>
      <c r="O487" s="26">
        <v>154</v>
      </c>
      <c r="P487" s="26" t="s">
        <v>293</v>
      </c>
    </row>
    <row r="488" spans="1:16" x14ac:dyDescent="0.3">
      <c r="A488" s="24">
        <v>16</v>
      </c>
      <c r="B488" s="102">
        <v>46050</v>
      </c>
      <c r="C488" s="25" t="s">
        <v>356</v>
      </c>
      <c r="D488" s="103" t="s">
        <v>349</v>
      </c>
      <c r="E488" s="26">
        <v>159</v>
      </c>
      <c r="F488" s="26" t="s">
        <v>293</v>
      </c>
      <c r="K488" s="24">
        <v>16</v>
      </c>
      <c r="L488" s="102">
        <v>46050</v>
      </c>
      <c r="M488" s="25" t="s">
        <v>357</v>
      </c>
      <c r="N488" s="103" t="s">
        <v>349</v>
      </c>
      <c r="O488" s="26">
        <v>391</v>
      </c>
      <c r="P488" s="26" t="s">
        <v>293</v>
      </c>
    </row>
    <row r="489" spans="1:16" x14ac:dyDescent="0.3">
      <c r="A489" s="24">
        <v>16</v>
      </c>
      <c r="B489" s="102">
        <v>46050</v>
      </c>
      <c r="C489" s="25" t="s">
        <v>356</v>
      </c>
      <c r="D489" s="103" t="s">
        <v>350</v>
      </c>
      <c r="E489" s="26">
        <v>57</v>
      </c>
      <c r="F489" s="26" t="s">
        <v>293</v>
      </c>
      <c r="K489" s="24">
        <v>16</v>
      </c>
      <c r="L489" s="102">
        <v>46050</v>
      </c>
      <c r="M489" s="25" t="s">
        <v>357</v>
      </c>
      <c r="N489" s="103" t="s">
        <v>350</v>
      </c>
      <c r="O489" s="26">
        <v>82</v>
      </c>
      <c r="P489" s="26" t="s">
        <v>293</v>
      </c>
    </row>
    <row r="490" spans="1:16" x14ac:dyDescent="0.3">
      <c r="A490" s="24">
        <v>16</v>
      </c>
      <c r="B490" s="102">
        <v>46050</v>
      </c>
      <c r="C490" s="25" t="s">
        <v>356</v>
      </c>
      <c r="D490" s="103" t="s">
        <v>122</v>
      </c>
      <c r="E490" s="26">
        <v>46</v>
      </c>
      <c r="F490" s="26" t="s">
        <v>293</v>
      </c>
      <c r="K490" s="24">
        <v>16</v>
      </c>
      <c r="L490" s="102">
        <v>46050</v>
      </c>
      <c r="M490" s="25" t="s">
        <v>357</v>
      </c>
      <c r="N490" s="103" t="s">
        <v>122</v>
      </c>
      <c r="O490" s="26">
        <v>222</v>
      </c>
      <c r="P490" s="26" t="s">
        <v>293</v>
      </c>
    </row>
    <row r="491" spans="1:16" x14ac:dyDescent="0.3">
      <c r="A491" s="24">
        <v>16</v>
      </c>
      <c r="B491" s="102">
        <v>46050</v>
      </c>
      <c r="C491" s="25" t="s">
        <v>356</v>
      </c>
      <c r="D491" s="103" t="s">
        <v>124</v>
      </c>
      <c r="E491" s="26">
        <v>31</v>
      </c>
      <c r="F491" s="26" t="s">
        <v>293</v>
      </c>
      <c r="K491" s="24">
        <v>16</v>
      </c>
      <c r="L491" s="102">
        <v>46050</v>
      </c>
      <c r="M491" s="25" t="s">
        <v>357</v>
      </c>
      <c r="N491" s="103" t="s">
        <v>124</v>
      </c>
      <c r="O491" s="26">
        <v>107</v>
      </c>
      <c r="P491" s="26" t="s">
        <v>293</v>
      </c>
    </row>
    <row r="492" spans="1:16" x14ac:dyDescent="0.3">
      <c r="A492" s="24">
        <v>16</v>
      </c>
      <c r="B492" s="102">
        <v>46050</v>
      </c>
      <c r="C492" s="25" t="s">
        <v>356</v>
      </c>
      <c r="D492" s="103" t="s">
        <v>351</v>
      </c>
      <c r="E492" s="26">
        <v>1.02</v>
      </c>
      <c r="F492" s="26" t="s">
        <v>293</v>
      </c>
      <c r="K492" s="24">
        <v>16</v>
      </c>
      <c r="L492" s="102">
        <v>46050</v>
      </c>
      <c r="M492" s="25" t="s">
        <v>357</v>
      </c>
      <c r="N492" s="103" t="s">
        <v>351</v>
      </c>
      <c r="O492" s="26">
        <v>3.57</v>
      </c>
      <c r="P492" s="26" t="s">
        <v>293</v>
      </c>
    </row>
    <row r="493" spans="1:16" x14ac:dyDescent="0.3">
      <c r="A493" s="24">
        <v>16</v>
      </c>
      <c r="B493" s="102">
        <v>46050</v>
      </c>
      <c r="C493" s="25" t="s">
        <v>356</v>
      </c>
      <c r="D493" s="103" t="s">
        <v>353</v>
      </c>
      <c r="E493" s="26">
        <v>34.4</v>
      </c>
      <c r="F493" s="26" t="s">
        <v>293</v>
      </c>
      <c r="K493" s="24">
        <v>16</v>
      </c>
      <c r="L493" s="102">
        <v>46050</v>
      </c>
      <c r="M493" s="25" t="s">
        <v>357</v>
      </c>
      <c r="N493" s="103" t="s">
        <v>353</v>
      </c>
      <c r="O493" s="26">
        <v>16.7</v>
      </c>
      <c r="P493" s="26" t="s">
        <v>293</v>
      </c>
    </row>
    <row r="494" spans="1:16" x14ac:dyDescent="0.3">
      <c r="A494" s="24">
        <v>16</v>
      </c>
      <c r="B494" s="102">
        <v>46050</v>
      </c>
      <c r="C494" s="25" t="s">
        <v>356</v>
      </c>
      <c r="D494" s="103" t="s">
        <v>133</v>
      </c>
      <c r="E494" s="26">
        <v>145</v>
      </c>
      <c r="F494" s="26" t="s">
        <v>293</v>
      </c>
      <c r="K494" s="24">
        <v>16</v>
      </c>
      <c r="L494" s="102">
        <v>46050</v>
      </c>
      <c r="M494" s="25" t="s">
        <v>357</v>
      </c>
      <c r="N494" s="103" t="s">
        <v>133</v>
      </c>
      <c r="O494" s="26">
        <v>126</v>
      </c>
      <c r="P494" s="26" t="s">
        <v>293</v>
      </c>
    </row>
    <row r="495" spans="1:16" x14ac:dyDescent="0.3">
      <c r="A495" s="24">
        <v>16</v>
      </c>
      <c r="B495" s="102">
        <v>46050</v>
      </c>
      <c r="C495" s="25" t="s">
        <v>356</v>
      </c>
      <c r="D495" s="103" t="s">
        <v>135</v>
      </c>
      <c r="E495" s="26">
        <v>3.7</v>
      </c>
      <c r="F495" s="26" t="s">
        <v>293</v>
      </c>
      <c r="K495" s="24">
        <v>16</v>
      </c>
      <c r="L495" s="102">
        <v>46050</v>
      </c>
      <c r="M495" s="25" t="s">
        <v>357</v>
      </c>
      <c r="N495" s="103" t="s">
        <v>135</v>
      </c>
      <c r="O495" s="26">
        <v>6.4</v>
      </c>
      <c r="P495" s="26" t="s">
        <v>293</v>
      </c>
    </row>
    <row r="496" spans="1:16" x14ac:dyDescent="0.3">
      <c r="A496" s="24">
        <v>16</v>
      </c>
      <c r="B496" s="102">
        <v>46050</v>
      </c>
      <c r="C496" s="25" t="s">
        <v>356</v>
      </c>
      <c r="D496" s="103" t="s">
        <v>136</v>
      </c>
      <c r="E496" s="26">
        <v>120</v>
      </c>
      <c r="F496" s="26" t="s">
        <v>293</v>
      </c>
      <c r="K496" s="24">
        <v>16</v>
      </c>
      <c r="L496" s="102">
        <v>46050</v>
      </c>
      <c r="M496" s="25" t="s">
        <v>357</v>
      </c>
      <c r="N496" s="103" t="s">
        <v>136</v>
      </c>
      <c r="O496" s="26">
        <v>94</v>
      </c>
      <c r="P496" s="26" t="s">
        <v>293</v>
      </c>
    </row>
    <row r="497" spans="1:16" x14ac:dyDescent="0.3">
      <c r="A497" s="24">
        <v>17</v>
      </c>
      <c r="B497" s="102">
        <v>46051</v>
      </c>
      <c r="C497" s="25" t="s">
        <v>356</v>
      </c>
      <c r="D497" s="103" t="s">
        <v>339</v>
      </c>
      <c r="E497" s="26">
        <v>4.57</v>
      </c>
      <c r="F497" s="26" t="s">
        <v>293</v>
      </c>
      <c r="K497" s="24">
        <v>17</v>
      </c>
      <c r="L497" s="102">
        <v>46051</v>
      </c>
      <c r="M497" s="25" t="s">
        <v>357</v>
      </c>
      <c r="N497" s="103" t="s">
        <v>339</v>
      </c>
      <c r="O497" s="26">
        <v>1.1499999999999999</v>
      </c>
      <c r="P497" s="26" t="s">
        <v>293</v>
      </c>
    </row>
    <row r="498" spans="1:16" x14ac:dyDescent="0.3">
      <c r="A498" s="24">
        <v>17</v>
      </c>
      <c r="B498" s="102">
        <v>46051</v>
      </c>
      <c r="C498" s="25" t="s">
        <v>356</v>
      </c>
      <c r="D498" s="103" t="s">
        <v>118</v>
      </c>
      <c r="E498" s="26">
        <v>4.8</v>
      </c>
      <c r="F498" s="26" t="s">
        <v>293</v>
      </c>
      <c r="K498" s="24">
        <v>17</v>
      </c>
      <c r="L498" s="102">
        <v>46051</v>
      </c>
      <c r="M498" s="25" t="s">
        <v>357</v>
      </c>
      <c r="N498" s="103" t="s">
        <v>118</v>
      </c>
      <c r="O498" s="26">
        <v>9.7200000000000006</v>
      </c>
      <c r="P498" s="26" t="s">
        <v>293</v>
      </c>
    </row>
    <row r="499" spans="1:16" x14ac:dyDescent="0.3">
      <c r="A499" s="24">
        <v>17</v>
      </c>
      <c r="B499" s="102">
        <v>46051</v>
      </c>
      <c r="C499" s="25" t="s">
        <v>356</v>
      </c>
      <c r="D499" s="103" t="s">
        <v>130</v>
      </c>
      <c r="E499" s="26">
        <v>3.89</v>
      </c>
      <c r="F499" s="26" t="s">
        <v>293</v>
      </c>
      <c r="K499" s="24">
        <v>17</v>
      </c>
      <c r="L499" s="102">
        <v>46051</v>
      </c>
      <c r="M499" s="25" t="s">
        <v>357</v>
      </c>
      <c r="N499" s="103" t="s">
        <v>130</v>
      </c>
      <c r="O499" s="26">
        <v>2.6</v>
      </c>
      <c r="P499" s="26" t="s">
        <v>293</v>
      </c>
    </row>
    <row r="500" spans="1:16" x14ac:dyDescent="0.3">
      <c r="A500" s="24">
        <v>17</v>
      </c>
      <c r="B500" s="102">
        <v>46051</v>
      </c>
      <c r="C500" s="25" t="s">
        <v>356</v>
      </c>
      <c r="D500" s="103" t="s">
        <v>341</v>
      </c>
      <c r="E500" s="26">
        <v>0.28699999999999998</v>
      </c>
      <c r="F500" s="26" t="s">
        <v>293</v>
      </c>
      <c r="K500" s="24">
        <v>17</v>
      </c>
      <c r="L500" s="102">
        <v>46051</v>
      </c>
      <c r="M500" s="25" t="s">
        <v>357</v>
      </c>
      <c r="N500" s="103" t="s">
        <v>341</v>
      </c>
      <c r="O500" s="26">
        <v>1.099</v>
      </c>
      <c r="P500" s="26" t="s">
        <v>293</v>
      </c>
    </row>
    <row r="501" spans="1:16" x14ac:dyDescent="0.3">
      <c r="A501" s="24">
        <v>17</v>
      </c>
      <c r="B501" s="102">
        <v>46051</v>
      </c>
      <c r="C501" s="25" t="s">
        <v>356</v>
      </c>
      <c r="D501" s="103" t="s">
        <v>127</v>
      </c>
      <c r="E501" s="26">
        <v>1.18</v>
      </c>
      <c r="F501" s="26" t="s">
        <v>293</v>
      </c>
      <c r="K501" s="24">
        <v>17</v>
      </c>
      <c r="L501" s="102">
        <v>46051</v>
      </c>
      <c r="M501" s="25" t="s">
        <v>357</v>
      </c>
      <c r="N501" s="103" t="s">
        <v>127</v>
      </c>
      <c r="O501" s="26">
        <v>4.46</v>
      </c>
      <c r="P501" s="26" t="s">
        <v>293</v>
      </c>
    </row>
    <row r="502" spans="1:16" x14ac:dyDescent="0.3">
      <c r="A502" s="24">
        <v>17</v>
      </c>
      <c r="B502" s="102">
        <v>46051</v>
      </c>
      <c r="C502" s="25" t="s">
        <v>356</v>
      </c>
      <c r="D502" s="103" t="s">
        <v>131</v>
      </c>
      <c r="E502" s="26">
        <v>8.6</v>
      </c>
      <c r="F502" s="26" t="s">
        <v>293</v>
      </c>
      <c r="K502" s="24">
        <v>17</v>
      </c>
      <c r="L502" s="102">
        <v>46051</v>
      </c>
      <c r="M502" s="25" t="s">
        <v>357</v>
      </c>
      <c r="N502" s="103" t="s">
        <v>131</v>
      </c>
      <c r="O502" s="26">
        <v>11.9</v>
      </c>
      <c r="P502" s="26" t="s">
        <v>293</v>
      </c>
    </row>
    <row r="503" spans="1:16" x14ac:dyDescent="0.3">
      <c r="A503" s="24">
        <v>17</v>
      </c>
      <c r="B503" s="102">
        <v>46051</v>
      </c>
      <c r="C503" s="25" t="s">
        <v>356</v>
      </c>
      <c r="D503" s="103" t="s">
        <v>342</v>
      </c>
      <c r="E503" s="26">
        <v>331</v>
      </c>
      <c r="F503" s="26" t="s">
        <v>293</v>
      </c>
      <c r="K503" s="24">
        <v>17</v>
      </c>
      <c r="L503" s="102">
        <v>46051</v>
      </c>
      <c r="M503" s="25" t="s">
        <v>357</v>
      </c>
      <c r="N503" s="103" t="s">
        <v>342</v>
      </c>
      <c r="O503" s="26">
        <v>195</v>
      </c>
      <c r="P503" s="26" t="s">
        <v>293</v>
      </c>
    </row>
    <row r="504" spans="1:16" x14ac:dyDescent="0.3">
      <c r="A504" s="24">
        <v>17</v>
      </c>
      <c r="B504" s="102">
        <v>46051</v>
      </c>
      <c r="C504" s="25" t="s">
        <v>356</v>
      </c>
      <c r="D504" s="103" t="s">
        <v>119</v>
      </c>
      <c r="E504" s="26">
        <v>226</v>
      </c>
      <c r="F504" s="26" t="s">
        <v>293</v>
      </c>
      <c r="K504" s="24">
        <v>17</v>
      </c>
      <c r="L504" s="102">
        <v>46051</v>
      </c>
      <c r="M504" s="25" t="s">
        <v>357</v>
      </c>
      <c r="N504" s="103" t="s">
        <v>119</v>
      </c>
      <c r="O504" s="26">
        <v>86</v>
      </c>
      <c r="P504" s="26" t="s">
        <v>293</v>
      </c>
    </row>
    <row r="505" spans="1:16" x14ac:dyDescent="0.3">
      <c r="A505" s="24">
        <v>17</v>
      </c>
      <c r="B505" s="102">
        <v>46051</v>
      </c>
      <c r="C505" s="25" t="s">
        <v>356</v>
      </c>
      <c r="D505" s="103" t="s">
        <v>120</v>
      </c>
      <c r="E505" s="26">
        <v>76</v>
      </c>
      <c r="F505" s="26" t="s">
        <v>293</v>
      </c>
      <c r="K505" s="24">
        <v>17</v>
      </c>
      <c r="L505" s="102">
        <v>46051</v>
      </c>
      <c r="M505" s="25" t="s">
        <v>357</v>
      </c>
      <c r="N505" s="103" t="s">
        <v>120</v>
      </c>
      <c r="O505" s="26">
        <v>26</v>
      </c>
      <c r="P505" s="26" t="s">
        <v>293</v>
      </c>
    </row>
    <row r="506" spans="1:16" x14ac:dyDescent="0.3">
      <c r="A506" s="24">
        <v>17</v>
      </c>
      <c r="B506" s="102">
        <v>46051</v>
      </c>
      <c r="C506" s="25" t="s">
        <v>356</v>
      </c>
      <c r="D506" s="103" t="s">
        <v>117</v>
      </c>
      <c r="E506" s="26">
        <v>2.62</v>
      </c>
      <c r="F506" s="26" t="s">
        <v>293</v>
      </c>
      <c r="K506" s="24">
        <v>17</v>
      </c>
      <c r="L506" s="102">
        <v>46051</v>
      </c>
      <c r="M506" s="25" t="s">
        <v>357</v>
      </c>
      <c r="N506" s="103" t="s">
        <v>117</v>
      </c>
      <c r="O506" s="26">
        <v>6.17</v>
      </c>
      <c r="P506" s="26" t="s">
        <v>293</v>
      </c>
    </row>
    <row r="507" spans="1:16" x14ac:dyDescent="0.3">
      <c r="A507" s="24">
        <v>17</v>
      </c>
      <c r="B507" s="102">
        <v>46051</v>
      </c>
      <c r="C507" s="25" t="s">
        <v>356</v>
      </c>
      <c r="D507" s="103" t="s">
        <v>344</v>
      </c>
      <c r="E507" s="26">
        <v>228</v>
      </c>
      <c r="F507" s="26" t="s">
        <v>293</v>
      </c>
      <c r="K507" s="24">
        <v>17</v>
      </c>
      <c r="L507" s="102">
        <v>46051</v>
      </c>
      <c r="M507" s="25" t="s">
        <v>357</v>
      </c>
      <c r="N507" s="103" t="s">
        <v>344</v>
      </c>
      <c r="O507" s="26">
        <v>67</v>
      </c>
      <c r="P507" s="26" t="s">
        <v>293</v>
      </c>
    </row>
    <row r="508" spans="1:16" x14ac:dyDescent="0.3">
      <c r="A508" s="24">
        <v>17</v>
      </c>
      <c r="B508" s="102">
        <v>46051</v>
      </c>
      <c r="C508" s="25" t="s">
        <v>356</v>
      </c>
      <c r="D508" s="103" t="s">
        <v>132</v>
      </c>
      <c r="E508" s="26">
        <v>3.61</v>
      </c>
      <c r="F508" s="26" t="s">
        <v>293</v>
      </c>
      <c r="K508" s="24">
        <v>17</v>
      </c>
      <c r="L508" s="102">
        <v>46051</v>
      </c>
      <c r="M508" s="25" t="s">
        <v>357</v>
      </c>
      <c r="N508" s="103" t="s">
        <v>132</v>
      </c>
      <c r="O508" s="26">
        <v>7.4</v>
      </c>
      <c r="P508" s="26" t="s">
        <v>293</v>
      </c>
    </row>
    <row r="509" spans="1:16" x14ac:dyDescent="0.3">
      <c r="A509" s="24">
        <v>17</v>
      </c>
      <c r="B509" s="102">
        <v>46051</v>
      </c>
      <c r="C509" s="25" t="s">
        <v>356</v>
      </c>
      <c r="D509" s="103" t="s">
        <v>111</v>
      </c>
      <c r="E509" s="26">
        <v>87</v>
      </c>
      <c r="F509" s="26" t="s">
        <v>293</v>
      </c>
      <c r="K509" s="24">
        <v>17</v>
      </c>
      <c r="L509" s="102">
        <v>46051</v>
      </c>
      <c r="M509" s="25" t="s">
        <v>357</v>
      </c>
      <c r="N509" s="103" t="s">
        <v>111</v>
      </c>
      <c r="O509" s="26">
        <v>277</v>
      </c>
      <c r="P509" s="26" t="s">
        <v>293</v>
      </c>
    </row>
    <row r="510" spans="1:16" x14ac:dyDescent="0.3">
      <c r="A510" s="24">
        <v>17</v>
      </c>
      <c r="B510" s="102">
        <v>46051</v>
      </c>
      <c r="C510" s="25" t="s">
        <v>356</v>
      </c>
      <c r="D510" s="103" t="s">
        <v>345</v>
      </c>
      <c r="E510" s="26">
        <v>5.12</v>
      </c>
      <c r="F510" s="26" t="s">
        <v>293</v>
      </c>
      <c r="K510" s="24">
        <v>17</v>
      </c>
      <c r="L510" s="102">
        <v>46051</v>
      </c>
      <c r="M510" s="25" t="s">
        <v>357</v>
      </c>
      <c r="N510" s="103" t="s">
        <v>345</v>
      </c>
      <c r="O510" s="26">
        <v>9.9</v>
      </c>
      <c r="P510" s="26" t="s">
        <v>293</v>
      </c>
    </row>
    <row r="511" spans="1:16" x14ac:dyDescent="0.3">
      <c r="A511" s="24">
        <v>17</v>
      </c>
      <c r="B511" s="102">
        <v>46051</v>
      </c>
      <c r="C511" s="25" t="s">
        <v>356</v>
      </c>
      <c r="D511" s="103" t="s">
        <v>347</v>
      </c>
      <c r="E511" s="26">
        <v>2.1</v>
      </c>
      <c r="F511" s="26" t="s">
        <v>293</v>
      </c>
      <c r="K511" s="24">
        <v>17</v>
      </c>
      <c r="L511" s="102">
        <v>46051</v>
      </c>
      <c r="M511" s="25" t="s">
        <v>357</v>
      </c>
      <c r="N511" s="103" t="s">
        <v>347</v>
      </c>
      <c r="O511" s="26">
        <v>4.5</v>
      </c>
      <c r="P511" s="26" t="s">
        <v>293</v>
      </c>
    </row>
    <row r="512" spans="1:16" x14ac:dyDescent="0.3">
      <c r="A512" s="24">
        <v>17</v>
      </c>
      <c r="B512" s="102">
        <v>46051</v>
      </c>
      <c r="C512" s="25" t="s">
        <v>356</v>
      </c>
      <c r="D512" s="103" t="s">
        <v>128</v>
      </c>
      <c r="E512" s="26">
        <v>6.8</v>
      </c>
      <c r="F512" s="26" t="s">
        <v>293</v>
      </c>
      <c r="K512" s="24">
        <v>17</v>
      </c>
      <c r="L512" s="102">
        <v>46051</v>
      </c>
      <c r="M512" s="25" t="s">
        <v>357</v>
      </c>
      <c r="N512" s="103" t="s">
        <v>128</v>
      </c>
      <c r="O512" s="26">
        <v>4.3</v>
      </c>
      <c r="P512" s="26" t="s">
        <v>293</v>
      </c>
    </row>
    <row r="513" spans="1:16" x14ac:dyDescent="0.3">
      <c r="A513" s="24">
        <v>17</v>
      </c>
      <c r="B513" s="102">
        <v>46051</v>
      </c>
      <c r="C513" s="25" t="s">
        <v>356</v>
      </c>
      <c r="D513" s="103" t="s">
        <v>121</v>
      </c>
      <c r="E513" s="26">
        <v>155</v>
      </c>
      <c r="F513" s="26" t="s">
        <v>293</v>
      </c>
      <c r="K513" s="24">
        <v>17</v>
      </c>
      <c r="L513" s="102">
        <v>46051</v>
      </c>
      <c r="M513" s="25" t="s">
        <v>357</v>
      </c>
      <c r="N513" s="103" t="s">
        <v>121</v>
      </c>
      <c r="O513" s="26">
        <v>78</v>
      </c>
      <c r="P513" s="26" t="s">
        <v>293</v>
      </c>
    </row>
    <row r="514" spans="1:16" x14ac:dyDescent="0.3">
      <c r="A514" s="24">
        <v>17</v>
      </c>
      <c r="B514" s="102">
        <v>46051</v>
      </c>
      <c r="C514" s="25" t="s">
        <v>356</v>
      </c>
      <c r="D514" s="103" t="s">
        <v>115</v>
      </c>
      <c r="E514" s="26">
        <v>32</v>
      </c>
      <c r="F514" s="26" t="s">
        <v>293</v>
      </c>
      <c r="K514" s="24">
        <v>17</v>
      </c>
      <c r="L514" s="102">
        <v>46051</v>
      </c>
      <c r="M514" s="25" t="s">
        <v>357</v>
      </c>
      <c r="N514" s="103" t="s">
        <v>115</v>
      </c>
      <c r="O514" s="26">
        <v>96</v>
      </c>
      <c r="P514" s="26" t="s">
        <v>293</v>
      </c>
    </row>
    <row r="515" spans="1:16" x14ac:dyDescent="0.3">
      <c r="A515" s="24">
        <v>17</v>
      </c>
      <c r="B515" s="102">
        <v>46051</v>
      </c>
      <c r="C515" s="25" t="s">
        <v>356</v>
      </c>
      <c r="D515" s="103" t="s">
        <v>137</v>
      </c>
      <c r="E515" s="26">
        <v>75</v>
      </c>
      <c r="F515" s="26" t="s">
        <v>293</v>
      </c>
      <c r="K515" s="24">
        <v>17</v>
      </c>
      <c r="L515" s="102">
        <v>46051</v>
      </c>
      <c r="M515" s="25" t="s">
        <v>357</v>
      </c>
      <c r="N515" s="103" t="s">
        <v>137</v>
      </c>
      <c r="O515" s="26">
        <v>485</v>
      </c>
      <c r="P515" s="26" t="s">
        <v>293</v>
      </c>
    </row>
    <row r="516" spans="1:16" x14ac:dyDescent="0.3">
      <c r="A516" s="24">
        <v>17</v>
      </c>
      <c r="B516" s="102">
        <v>46051</v>
      </c>
      <c r="C516" s="25" t="s">
        <v>356</v>
      </c>
      <c r="D516" s="103" t="s">
        <v>348</v>
      </c>
      <c r="E516" s="26">
        <v>141</v>
      </c>
      <c r="F516" s="26" t="s">
        <v>293</v>
      </c>
      <c r="K516" s="24">
        <v>17</v>
      </c>
      <c r="L516" s="102">
        <v>46051</v>
      </c>
      <c r="M516" s="25" t="s">
        <v>357</v>
      </c>
      <c r="N516" s="103" t="s">
        <v>348</v>
      </c>
      <c r="O516" s="26">
        <v>435</v>
      </c>
      <c r="P516" s="26" t="s">
        <v>293</v>
      </c>
    </row>
    <row r="517" spans="1:16" x14ac:dyDescent="0.3">
      <c r="A517" s="24">
        <v>17</v>
      </c>
      <c r="B517" s="102">
        <v>46051</v>
      </c>
      <c r="C517" s="25" t="s">
        <v>356</v>
      </c>
      <c r="D517" s="103" t="s">
        <v>125</v>
      </c>
      <c r="E517" s="26">
        <v>109</v>
      </c>
      <c r="F517" s="26" t="s">
        <v>293</v>
      </c>
      <c r="K517" s="24">
        <v>17</v>
      </c>
      <c r="L517" s="102">
        <v>46051</v>
      </c>
      <c r="M517" s="25" t="s">
        <v>357</v>
      </c>
      <c r="N517" s="103" t="s">
        <v>125</v>
      </c>
      <c r="O517" s="26">
        <v>410</v>
      </c>
      <c r="P517" s="26" t="s">
        <v>293</v>
      </c>
    </row>
    <row r="518" spans="1:16" x14ac:dyDescent="0.3">
      <c r="A518" s="24">
        <v>17</v>
      </c>
      <c r="B518" s="102">
        <v>46051</v>
      </c>
      <c r="C518" s="25" t="s">
        <v>356</v>
      </c>
      <c r="D518" s="103" t="s">
        <v>126</v>
      </c>
      <c r="E518" s="26">
        <v>80</v>
      </c>
      <c r="F518" s="26" t="s">
        <v>293</v>
      </c>
      <c r="K518" s="24">
        <v>17</v>
      </c>
      <c r="L518" s="102">
        <v>46051</v>
      </c>
      <c r="M518" s="25" t="s">
        <v>357</v>
      </c>
      <c r="N518" s="103" t="s">
        <v>126</v>
      </c>
      <c r="O518" s="26">
        <v>154</v>
      </c>
      <c r="P518" s="26" t="s">
        <v>293</v>
      </c>
    </row>
    <row r="519" spans="1:16" x14ac:dyDescent="0.3">
      <c r="A519" s="24">
        <v>17</v>
      </c>
      <c r="B519" s="102">
        <v>46051</v>
      </c>
      <c r="C519" s="25" t="s">
        <v>356</v>
      </c>
      <c r="D519" s="103" t="s">
        <v>349</v>
      </c>
      <c r="E519" s="26">
        <v>158</v>
      </c>
      <c r="F519" s="26" t="s">
        <v>293</v>
      </c>
      <c r="K519" s="24">
        <v>17</v>
      </c>
      <c r="L519" s="102">
        <v>46051</v>
      </c>
      <c r="M519" s="25" t="s">
        <v>357</v>
      </c>
      <c r="N519" s="103" t="s">
        <v>349</v>
      </c>
      <c r="O519" s="26">
        <v>399</v>
      </c>
      <c r="P519" s="26" t="s">
        <v>293</v>
      </c>
    </row>
    <row r="520" spans="1:16" x14ac:dyDescent="0.3">
      <c r="A520" s="24">
        <v>17</v>
      </c>
      <c r="B520" s="102">
        <v>46051</v>
      </c>
      <c r="C520" s="25" t="s">
        <v>356</v>
      </c>
      <c r="D520" s="103" t="s">
        <v>350</v>
      </c>
      <c r="E520" s="26">
        <v>60</v>
      </c>
      <c r="F520" s="26" t="s">
        <v>293</v>
      </c>
      <c r="K520" s="24">
        <v>17</v>
      </c>
      <c r="L520" s="102">
        <v>46051</v>
      </c>
      <c r="M520" s="25" t="s">
        <v>357</v>
      </c>
      <c r="N520" s="103" t="s">
        <v>350</v>
      </c>
      <c r="O520" s="26">
        <v>85</v>
      </c>
      <c r="P520" s="26" t="s">
        <v>293</v>
      </c>
    </row>
    <row r="521" spans="1:16" x14ac:dyDescent="0.3">
      <c r="A521" s="24">
        <v>17</v>
      </c>
      <c r="B521" s="102">
        <v>46051</v>
      </c>
      <c r="C521" s="25" t="s">
        <v>356</v>
      </c>
      <c r="D521" s="103" t="s">
        <v>122</v>
      </c>
      <c r="E521" s="26">
        <v>47</v>
      </c>
      <c r="F521" s="26" t="s">
        <v>293</v>
      </c>
      <c r="K521" s="24">
        <v>17</v>
      </c>
      <c r="L521" s="102">
        <v>46051</v>
      </c>
      <c r="M521" s="25" t="s">
        <v>357</v>
      </c>
      <c r="N521" s="103" t="s">
        <v>122</v>
      </c>
      <c r="O521" s="26">
        <v>220</v>
      </c>
      <c r="P521" s="26" t="s">
        <v>293</v>
      </c>
    </row>
    <row r="522" spans="1:16" x14ac:dyDescent="0.3">
      <c r="A522" s="24">
        <v>17</v>
      </c>
      <c r="B522" s="102">
        <v>46051</v>
      </c>
      <c r="C522" s="25" t="s">
        <v>356</v>
      </c>
      <c r="D522" s="103" t="s">
        <v>124</v>
      </c>
      <c r="E522" s="26">
        <v>30</v>
      </c>
      <c r="F522" s="26" t="s">
        <v>293</v>
      </c>
      <c r="K522" s="24">
        <v>17</v>
      </c>
      <c r="L522" s="102">
        <v>46051</v>
      </c>
      <c r="M522" s="25" t="s">
        <v>357</v>
      </c>
      <c r="N522" s="103" t="s">
        <v>124</v>
      </c>
      <c r="O522" s="26">
        <v>110</v>
      </c>
      <c r="P522" s="26" t="s">
        <v>293</v>
      </c>
    </row>
    <row r="523" spans="1:16" x14ac:dyDescent="0.3">
      <c r="A523" s="24">
        <v>17</v>
      </c>
      <c r="B523" s="102">
        <v>46051</v>
      </c>
      <c r="C523" s="25" t="s">
        <v>356</v>
      </c>
      <c r="D523" s="103" t="s">
        <v>351</v>
      </c>
      <c r="E523" s="26">
        <v>1.1200000000000001</v>
      </c>
      <c r="F523" s="26" t="s">
        <v>293</v>
      </c>
      <c r="K523" s="24">
        <v>17</v>
      </c>
      <c r="L523" s="102">
        <v>46051</v>
      </c>
      <c r="M523" s="25" t="s">
        <v>357</v>
      </c>
      <c r="N523" s="103" t="s">
        <v>351</v>
      </c>
      <c r="O523" s="26">
        <v>3.58</v>
      </c>
      <c r="P523" s="26" t="s">
        <v>293</v>
      </c>
    </row>
    <row r="524" spans="1:16" x14ac:dyDescent="0.3">
      <c r="A524" s="24">
        <v>17</v>
      </c>
      <c r="B524" s="102">
        <v>46051</v>
      </c>
      <c r="C524" s="25" t="s">
        <v>356</v>
      </c>
      <c r="D524" s="103" t="s">
        <v>353</v>
      </c>
      <c r="E524" s="26">
        <v>34.6</v>
      </c>
      <c r="F524" s="26" t="s">
        <v>293</v>
      </c>
      <c r="K524" s="24">
        <v>17</v>
      </c>
      <c r="L524" s="102">
        <v>46051</v>
      </c>
      <c r="M524" s="25" t="s">
        <v>357</v>
      </c>
      <c r="N524" s="103" t="s">
        <v>353</v>
      </c>
      <c r="O524" s="26">
        <v>18.77</v>
      </c>
      <c r="P524" s="26" t="s">
        <v>293</v>
      </c>
    </row>
    <row r="525" spans="1:16" x14ac:dyDescent="0.3">
      <c r="A525" s="24">
        <v>17</v>
      </c>
      <c r="B525" s="102">
        <v>46051</v>
      </c>
      <c r="C525" s="25" t="s">
        <v>356</v>
      </c>
      <c r="D525" s="103" t="s">
        <v>133</v>
      </c>
      <c r="E525" s="26">
        <v>146</v>
      </c>
      <c r="F525" s="26" t="s">
        <v>293</v>
      </c>
      <c r="K525" s="24">
        <v>17</v>
      </c>
      <c r="L525" s="102">
        <v>46051</v>
      </c>
      <c r="M525" s="25" t="s">
        <v>357</v>
      </c>
      <c r="N525" s="103" t="s">
        <v>133</v>
      </c>
      <c r="O525" s="26">
        <v>127</v>
      </c>
      <c r="P525" s="26" t="s">
        <v>293</v>
      </c>
    </row>
    <row r="526" spans="1:16" x14ac:dyDescent="0.3">
      <c r="A526" s="24">
        <v>17</v>
      </c>
      <c r="B526" s="102">
        <v>46051</v>
      </c>
      <c r="C526" s="25" t="s">
        <v>356</v>
      </c>
      <c r="D526" s="103" t="s">
        <v>135</v>
      </c>
      <c r="E526" s="26">
        <v>3.7</v>
      </c>
      <c r="F526" s="26" t="s">
        <v>293</v>
      </c>
      <c r="K526" s="24">
        <v>17</v>
      </c>
      <c r="L526" s="102">
        <v>46051</v>
      </c>
      <c r="M526" s="25" t="s">
        <v>357</v>
      </c>
      <c r="N526" s="103" t="s">
        <v>135</v>
      </c>
      <c r="O526" s="26">
        <v>6.4</v>
      </c>
      <c r="P526" s="26" t="s">
        <v>293</v>
      </c>
    </row>
    <row r="527" spans="1:16" x14ac:dyDescent="0.3">
      <c r="A527" s="24">
        <v>17</v>
      </c>
      <c r="B527" s="102">
        <v>46051</v>
      </c>
      <c r="C527" s="25" t="s">
        <v>356</v>
      </c>
      <c r="D527" s="103" t="s">
        <v>136</v>
      </c>
      <c r="E527" s="26">
        <v>116</v>
      </c>
      <c r="F527" s="26" t="s">
        <v>293</v>
      </c>
      <c r="K527" s="24">
        <v>17</v>
      </c>
      <c r="L527" s="102">
        <v>46051</v>
      </c>
      <c r="M527" s="25" t="s">
        <v>357</v>
      </c>
      <c r="N527" s="103" t="s">
        <v>136</v>
      </c>
      <c r="O527" s="26">
        <v>93</v>
      </c>
      <c r="P527" s="26" t="s">
        <v>293</v>
      </c>
    </row>
    <row r="528" spans="1:16" x14ac:dyDescent="0.3">
      <c r="A528" s="24">
        <v>18</v>
      </c>
      <c r="B528" s="102">
        <v>46052</v>
      </c>
      <c r="C528" s="25" t="s">
        <v>356</v>
      </c>
      <c r="D528" s="103" t="s">
        <v>339</v>
      </c>
      <c r="E528" s="26">
        <v>4.53</v>
      </c>
      <c r="F528" s="26" t="s">
        <v>293</v>
      </c>
      <c r="K528" s="24">
        <v>18</v>
      </c>
      <c r="L528" s="102">
        <v>46052.346678240741</v>
      </c>
      <c r="M528" s="25" t="s">
        <v>357</v>
      </c>
      <c r="N528" s="103" t="s">
        <v>339</v>
      </c>
      <c r="O528" s="26">
        <v>1.06</v>
      </c>
      <c r="P528" s="26" t="s">
        <v>293</v>
      </c>
    </row>
    <row r="529" spans="1:16" x14ac:dyDescent="0.3">
      <c r="A529" s="24">
        <v>18</v>
      </c>
      <c r="B529" s="102">
        <v>46052</v>
      </c>
      <c r="C529" s="25" t="s">
        <v>356</v>
      </c>
      <c r="D529" s="103" t="s">
        <v>118</v>
      </c>
      <c r="E529" s="26">
        <v>4.7</v>
      </c>
      <c r="F529" s="26" t="s">
        <v>293</v>
      </c>
      <c r="K529" s="24">
        <v>18</v>
      </c>
      <c r="L529" s="102">
        <v>46052.346678240741</v>
      </c>
      <c r="M529" s="25" t="s">
        <v>357</v>
      </c>
      <c r="N529" s="103" t="s">
        <v>118</v>
      </c>
      <c r="O529" s="26">
        <v>9.8000000000000007</v>
      </c>
      <c r="P529" s="26" t="s">
        <v>293</v>
      </c>
    </row>
    <row r="530" spans="1:16" x14ac:dyDescent="0.3">
      <c r="A530" s="24">
        <v>18</v>
      </c>
      <c r="B530" s="102">
        <v>46052</v>
      </c>
      <c r="C530" s="25" t="s">
        <v>356</v>
      </c>
      <c r="D530" s="103" t="s">
        <v>130</v>
      </c>
      <c r="E530" s="26">
        <v>3.8860000000000001</v>
      </c>
      <c r="F530" s="26" t="s">
        <v>293</v>
      </c>
      <c r="K530" s="24">
        <v>18</v>
      </c>
      <c r="L530" s="102">
        <v>46052.346678240741</v>
      </c>
      <c r="M530" s="25" t="s">
        <v>357</v>
      </c>
      <c r="N530" s="103" t="s">
        <v>130</v>
      </c>
      <c r="O530" s="26">
        <v>2.5</v>
      </c>
      <c r="P530" s="26" t="s">
        <v>293</v>
      </c>
    </row>
    <row r="531" spans="1:16" x14ac:dyDescent="0.3">
      <c r="A531" s="24">
        <v>18</v>
      </c>
      <c r="B531" s="102">
        <v>46052</v>
      </c>
      <c r="C531" s="25" t="s">
        <v>356</v>
      </c>
      <c r="D531" s="103" t="s">
        <v>341</v>
      </c>
      <c r="E531" s="26">
        <v>0.30299999999999999</v>
      </c>
      <c r="F531" s="26" t="s">
        <v>293</v>
      </c>
      <c r="K531" s="24">
        <v>18</v>
      </c>
      <c r="L531" s="102">
        <v>46052.346678240741</v>
      </c>
      <c r="M531" s="25" t="s">
        <v>357</v>
      </c>
      <c r="N531" s="103" t="s">
        <v>341</v>
      </c>
      <c r="O531" s="26">
        <v>1.097</v>
      </c>
      <c r="P531" s="26" t="s">
        <v>293</v>
      </c>
    </row>
    <row r="532" spans="1:16" x14ac:dyDescent="0.3">
      <c r="A532" s="24">
        <v>18</v>
      </c>
      <c r="B532" s="102">
        <v>46052</v>
      </c>
      <c r="C532" s="25" t="s">
        <v>356</v>
      </c>
      <c r="D532" s="103" t="s">
        <v>127</v>
      </c>
      <c r="E532" s="26">
        <v>1.137</v>
      </c>
      <c r="F532" s="26" t="s">
        <v>293</v>
      </c>
      <c r="K532" s="24">
        <v>18</v>
      </c>
      <c r="L532" s="102">
        <v>46052.346678240741</v>
      </c>
      <c r="M532" s="25" t="s">
        <v>357</v>
      </c>
      <c r="N532" s="103" t="s">
        <v>127</v>
      </c>
      <c r="O532" s="26">
        <v>4.5179999999999998</v>
      </c>
      <c r="P532" s="26" t="s">
        <v>293</v>
      </c>
    </row>
    <row r="533" spans="1:16" x14ac:dyDescent="0.3">
      <c r="A533" s="24">
        <v>18</v>
      </c>
      <c r="B533" s="102">
        <v>46052</v>
      </c>
      <c r="C533" s="25" t="s">
        <v>356</v>
      </c>
      <c r="D533" s="103" t="s">
        <v>131</v>
      </c>
      <c r="E533" s="26">
        <v>8.6999999999999993</v>
      </c>
      <c r="F533" s="26" t="s">
        <v>293</v>
      </c>
      <c r="K533" s="24">
        <v>18</v>
      </c>
      <c r="L533" s="102">
        <v>46052.346678240741</v>
      </c>
      <c r="M533" s="25" t="s">
        <v>357</v>
      </c>
      <c r="N533" s="103" t="s">
        <v>131</v>
      </c>
      <c r="O533" s="26">
        <v>11.8</v>
      </c>
      <c r="P533" s="26" t="s">
        <v>293</v>
      </c>
    </row>
    <row r="534" spans="1:16" x14ac:dyDescent="0.3">
      <c r="A534" s="24">
        <v>18</v>
      </c>
      <c r="B534" s="102">
        <v>46052</v>
      </c>
      <c r="C534" s="25" t="s">
        <v>356</v>
      </c>
      <c r="D534" s="103" t="s">
        <v>342</v>
      </c>
      <c r="E534" s="26">
        <v>323</v>
      </c>
      <c r="F534" s="26" t="s">
        <v>293</v>
      </c>
      <c r="K534" s="24">
        <v>18</v>
      </c>
      <c r="L534" s="102">
        <v>46052.346678240741</v>
      </c>
      <c r="M534" s="25" t="s">
        <v>357</v>
      </c>
      <c r="N534" s="103" t="s">
        <v>342</v>
      </c>
      <c r="O534" s="26">
        <v>193</v>
      </c>
      <c r="P534" s="26" t="s">
        <v>293</v>
      </c>
    </row>
    <row r="535" spans="1:16" x14ac:dyDescent="0.3">
      <c r="A535" s="24">
        <v>18</v>
      </c>
      <c r="B535" s="102">
        <v>46052</v>
      </c>
      <c r="C535" s="25" t="s">
        <v>356</v>
      </c>
      <c r="D535" s="103" t="s">
        <v>119</v>
      </c>
      <c r="E535" s="26">
        <v>238</v>
      </c>
      <c r="F535" s="26" t="s">
        <v>293</v>
      </c>
      <c r="K535" s="24">
        <v>18</v>
      </c>
      <c r="L535" s="102">
        <v>46052.346678240741</v>
      </c>
      <c r="M535" s="25" t="s">
        <v>357</v>
      </c>
      <c r="N535" s="103" t="s">
        <v>119</v>
      </c>
      <c r="O535" s="26">
        <v>84</v>
      </c>
      <c r="P535" s="26" t="s">
        <v>293</v>
      </c>
    </row>
    <row r="536" spans="1:16" x14ac:dyDescent="0.3">
      <c r="A536" s="24">
        <v>18</v>
      </c>
      <c r="B536" s="102">
        <v>46052</v>
      </c>
      <c r="C536" s="25" t="s">
        <v>356</v>
      </c>
      <c r="D536" s="103" t="s">
        <v>120</v>
      </c>
      <c r="E536" s="26">
        <v>78</v>
      </c>
      <c r="F536" s="26" t="s">
        <v>293</v>
      </c>
      <c r="K536" s="24">
        <v>18</v>
      </c>
      <c r="L536" s="102">
        <v>46052.346678240741</v>
      </c>
      <c r="M536" s="25" t="s">
        <v>357</v>
      </c>
      <c r="N536" s="103" t="s">
        <v>120</v>
      </c>
      <c r="O536" s="26">
        <v>26</v>
      </c>
      <c r="P536" s="26" t="s">
        <v>293</v>
      </c>
    </row>
    <row r="537" spans="1:16" x14ac:dyDescent="0.3">
      <c r="A537" s="24">
        <v>18</v>
      </c>
      <c r="B537" s="102">
        <v>46052</v>
      </c>
      <c r="C537" s="25" t="s">
        <v>356</v>
      </c>
      <c r="D537" s="103" t="s">
        <v>117</v>
      </c>
      <c r="E537" s="26">
        <v>2.69</v>
      </c>
      <c r="F537" s="26" t="s">
        <v>293</v>
      </c>
      <c r="K537" s="24">
        <v>18</v>
      </c>
      <c r="L537" s="102">
        <v>46052.346678240741</v>
      </c>
      <c r="M537" s="25" t="s">
        <v>357</v>
      </c>
      <c r="N537" s="103" t="s">
        <v>117</v>
      </c>
      <c r="O537" s="26">
        <v>6.14</v>
      </c>
      <c r="P537" s="26" t="s">
        <v>293</v>
      </c>
    </row>
    <row r="538" spans="1:16" x14ac:dyDescent="0.3">
      <c r="A538" s="24">
        <v>18</v>
      </c>
      <c r="B538" s="102">
        <v>46052</v>
      </c>
      <c r="C538" s="25" t="s">
        <v>356</v>
      </c>
      <c r="D538" s="103" t="s">
        <v>344</v>
      </c>
      <c r="E538" s="26">
        <v>229</v>
      </c>
      <c r="F538" s="26" t="s">
        <v>293</v>
      </c>
      <c r="K538" s="24">
        <v>18</v>
      </c>
      <c r="L538" s="102">
        <v>46052.346678240741</v>
      </c>
      <c r="M538" s="25" t="s">
        <v>357</v>
      </c>
      <c r="N538" s="103" t="s">
        <v>344</v>
      </c>
      <c r="O538" s="26">
        <v>66</v>
      </c>
      <c r="P538" s="26" t="s">
        <v>293</v>
      </c>
    </row>
    <row r="539" spans="1:16" x14ac:dyDescent="0.3">
      <c r="A539" s="24">
        <v>18</v>
      </c>
      <c r="B539" s="102">
        <v>46052</v>
      </c>
      <c r="C539" s="25" t="s">
        <v>356</v>
      </c>
      <c r="D539" s="103" t="s">
        <v>132</v>
      </c>
      <c r="E539" s="26">
        <v>3.52</v>
      </c>
      <c r="F539" s="26" t="s">
        <v>293</v>
      </c>
      <c r="K539" s="24">
        <v>18</v>
      </c>
      <c r="L539" s="102">
        <v>46052.346678240741</v>
      </c>
      <c r="M539" s="25" t="s">
        <v>357</v>
      </c>
      <c r="N539" s="103" t="s">
        <v>132</v>
      </c>
      <c r="O539" s="26">
        <v>7.32</v>
      </c>
      <c r="P539" s="26" t="s">
        <v>293</v>
      </c>
    </row>
    <row r="540" spans="1:16" x14ac:dyDescent="0.3">
      <c r="A540" s="24">
        <v>18</v>
      </c>
      <c r="B540" s="102">
        <v>46052</v>
      </c>
      <c r="C540" s="25" t="s">
        <v>356</v>
      </c>
      <c r="D540" s="103" t="s">
        <v>111</v>
      </c>
      <c r="E540" s="26">
        <v>87</v>
      </c>
      <c r="F540" s="26" t="s">
        <v>293</v>
      </c>
      <c r="K540" s="24">
        <v>18</v>
      </c>
      <c r="L540" s="102">
        <v>46052.346678240741</v>
      </c>
      <c r="M540" s="25" t="s">
        <v>357</v>
      </c>
      <c r="N540" s="103" t="s">
        <v>111</v>
      </c>
      <c r="O540" s="26">
        <v>279</v>
      </c>
      <c r="P540" s="26" t="s">
        <v>293</v>
      </c>
    </row>
    <row r="541" spans="1:16" x14ac:dyDescent="0.3">
      <c r="A541" s="24">
        <v>18</v>
      </c>
      <c r="B541" s="102">
        <v>46052</v>
      </c>
      <c r="C541" s="25" t="s">
        <v>356</v>
      </c>
      <c r="D541" s="103" t="s">
        <v>345</v>
      </c>
      <c r="E541" s="26">
        <v>5.25</v>
      </c>
      <c r="F541" s="26" t="s">
        <v>293</v>
      </c>
      <c r="K541" s="24">
        <v>18</v>
      </c>
      <c r="L541" s="102">
        <v>46052.346678240741</v>
      </c>
      <c r="M541" s="25" t="s">
        <v>357</v>
      </c>
      <c r="N541" s="103" t="s">
        <v>345</v>
      </c>
      <c r="O541" s="26">
        <v>9.94</v>
      </c>
      <c r="P541" s="26" t="s">
        <v>293</v>
      </c>
    </row>
    <row r="542" spans="1:16" x14ac:dyDescent="0.3">
      <c r="A542" s="24">
        <v>18</v>
      </c>
      <c r="B542" s="102">
        <v>46052</v>
      </c>
      <c r="C542" s="25" t="s">
        <v>356</v>
      </c>
      <c r="D542" s="103" t="s">
        <v>347</v>
      </c>
      <c r="E542" s="26">
        <v>1.98</v>
      </c>
      <c r="F542" s="26" t="s">
        <v>293</v>
      </c>
      <c r="K542" s="24">
        <v>18</v>
      </c>
      <c r="L542" s="102">
        <v>46052.346678240741</v>
      </c>
      <c r="M542" s="25" t="s">
        <v>357</v>
      </c>
      <c r="N542" s="103" t="s">
        <v>347</v>
      </c>
      <c r="O542" s="26">
        <v>4.5</v>
      </c>
      <c r="P542" s="26" t="s">
        <v>293</v>
      </c>
    </row>
    <row r="543" spans="1:16" x14ac:dyDescent="0.3">
      <c r="A543" s="24">
        <v>18</v>
      </c>
      <c r="B543" s="102">
        <v>46052</v>
      </c>
      <c r="C543" s="25" t="s">
        <v>356</v>
      </c>
      <c r="D543" s="103" t="s">
        <v>128</v>
      </c>
      <c r="E543" s="26">
        <v>6.8</v>
      </c>
      <c r="F543" s="26" t="s">
        <v>293</v>
      </c>
      <c r="K543" s="24">
        <v>18</v>
      </c>
      <c r="L543" s="102">
        <v>46052.346678240741</v>
      </c>
      <c r="M543" s="25" t="s">
        <v>357</v>
      </c>
      <c r="N543" s="103" t="s">
        <v>128</v>
      </c>
      <c r="O543" s="26">
        <v>4.4000000000000004</v>
      </c>
      <c r="P543" s="26" t="s">
        <v>293</v>
      </c>
    </row>
    <row r="544" spans="1:16" x14ac:dyDescent="0.3">
      <c r="A544" s="24">
        <v>18</v>
      </c>
      <c r="B544" s="102">
        <v>46052</v>
      </c>
      <c r="C544" s="25" t="s">
        <v>356</v>
      </c>
      <c r="D544" s="103" t="s">
        <v>121</v>
      </c>
      <c r="E544" s="26">
        <v>158</v>
      </c>
      <c r="F544" s="26" t="s">
        <v>293</v>
      </c>
      <c r="K544" s="24">
        <v>18</v>
      </c>
      <c r="L544" s="102">
        <v>46052.346678240741</v>
      </c>
      <c r="M544" s="25" t="s">
        <v>357</v>
      </c>
      <c r="N544" s="103" t="s">
        <v>121</v>
      </c>
      <c r="O544" s="26">
        <v>78</v>
      </c>
      <c r="P544" s="26" t="s">
        <v>293</v>
      </c>
    </row>
    <row r="545" spans="1:16" x14ac:dyDescent="0.3">
      <c r="A545" s="24">
        <v>18</v>
      </c>
      <c r="B545" s="102">
        <v>46052</v>
      </c>
      <c r="C545" s="25" t="s">
        <v>356</v>
      </c>
      <c r="D545" s="103" t="s">
        <v>115</v>
      </c>
      <c r="E545" s="26">
        <v>33</v>
      </c>
      <c r="F545" s="26" t="s">
        <v>293</v>
      </c>
      <c r="K545" s="24">
        <v>18</v>
      </c>
      <c r="L545" s="102">
        <v>46052.346678240741</v>
      </c>
      <c r="M545" s="25" t="s">
        <v>357</v>
      </c>
      <c r="N545" s="103" t="s">
        <v>115</v>
      </c>
      <c r="O545" s="26">
        <v>96</v>
      </c>
      <c r="P545" s="26" t="s">
        <v>293</v>
      </c>
    </row>
    <row r="546" spans="1:16" x14ac:dyDescent="0.3">
      <c r="A546" s="24">
        <v>18</v>
      </c>
      <c r="B546" s="102">
        <v>46052</v>
      </c>
      <c r="C546" s="25" t="s">
        <v>356</v>
      </c>
      <c r="D546" s="103" t="s">
        <v>137</v>
      </c>
      <c r="E546" s="26">
        <v>76</v>
      </c>
      <c r="F546" s="26" t="s">
        <v>293</v>
      </c>
      <c r="K546" s="24">
        <v>18</v>
      </c>
      <c r="L546" s="102">
        <v>46052.346678240741</v>
      </c>
      <c r="M546" s="25" t="s">
        <v>357</v>
      </c>
      <c r="N546" s="103" t="s">
        <v>137</v>
      </c>
      <c r="O546" s="26">
        <v>483</v>
      </c>
      <c r="P546" s="26" t="s">
        <v>293</v>
      </c>
    </row>
    <row r="547" spans="1:16" x14ac:dyDescent="0.3">
      <c r="A547" s="24">
        <v>18</v>
      </c>
      <c r="B547" s="102">
        <v>46052</v>
      </c>
      <c r="C547" s="25" t="s">
        <v>356</v>
      </c>
      <c r="D547" s="103" t="s">
        <v>348</v>
      </c>
      <c r="E547" s="26">
        <v>140</v>
      </c>
      <c r="F547" s="26" t="s">
        <v>293</v>
      </c>
      <c r="K547" s="24">
        <v>18</v>
      </c>
      <c r="L547" s="102">
        <v>46052.346678240741</v>
      </c>
      <c r="M547" s="25" t="s">
        <v>357</v>
      </c>
      <c r="N547" s="103" t="s">
        <v>348</v>
      </c>
      <c r="O547" s="26">
        <v>429</v>
      </c>
      <c r="P547" s="26" t="s">
        <v>293</v>
      </c>
    </row>
    <row r="548" spans="1:16" x14ac:dyDescent="0.3">
      <c r="A548" s="24">
        <v>18</v>
      </c>
      <c r="B548" s="102">
        <v>46052</v>
      </c>
      <c r="C548" s="25" t="s">
        <v>356</v>
      </c>
      <c r="D548" s="103" t="s">
        <v>125</v>
      </c>
      <c r="E548" s="26">
        <v>112</v>
      </c>
      <c r="F548" s="26" t="s">
        <v>293</v>
      </c>
      <c r="K548" s="24">
        <v>18</v>
      </c>
      <c r="L548" s="102">
        <v>46052.346678240741</v>
      </c>
      <c r="M548" s="25" t="s">
        <v>357</v>
      </c>
      <c r="N548" s="103" t="s">
        <v>125</v>
      </c>
      <c r="O548" s="26">
        <v>414</v>
      </c>
      <c r="P548" s="26" t="s">
        <v>293</v>
      </c>
    </row>
    <row r="549" spans="1:16" x14ac:dyDescent="0.3">
      <c r="A549" s="24">
        <v>18</v>
      </c>
      <c r="B549" s="102">
        <v>46052</v>
      </c>
      <c r="C549" s="25" t="s">
        <v>356</v>
      </c>
      <c r="D549" s="103" t="s">
        <v>126</v>
      </c>
      <c r="E549" s="26">
        <v>79</v>
      </c>
      <c r="F549" s="26" t="s">
        <v>293</v>
      </c>
      <c r="K549" s="24">
        <v>18</v>
      </c>
      <c r="L549" s="102">
        <v>46052.346678240741</v>
      </c>
      <c r="M549" s="25" t="s">
        <v>357</v>
      </c>
      <c r="N549" s="103" t="s">
        <v>126</v>
      </c>
      <c r="O549" s="26">
        <v>149</v>
      </c>
      <c r="P549" s="26" t="s">
        <v>293</v>
      </c>
    </row>
    <row r="550" spans="1:16" x14ac:dyDescent="0.3">
      <c r="A550" s="24">
        <v>18</v>
      </c>
      <c r="B550" s="102">
        <v>46052</v>
      </c>
      <c r="C550" s="25" t="s">
        <v>356</v>
      </c>
      <c r="D550" s="103" t="s">
        <v>349</v>
      </c>
      <c r="E550" s="26">
        <v>154</v>
      </c>
      <c r="F550" s="26" t="s">
        <v>293</v>
      </c>
      <c r="K550" s="24">
        <v>18</v>
      </c>
      <c r="L550" s="102">
        <v>46052.346678240741</v>
      </c>
      <c r="M550" s="25" t="s">
        <v>357</v>
      </c>
      <c r="N550" s="103" t="s">
        <v>349</v>
      </c>
      <c r="O550" s="26">
        <v>376</v>
      </c>
      <c r="P550" s="26" t="s">
        <v>293</v>
      </c>
    </row>
    <row r="551" spans="1:16" x14ac:dyDescent="0.3">
      <c r="A551" s="24">
        <v>18</v>
      </c>
      <c r="B551" s="102">
        <v>46052</v>
      </c>
      <c r="C551" s="25" t="s">
        <v>356</v>
      </c>
      <c r="D551" s="103" t="s">
        <v>350</v>
      </c>
      <c r="E551" s="26">
        <v>60</v>
      </c>
      <c r="F551" s="26" t="s">
        <v>293</v>
      </c>
      <c r="K551" s="24">
        <v>18</v>
      </c>
      <c r="L551" s="102">
        <v>46052.346678240741</v>
      </c>
      <c r="M551" s="25" t="s">
        <v>357</v>
      </c>
      <c r="N551" s="103" t="s">
        <v>350</v>
      </c>
      <c r="O551" s="26">
        <v>85</v>
      </c>
      <c r="P551" s="26" t="s">
        <v>293</v>
      </c>
    </row>
    <row r="552" spans="1:16" x14ac:dyDescent="0.3">
      <c r="A552" s="24">
        <v>18</v>
      </c>
      <c r="B552" s="102">
        <v>46052</v>
      </c>
      <c r="C552" s="25" t="s">
        <v>356</v>
      </c>
      <c r="D552" s="103" t="s">
        <v>122</v>
      </c>
      <c r="E552" s="26">
        <v>47</v>
      </c>
      <c r="F552" s="26" t="s">
        <v>293</v>
      </c>
      <c r="K552" s="24">
        <v>18</v>
      </c>
      <c r="L552" s="102">
        <v>46052.346678240741</v>
      </c>
      <c r="M552" s="25" t="s">
        <v>357</v>
      </c>
      <c r="N552" s="103" t="s">
        <v>122</v>
      </c>
      <c r="O552" s="26">
        <v>217</v>
      </c>
      <c r="P552" s="26" t="s">
        <v>293</v>
      </c>
    </row>
    <row r="553" spans="1:16" x14ac:dyDescent="0.3">
      <c r="A553" s="24">
        <v>18</v>
      </c>
      <c r="B553" s="102">
        <v>46052</v>
      </c>
      <c r="C553" s="25" t="s">
        <v>356</v>
      </c>
      <c r="D553" s="103" t="s">
        <v>124</v>
      </c>
      <c r="E553" s="26">
        <v>30</v>
      </c>
      <c r="F553" s="26" t="s">
        <v>293</v>
      </c>
      <c r="K553" s="24">
        <v>18</v>
      </c>
      <c r="L553" s="102">
        <v>46052.346678240741</v>
      </c>
      <c r="M553" s="25" t="s">
        <v>357</v>
      </c>
      <c r="N553" s="103" t="s">
        <v>124</v>
      </c>
      <c r="O553" s="26">
        <v>105</v>
      </c>
      <c r="P553" s="26" t="s">
        <v>293</v>
      </c>
    </row>
    <row r="554" spans="1:16" x14ac:dyDescent="0.3">
      <c r="A554" s="24">
        <v>18</v>
      </c>
      <c r="B554" s="102">
        <v>46052</v>
      </c>
      <c r="C554" s="25" t="s">
        <v>356</v>
      </c>
      <c r="D554" s="103" t="s">
        <v>351</v>
      </c>
      <c r="E554" s="26">
        <v>1.02</v>
      </c>
      <c r="F554" s="26" t="s">
        <v>293</v>
      </c>
      <c r="K554" s="24">
        <v>18</v>
      </c>
      <c r="L554" s="102">
        <v>46052.346678240741</v>
      </c>
      <c r="M554" s="25" t="s">
        <v>357</v>
      </c>
      <c r="N554" s="103" t="s">
        <v>351</v>
      </c>
      <c r="O554" s="26">
        <v>3.6</v>
      </c>
      <c r="P554" s="26" t="s">
        <v>293</v>
      </c>
    </row>
    <row r="555" spans="1:16" x14ac:dyDescent="0.3">
      <c r="A555" s="24">
        <v>18</v>
      </c>
      <c r="B555" s="102">
        <v>46052</v>
      </c>
      <c r="C555" s="25" t="s">
        <v>356</v>
      </c>
      <c r="D555" s="103" t="s">
        <v>353</v>
      </c>
      <c r="E555" s="26">
        <v>36</v>
      </c>
      <c r="F555" s="26" t="s">
        <v>293</v>
      </c>
      <c r="K555" s="24">
        <v>18</v>
      </c>
      <c r="L555" s="102">
        <v>46052.346678240741</v>
      </c>
      <c r="M555" s="25" t="s">
        <v>357</v>
      </c>
      <c r="N555" s="103" t="s">
        <v>353</v>
      </c>
      <c r="O555" s="26">
        <v>20.8</v>
      </c>
      <c r="P555" s="26" t="s">
        <v>293</v>
      </c>
    </row>
    <row r="556" spans="1:16" x14ac:dyDescent="0.3">
      <c r="A556" s="24">
        <v>18</v>
      </c>
      <c r="B556" s="102">
        <v>46052</v>
      </c>
      <c r="C556" s="25" t="s">
        <v>356</v>
      </c>
      <c r="D556" s="103" t="s">
        <v>133</v>
      </c>
      <c r="E556" s="26">
        <v>147</v>
      </c>
      <c r="F556" s="26" t="s">
        <v>293</v>
      </c>
      <c r="K556" s="24">
        <v>18</v>
      </c>
      <c r="L556" s="102">
        <v>46052.346678240741</v>
      </c>
      <c r="M556" s="25" t="s">
        <v>357</v>
      </c>
      <c r="N556" s="103" t="s">
        <v>133</v>
      </c>
      <c r="O556" s="26">
        <v>127</v>
      </c>
      <c r="P556" s="26" t="s">
        <v>293</v>
      </c>
    </row>
    <row r="557" spans="1:16" x14ac:dyDescent="0.3">
      <c r="A557" s="24">
        <v>18</v>
      </c>
      <c r="B557" s="102">
        <v>46052</v>
      </c>
      <c r="C557" s="25" t="s">
        <v>356</v>
      </c>
      <c r="D557" s="103" t="s">
        <v>135</v>
      </c>
      <c r="E557" s="26">
        <v>3.8</v>
      </c>
      <c r="F557" s="26" t="s">
        <v>293</v>
      </c>
      <c r="K557" s="24">
        <v>18</v>
      </c>
      <c r="L557" s="102">
        <v>46052.346678240741</v>
      </c>
      <c r="M557" s="25" t="s">
        <v>357</v>
      </c>
      <c r="N557" s="103" t="s">
        <v>135</v>
      </c>
      <c r="O557" s="26">
        <v>6.4</v>
      </c>
      <c r="P557" s="26" t="s">
        <v>293</v>
      </c>
    </row>
    <row r="558" spans="1:16" x14ac:dyDescent="0.3">
      <c r="A558" s="24">
        <v>18</v>
      </c>
      <c r="B558" s="102">
        <v>46052</v>
      </c>
      <c r="C558" s="25" t="s">
        <v>356</v>
      </c>
      <c r="D558" s="103" t="s">
        <v>136</v>
      </c>
      <c r="E558" s="26">
        <v>116</v>
      </c>
      <c r="F558" s="26" t="s">
        <v>293</v>
      </c>
      <c r="K558" s="24">
        <v>18</v>
      </c>
      <c r="L558" s="102">
        <v>46052.346678240741</v>
      </c>
      <c r="M558" s="25" t="s">
        <v>357</v>
      </c>
      <c r="N558" s="103" t="s">
        <v>136</v>
      </c>
      <c r="O558" s="26">
        <v>95</v>
      </c>
      <c r="P558" s="26" t="s">
        <v>293</v>
      </c>
    </row>
    <row r="559" spans="1:16" x14ac:dyDescent="0.3">
      <c r="A559" s="24">
        <v>19</v>
      </c>
      <c r="B559" s="102">
        <v>46055</v>
      </c>
      <c r="C559" s="25" t="s">
        <v>356</v>
      </c>
      <c r="D559" s="103" t="s">
        <v>339</v>
      </c>
      <c r="E559" s="26">
        <v>4.63</v>
      </c>
      <c r="F559" s="26" t="s">
        <v>293</v>
      </c>
      <c r="K559" s="24">
        <v>19</v>
      </c>
      <c r="L559" s="102">
        <v>46055</v>
      </c>
      <c r="M559" s="25" t="s">
        <v>357</v>
      </c>
      <c r="N559" s="103" t="s">
        <v>339</v>
      </c>
      <c r="O559" s="26">
        <v>1.18</v>
      </c>
      <c r="P559" s="26" t="s">
        <v>293</v>
      </c>
    </row>
    <row r="560" spans="1:16" x14ac:dyDescent="0.3">
      <c r="A560" s="24">
        <v>19</v>
      </c>
      <c r="B560" s="102">
        <v>46055</v>
      </c>
      <c r="C560" s="25" t="s">
        <v>356</v>
      </c>
      <c r="D560" s="103" t="s">
        <v>118</v>
      </c>
      <c r="E560" s="26">
        <v>4.8</v>
      </c>
      <c r="F560" s="26" t="s">
        <v>293</v>
      </c>
      <c r="K560" s="24">
        <v>19</v>
      </c>
      <c r="L560" s="102">
        <v>46055</v>
      </c>
      <c r="M560" s="25" t="s">
        <v>357</v>
      </c>
      <c r="N560" s="103" t="s">
        <v>118</v>
      </c>
      <c r="O560" s="26">
        <v>9.8000000000000007</v>
      </c>
      <c r="P560" s="26" t="s">
        <v>293</v>
      </c>
    </row>
    <row r="561" spans="1:16" x14ac:dyDescent="0.3">
      <c r="A561" s="24">
        <v>19</v>
      </c>
      <c r="B561" s="102">
        <v>46055</v>
      </c>
      <c r="C561" s="25" t="s">
        <v>356</v>
      </c>
      <c r="D561" s="103" t="s">
        <v>130</v>
      </c>
      <c r="E561" s="26">
        <v>3.83</v>
      </c>
      <c r="F561" s="26" t="s">
        <v>293</v>
      </c>
      <c r="K561" s="24">
        <v>19</v>
      </c>
      <c r="L561" s="102">
        <v>46055</v>
      </c>
      <c r="M561" s="25" t="s">
        <v>357</v>
      </c>
      <c r="N561" s="103" t="s">
        <v>130</v>
      </c>
      <c r="O561" s="26">
        <v>2.46</v>
      </c>
      <c r="P561" s="26" t="s">
        <v>293</v>
      </c>
    </row>
    <row r="562" spans="1:16" x14ac:dyDescent="0.3">
      <c r="A562" s="24">
        <v>19</v>
      </c>
      <c r="B562" s="102">
        <v>46055</v>
      </c>
      <c r="C562" s="25" t="s">
        <v>356</v>
      </c>
      <c r="D562" s="103" t="s">
        <v>341</v>
      </c>
      <c r="E562" s="26">
        <v>0.28000000000000003</v>
      </c>
      <c r="F562" s="26" t="s">
        <v>293</v>
      </c>
      <c r="K562" s="24">
        <v>19</v>
      </c>
      <c r="L562" s="102">
        <v>46055</v>
      </c>
      <c r="M562" s="25" t="s">
        <v>357</v>
      </c>
      <c r="N562" s="103" t="s">
        <v>341</v>
      </c>
      <c r="O562" s="26">
        <v>1.05</v>
      </c>
      <c r="P562" s="26" t="s">
        <v>293</v>
      </c>
    </row>
    <row r="563" spans="1:16" x14ac:dyDescent="0.3">
      <c r="A563" s="24">
        <v>19</v>
      </c>
      <c r="B563" s="102">
        <v>46055</v>
      </c>
      <c r="C563" s="25" t="s">
        <v>356</v>
      </c>
      <c r="D563" s="103" t="s">
        <v>127</v>
      </c>
      <c r="E563" s="26">
        <v>1.1499999999999999</v>
      </c>
      <c r="F563" s="26" t="s">
        <v>293</v>
      </c>
      <c r="K563" s="24">
        <v>19</v>
      </c>
      <c r="L563" s="102">
        <v>46055</v>
      </c>
      <c r="M563" s="25" t="s">
        <v>357</v>
      </c>
      <c r="N563" s="103" t="s">
        <v>127</v>
      </c>
      <c r="O563" s="26">
        <v>4.42</v>
      </c>
      <c r="P563" s="26" t="s">
        <v>293</v>
      </c>
    </row>
    <row r="564" spans="1:16" x14ac:dyDescent="0.3">
      <c r="A564" s="24">
        <v>19</v>
      </c>
      <c r="B564" s="102">
        <v>46055</v>
      </c>
      <c r="C564" s="25" t="s">
        <v>356</v>
      </c>
      <c r="D564" s="103" t="s">
        <v>131</v>
      </c>
      <c r="E564" s="26">
        <v>8.9</v>
      </c>
      <c r="F564" s="26" t="s">
        <v>293</v>
      </c>
      <c r="K564" s="24">
        <v>19</v>
      </c>
      <c r="L564" s="102">
        <v>46055</v>
      </c>
      <c r="M564" s="25" t="s">
        <v>357</v>
      </c>
      <c r="N564" s="103" t="s">
        <v>131</v>
      </c>
      <c r="O564" s="26">
        <v>12.3</v>
      </c>
      <c r="P564" s="26" t="s">
        <v>293</v>
      </c>
    </row>
    <row r="565" spans="1:16" x14ac:dyDescent="0.3">
      <c r="A565" s="24">
        <v>19</v>
      </c>
      <c r="B565" s="102">
        <v>46055</v>
      </c>
      <c r="C565" s="25" t="s">
        <v>356</v>
      </c>
      <c r="D565" s="103" t="s">
        <v>342</v>
      </c>
      <c r="E565" s="26">
        <v>325</v>
      </c>
      <c r="F565" s="26" t="s">
        <v>293</v>
      </c>
      <c r="K565" s="24">
        <v>19</v>
      </c>
      <c r="L565" s="102">
        <v>46055</v>
      </c>
      <c r="M565" s="25" t="s">
        <v>357</v>
      </c>
      <c r="N565" s="103" t="s">
        <v>342</v>
      </c>
      <c r="O565" s="26">
        <v>192</v>
      </c>
      <c r="P565" s="26" t="s">
        <v>293</v>
      </c>
    </row>
    <row r="566" spans="1:16" x14ac:dyDescent="0.3">
      <c r="A566" s="24">
        <v>19</v>
      </c>
      <c r="B566" s="102">
        <v>46055</v>
      </c>
      <c r="C566" s="25" t="s">
        <v>356</v>
      </c>
      <c r="D566" s="103" t="s">
        <v>119</v>
      </c>
      <c r="E566" s="26">
        <v>232</v>
      </c>
      <c r="F566" s="26" t="s">
        <v>293</v>
      </c>
      <c r="K566" s="24">
        <v>19</v>
      </c>
      <c r="L566" s="102">
        <v>46055</v>
      </c>
      <c r="M566" s="25" t="s">
        <v>357</v>
      </c>
      <c r="N566" s="103" t="s">
        <v>119</v>
      </c>
      <c r="O566" s="26">
        <v>86</v>
      </c>
      <c r="P566" s="26" t="s">
        <v>293</v>
      </c>
    </row>
    <row r="567" spans="1:16" x14ac:dyDescent="0.3">
      <c r="A567" s="24">
        <v>19</v>
      </c>
      <c r="B567" s="102">
        <v>46055</v>
      </c>
      <c r="C567" s="25" t="s">
        <v>356</v>
      </c>
      <c r="D567" s="103" t="s">
        <v>120</v>
      </c>
      <c r="E567" s="26">
        <v>76</v>
      </c>
      <c r="F567" s="26" t="s">
        <v>293</v>
      </c>
      <c r="K567" s="24">
        <v>19</v>
      </c>
      <c r="L567" s="102">
        <v>46055</v>
      </c>
      <c r="M567" s="25" t="s">
        <v>357</v>
      </c>
      <c r="N567" s="103" t="s">
        <v>120</v>
      </c>
      <c r="O567" s="26">
        <v>27</v>
      </c>
      <c r="P567" s="26" t="s">
        <v>293</v>
      </c>
    </row>
    <row r="568" spans="1:16" x14ac:dyDescent="0.3">
      <c r="A568" s="24">
        <v>19</v>
      </c>
      <c r="B568" s="102">
        <v>46055</v>
      </c>
      <c r="C568" s="25" t="s">
        <v>356</v>
      </c>
      <c r="D568" s="103" t="s">
        <v>117</v>
      </c>
      <c r="E568" s="26">
        <v>2.64</v>
      </c>
      <c r="F568" s="26" t="s">
        <v>293</v>
      </c>
      <c r="K568" s="24">
        <v>19</v>
      </c>
      <c r="L568" s="102">
        <v>46055</v>
      </c>
      <c r="M568" s="25" t="s">
        <v>357</v>
      </c>
      <c r="N568" s="103" t="s">
        <v>117</v>
      </c>
      <c r="O568" s="26">
        <v>6.21</v>
      </c>
      <c r="P568" s="26" t="s">
        <v>293</v>
      </c>
    </row>
    <row r="569" spans="1:16" x14ac:dyDescent="0.3">
      <c r="A569" s="24">
        <v>19</v>
      </c>
      <c r="B569" s="102">
        <v>46055</v>
      </c>
      <c r="C569" s="25" t="s">
        <v>356</v>
      </c>
      <c r="D569" s="103" t="s">
        <v>344</v>
      </c>
      <c r="E569" s="26">
        <v>231</v>
      </c>
      <c r="F569" s="26" t="s">
        <v>293</v>
      </c>
      <c r="K569" s="24">
        <v>19</v>
      </c>
      <c r="L569" s="102">
        <v>46055</v>
      </c>
      <c r="M569" s="25" t="s">
        <v>357</v>
      </c>
      <c r="N569" s="103" t="s">
        <v>344</v>
      </c>
      <c r="O569" s="26">
        <v>68</v>
      </c>
      <c r="P569" s="26" t="s">
        <v>293</v>
      </c>
    </row>
    <row r="570" spans="1:16" x14ac:dyDescent="0.3">
      <c r="A570" s="24">
        <v>19</v>
      </c>
      <c r="B570" s="102">
        <v>46055</v>
      </c>
      <c r="C570" s="25" t="s">
        <v>356</v>
      </c>
      <c r="D570" s="103" t="s">
        <v>132</v>
      </c>
      <c r="E570" s="26">
        <v>3.58</v>
      </c>
      <c r="F570" s="26" t="s">
        <v>293</v>
      </c>
      <c r="K570" s="24">
        <v>19</v>
      </c>
      <c r="L570" s="102">
        <v>46055</v>
      </c>
      <c r="M570" s="25" t="s">
        <v>357</v>
      </c>
      <c r="N570" s="103" t="s">
        <v>132</v>
      </c>
      <c r="O570" s="26">
        <v>7.35</v>
      </c>
      <c r="P570" s="26" t="s">
        <v>293</v>
      </c>
    </row>
    <row r="571" spans="1:16" x14ac:dyDescent="0.3">
      <c r="A571" s="24">
        <v>19</v>
      </c>
      <c r="B571" s="102">
        <v>46055</v>
      </c>
      <c r="C571" s="25" t="s">
        <v>356</v>
      </c>
      <c r="D571" s="103" t="s">
        <v>111</v>
      </c>
      <c r="E571" s="26">
        <v>87</v>
      </c>
      <c r="F571" s="26" t="s">
        <v>293</v>
      </c>
      <c r="K571" s="24">
        <v>19</v>
      </c>
      <c r="L571" s="102">
        <v>46055</v>
      </c>
      <c r="M571" s="25" t="s">
        <v>357</v>
      </c>
      <c r="N571" s="103" t="s">
        <v>111</v>
      </c>
      <c r="O571" s="26">
        <v>281</v>
      </c>
      <c r="P571" s="26" t="s">
        <v>293</v>
      </c>
    </row>
    <row r="572" spans="1:16" x14ac:dyDescent="0.3">
      <c r="A572" s="24">
        <v>19</v>
      </c>
      <c r="B572" s="102">
        <v>46055</v>
      </c>
      <c r="C572" s="25" t="s">
        <v>356</v>
      </c>
      <c r="D572" s="103" t="s">
        <v>345</v>
      </c>
      <c r="E572" s="26">
        <v>5.16</v>
      </c>
      <c r="F572" s="26" t="s">
        <v>293</v>
      </c>
      <c r="K572" s="24">
        <v>19</v>
      </c>
      <c r="L572" s="102">
        <v>46055</v>
      </c>
      <c r="M572" s="25" t="s">
        <v>357</v>
      </c>
      <c r="N572" s="103" t="s">
        <v>345</v>
      </c>
      <c r="O572" s="26">
        <v>9.99</v>
      </c>
      <c r="P572" s="26" t="s">
        <v>293</v>
      </c>
    </row>
    <row r="573" spans="1:16" x14ac:dyDescent="0.3">
      <c r="A573" s="24">
        <v>19</v>
      </c>
      <c r="B573" s="102">
        <v>46055</v>
      </c>
      <c r="C573" s="25" t="s">
        <v>356</v>
      </c>
      <c r="D573" s="103" t="s">
        <v>347</v>
      </c>
      <c r="E573" s="26">
        <v>2.1800000000000002</v>
      </c>
      <c r="F573" s="26" t="s">
        <v>293</v>
      </c>
      <c r="K573" s="24">
        <v>19</v>
      </c>
      <c r="L573" s="102">
        <v>46055</v>
      </c>
      <c r="M573" s="25" t="s">
        <v>357</v>
      </c>
      <c r="N573" s="103" t="s">
        <v>347</v>
      </c>
      <c r="O573" s="26">
        <v>4.7</v>
      </c>
      <c r="P573" s="26" t="s">
        <v>293</v>
      </c>
    </row>
    <row r="574" spans="1:16" x14ac:dyDescent="0.3">
      <c r="A574" s="24">
        <v>19</v>
      </c>
      <c r="B574" s="102">
        <v>46055</v>
      </c>
      <c r="C574" s="25" t="s">
        <v>356</v>
      </c>
      <c r="D574" s="103" t="s">
        <v>128</v>
      </c>
      <c r="E574" s="26">
        <v>6.7</v>
      </c>
      <c r="F574" s="26" t="s">
        <v>293</v>
      </c>
      <c r="K574" s="24">
        <v>19</v>
      </c>
      <c r="L574" s="102">
        <v>46055</v>
      </c>
      <c r="M574" s="25" t="s">
        <v>357</v>
      </c>
      <c r="N574" s="103" t="s">
        <v>128</v>
      </c>
      <c r="O574" s="26">
        <v>4.3</v>
      </c>
      <c r="P574" s="26" t="s">
        <v>293</v>
      </c>
    </row>
    <row r="575" spans="1:16" x14ac:dyDescent="0.3">
      <c r="A575" s="24">
        <v>19</v>
      </c>
      <c r="B575" s="102">
        <v>46055</v>
      </c>
      <c r="C575" s="25" t="s">
        <v>356</v>
      </c>
      <c r="D575" s="103" t="s">
        <v>121</v>
      </c>
      <c r="E575" s="26">
        <v>163</v>
      </c>
      <c r="F575" s="26" t="s">
        <v>293</v>
      </c>
      <c r="K575" s="24">
        <v>19</v>
      </c>
      <c r="L575" s="102">
        <v>46055</v>
      </c>
      <c r="M575" s="25" t="s">
        <v>357</v>
      </c>
      <c r="N575" s="103" t="s">
        <v>121</v>
      </c>
      <c r="O575" s="26">
        <v>79</v>
      </c>
      <c r="P575" s="26" t="s">
        <v>293</v>
      </c>
    </row>
    <row r="576" spans="1:16" x14ac:dyDescent="0.3">
      <c r="A576" s="24">
        <v>19</v>
      </c>
      <c r="B576" s="102">
        <v>46055</v>
      </c>
      <c r="C576" s="25" t="s">
        <v>356</v>
      </c>
      <c r="D576" s="103" t="s">
        <v>115</v>
      </c>
      <c r="E576" s="26">
        <v>34</v>
      </c>
      <c r="F576" s="26" t="s">
        <v>293</v>
      </c>
      <c r="K576" s="24">
        <v>19</v>
      </c>
      <c r="L576" s="102">
        <v>46055</v>
      </c>
      <c r="M576" s="25" t="s">
        <v>357</v>
      </c>
      <c r="N576" s="103" t="s">
        <v>115</v>
      </c>
      <c r="O576" s="26">
        <v>93</v>
      </c>
      <c r="P576" s="26" t="s">
        <v>293</v>
      </c>
    </row>
    <row r="577" spans="1:16" x14ac:dyDescent="0.3">
      <c r="A577" s="24">
        <v>19</v>
      </c>
      <c r="B577" s="102">
        <v>46055</v>
      </c>
      <c r="C577" s="25" t="s">
        <v>356</v>
      </c>
      <c r="D577" s="103" t="s">
        <v>137</v>
      </c>
      <c r="E577" s="26">
        <v>73</v>
      </c>
      <c r="F577" s="26" t="s">
        <v>293</v>
      </c>
      <c r="K577" s="24">
        <v>19</v>
      </c>
      <c r="L577" s="102">
        <v>46055</v>
      </c>
      <c r="M577" s="25" t="s">
        <v>357</v>
      </c>
      <c r="N577" s="103" t="s">
        <v>137</v>
      </c>
      <c r="O577" s="26">
        <v>485</v>
      </c>
      <c r="P577" s="26" t="s">
        <v>293</v>
      </c>
    </row>
    <row r="578" spans="1:16" x14ac:dyDescent="0.3">
      <c r="A578" s="24">
        <v>19</v>
      </c>
      <c r="B578" s="102">
        <v>46055</v>
      </c>
      <c r="C578" s="25" t="s">
        <v>356</v>
      </c>
      <c r="D578" s="103" t="s">
        <v>348</v>
      </c>
      <c r="E578" s="26">
        <v>143</v>
      </c>
      <c r="F578" s="26" t="s">
        <v>293</v>
      </c>
      <c r="K578" s="24">
        <v>19</v>
      </c>
      <c r="L578" s="102">
        <v>46055</v>
      </c>
      <c r="M578" s="25" t="s">
        <v>357</v>
      </c>
      <c r="N578" s="103" t="s">
        <v>348</v>
      </c>
      <c r="O578" s="26">
        <v>428</v>
      </c>
      <c r="P578" s="26" t="s">
        <v>293</v>
      </c>
    </row>
    <row r="579" spans="1:16" x14ac:dyDescent="0.3">
      <c r="A579" s="24">
        <v>19</v>
      </c>
      <c r="B579" s="102">
        <v>46055</v>
      </c>
      <c r="C579" s="25" t="s">
        <v>356</v>
      </c>
      <c r="D579" s="103" t="s">
        <v>125</v>
      </c>
      <c r="E579" s="26">
        <v>121</v>
      </c>
      <c r="F579" s="26" t="s">
        <v>293</v>
      </c>
      <c r="K579" s="24">
        <v>19</v>
      </c>
      <c r="L579" s="102">
        <v>46055</v>
      </c>
      <c r="M579" s="25" t="s">
        <v>357</v>
      </c>
      <c r="N579" s="103" t="s">
        <v>125</v>
      </c>
      <c r="O579" s="26">
        <v>426</v>
      </c>
      <c r="P579" s="26" t="s">
        <v>293</v>
      </c>
    </row>
    <row r="580" spans="1:16" x14ac:dyDescent="0.3">
      <c r="A580" s="24">
        <v>19</v>
      </c>
      <c r="B580" s="102">
        <v>46055</v>
      </c>
      <c r="C580" s="25" t="s">
        <v>356</v>
      </c>
      <c r="D580" s="103" t="s">
        <v>126</v>
      </c>
      <c r="E580" s="26">
        <v>77</v>
      </c>
      <c r="F580" s="26" t="s">
        <v>293</v>
      </c>
      <c r="K580" s="24">
        <v>19</v>
      </c>
      <c r="L580" s="102">
        <v>46055</v>
      </c>
      <c r="M580" s="25" t="s">
        <v>357</v>
      </c>
      <c r="N580" s="103" t="s">
        <v>126</v>
      </c>
      <c r="O580" s="26">
        <v>147</v>
      </c>
      <c r="P580" s="26" t="s">
        <v>293</v>
      </c>
    </row>
    <row r="581" spans="1:16" x14ac:dyDescent="0.3">
      <c r="A581" s="24">
        <v>19</v>
      </c>
      <c r="B581" s="102">
        <v>46055</v>
      </c>
      <c r="C581" s="25" t="s">
        <v>356</v>
      </c>
      <c r="D581" s="103" t="s">
        <v>349</v>
      </c>
      <c r="E581" s="26">
        <v>159</v>
      </c>
      <c r="F581" s="26" t="s">
        <v>293</v>
      </c>
      <c r="K581" s="24">
        <v>19</v>
      </c>
      <c r="L581" s="102">
        <v>46055</v>
      </c>
      <c r="M581" s="25" t="s">
        <v>357</v>
      </c>
      <c r="N581" s="103" t="s">
        <v>349</v>
      </c>
      <c r="O581" s="26">
        <v>376</v>
      </c>
      <c r="P581" s="26" t="s">
        <v>293</v>
      </c>
    </row>
    <row r="582" spans="1:16" x14ac:dyDescent="0.3">
      <c r="A582" s="24">
        <v>19</v>
      </c>
      <c r="B582" s="102">
        <v>46055</v>
      </c>
      <c r="C582" s="25" t="s">
        <v>356</v>
      </c>
      <c r="D582" s="103" t="s">
        <v>350</v>
      </c>
      <c r="E582" s="26">
        <v>57</v>
      </c>
      <c r="F582" s="26" t="s">
        <v>293</v>
      </c>
      <c r="K582" s="24">
        <v>19</v>
      </c>
      <c r="L582" s="102">
        <v>46055</v>
      </c>
      <c r="M582" s="25" t="s">
        <v>357</v>
      </c>
      <c r="N582" s="103" t="s">
        <v>350</v>
      </c>
      <c r="O582" s="26">
        <v>85</v>
      </c>
      <c r="P582" s="26" t="s">
        <v>293</v>
      </c>
    </row>
    <row r="583" spans="1:16" x14ac:dyDescent="0.3">
      <c r="A583" s="24">
        <v>19</v>
      </c>
      <c r="B583" s="102">
        <v>46055</v>
      </c>
      <c r="C583" s="25" t="s">
        <v>356</v>
      </c>
      <c r="D583" s="103" t="s">
        <v>122</v>
      </c>
      <c r="E583" s="26">
        <v>49</v>
      </c>
      <c r="F583" s="26" t="s">
        <v>293</v>
      </c>
      <c r="K583" s="24">
        <v>19</v>
      </c>
      <c r="L583" s="102">
        <v>46055</v>
      </c>
      <c r="M583" s="25" t="s">
        <v>357</v>
      </c>
      <c r="N583" s="103" t="s">
        <v>122</v>
      </c>
      <c r="O583" s="26">
        <v>220</v>
      </c>
      <c r="P583" s="26" t="s">
        <v>293</v>
      </c>
    </row>
    <row r="584" spans="1:16" x14ac:dyDescent="0.3">
      <c r="A584" s="24">
        <v>19</v>
      </c>
      <c r="B584" s="102">
        <v>46055</v>
      </c>
      <c r="C584" s="25" t="s">
        <v>356</v>
      </c>
      <c r="D584" s="103" t="s">
        <v>124</v>
      </c>
      <c r="E584" s="26">
        <v>30</v>
      </c>
      <c r="F584" s="26" t="s">
        <v>293</v>
      </c>
      <c r="K584" s="24">
        <v>19</v>
      </c>
      <c r="L584" s="102">
        <v>46055</v>
      </c>
      <c r="M584" s="25" t="s">
        <v>357</v>
      </c>
      <c r="N584" s="103" t="s">
        <v>124</v>
      </c>
      <c r="O584" s="26">
        <v>102</v>
      </c>
      <c r="P584" s="26" t="s">
        <v>293</v>
      </c>
    </row>
    <row r="585" spans="1:16" x14ac:dyDescent="0.3">
      <c r="A585" s="24">
        <v>19</v>
      </c>
      <c r="B585" s="102">
        <v>46055</v>
      </c>
      <c r="C585" s="25" t="s">
        <v>356</v>
      </c>
      <c r="D585" s="103" t="s">
        <v>351</v>
      </c>
      <c r="E585" s="26">
        <v>1.1000000000000001</v>
      </c>
      <c r="F585" s="26" t="s">
        <v>293</v>
      </c>
      <c r="K585" s="24">
        <v>19</v>
      </c>
      <c r="L585" s="102">
        <v>46055</v>
      </c>
      <c r="M585" s="25" t="s">
        <v>357</v>
      </c>
      <c r="N585" s="103" t="s">
        <v>351</v>
      </c>
      <c r="O585" s="26">
        <v>3.61</v>
      </c>
      <c r="P585" s="26" t="s">
        <v>293</v>
      </c>
    </row>
    <row r="586" spans="1:16" x14ac:dyDescent="0.3">
      <c r="A586" s="24">
        <v>19</v>
      </c>
      <c r="B586" s="102">
        <v>46055</v>
      </c>
      <c r="C586" s="25" t="s">
        <v>356</v>
      </c>
      <c r="D586" s="103" t="s">
        <v>353</v>
      </c>
      <c r="E586" s="26">
        <v>32.799999999999997</v>
      </c>
      <c r="F586" s="26" t="s">
        <v>293</v>
      </c>
      <c r="K586" s="24">
        <v>19</v>
      </c>
      <c r="L586" s="102">
        <v>46055</v>
      </c>
      <c r="M586" s="25" t="s">
        <v>357</v>
      </c>
      <c r="N586" s="103" t="s">
        <v>353</v>
      </c>
      <c r="O586" s="26">
        <v>16.399999999999999</v>
      </c>
      <c r="P586" s="26" t="s">
        <v>293</v>
      </c>
    </row>
    <row r="587" spans="1:16" x14ac:dyDescent="0.3">
      <c r="A587" s="24">
        <v>19</v>
      </c>
      <c r="B587" s="102">
        <v>46055</v>
      </c>
      <c r="C587" s="25" t="s">
        <v>356</v>
      </c>
      <c r="D587" s="103" t="s">
        <v>133</v>
      </c>
      <c r="E587" s="26">
        <v>147</v>
      </c>
      <c r="F587" s="26" t="s">
        <v>293</v>
      </c>
      <c r="K587" s="24">
        <v>19</v>
      </c>
      <c r="L587" s="102">
        <v>46055</v>
      </c>
      <c r="M587" s="25" t="s">
        <v>357</v>
      </c>
      <c r="N587" s="103" t="s">
        <v>133</v>
      </c>
      <c r="O587" s="26">
        <v>126</v>
      </c>
      <c r="P587" s="26" t="s">
        <v>293</v>
      </c>
    </row>
    <row r="588" spans="1:16" x14ac:dyDescent="0.3">
      <c r="A588" s="24">
        <v>19</v>
      </c>
      <c r="B588" s="102">
        <v>46055</v>
      </c>
      <c r="C588" s="25" t="s">
        <v>356</v>
      </c>
      <c r="D588" s="103" t="s">
        <v>135</v>
      </c>
      <c r="E588" s="26">
        <v>3.8</v>
      </c>
      <c r="F588" s="26" t="s">
        <v>293</v>
      </c>
      <c r="K588" s="24">
        <v>19</v>
      </c>
      <c r="L588" s="102">
        <v>46055</v>
      </c>
      <c r="M588" s="25" t="s">
        <v>357</v>
      </c>
      <c r="N588" s="103" t="s">
        <v>135</v>
      </c>
      <c r="O588" s="26">
        <v>6.4</v>
      </c>
      <c r="P588" s="26" t="s">
        <v>293</v>
      </c>
    </row>
    <row r="589" spans="1:16" x14ac:dyDescent="0.3">
      <c r="A589" s="24">
        <v>19</v>
      </c>
      <c r="B589" s="102">
        <v>46055</v>
      </c>
      <c r="C589" s="25" t="s">
        <v>356</v>
      </c>
      <c r="D589" s="103" t="s">
        <v>136</v>
      </c>
      <c r="E589" s="26">
        <v>119</v>
      </c>
      <c r="F589" s="26" t="s">
        <v>293</v>
      </c>
      <c r="K589" s="24">
        <v>19</v>
      </c>
      <c r="L589" s="102">
        <v>46055</v>
      </c>
      <c r="M589" s="25" t="s">
        <v>357</v>
      </c>
      <c r="N589" s="103" t="s">
        <v>136</v>
      </c>
      <c r="O589" s="26">
        <v>95</v>
      </c>
      <c r="P589" s="26" t="s">
        <v>293</v>
      </c>
    </row>
    <row r="590" spans="1:16" x14ac:dyDescent="0.3">
      <c r="A590" s="24">
        <v>20</v>
      </c>
      <c r="B590" s="102">
        <v>46056.362893518519</v>
      </c>
      <c r="C590" s="25" t="s">
        <v>356</v>
      </c>
      <c r="D590" s="103" t="s">
        <v>339</v>
      </c>
      <c r="E590" s="26">
        <v>4.6900000000000004</v>
      </c>
      <c r="F590" s="26" t="s">
        <v>293</v>
      </c>
      <c r="K590" s="24">
        <v>20</v>
      </c>
      <c r="L590" s="102">
        <v>46056.362893518519</v>
      </c>
      <c r="M590" s="25" t="s">
        <v>357</v>
      </c>
      <c r="N590" s="103" t="s">
        <v>339</v>
      </c>
      <c r="O590" s="26">
        <v>1.1499999999999999</v>
      </c>
      <c r="P590" s="26" t="s">
        <v>293</v>
      </c>
    </row>
    <row r="591" spans="1:16" x14ac:dyDescent="0.3">
      <c r="A591" s="24">
        <v>20</v>
      </c>
      <c r="B591" s="102">
        <v>46056.362893518519</v>
      </c>
      <c r="C591" s="25" t="s">
        <v>356</v>
      </c>
      <c r="D591" s="103" t="s">
        <v>118</v>
      </c>
      <c r="E591" s="26">
        <v>4.7</v>
      </c>
      <c r="F591" s="26" t="s">
        <v>293</v>
      </c>
      <c r="K591" s="24">
        <v>20</v>
      </c>
      <c r="L591" s="102">
        <v>46056.362893518519</v>
      </c>
      <c r="M591" s="25" t="s">
        <v>357</v>
      </c>
      <c r="N591" s="103" t="s">
        <v>118</v>
      </c>
      <c r="O591" s="26">
        <v>9.8000000000000007</v>
      </c>
      <c r="P591" s="26" t="s">
        <v>293</v>
      </c>
    </row>
    <row r="592" spans="1:16" x14ac:dyDescent="0.3">
      <c r="A592" s="24">
        <v>20</v>
      </c>
      <c r="B592" s="102">
        <v>46056.362893518519</v>
      </c>
      <c r="C592" s="25" t="s">
        <v>356</v>
      </c>
      <c r="D592" s="103" t="s">
        <v>130</v>
      </c>
      <c r="E592" s="26">
        <v>3.859</v>
      </c>
      <c r="F592" s="26" t="s">
        <v>293</v>
      </c>
      <c r="K592" s="24">
        <v>20</v>
      </c>
      <c r="L592" s="102">
        <v>46056.362893518519</v>
      </c>
      <c r="M592" s="25" t="s">
        <v>357</v>
      </c>
      <c r="N592" s="103" t="s">
        <v>130</v>
      </c>
      <c r="O592" s="26">
        <v>2.395</v>
      </c>
      <c r="P592" s="26" t="s">
        <v>293</v>
      </c>
    </row>
    <row r="593" spans="1:16" x14ac:dyDescent="0.3">
      <c r="A593" s="24">
        <v>20</v>
      </c>
      <c r="B593" s="102">
        <v>46056.362893518519</v>
      </c>
      <c r="C593" s="25" t="s">
        <v>356</v>
      </c>
      <c r="D593" s="103" t="s">
        <v>341</v>
      </c>
      <c r="E593" s="26">
        <v>0.28199999999999997</v>
      </c>
      <c r="F593" s="26" t="s">
        <v>293</v>
      </c>
      <c r="K593" s="24">
        <v>20</v>
      </c>
      <c r="L593" s="102">
        <v>46056.362893518519</v>
      </c>
      <c r="M593" s="25" t="s">
        <v>357</v>
      </c>
      <c r="N593" s="103" t="s">
        <v>341</v>
      </c>
      <c r="O593" s="26">
        <v>1.0549999999999999</v>
      </c>
      <c r="P593" s="26" t="s">
        <v>293</v>
      </c>
    </row>
    <row r="594" spans="1:16" x14ac:dyDescent="0.3">
      <c r="A594" s="24">
        <v>20</v>
      </c>
      <c r="B594" s="102">
        <v>46056.362893518519</v>
      </c>
      <c r="C594" s="25" t="s">
        <v>356</v>
      </c>
      <c r="D594" s="103" t="s">
        <v>127</v>
      </c>
      <c r="E594" s="26">
        <v>1.2010000000000001</v>
      </c>
      <c r="F594" s="26" t="s">
        <v>293</v>
      </c>
      <c r="K594" s="24">
        <v>20</v>
      </c>
      <c r="L594" s="102">
        <v>46056.362893518519</v>
      </c>
      <c r="M594" s="25" t="s">
        <v>357</v>
      </c>
      <c r="N594" s="103" t="s">
        <v>127</v>
      </c>
      <c r="O594" s="26">
        <v>4.4969999999999999</v>
      </c>
      <c r="P594" s="26" t="s">
        <v>293</v>
      </c>
    </row>
    <row r="595" spans="1:16" x14ac:dyDescent="0.3">
      <c r="A595" s="24">
        <v>20</v>
      </c>
      <c r="B595" s="102">
        <v>46056.362893518519</v>
      </c>
      <c r="C595" s="25" t="s">
        <v>356</v>
      </c>
      <c r="D595" s="103" t="s">
        <v>131</v>
      </c>
      <c r="E595" s="26">
        <v>8.6999999999999993</v>
      </c>
      <c r="F595" s="26" t="s">
        <v>293</v>
      </c>
      <c r="K595" s="24">
        <v>20</v>
      </c>
      <c r="L595" s="102">
        <v>46056.362893518519</v>
      </c>
      <c r="M595" s="25" t="s">
        <v>357</v>
      </c>
      <c r="N595" s="103" t="s">
        <v>131</v>
      </c>
      <c r="O595" s="26">
        <v>12</v>
      </c>
      <c r="P595" s="26" t="s">
        <v>293</v>
      </c>
    </row>
    <row r="596" spans="1:16" x14ac:dyDescent="0.3">
      <c r="A596" s="24">
        <v>20</v>
      </c>
      <c r="B596" s="102">
        <v>46056.362893518519</v>
      </c>
      <c r="C596" s="25" t="s">
        <v>356</v>
      </c>
      <c r="D596" s="103" t="s">
        <v>342</v>
      </c>
      <c r="E596" s="26">
        <v>320</v>
      </c>
      <c r="F596" s="26" t="s">
        <v>293</v>
      </c>
      <c r="K596" s="24">
        <v>20</v>
      </c>
      <c r="L596" s="102">
        <v>46056.362893518519</v>
      </c>
      <c r="M596" s="25" t="s">
        <v>357</v>
      </c>
      <c r="N596" s="103" t="s">
        <v>342</v>
      </c>
      <c r="O596" s="26">
        <v>192</v>
      </c>
      <c r="P596" s="26" t="s">
        <v>293</v>
      </c>
    </row>
    <row r="597" spans="1:16" x14ac:dyDescent="0.3">
      <c r="A597" s="24">
        <v>20</v>
      </c>
      <c r="B597" s="102">
        <v>46056.362893518519</v>
      </c>
      <c r="C597" s="25" t="s">
        <v>356</v>
      </c>
      <c r="D597" s="103" t="s">
        <v>119</v>
      </c>
      <c r="E597" s="26">
        <v>237</v>
      </c>
      <c r="F597" s="26" t="s">
        <v>293</v>
      </c>
      <c r="K597" s="24">
        <v>20</v>
      </c>
      <c r="L597" s="102">
        <v>46056.362893518519</v>
      </c>
      <c r="M597" s="25" t="s">
        <v>357</v>
      </c>
      <c r="N597" s="103" t="s">
        <v>119</v>
      </c>
      <c r="O597" s="26">
        <v>85</v>
      </c>
      <c r="P597" s="26" t="s">
        <v>293</v>
      </c>
    </row>
    <row r="598" spans="1:16" x14ac:dyDescent="0.3">
      <c r="A598" s="24">
        <v>20</v>
      </c>
      <c r="B598" s="102">
        <v>46056.362893518519</v>
      </c>
      <c r="C598" s="25" t="s">
        <v>356</v>
      </c>
      <c r="D598" s="103" t="s">
        <v>120</v>
      </c>
      <c r="E598" s="26">
        <v>77</v>
      </c>
      <c r="F598" s="26" t="s">
        <v>293</v>
      </c>
      <c r="K598" s="24">
        <v>20</v>
      </c>
      <c r="L598" s="102">
        <v>46056.362893518519</v>
      </c>
      <c r="M598" s="25" t="s">
        <v>357</v>
      </c>
      <c r="N598" s="103" t="s">
        <v>120</v>
      </c>
      <c r="O598" s="26">
        <v>27</v>
      </c>
      <c r="P598" s="26" t="s">
        <v>293</v>
      </c>
    </row>
    <row r="599" spans="1:16" x14ac:dyDescent="0.3">
      <c r="A599" s="24">
        <v>20</v>
      </c>
      <c r="B599" s="102">
        <v>46056.362893518519</v>
      </c>
      <c r="C599" s="25" t="s">
        <v>356</v>
      </c>
      <c r="D599" s="103" t="s">
        <v>117</v>
      </c>
      <c r="E599" s="26">
        <v>2.65</v>
      </c>
      <c r="F599" s="26" t="s">
        <v>293</v>
      </c>
      <c r="K599" s="24">
        <v>20</v>
      </c>
      <c r="L599" s="102">
        <v>46056.362893518519</v>
      </c>
      <c r="M599" s="25" t="s">
        <v>357</v>
      </c>
      <c r="N599" s="103" t="s">
        <v>117</v>
      </c>
      <c r="O599" s="26">
        <v>6.2</v>
      </c>
      <c r="P599" s="26" t="s">
        <v>293</v>
      </c>
    </row>
    <row r="600" spans="1:16" x14ac:dyDescent="0.3">
      <c r="A600" s="24">
        <v>20</v>
      </c>
      <c r="B600" s="102">
        <v>46056.362893518519</v>
      </c>
      <c r="C600" s="25" t="s">
        <v>356</v>
      </c>
      <c r="D600" s="103" t="s">
        <v>344</v>
      </c>
      <c r="E600" s="26">
        <v>236</v>
      </c>
      <c r="F600" s="26" t="s">
        <v>293</v>
      </c>
      <c r="K600" s="24">
        <v>20</v>
      </c>
      <c r="L600" s="102">
        <v>46056.362893518519</v>
      </c>
      <c r="M600" s="25" t="s">
        <v>357</v>
      </c>
      <c r="N600" s="103" t="s">
        <v>344</v>
      </c>
      <c r="O600" s="26">
        <v>68</v>
      </c>
      <c r="P600" s="26" t="s">
        <v>293</v>
      </c>
    </row>
    <row r="601" spans="1:16" x14ac:dyDescent="0.3">
      <c r="A601" s="24">
        <v>20</v>
      </c>
      <c r="B601" s="102">
        <v>46056.362893518519</v>
      </c>
      <c r="C601" s="25" t="s">
        <v>356</v>
      </c>
      <c r="D601" s="103" t="s">
        <v>132</v>
      </c>
      <c r="E601" s="26">
        <v>3.62</v>
      </c>
      <c r="F601" s="26" t="s">
        <v>293</v>
      </c>
      <c r="K601" s="24">
        <v>20</v>
      </c>
      <c r="L601" s="102">
        <v>46056.362893518519</v>
      </c>
      <c r="M601" s="25" t="s">
        <v>357</v>
      </c>
      <c r="N601" s="103" t="s">
        <v>132</v>
      </c>
      <c r="O601" s="26">
        <v>7.36</v>
      </c>
      <c r="P601" s="26" t="s">
        <v>293</v>
      </c>
    </row>
    <row r="602" spans="1:16" x14ac:dyDescent="0.3">
      <c r="A602" s="24">
        <v>20</v>
      </c>
      <c r="B602" s="102">
        <v>46056.362893518519</v>
      </c>
      <c r="C602" s="25" t="s">
        <v>356</v>
      </c>
      <c r="D602" s="103" t="s">
        <v>111</v>
      </c>
      <c r="E602" s="26">
        <v>88</v>
      </c>
      <c r="F602" s="26" t="s">
        <v>293</v>
      </c>
      <c r="K602" s="24">
        <v>20</v>
      </c>
      <c r="L602" s="102">
        <v>46056.362893518519</v>
      </c>
      <c r="M602" s="25" t="s">
        <v>357</v>
      </c>
      <c r="N602" s="103" t="s">
        <v>111</v>
      </c>
      <c r="O602" s="26">
        <v>280</v>
      </c>
      <c r="P602" s="26" t="s">
        <v>293</v>
      </c>
    </row>
    <row r="603" spans="1:16" x14ac:dyDescent="0.3">
      <c r="A603" s="24">
        <v>20</v>
      </c>
      <c r="B603" s="102">
        <v>46056.362893518519</v>
      </c>
      <c r="C603" s="25" t="s">
        <v>356</v>
      </c>
      <c r="D603" s="103" t="s">
        <v>345</v>
      </c>
      <c r="E603" s="26">
        <v>5.16</v>
      </c>
      <c r="F603" s="26" t="s">
        <v>293</v>
      </c>
      <c r="K603" s="24">
        <v>20</v>
      </c>
      <c r="L603" s="102">
        <v>46056.362893518519</v>
      </c>
      <c r="M603" s="25" t="s">
        <v>357</v>
      </c>
      <c r="N603" s="103" t="s">
        <v>345</v>
      </c>
      <c r="O603" s="26">
        <v>10</v>
      </c>
      <c r="P603" s="26" t="s">
        <v>293</v>
      </c>
    </row>
    <row r="604" spans="1:16" x14ac:dyDescent="0.3">
      <c r="A604" s="24">
        <v>20</v>
      </c>
      <c r="B604" s="102">
        <v>46056.362893518519</v>
      </c>
      <c r="C604" s="25" t="s">
        <v>356</v>
      </c>
      <c r="D604" s="103" t="s">
        <v>347</v>
      </c>
      <c r="E604" s="26">
        <v>1.99</v>
      </c>
      <c r="F604" s="26" t="s">
        <v>293</v>
      </c>
      <c r="K604" s="24">
        <v>20</v>
      </c>
      <c r="L604" s="102">
        <v>46056.362893518519</v>
      </c>
      <c r="M604" s="25" t="s">
        <v>357</v>
      </c>
      <c r="N604" s="103" t="s">
        <v>347</v>
      </c>
      <c r="O604" s="26">
        <v>4.42</v>
      </c>
      <c r="P604" s="26" t="s">
        <v>293</v>
      </c>
    </row>
    <row r="605" spans="1:16" x14ac:dyDescent="0.3">
      <c r="A605" s="24">
        <v>20</v>
      </c>
      <c r="B605" s="102">
        <v>46056.362893518519</v>
      </c>
      <c r="C605" s="25" t="s">
        <v>356</v>
      </c>
      <c r="D605" s="103" t="s">
        <v>128</v>
      </c>
      <c r="E605" s="26">
        <v>6.8</v>
      </c>
      <c r="F605" s="26" t="s">
        <v>293</v>
      </c>
      <c r="K605" s="24">
        <v>20</v>
      </c>
      <c r="L605" s="102">
        <v>46056.362893518519</v>
      </c>
      <c r="M605" s="25" t="s">
        <v>357</v>
      </c>
      <c r="N605" s="103" t="s">
        <v>128</v>
      </c>
      <c r="O605" s="26">
        <v>4.5</v>
      </c>
      <c r="P605" s="26" t="s">
        <v>293</v>
      </c>
    </row>
    <row r="606" spans="1:16" x14ac:dyDescent="0.3">
      <c r="A606" s="24">
        <v>20</v>
      </c>
      <c r="B606" s="102">
        <v>46056.362893518519</v>
      </c>
      <c r="C606" s="25" t="s">
        <v>356</v>
      </c>
      <c r="D606" s="103" t="s">
        <v>121</v>
      </c>
      <c r="E606" s="26">
        <v>159</v>
      </c>
      <c r="F606" s="26" t="s">
        <v>293</v>
      </c>
      <c r="K606" s="24">
        <v>20</v>
      </c>
      <c r="L606" s="102">
        <v>46056.362893518519</v>
      </c>
      <c r="M606" s="25" t="s">
        <v>357</v>
      </c>
      <c r="N606" s="103" t="s">
        <v>121</v>
      </c>
      <c r="O606" s="26">
        <v>79</v>
      </c>
      <c r="P606" s="26" t="s">
        <v>293</v>
      </c>
    </row>
    <row r="607" spans="1:16" x14ac:dyDescent="0.3">
      <c r="A607" s="24">
        <v>20</v>
      </c>
      <c r="B607" s="102">
        <v>46056.362893518519</v>
      </c>
      <c r="C607" s="25" t="s">
        <v>356</v>
      </c>
      <c r="D607" s="103" t="s">
        <v>115</v>
      </c>
      <c r="E607" s="26">
        <v>34</v>
      </c>
      <c r="F607" s="26" t="s">
        <v>293</v>
      </c>
      <c r="K607" s="24">
        <v>20</v>
      </c>
      <c r="L607" s="102">
        <v>46056.362893518519</v>
      </c>
      <c r="M607" s="25" t="s">
        <v>357</v>
      </c>
      <c r="N607" s="103" t="s">
        <v>115</v>
      </c>
      <c r="O607" s="26">
        <v>93</v>
      </c>
      <c r="P607" s="26" t="s">
        <v>293</v>
      </c>
    </row>
    <row r="608" spans="1:16" x14ac:dyDescent="0.3">
      <c r="A608" s="24">
        <v>20</v>
      </c>
      <c r="B608" s="102">
        <v>46056.362893518519</v>
      </c>
      <c r="C608" s="25" t="s">
        <v>356</v>
      </c>
      <c r="D608" s="103" t="s">
        <v>137</v>
      </c>
      <c r="E608" s="26">
        <v>76</v>
      </c>
      <c r="F608" s="26" t="s">
        <v>293</v>
      </c>
      <c r="K608" s="24">
        <v>20</v>
      </c>
      <c r="L608" s="102">
        <v>46056.362893518519</v>
      </c>
      <c r="M608" s="25" t="s">
        <v>357</v>
      </c>
      <c r="N608" s="103" t="s">
        <v>137</v>
      </c>
      <c r="O608" s="26">
        <v>483</v>
      </c>
      <c r="P608" s="26" t="s">
        <v>293</v>
      </c>
    </row>
    <row r="609" spans="1:16" x14ac:dyDescent="0.3">
      <c r="A609" s="24">
        <v>20</v>
      </c>
      <c r="B609" s="102">
        <v>46056.362893518519</v>
      </c>
      <c r="C609" s="25" t="s">
        <v>356</v>
      </c>
      <c r="D609" s="103" t="s">
        <v>348</v>
      </c>
      <c r="E609" s="26">
        <v>136</v>
      </c>
      <c r="F609" s="26" t="s">
        <v>293</v>
      </c>
      <c r="K609" s="24">
        <v>20</v>
      </c>
      <c r="L609" s="102">
        <v>46056.362893518519</v>
      </c>
      <c r="M609" s="25" t="s">
        <v>357</v>
      </c>
      <c r="N609" s="103" t="s">
        <v>348</v>
      </c>
      <c r="O609" s="26">
        <v>433</v>
      </c>
      <c r="P609" s="26" t="s">
        <v>293</v>
      </c>
    </row>
    <row r="610" spans="1:16" x14ac:dyDescent="0.3">
      <c r="A610" s="24">
        <v>20</v>
      </c>
      <c r="B610" s="102">
        <v>46056.362893518519</v>
      </c>
      <c r="C610" s="25" t="s">
        <v>356</v>
      </c>
      <c r="D610" s="103" t="s">
        <v>125</v>
      </c>
      <c r="E610" s="26">
        <v>111</v>
      </c>
      <c r="F610" s="26" t="s">
        <v>293</v>
      </c>
      <c r="K610" s="24">
        <v>20</v>
      </c>
      <c r="L610" s="102">
        <v>46056.362893518519</v>
      </c>
      <c r="M610" s="25" t="s">
        <v>357</v>
      </c>
      <c r="N610" s="103" t="s">
        <v>125</v>
      </c>
      <c r="O610" s="26">
        <v>422</v>
      </c>
      <c r="P610" s="26" t="s">
        <v>293</v>
      </c>
    </row>
    <row r="611" spans="1:16" x14ac:dyDescent="0.3">
      <c r="A611" s="24">
        <v>20</v>
      </c>
      <c r="B611" s="102">
        <v>46056.362893518519</v>
      </c>
      <c r="C611" s="25" t="s">
        <v>356</v>
      </c>
      <c r="D611" s="103" t="s">
        <v>126</v>
      </c>
      <c r="E611" s="26">
        <v>80</v>
      </c>
      <c r="F611" s="26" t="s">
        <v>293</v>
      </c>
      <c r="K611" s="24">
        <v>20</v>
      </c>
      <c r="L611" s="102">
        <v>46056.362893518519</v>
      </c>
      <c r="M611" s="25" t="s">
        <v>357</v>
      </c>
      <c r="N611" s="103" t="s">
        <v>126</v>
      </c>
      <c r="O611" s="26">
        <v>150</v>
      </c>
      <c r="P611" s="26" t="s">
        <v>293</v>
      </c>
    </row>
    <row r="612" spans="1:16" x14ac:dyDescent="0.3">
      <c r="A612" s="24">
        <v>20</v>
      </c>
      <c r="B612" s="102">
        <v>46056.362893518519</v>
      </c>
      <c r="C612" s="25" t="s">
        <v>356</v>
      </c>
      <c r="D612" s="103" t="s">
        <v>349</v>
      </c>
      <c r="E612" s="26">
        <v>165</v>
      </c>
      <c r="F612" s="26" t="s">
        <v>293</v>
      </c>
      <c r="K612" s="24">
        <v>20</v>
      </c>
      <c r="L612" s="102">
        <v>46056.362893518519</v>
      </c>
      <c r="M612" s="25" t="s">
        <v>357</v>
      </c>
      <c r="N612" s="103" t="s">
        <v>349</v>
      </c>
      <c r="O612" s="26">
        <v>394</v>
      </c>
      <c r="P612" s="26" t="s">
        <v>293</v>
      </c>
    </row>
    <row r="613" spans="1:16" x14ac:dyDescent="0.3">
      <c r="A613" s="24">
        <v>20</v>
      </c>
      <c r="B613" s="102">
        <v>46056.362893518519</v>
      </c>
      <c r="C613" s="25" t="s">
        <v>356</v>
      </c>
      <c r="D613" s="103" t="s">
        <v>350</v>
      </c>
      <c r="E613" s="26">
        <v>60</v>
      </c>
      <c r="F613" s="26" t="s">
        <v>293</v>
      </c>
      <c r="K613" s="24">
        <v>20</v>
      </c>
      <c r="L613" s="102">
        <v>46056.362893518519</v>
      </c>
      <c r="M613" s="25" t="s">
        <v>357</v>
      </c>
      <c r="N613" s="103" t="s">
        <v>350</v>
      </c>
      <c r="O613" s="26">
        <v>85</v>
      </c>
      <c r="P613" s="26" t="s">
        <v>293</v>
      </c>
    </row>
    <row r="614" spans="1:16" x14ac:dyDescent="0.3">
      <c r="A614" s="24">
        <v>20</v>
      </c>
      <c r="B614" s="102">
        <v>46056.362893518519</v>
      </c>
      <c r="C614" s="25" t="s">
        <v>356</v>
      </c>
      <c r="D614" s="103" t="s">
        <v>122</v>
      </c>
      <c r="E614" s="26">
        <v>47</v>
      </c>
      <c r="F614" s="26" t="s">
        <v>293</v>
      </c>
      <c r="K614" s="24">
        <v>20</v>
      </c>
      <c r="L614" s="102">
        <v>46056.362893518519</v>
      </c>
      <c r="M614" s="25" t="s">
        <v>357</v>
      </c>
      <c r="N614" s="103" t="s">
        <v>122</v>
      </c>
      <c r="O614" s="26">
        <v>215</v>
      </c>
      <c r="P614" s="26" t="s">
        <v>293</v>
      </c>
    </row>
    <row r="615" spans="1:16" x14ac:dyDescent="0.3">
      <c r="A615" s="24">
        <v>20</v>
      </c>
      <c r="B615" s="102">
        <v>46056.362893518519</v>
      </c>
      <c r="C615" s="25" t="s">
        <v>356</v>
      </c>
      <c r="D615" s="103" t="s">
        <v>124</v>
      </c>
      <c r="E615" s="26">
        <v>30</v>
      </c>
      <c r="F615" s="26" t="s">
        <v>293</v>
      </c>
      <c r="K615" s="24">
        <v>20</v>
      </c>
      <c r="L615" s="102">
        <v>46056.362893518519</v>
      </c>
      <c r="M615" s="25" t="s">
        <v>357</v>
      </c>
      <c r="N615" s="103" t="s">
        <v>124</v>
      </c>
      <c r="O615" s="26">
        <v>101</v>
      </c>
      <c r="P615" s="26" t="s">
        <v>293</v>
      </c>
    </row>
    <row r="616" spans="1:16" x14ac:dyDescent="0.3">
      <c r="A616" s="24">
        <v>20</v>
      </c>
      <c r="B616" s="102">
        <v>46056.362893518519</v>
      </c>
      <c r="C616" s="25" t="s">
        <v>356</v>
      </c>
      <c r="D616" s="103" t="s">
        <v>351</v>
      </c>
      <c r="E616" s="26">
        <v>0.96</v>
      </c>
      <c r="F616" s="26" t="s">
        <v>293</v>
      </c>
      <c r="K616" s="24">
        <v>20</v>
      </c>
      <c r="L616" s="102">
        <v>46056.362893518519</v>
      </c>
      <c r="M616" s="25" t="s">
        <v>357</v>
      </c>
      <c r="N616" s="103" t="s">
        <v>351</v>
      </c>
      <c r="O616" s="26">
        <v>3.56</v>
      </c>
      <c r="P616" s="26" t="s">
        <v>293</v>
      </c>
    </row>
    <row r="617" spans="1:16" x14ac:dyDescent="0.3">
      <c r="A617" s="24">
        <v>20</v>
      </c>
      <c r="B617" s="102">
        <v>46056.362893518519</v>
      </c>
      <c r="C617" s="25" t="s">
        <v>356</v>
      </c>
      <c r="D617" s="103" t="s">
        <v>353</v>
      </c>
      <c r="E617" s="26">
        <v>36.6</v>
      </c>
      <c r="F617" s="26" t="s">
        <v>293</v>
      </c>
      <c r="K617" s="24">
        <v>20</v>
      </c>
      <c r="L617" s="102">
        <v>46056.362893518519</v>
      </c>
      <c r="M617" s="25" t="s">
        <v>357</v>
      </c>
      <c r="N617" s="103" t="s">
        <v>353</v>
      </c>
      <c r="O617" s="26">
        <v>21.4</v>
      </c>
      <c r="P617" s="26" t="s">
        <v>293</v>
      </c>
    </row>
    <row r="618" spans="1:16" x14ac:dyDescent="0.3">
      <c r="A618" s="24">
        <v>20</v>
      </c>
      <c r="B618" s="102">
        <v>46056.362893518519</v>
      </c>
      <c r="C618" s="25" t="s">
        <v>356</v>
      </c>
      <c r="D618" s="103" t="s">
        <v>133</v>
      </c>
      <c r="E618" s="26">
        <v>148</v>
      </c>
      <c r="F618" s="26" t="s">
        <v>293</v>
      </c>
      <c r="K618" s="24">
        <v>20</v>
      </c>
      <c r="L618" s="102">
        <v>46056.362893518519</v>
      </c>
      <c r="M618" s="25" t="s">
        <v>357</v>
      </c>
      <c r="N618" s="103" t="s">
        <v>133</v>
      </c>
      <c r="O618" s="26">
        <v>127</v>
      </c>
      <c r="P618" s="26" t="s">
        <v>293</v>
      </c>
    </row>
    <row r="619" spans="1:16" x14ac:dyDescent="0.3">
      <c r="A619" s="24">
        <v>20</v>
      </c>
      <c r="B619" s="102">
        <v>46056.362893518519</v>
      </c>
      <c r="C619" s="25" t="s">
        <v>356</v>
      </c>
      <c r="D619" s="103" t="s">
        <v>135</v>
      </c>
      <c r="E619" s="26">
        <v>3.8</v>
      </c>
      <c r="F619" s="26" t="s">
        <v>293</v>
      </c>
      <c r="K619" s="24">
        <v>20</v>
      </c>
      <c r="L619" s="102">
        <v>46056.362893518519</v>
      </c>
      <c r="M619" s="25" t="s">
        <v>357</v>
      </c>
      <c r="N619" s="103" t="s">
        <v>135</v>
      </c>
      <c r="O619" s="26">
        <v>6.4</v>
      </c>
      <c r="P619" s="26" t="s">
        <v>293</v>
      </c>
    </row>
    <row r="620" spans="1:16" x14ac:dyDescent="0.3">
      <c r="A620" s="24">
        <v>20</v>
      </c>
      <c r="B620" s="102">
        <v>46056.362893518519</v>
      </c>
      <c r="C620" s="25" t="s">
        <v>356</v>
      </c>
      <c r="D620" s="103" t="s">
        <v>136</v>
      </c>
      <c r="E620" s="26">
        <v>117</v>
      </c>
      <c r="F620" s="26" t="s">
        <v>293</v>
      </c>
      <c r="K620" s="24">
        <v>20</v>
      </c>
      <c r="L620" s="102">
        <v>46056.362893518519</v>
      </c>
      <c r="M620" s="25" t="s">
        <v>357</v>
      </c>
      <c r="N620" s="103" t="s">
        <v>136</v>
      </c>
      <c r="O620" s="26">
        <v>93</v>
      </c>
      <c r="P620" s="26" t="s">
        <v>293</v>
      </c>
    </row>
    <row r="621" spans="1:16" x14ac:dyDescent="0.3">
      <c r="A621" s="24">
        <v>21</v>
      </c>
      <c r="B621" s="102">
        <v>46057</v>
      </c>
      <c r="C621" s="25" t="s">
        <v>356</v>
      </c>
      <c r="D621" s="103" t="s">
        <v>339</v>
      </c>
      <c r="E621" s="26">
        <v>4.46</v>
      </c>
      <c r="F621" s="26" t="s">
        <v>293</v>
      </c>
      <c r="K621" s="24">
        <v>21</v>
      </c>
      <c r="L621" s="102">
        <v>46057</v>
      </c>
      <c r="M621" s="25" t="s">
        <v>357</v>
      </c>
      <c r="N621" s="103" t="s">
        <v>339</v>
      </c>
      <c r="O621" s="26">
        <v>1.1100000000000001</v>
      </c>
      <c r="P621" s="26" t="s">
        <v>293</v>
      </c>
    </row>
    <row r="622" spans="1:16" x14ac:dyDescent="0.3">
      <c r="A622" s="24">
        <v>21</v>
      </c>
      <c r="B622" s="102">
        <v>46057</v>
      </c>
      <c r="C622" s="25" t="s">
        <v>356</v>
      </c>
      <c r="D622" s="103" t="s">
        <v>118</v>
      </c>
      <c r="E622" s="26">
        <v>4.5999999999999996</v>
      </c>
      <c r="F622" s="26" t="s">
        <v>293</v>
      </c>
      <c r="K622" s="24">
        <v>21</v>
      </c>
      <c r="L622" s="102">
        <v>46057</v>
      </c>
      <c r="M622" s="25" t="s">
        <v>357</v>
      </c>
      <c r="N622" s="103" t="s">
        <v>118</v>
      </c>
      <c r="O622" s="26">
        <v>9.6999999999999993</v>
      </c>
      <c r="P622" s="26" t="s">
        <v>293</v>
      </c>
    </row>
    <row r="623" spans="1:16" x14ac:dyDescent="0.3">
      <c r="A623" s="24">
        <v>21</v>
      </c>
      <c r="B623" s="102">
        <v>46057</v>
      </c>
      <c r="C623" s="25" t="s">
        <v>356</v>
      </c>
      <c r="D623" s="103" t="s">
        <v>130</v>
      </c>
      <c r="E623" s="26">
        <v>3.76</v>
      </c>
      <c r="F623" s="26" t="s">
        <v>293</v>
      </c>
      <c r="K623" s="24">
        <v>21</v>
      </c>
      <c r="L623" s="102">
        <v>46057</v>
      </c>
      <c r="M623" s="25" t="s">
        <v>357</v>
      </c>
      <c r="N623" s="103" t="s">
        <v>130</v>
      </c>
      <c r="O623" s="26">
        <v>2.38</v>
      </c>
      <c r="P623" s="26" t="s">
        <v>293</v>
      </c>
    </row>
    <row r="624" spans="1:16" x14ac:dyDescent="0.3">
      <c r="A624" s="24">
        <v>21</v>
      </c>
      <c r="B624" s="102">
        <v>46057</v>
      </c>
      <c r="C624" s="25" t="s">
        <v>356</v>
      </c>
      <c r="D624" s="103" t="s">
        <v>341</v>
      </c>
      <c r="E624" s="26">
        <v>0.28999999999999998</v>
      </c>
      <c r="F624" s="26" t="s">
        <v>293</v>
      </c>
      <c r="K624" s="24">
        <v>21</v>
      </c>
      <c r="L624" s="102">
        <v>46057</v>
      </c>
      <c r="M624" s="25" t="s">
        <v>357</v>
      </c>
      <c r="N624" s="103" t="s">
        <v>341</v>
      </c>
      <c r="O624" s="26">
        <v>1.1000000000000001</v>
      </c>
      <c r="P624" s="26" t="s">
        <v>293</v>
      </c>
    </row>
    <row r="625" spans="1:16" x14ac:dyDescent="0.3">
      <c r="A625" s="24">
        <v>21</v>
      </c>
      <c r="B625" s="102">
        <v>46057</v>
      </c>
      <c r="C625" s="25" t="s">
        <v>356</v>
      </c>
      <c r="D625" s="103" t="s">
        <v>127</v>
      </c>
      <c r="E625" s="26">
        <v>1.1399999999999999</v>
      </c>
      <c r="F625" s="26" t="s">
        <v>293</v>
      </c>
      <c r="K625" s="24">
        <v>21</v>
      </c>
      <c r="L625" s="102">
        <v>46057</v>
      </c>
      <c r="M625" s="25" t="s">
        <v>357</v>
      </c>
      <c r="N625" s="103" t="s">
        <v>127</v>
      </c>
      <c r="O625" s="26">
        <v>4.53</v>
      </c>
      <c r="P625" s="26" t="s">
        <v>293</v>
      </c>
    </row>
    <row r="626" spans="1:16" x14ac:dyDescent="0.3">
      <c r="A626" s="24">
        <v>21</v>
      </c>
      <c r="B626" s="102">
        <v>46057</v>
      </c>
      <c r="C626" s="25" t="s">
        <v>356</v>
      </c>
      <c r="D626" s="103" t="s">
        <v>131</v>
      </c>
      <c r="E626" s="26">
        <v>8.4</v>
      </c>
      <c r="F626" s="26" t="s">
        <v>293</v>
      </c>
      <c r="K626" s="24">
        <v>21</v>
      </c>
      <c r="L626" s="102">
        <v>46057</v>
      </c>
      <c r="M626" s="25" t="s">
        <v>357</v>
      </c>
      <c r="N626" s="103" t="s">
        <v>131</v>
      </c>
      <c r="O626" s="26">
        <v>11.9</v>
      </c>
      <c r="P626" s="26" t="s">
        <v>293</v>
      </c>
    </row>
    <row r="627" spans="1:16" x14ac:dyDescent="0.3">
      <c r="A627" s="24">
        <v>21</v>
      </c>
      <c r="B627" s="102">
        <v>46057</v>
      </c>
      <c r="C627" s="25" t="s">
        <v>356</v>
      </c>
      <c r="D627" s="103" t="s">
        <v>342</v>
      </c>
      <c r="E627" s="26">
        <v>326</v>
      </c>
      <c r="F627" s="26" t="s">
        <v>293</v>
      </c>
      <c r="K627" s="24">
        <v>21</v>
      </c>
      <c r="L627" s="102">
        <v>46057</v>
      </c>
      <c r="M627" s="25" t="s">
        <v>357</v>
      </c>
      <c r="N627" s="103" t="s">
        <v>342</v>
      </c>
      <c r="O627" s="26">
        <v>194</v>
      </c>
      <c r="P627" s="26" t="s">
        <v>293</v>
      </c>
    </row>
    <row r="628" spans="1:16" x14ac:dyDescent="0.3">
      <c r="A628" s="24">
        <v>21</v>
      </c>
      <c r="B628" s="102">
        <v>46057</v>
      </c>
      <c r="C628" s="25" t="s">
        <v>356</v>
      </c>
      <c r="D628" s="103" t="s">
        <v>119</v>
      </c>
      <c r="E628" s="26">
        <v>230</v>
      </c>
      <c r="F628" s="26" t="s">
        <v>293</v>
      </c>
      <c r="K628" s="24">
        <v>21</v>
      </c>
      <c r="L628" s="102">
        <v>46057</v>
      </c>
      <c r="M628" s="25" t="s">
        <v>357</v>
      </c>
      <c r="N628" s="103" t="s">
        <v>119</v>
      </c>
      <c r="O628" s="26">
        <v>83</v>
      </c>
      <c r="P628" s="26" t="s">
        <v>293</v>
      </c>
    </row>
    <row r="629" spans="1:16" x14ac:dyDescent="0.3">
      <c r="A629" s="24">
        <v>21</v>
      </c>
      <c r="B629" s="102">
        <v>46057</v>
      </c>
      <c r="C629" s="25" t="s">
        <v>356</v>
      </c>
      <c r="D629" s="103" t="s">
        <v>120</v>
      </c>
      <c r="E629" s="26">
        <v>79</v>
      </c>
      <c r="F629" s="26" t="s">
        <v>293</v>
      </c>
      <c r="K629" s="24">
        <v>21</v>
      </c>
      <c r="L629" s="102">
        <v>46057</v>
      </c>
      <c r="M629" s="25" t="s">
        <v>357</v>
      </c>
      <c r="N629" s="103" t="s">
        <v>120</v>
      </c>
      <c r="O629" s="26">
        <v>26</v>
      </c>
      <c r="P629" s="26" t="s">
        <v>293</v>
      </c>
    </row>
    <row r="630" spans="1:16" x14ac:dyDescent="0.3">
      <c r="A630" s="24">
        <v>21</v>
      </c>
      <c r="B630" s="102">
        <v>46057</v>
      </c>
      <c r="C630" s="25" t="s">
        <v>356</v>
      </c>
      <c r="D630" s="103" t="s">
        <v>117</v>
      </c>
      <c r="E630" s="26">
        <v>2.61</v>
      </c>
      <c r="F630" s="26" t="s">
        <v>293</v>
      </c>
      <c r="K630" s="24">
        <v>21</v>
      </c>
      <c r="L630" s="102">
        <v>46057</v>
      </c>
      <c r="M630" s="25" t="s">
        <v>357</v>
      </c>
      <c r="N630" s="103" t="s">
        <v>117</v>
      </c>
      <c r="O630" s="26">
        <v>6.16</v>
      </c>
      <c r="P630" s="26" t="s">
        <v>293</v>
      </c>
    </row>
    <row r="631" spans="1:16" x14ac:dyDescent="0.3">
      <c r="A631" s="24">
        <v>21</v>
      </c>
      <c r="B631" s="102">
        <v>46057</v>
      </c>
      <c r="C631" s="25" t="s">
        <v>356</v>
      </c>
      <c r="D631" s="103" t="s">
        <v>344</v>
      </c>
      <c r="E631" s="26">
        <v>230</v>
      </c>
      <c r="F631" s="26" t="s">
        <v>293</v>
      </c>
      <c r="K631" s="24">
        <v>21</v>
      </c>
      <c r="L631" s="102">
        <v>46057</v>
      </c>
      <c r="M631" s="25" t="s">
        <v>357</v>
      </c>
      <c r="N631" s="103" t="s">
        <v>344</v>
      </c>
      <c r="O631" s="26">
        <v>67</v>
      </c>
      <c r="P631" s="26" t="s">
        <v>293</v>
      </c>
    </row>
    <row r="632" spans="1:16" x14ac:dyDescent="0.3">
      <c r="A632" s="24">
        <v>21</v>
      </c>
      <c r="B632" s="102">
        <v>46057</v>
      </c>
      <c r="C632" s="25" t="s">
        <v>356</v>
      </c>
      <c r="D632" s="103" t="s">
        <v>132</v>
      </c>
      <c r="E632" s="26">
        <v>3.52</v>
      </c>
      <c r="F632" s="26" t="s">
        <v>293</v>
      </c>
      <c r="K632" s="24">
        <v>21</v>
      </c>
      <c r="L632" s="102">
        <v>46057</v>
      </c>
      <c r="M632" s="25" t="s">
        <v>357</v>
      </c>
      <c r="N632" s="103" t="s">
        <v>132</v>
      </c>
      <c r="O632" s="26">
        <v>7.28</v>
      </c>
      <c r="P632" s="26" t="s">
        <v>293</v>
      </c>
    </row>
    <row r="633" spans="1:16" x14ac:dyDescent="0.3">
      <c r="A633" s="24">
        <v>21</v>
      </c>
      <c r="B633" s="102">
        <v>46057</v>
      </c>
      <c r="C633" s="25" t="s">
        <v>356</v>
      </c>
      <c r="D633" s="103" t="s">
        <v>111</v>
      </c>
      <c r="E633" s="26">
        <v>87</v>
      </c>
      <c r="F633" s="26" t="s">
        <v>293</v>
      </c>
      <c r="K633" s="24">
        <v>21</v>
      </c>
      <c r="L633" s="102">
        <v>46057</v>
      </c>
      <c r="M633" s="25" t="s">
        <v>357</v>
      </c>
      <c r="N633" s="103" t="s">
        <v>111</v>
      </c>
      <c r="O633" s="26">
        <v>283</v>
      </c>
      <c r="P633" s="26" t="s">
        <v>293</v>
      </c>
    </row>
    <row r="634" spans="1:16" x14ac:dyDescent="0.3">
      <c r="A634" s="24">
        <v>21</v>
      </c>
      <c r="B634" s="102">
        <v>46057</v>
      </c>
      <c r="C634" s="25" t="s">
        <v>356</v>
      </c>
      <c r="D634" s="103" t="s">
        <v>345</v>
      </c>
      <c r="E634" s="26">
        <v>5.14</v>
      </c>
      <c r="F634" s="26" t="s">
        <v>293</v>
      </c>
      <c r="K634" s="24">
        <v>21</v>
      </c>
      <c r="L634" s="102">
        <v>46057</v>
      </c>
      <c r="M634" s="25" t="s">
        <v>357</v>
      </c>
      <c r="N634" s="103" t="s">
        <v>345</v>
      </c>
      <c r="O634" s="26">
        <v>9.89</v>
      </c>
      <c r="P634" s="26" t="s">
        <v>293</v>
      </c>
    </row>
    <row r="635" spans="1:16" x14ac:dyDescent="0.3">
      <c r="A635" s="24">
        <v>21</v>
      </c>
      <c r="B635" s="102">
        <v>46057</v>
      </c>
      <c r="C635" s="25" t="s">
        <v>356</v>
      </c>
      <c r="D635" s="103" t="s">
        <v>347</v>
      </c>
      <c r="E635" s="26">
        <v>2.04</v>
      </c>
      <c r="F635" s="26" t="s">
        <v>293</v>
      </c>
      <c r="K635" s="24">
        <v>21</v>
      </c>
      <c r="L635" s="102">
        <v>46057</v>
      </c>
      <c r="M635" s="25" t="s">
        <v>357</v>
      </c>
      <c r="N635" s="103" t="s">
        <v>347</v>
      </c>
      <c r="O635" s="26">
        <v>4.55</v>
      </c>
      <c r="P635" s="26" t="s">
        <v>293</v>
      </c>
    </row>
    <row r="636" spans="1:16" x14ac:dyDescent="0.3">
      <c r="A636" s="24">
        <v>21</v>
      </c>
      <c r="B636" s="102">
        <v>46057</v>
      </c>
      <c r="C636" s="25" t="s">
        <v>356</v>
      </c>
      <c r="D636" s="103" t="s">
        <v>128</v>
      </c>
      <c r="E636" s="26">
        <v>6.6</v>
      </c>
      <c r="F636" s="26" t="s">
        <v>293</v>
      </c>
      <c r="K636" s="24">
        <v>21</v>
      </c>
      <c r="L636" s="102">
        <v>46057</v>
      </c>
      <c r="M636" s="25" t="s">
        <v>357</v>
      </c>
      <c r="N636" s="103" t="s">
        <v>128</v>
      </c>
      <c r="O636" s="26">
        <v>4.5</v>
      </c>
      <c r="P636" s="26" t="s">
        <v>293</v>
      </c>
    </row>
    <row r="637" spans="1:16" x14ac:dyDescent="0.3">
      <c r="A637" s="24">
        <v>21</v>
      </c>
      <c r="B637" s="102">
        <v>46057</v>
      </c>
      <c r="C637" s="25" t="s">
        <v>356</v>
      </c>
      <c r="D637" s="103" t="s">
        <v>121</v>
      </c>
      <c r="E637" s="26">
        <v>156</v>
      </c>
      <c r="F637" s="26" t="s">
        <v>293</v>
      </c>
      <c r="K637" s="24">
        <v>21</v>
      </c>
      <c r="L637" s="102">
        <v>46057</v>
      </c>
      <c r="M637" s="25" t="s">
        <v>357</v>
      </c>
      <c r="N637" s="103" t="s">
        <v>121</v>
      </c>
      <c r="O637" s="26">
        <v>77</v>
      </c>
      <c r="P637" s="26" t="s">
        <v>293</v>
      </c>
    </row>
    <row r="638" spans="1:16" x14ac:dyDescent="0.3">
      <c r="A638" s="24">
        <v>21</v>
      </c>
      <c r="B638" s="102">
        <v>46057</v>
      </c>
      <c r="C638" s="25" t="s">
        <v>356</v>
      </c>
      <c r="D638" s="103" t="s">
        <v>115</v>
      </c>
      <c r="E638" s="26">
        <v>34</v>
      </c>
      <c r="F638" s="26" t="s">
        <v>293</v>
      </c>
      <c r="K638" s="24">
        <v>21</v>
      </c>
      <c r="L638" s="102">
        <v>46057</v>
      </c>
      <c r="M638" s="25" t="s">
        <v>357</v>
      </c>
      <c r="N638" s="103" t="s">
        <v>115</v>
      </c>
      <c r="O638" s="26">
        <v>94</v>
      </c>
      <c r="P638" s="26" t="s">
        <v>293</v>
      </c>
    </row>
    <row r="639" spans="1:16" x14ac:dyDescent="0.3">
      <c r="A639" s="24">
        <v>21</v>
      </c>
      <c r="B639" s="102">
        <v>46057</v>
      </c>
      <c r="C639" s="25" t="s">
        <v>356</v>
      </c>
      <c r="D639" s="103" t="s">
        <v>137</v>
      </c>
      <c r="E639" s="26">
        <v>74</v>
      </c>
      <c r="F639" s="26" t="s">
        <v>293</v>
      </c>
      <c r="K639" s="24">
        <v>21</v>
      </c>
      <c r="L639" s="102">
        <v>46057</v>
      </c>
      <c r="M639" s="25" t="s">
        <v>357</v>
      </c>
      <c r="N639" s="103" t="s">
        <v>137</v>
      </c>
      <c r="O639" s="26">
        <v>489</v>
      </c>
      <c r="P639" s="26" t="s">
        <v>293</v>
      </c>
    </row>
    <row r="640" spans="1:16" x14ac:dyDescent="0.3">
      <c r="A640" s="24">
        <v>21</v>
      </c>
      <c r="B640" s="102">
        <v>46057</v>
      </c>
      <c r="C640" s="25" t="s">
        <v>356</v>
      </c>
      <c r="D640" s="103" t="s">
        <v>348</v>
      </c>
      <c r="E640" s="26">
        <v>138</v>
      </c>
      <c r="F640" s="26" t="s">
        <v>293</v>
      </c>
      <c r="K640" s="24">
        <v>21</v>
      </c>
      <c r="L640" s="102">
        <v>46057</v>
      </c>
      <c r="M640" s="25" t="s">
        <v>357</v>
      </c>
      <c r="N640" s="103" t="s">
        <v>348</v>
      </c>
      <c r="O640" s="26">
        <v>434</v>
      </c>
      <c r="P640" s="26" t="s">
        <v>293</v>
      </c>
    </row>
    <row r="641" spans="1:16" x14ac:dyDescent="0.3">
      <c r="A641" s="24">
        <v>21</v>
      </c>
      <c r="B641" s="102">
        <v>46057</v>
      </c>
      <c r="C641" s="25" t="s">
        <v>356</v>
      </c>
      <c r="D641" s="103" t="s">
        <v>125</v>
      </c>
      <c r="E641" s="26">
        <v>110</v>
      </c>
      <c r="F641" s="26" t="s">
        <v>293</v>
      </c>
      <c r="K641" s="24">
        <v>21</v>
      </c>
      <c r="L641" s="102">
        <v>46057</v>
      </c>
      <c r="M641" s="25" t="s">
        <v>357</v>
      </c>
      <c r="N641" s="103" t="s">
        <v>125</v>
      </c>
      <c r="O641" s="26">
        <v>419</v>
      </c>
      <c r="P641" s="26" t="s">
        <v>293</v>
      </c>
    </row>
    <row r="642" spans="1:16" x14ac:dyDescent="0.3">
      <c r="A642" s="24">
        <v>21</v>
      </c>
      <c r="B642" s="102">
        <v>46057</v>
      </c>
      <c r="C642" s="25" t="s">
        <v>356</v>
      </c>
      <c r="D642" s="103" t="s">
        <v>126</v>
      </c>
      <c r="E642" s="26">
        <v>79</v>
      </c>
      <c r="F642" s="26" t="s">
        <v>293</v>
      </c>
      <c r="K642" s="24">
        <v>21</v>
      </c>
      <c r="L642" s="102">
        <v>46057</v>
      </c>
      <c r="M642" s="25" t="s">
        <v>357</v>
      </c>
      <c r="N642" s="103" t="s">
        <v>126</v>
      </c>
      <c r="O642" s="26">
        <v>150</v>
      </c>
      <c r="P642" s="26" t="s">
        <v>293</v>
      </c>
    </row>
    <row r="643" spans="1:16" x14ac:dyDescent="0.3">
      <c r="A643" s="24">
        <v>21</v>
      </c>
      <c r="B643" s="102">
        <v>46057</v>
      </c>
      <c r="C643" s="25" t="s">
        <v>356</v>
      </c>
      <c r="D643" s="103" t="s">
        <v>349</v>
      </c>
      <c r="E643" s="26">
        <v>150</v>
      </c>
      <c r="F643" s="26" t="s">
        <v>293</v>
      </c>
      <c r="K643" s="24">
        <v>21</v>
      </c>
      <c r="L643" s="102">
        <v>46057</v>
      </c>
      <c r="M643" s="25" t="s">
        <v>357</v>
      </c>
      <c r="N643" s="103" t="s">
        <v>349</v>
      </c>
      <c r="O643" s="26">
        <v>375</v>
      </c>
      <c r="P643" s="26" t="s">
        <v>293</v>
      </c>
    </row>
    <row r="644" spans="1:16" x14ac:dyDescent="0.3">
      <c r="A644" s="24">
        <v>21</v>
      </c>
      <c r="B644" s="102">
        <v>46057</v>
      </c>
      <c r="C644" s="25" t="s">
        <v>356</v>
      </c>
      <c r="D644" s="103" t="s">
        <v>350</v>
      </c>
      <c r="E644" s="26">
        <v>58</v>
      </c>
      <c r="F644" s="26" t="s">
        <v>293</v>
      </c>
      <c r="K644" s="24">
        <v>21</v>
      </c>
      <c r="L644" s="102">
        <v>46057</v>
      </c>
      <c r="M644" s="25" t="s">
        <v>357</v>
      </c>
      <c r="N644" s="103" t="s">
        <v>350</v>
      </c>
      <c r="O644" s="26">
        <v>84</v>
      </c>
      <c r="P644" s="26" t="s">
        <v>293</v>
      </c>
    </row>
    <row r="645" spans="1:16" x14ac:dyDescent="0.3">
      <c r="A645" s="24">
        <v>21</v>
      </c>
      <c r="B645" s="102">
        <v>46057</v>
      </c>
      <c r="C645" s="25" t="s">
        <v>356</v>
      </c>
      <c r="D645" s="103" t="s">
        <v>122</v>
      </c>
      <c r="E645" s="26">
        <v>47</v>
      </c>
      <c r="F645" s="26" t="s">
        <v>293</v>
      </c>
      <c r="K645" s="24">
        <v>21</v>
      </c>
      <c r="L645" s="102">
        <v>46057</v>
      </c>
      <c r="M645" s="25" t="s">
        <v>357</v>
      </c>
      <c r="N645" s="103" t="s">
        <v>122</v>
      </c>
      <c r="O645" s="26">
        <v>216</v>
      </c>
      <c r="P645" s="26" t="s">
        <v>293</v>
      </c>
    </row>
    <row r="646" spans="1:16" x14ac:dyDescent="0.3">
      <c r="A646" s="24">
        <v>21</v>
      </c>
      <c r="B646" s="102">
        <v>46057</v>
      </c>
      <c r="C646" s="25" t="s">
        <v>356</v>
      </c>
      <c r="D646" s="103" t="s">
        <v>124</v>
      </c>
      <c r="E646" s="26">
        <v>31</v>
      </c>
      <c r="F646" s="26" t="s">
        <v>293</v>
      </c>
      <c r="K646" s="24">
        <v>21</v>
      </c>
      <c r="L646" s="102">
        <v>46057</v>
      </c>
      <c r="M646" s="25" t="s">
        <v>357</v>
      </c>
      <c r="N646" s="103" t="s">
        <v>124</v>
      </c>
      <c r="O646" s="26">
        <v>107</v>
      </c>
      <c r="P646" s="26" t="s">
        <v>293</v>
      </c>
    </row>
    <row r="647" spans="1:16" x14ac:dyDescent="0.3">
      <c r="A647" s="24">
        <v>21</v>
      </c>
      <c r="B647" s="102">
        <v>46057</v>
      </c>
      <c r="C647" s="25" t="s">
        <v>356</v>
      </c>
      <c r="D647" s="103" t="s">
        <v>351</v>
      </c>
      <c r="E647" s="26">
        <v>0.99</v>
      </c>
      <c r="F647" s="26" t="s">
        <v>293</v>
      </c>
      <c r="K647" s="24">
        <v>21</v>
      </c>
      <c r="L647" s="102">
        <v>46057</v>
      </c>
      <c r="M647" s="25" t="s">
        <v>357</v>
      </c>
      <c r="N647" s="103" t="s">
        <v>351</v>
      </c>
      <c r="O647" s="26">
        <v>3.5</v>
      </c>
      <c r="P647" s="26" t="s">
        <v>293</v>
      </c>
    </row>
    <row r="648" spans="1:16" x14ac:dyDescent="0.3">
      <c r="A648" s="24">
        <v>21</v>
      </c>
      <c r="B648" s="102">
        <v>46057</v>
      </c>
      <c r="C648" s="25" t="s">
        <v>356</v>
      </c>
      <c r="D648" s="103" t="s">
        <v>353</v>
      </c>
      <c r="E648" s="26">
        <v>28.8</v>
      </c>
      <c r="F648" s="26" t="s">
        <v>293</v>
      </c>
      <c r="K648" s="24">
        <v>21</v>
      </c>
      <c r="L648" s="102">
        <v>46057</v>
      </c>
      <c r="M648" s="25" t="s">
        <v>357</v>
      </c>
      <c r="N648" s="103" t="s">
        <v>353</v>
      </c>
      <c r="O648" s="26">
        <v>18.100000000000001</v>
      </c>
      <c r="P648" s="26" t="s">
        <v>293</v>
      </c>
    </row>
    <row r="649" spans="1:16" x14ac:dyDescent="0.3">
      <c r="A649" s="24">
        <v>21</v>
      </c>
      <c r="B649" s="102">
        <v>46057</v>
      </c>
      <c r="C649" s="25" t="s">
        <v>356</v>
      </c>
      <c r="D649" s="103" t="s">
        <v>133</v>
      </c>
      <c r="E649" s="26">
        <v>146</v>
      </c>
      <c r="F649" s="26" t="s">
        <v>293</v>
      </c>
      <c r="K649" s="24">
        <v>21</v>
      </c>
      <c r="L649" s="102">
        <v>46057</v>
      </c>
      <c r="M649" s="25" t="s">
        <v>357</v>
      </c>
      <c r="N649" s="103" t="s">
        <v>133</v>
      </c>
      <c r="O649" s="26">
        <v>128</v>
      </c>
      <c r="P649" s="26" t="s">
        <v>293</v>
      </c>
    </row>
    <row r="650" spans="1:16" x14ac:dyDescent="0.3">
      <c r="A650" s="24">
        <v>21</v>
      </c>
      <c r="B650" s="102">
        <v>46057</v>
      </c>
      <c r="C650" s="25" t="s">
        <v>356</v>
      </c>
      <c r="D650" s="103" t="s">
        <v>135</v>
      </c>
      <c r="E650" s="26">
        <v>3.8</v>
      </c>
      <c r="F650" s="26" t="s">
        <v>293</v>
      </c>
      <c r="K650" s="24">
        <v>21</v>
      </c>
      <c r="L650" s="102">
        <v>46057</v>
      </c>
      <c r="M650" s="25" t="s">
        <v>357</v>
      </c>
      <c r="N650" s="103" t="s">
        <v>135</v>
      </c>
      <c r="O650" s="26">
        <v>6.6</v>
      </c>
      <c r="P650" s="26" t="s">
        <v>293</v>
      </c>
    </row>
    <row r="651" spans="1:16" x14ac:dyDescent="0.3">
      <c r="A651" s="24">
        <v>21</v>
      </c>
      <c r="B651" s="102">
        <v>46057</v>
      </c>
      <c r="C651" s="25" t="s">
        <v>356</v>
      </c>
      <c r="D651" s="103" t="s">
        <v>136</v>
      </c>
      <c r="E651" s="26">
        <v>115</v>
      </c>
      <c r="F651" s="26" t="s">
        <v>293</v>
      </c>
      <c r="K651" s="24">
        <v>21</v>
      </c>
      <c r="L651" s="102">
        <v>46057</v>
      </c>
      <c r="M651" s="25" t="s">
        <v>357</v>
      </c>
      <c r="N651" s="103" t="s">
        <v>136</v>
      </c>
      <c r="O651" s="26">
        <v>94</v>
      </c>
      <c r="P651" s="26" t="s">
        <v>293</v>
      </c>
    </row>
    <row r="652" spans="1:16" x14ac:dyDescent="0.3">
      <c r="A652" s="24">
        <v>22</v>
      </c>
      <c r="B652" s="102">
        <v>46058.364907407406</v>
      </c>
      <c r="C652" s="25" t="s">
        <v>356</v>
      </c>
      <c r="D652" s="103" t="s">
        <v>339</v>
      </c>
      <c r="E652" s="26">
        <v>4.6900000000000004</v>
      </c>
      <c r="F652" s="26" t="s">
        <v>293</v>
      </c>
      <c r="K652" s="24">
        <v>22</v>
      </c>
      <c r="L652" s="102">
        <v>46058.364907407406</v>
      </c>
      <c r="M652" s="25" t="s">
        <v>357</v>
      </c>
      <c r="N652" s="103" t="s">
        <v>339</v>
      </c>
      <c r="O652" s="26">
        <v>1.21</v>
      </c>
      <c r="P652" s="26" t="s">
        <v>293</v>
      </c>
    </row>
    <row r="653" spans="1:16" x14ac:dyDescent="0.3">
      <c r="A653" s="24">
        <v>22</v>
      </c>
      <c r="B653" s="102">
        <v>46058.364907407406</v>
      </c>
      <c r="C653" s="25" t="s">
        <v>356</v>
      </c>
      <c r="D653" s="103" t="s">
        <v>118</v>
      </c>
      <c r="E653" s="26">
        <v>4.5</v>
      </c>
      <c r="F653" s="26" t="s">
        <v>293</v>
      </c>
      <c r="K653" s="24">
        <v>22</v>
      </c>
      <c r="L653" s="102">
        <v>46058.364907407406</v>
      </c>
      <c r="M653" s="25" t="s">
        <v>357</v>
      </c>
      <c r="N653" s="103" t="s">
        <v>118</v>
      </c>
      <c r="O653" s="26">
        <v>9.4</v>
      </c>
      <c r="P653" s="26" t="s">
        <v>293</v>
      </c>
    </row>
    <row r="654" spans="1:16" x14ac:dyDescent="0.3">
      <c r="A654" s="24">
        <v>22</v>
      </c>
      <c r="B654" s="102">
        <v>46058.364907407406</v>
      </c>
      <c r="C654" s="25" t="s">
        <v>356</v>
      </c>
      <c r="D654" s="103" t="s">
        <v>130</v>
      </c>
      <c r="E654" s="26">
        <v>3.76</v>
      </c>
      <c r="F654" s="26" t="s">
        <v>293</v>
      </c>
      <c r="K654" s="24">
        <v>22</v>
      </c>
      <c r="L654" s="102">
        <v>46058.364907407406</v>
      </c>
      <c r="M654" s="25" t="s">
        <v>357</v>
      </c>
      <c r="N654" s="103" t="s">
        <v>130</v>
      </c>
      <c r="O654" s="26">
        <v>2.48</v>
      </c>
      <c r="P654" s="26" t="s">
        <v>293</v>
      </c>
    </row>
    <row r="655" spans="1:16" x14ac:dyDescent="0.3">
      <c r="A655" s="24">
        <v>22</v>
      </c>
      <c r="B655" s="102">
        <v>46058.364907407406</v>
      </c>
      <c r="C655" s="25" t="s">
        <v>356</v>
      </c>
      <c r="D655" s="103" t="s">
        <v>341</v>
      </c>
      <c r="E655" s="26">
        <v>0.28799999999999998</v>
      </c>
      <c r="F655" s="26" t="s">
        <v>293</v>
      </c>
      <c r="K655" s="24">
        <v>22</v>
      </c>
      <c r="L655" s="102">
        <v>46058.364907407406</v>
      </c>
      <c r="M655" s="25" t="s">
        <v>357</v>
      </c>
      <c r="N655" s="103" t="s">
        <v>341</v>
      </c>
      <c r="O655" s="26">
        <v>1.07</v>
      </c>
      <c r="P655" s="26" t="s">
        <v>293</v>
      </c>
    </row>
    <row r="656" spans="1:16" x14ac:dyDescent="0.3">
      <c r="A656" s="24">
        <v>22</v>
      </c>
      <c r="B656" s="102">
        <v>46058.364907407406</v>
      </c>
      <c r="C656" s="25" t="s">
        <v>356</v>
      </c>
      <c r="D656" s="103" t="s">
        <v>127</v>
      </c>
      <c r="E656" s="26">
        <v>1.1639999999999999</v>
      </c>
      <c r="F656" s="26" t="s">
        <v>293</v>
      </c>
      <c r="K656" s="24">
        <v>22</v>
      </c>
      <c r="L656" s="102">
        <v>46058.364907407406</v>
      </c>
      <c r="M656" s="25" t="s">
        <v>357</v>
      </c>
      <c r="N656" s="103" t="s">
        <v>127</v>
      </c>
      <c r="O656" s="26">
        <v>4.57</v>
      </c>
      <c r="P656" s="26" t="s">
        <v>293</v>
      </c>
    </row>
    <row r="657" spans="1:16" x14ac:dyDescent="0.3">
      <c r="A657" s="24">
        <v>22</v>
      </c>
      <c r="B657" s="102">
        <v>46058.364907407406</v>
      </c>
      <c r="C657" s="25" t="s">
        <v>356</v>
      </c>
      <c r="D657" s="103" t="s">
        <v>131</v>
      </c>
      <c r="E657" s="26">
        <v>8.6</v>
      </c>
      <c r="F657" s="26" t="s">
        <v>293</v>
      </c>
      <c r="K657" s="24">
        <v>22</v>
      </c>
      <c r="L657" s="102">
        <v>46058.364907407406</v>
      </c>
      <c r="M657" s="25" t="s">
        <v>357</v>
      </c>
      <c r="N657" s="103" t="s">
        <v>131</v>
      </c>
      <c r="O657" s="26">
        <v>12.23</v>
      </c>
      <c r="P657" s="26" t="s">
        <v>293</v>
      </c>
    </row>
    <row r="658" spans="1:16" x14ac:dyDescent="0.3">
      <c r="A658" s="24">
        <v>22</v>
      </c>
      <c r="B658" s="102">
        <v>46058.364907407406</v>
      </c>
      <c r="C658" s="25" t="s">
        <v>356</v>
      </c>
      <c r="D658" s="103" t="s">
        <v>342</v>
      </c>
      <c r="E658" s="26">
        <v>328</v>
      </c>
      <c r="F658" s="26" t="s">
        <v>293</v>
      </c>
      <c r="K658" s="24">
        <v>22</v>
      </c>
      <c r="L658" s="102">
        <v>46058.364907407406</v>
      </c>
      <c r="M658" s="25" t="s">
        <v>357</v>
      </c>
      <c r="N658" s="103" t="s">
        <v>342</v>
      </c>
      <c r="O658" s="26">
        <v>204</v>
      </c>
      <c r="P658" s="26" t="s">
        <v>293</v>
      </c>
    </row>
    <row r="659" spans="1:16" x14ac:dyDescent="0.3">
      <c r="A659" s="24">
        <v>22</v>
      </c>
      <c r="B659" s="102">
        <v>46058.364907407406</v>
      </c>
      <c r="C659" s="25" t="s">
        <v>356</v>
      </c>
      <c r="D659" s="103" t="s">
        <v>119</v>
      </c>
      <c r="E659" s="26">
        <v>231</v>
      </c>
      <c r="F659" s="26" t="s">
        <v>293</v>
      </c>
      <c r="K659" s="24">
        <v>22</v>
      </c>
      <c r="L659" s="102">
        <v>46058.364907407406</v>
      </c>
      <c r="M659" s="25" t="s">
        <v>357</v>
      </c>
      <c r="N659" s="103" t="s">
        <v>119</v>
      </c>
      <c r="O659" s="26">
        <v>87</v>
      </c>
      <c r="P659" s="26" t="s">
        <v>293</v>
      </c>
    </row>
    <row r="660" spans="1:16" x14ac:dyDescent="0.3">
      <c r="A660" s="24">
        <v>22</v>
      </c>
      <c r="B660" s="102">
        <v>46058.364907407406</v>
      </c>
      <c r="C660" s="25" t="s">
        <v>356</v>
      </c>
      <c r="D660" s="103" t="s">
        <v>120</v>
      </c>
      <c r="E660" s="26">
        <v>77</v>
      </c>
      <c r="F660" s="26" t="s">
        <v>293</v>
      </c>
      <c r="K660" s="24">
        <v>22</v>
      </c>
      <c r="L660" s="102">
        <v>46058.364907407406</v>
      </c>
      <c r="M660" s="25" t="s">
        <v>357</v>
      </c>
      <c r="N660" s="103" t="s">
        <v>120</v>
      </c>
      <c r="O660" s="26">
        <v>27</v>
      </c>
      <c r="P660" s="26" t="s">
        <v>293</v>
      </c>
    </row>
    <row r="661" spans="1:16" x14ac:dyDescent="0.3">
      <c r="A661" s="24">
        <v>22</v>
      </c>
      <c r="B661" s="102">
        <v>46058.364907407406</v>
      </c>
      <c r="C661" s="25" t="s">
        <v>356</v>
      </c>
      <c r="D661" s="103" t="s">
        <v>117</v>
      </c>
      <c r="E661" s="26">
        <v>2.64</v>
      </c>
      <c r="F661" s="26" t="s">
        <v>293</v>
      </c>
      <c r="K661" s="24">
        <v>22</v>
      </c>
      <c r="L661" s="102">
        <v>46058.364907407406</v>
      </c>
      <c r="M661" s="25" t="s">
        <v>357</v>
      </c>
      <c r="N661" s="103" t="s">
        <v>117</v>
      </c>
      <c r="O661" s="26">
        <v>6.03</v>
      </c>
      <c r="P661" s="26" t="s">
        <v>293</v>
      </c>
    </row>
    <row r="662" spans="1:16" x14ac:dyDescent="0.3">
      <c r="A662" s="24">
        <v>22</v>
      </c>
      <c r="B662" s="102">
        <v>46058.364907407406</v>
      </c>
      <c r="C662" s="25" t="s">
        <v>356</v>
      </c>
      <c r="D662" s="103" t="s">
        <v>344</v>
      </c>
      <c r="E662" s="26">
        <v>231</v>
      </c>
      <c r="F662" s="26" t="s">
        <v>293</v>
      </c>
      <c r="K662" s="24">
        <v>22</v>
      </c>
      <c r="L662" s="102">
        <v>46058.364907407406</v>
      </c>
      <c r="M662" s="25" t="s">
        <v>357</v>
      </c>
      <c r="N662" s="103" t="s">
        <v>344</v>
      </c>
      <c r="O662" s="26">
        <v>69</v>
      </c>
      <c r="P662" s="26" t="s">
        <v>293</v>
      </c>
    </row>
    <row r="663" spans="1:16" x14ac:dyDescent="0.3">
      <c r="A663" s="24">
        <v>22</v>
      </c>
      <c r="B663" s="102">
        <v>46058.364907407406</v>
      </c>
      <c r="C663" s="25" t="s">
        <v>356</v>
      </c>
      <c r="D663" s="103" t="s">
        <v>132</v>
      </c>
      <c r="E663" s="26">
        <v>3.54</v>
      </c>
      <c r="F663" s="26" t="s">
        <v>293</v>
      </c>
      <c r="K663" s="24">
        <v>22</v>
      </c>
      <c r="L663" s="102">
        <v>46058.364907407406</v>
      </c>
      <c r="M663" s="25" t="s">
        <v>357</v>
      </c>
      <c r="N663" s="103" t="s">
        <v>132</v>
      </c>
      <c r="O663" s="26">
        <v>7.25</v>
      </c>
      <c r="P663" s="26" t="s">
        <v>293</v>
      </c>
    </row>
    <row r="664" spans="1:16" x14ac:dyDescent="0.3">
      <c r="A664" s="24">
        <v>22</v>
      </c>
      <c r="B664" s="102">
        <v>46058.364907407406</v>
      </c>
      <c r="C664" s="25" t="s">
        <v>356</v>
      </c>
      <c r="D664" s="103" t="s">
        <v>111</v>
      </c>
      <c r="E664" s="26">
        <v>86</v>
      </c>
      <c r="F664" s="26" t="s">
        <v>293</v>
      </c>
      <c r="K664" s="24">
        <v>22</v>
      </c>
      <c r="L664" s="102">
        <v>46058.364907407406</v>
      </c>
      <c r="M664" s="25" t="s">
        <v>357</v>
      </c>
      <c r="N664" s="103" t="s">
        <v>111</v>
      </c>
      <c r="O664" s="26">
        <v>289</v>
      </c>
      <c r="P664" s="26" t="s">
        <v>293</v>
      </c>
    </row>
    <row r="665" spans="1:16" x14ac:dyDescent="0.3">
      <c r="A665" s="24">
        <v>22</v>
      </c>
      <c r="B665" s="102">
        <v>46058.364907407406</v>
      </c>
      <c r="C665" s="25" t="s">
        <v>356</v>
      </c>
      <c r="D665" s="103" t="s">
        <v>345</v>
      </c>
      <c r="E665" s="26">
        <v>5.2</v>
      </c>
      <c r="F665" s="26" t="s">
        <v>293</v>
      </c>
      <c r="K665" s="24">
        <v>22</v>
      </c>
      <c r="L665" s="102">
        <v>46058.364907407406</v>
      </c>
      <c r="M665" s="25" t="s">
        <v>357</v>
      </c>
      <c r="N665" s="103" t="s">
        <v>345</v>
      </c>
      <c r="O665" s="26">
        <v>10.06</v>
      </c>
      <c r="P665" s="26" t="s">
        <v>293</v>
      </c>
    </row>
    <row r="666" spans="1:16" x14ac:dyDescent="0.3">
      <c r="A666" s="24">
        <v>22</v>
      </c>
      <c r="B666" s="102">
        <v>46058.364907407406</v>
      </c>
      <c r="C666" s="25" t="s">
        <v>356</v>
      </c>
      <c r="D666" s="103" t="s">
        <v>347</v>
      </c>
      <c r="E666" s="26">
        <v>2.06</v>
      </c>
      <c r="F666" s="26" t="s">
        <v>293</v>
      </c>
      <c r="K666" s="24">
        <v>22</v>
      </c>
      <c r="L666" s="102">
        <v>46058.364907407406</v>
      </c>
      <c r="M666" s="25" t="s">
        <v>357</v>
      </c>
      <c r="N666" s="103" t="s">
        <v>347</v>
      </c>
      <c r="O666" s="26">
        <v>4.58</v>
      </c>
      <c r="P666" s="26" t="s">
        <v>293</v>
      </c>
    </row>
    <row r="667" spans="1:16" x14ac:dyDescent="0.3">
      <c r="A667" s="24">
        <v>22</v>
      </c>
      <c r="B667" s="102">
        <v>46058.364907407406</v>
      </c>
      <c r="C667" s="25" t="s">
        <v>356</v>
      </c>
      <c r="D667" s="103" t="s">
        <v>128</v>
      </c>
      <c r="E667" s="26">
        <v>6.5</v>
      </c>
      <c r="F667" s="26" t="s">
        <v>293</v>
      </c>
      <c r="K667" s="24">
        <v>22</v>
      </c>
      <c r="L667" s="102">
        <v>46058.364907407406</v>
      </c>
      <c r="M667" s="25" t="s">
        <v>357</v>
      </c>
      <c r="N667" s="103" t="s">
        <v>128</v>
      </c>
      <c r="O667" s="26">
        <v>4.4000000000000004</v>
      </c>
      <c r="P667" s="26" t="s">
        <v>293</v>
      </c>
    </row>
    <row r="668" spans="1:16" x14ac:dyDescent="0.3">
      <c r="A668" s="24">
        <v>22</v>
      </c>
      <c r="B668" s="102">
        <v>46058.364907407406</v>
      </c>
      <c r="C668" s="25" t="s">
        <v>356</v>
      </c>
      <c r="D668" s="103" t="s">
        <v>121</v>
      </c>
      <c r="E668" s="26">
        <v>157</v>
      </c>
      <c r="F668" s="26" t="s">
        <v>293</v>
      </c>
      <c r="K668" s="24">
        <v>22</v>
      </c>
      <c r="L668" s="102">
        <v>46058.364907407406</v>
      </c>
      <c r="M668" s="25" t="s">
        <v>357</v>
      </c>
      <c r="N668" s="103" t="s">
        <v>121</v>
      </c>
      <c r="O668" s="26">
        <v>78</v>
      </c>
      <c r="P668" s="26" t="s">
        <v>293</v>
      </c>
    </row>
    <row r="669" spans="1:16" x14ac:dyDescent="0.3">
      <c r="A669" s="24">
        <v>22</v>
      </c>
      <c r="B669" s="102">
        <v>46058.364907407406</v>
      </c>
      <c r="C669" s="25" t="s">
        <v>356</v>
      </c>
      <c r="D669" s="103" t="s">
        <v>115</v>
      </c>
      <c r="E669" s="26">
        <v>33</v>
      </c>
      <c r="F669" s="26" t="s">
        <v>293</v>
      </c>
      <c r="K669" s="24">
        <v>22</v>
      </c>
      <c r="L669" s="102">
        <v>46058.364907407406</v>
      </c>
      <c r="M669" s="25" t="s">
        <v>357</v>
      </c>
      <c r="N669" s="103" t="s">
        <v>115</v>
      </c>
      <c r="O669" s="26">
        <v>94</v>
      </c>
      <c r="P669" s="26" t="s">
        <v>293</v>
      </c>
    </row>
    <row r="670" spans="1:16" x14ac:dyDescent="0.3">
      <c r="A670" s="24">
        <v>22</v>
      </c>
      <c r="B670" s="102">
        <v>46058.364907407406</v>
      </c>
      <c r="C670" s="25" t="s">
        <v>356</v>
      </c>
      <c r="D670" s="103" t="s">
        <v>137</v>
      </c>
      <c r="E670" s="26">
        <v>74</v>
      </c>
      <c r="F670" s="26" t="s">
        <v>293</v>
      </c>
      <c r="K670" s="24">
        <v>22</v>
      </c>
      <c r="L670" s="102">
        <v>46058.364907407406</v>
      </c>
      <c r="M670" s="25" t="s">
        <v>357</v>
      </c>
      <c r="N670" s="103" t="s">
        <v>137</v>
      </c>
      <c r="O670" s="26">
        <v>470</v>
      </c>
      <c r="P670" s="26" t="s">
        <v>293</v>
      </c>
    </row>
    <row r="671" spans="1:16" x14ac:dyDescent="0.3">
      <c r="A671" s="24">
        <v>22</v>
      </c>
      <c r="B671" s="102">
        <v>46058.364907407406</v>
      </c>
      <c r="C671" s="25" t="s">
        <v>356</v>
      </c>
      <c r="D671" s="103" t="s">
        <v>348</v>
      </c>
      <c r="E671" s="26">
        <v>138</v>
      </c>
      <c r="F671" s="26" t="s">
        <v>293</v>
      </c>
      <c r="K671" s="24">
        <v>22</v>
      </c>
      <c r="L671" s="102">
        <v>46058.364907407406</v>
      </c>
      <c r="M671" s="25" t="s">
        <v>357</v>
      </c>
      <c r="N671" s="103" t="s">
        <v>348</v>
      </c>
      <c r="O671" s="26">
        <v>421</v>
      </c>
      <c r="P671" s="26" t="s">
        <v>293</v>
      </c>
    </row>
    <row r="672" spans="1:16" x14ac:dyDescent="0.3">
      <c r="A672" s="24">
        <v>22</v>
      </c>
      <c r="B672" s="102">
        <v>46058.364907407406</v>
      </c>
      <c r="C672" s="25" t="s">
        <v>356</v>
      </c>
      <c r="D672" s="103" t="s">
        <v>125</v>
      </c>
      <c r="E672" s="26">
        <v>114</v>
      </c>
      <c r="F672" s="26" t="s">
        <v>293</v>
      </c>
      <c r="K672" s="24">
        <v>22</v>
      </c>
      <c r="L672" s="102">
        <v>46058.364907407406</v>
      </c>
      <c r="M672" s="25" t="s">
        <v>357</v>
      </c>
      <c r="N672" s="103" t="s">
        <v>125</v>
      </c>
      <c r="O672" s="26">
        <v>403</v>
      </c>
      <c r="P672" s="26" t="s">
        <v>293</v>
      </c>
    </row>
    <row r="673" spans="1:16" x14ac:dyDescent="0.3">
      <c r="A673" s="24">
        <v>22</v>
      </c>
      <c r="B673" s="102">
        <v>46058.364907407406</v>
      </c>
      <c r="C673" s="25" t="s">
        <v>356</v>
      </c>
      <c r="D673" s="103" t="s">
        <v>126</v>
      </c>
      <c r="E673" s="26">
        <v>78</v>
      </c>
      <c r="F673" s="26" t="s">
        <v>293</v>
      </c>
      <c r="K673" s="24">
        <v>22</v>
      </c>
      <c r="L673" s="102">
        <v>46058.364907407406</v>
      </c>
      <c r="M673" s="25" t="s">
        <v>357</v>
      </c>
      <c r="N673" s="103" t="s">
        <v>126</v>
      </c>
      <c r="O673" s="26">
        <v>154</v>
      </c>
      <c r="P673" s="26" t="s">
        <v>293</v>
      </c>
    </row>
    <row r="674" spans="1:16" x14ac:dyDescent="0.3">
      <c r="A674" s="24">
        <v>22</v>
      </c>
      <c r="B674" s="102">
        <v>46058.364907407406</v>
      </c>
      <c r="C674" s="25" t="s">
        <v>356</v>
      </c>
      <c r="D674" s="103" t="s">
        <v>349</v>
      </c>
      <c r="E674" s="26">
        <v>163</v>
      </c>
      <c r="F674" s="26" t="s">
        <v>293</v>
      </c>
      <c r="K674" s="24">
        <v>22</v>
      </c>
      <c r="L674" s="102">
        <v>46058.364907407406</v>
      </c>
      <c r="M674" s="25" t="s">
        <v>357</v>
      </c>
      <c r="N674" s="103" t="s">
        <v>349</v>
      </c>
      <c r="O674" s="26">
        <v>399</v>
      </c>
      <c r="P674" s="26" t="s">
        <v>293</v>
      </c>
    </row>
    <row r="675" spans="1:16" x14ac:dyDescent="0.3">
      <c r="A675" s="24">
        <v>22</v>
      </c>
      <c r="B675" s="102">
        <v>46058.364907407406</v>
      </c>
      <c r="C675" s="25" t="s">
        <v>356</v>
      </c>
      <c r="D675" s="103" t="s">
        <v>350</v>
      </c>
      <c r="E675" s="26">
        <v>56</v>
      </c>
      <c r="F675" s="26" t="s">
        <v>293</v>
      </c>
      <c r="K675" s="24">
        <v>22</v>
      </c>
      <c r="L675" s="102">
        <v>46058.364907407406</v>
      </c>
      <c r="M675" s="25" t="s">
        <v>357</v>
      </c>
      <c r="N675" s="103" t="s">
        <v>350</v>
      </c>
      <c r="O675" s="26">
        <v>86</v>
      </c>
      <c r="P675" s="26" t="s">
        <v>293</v>
      </c>
    </row>
    <row r="676" spans="1:16" x14ac:dyDescent="0.3">
      <c r="A676" s="24">
        <v>22</v>
      </c>
      <c r="B676" s="102">
        <v>46058.364907407406</v>
      </c>
      <c r="C676" s="25" t="s">
        <v>356</v>
      </c>
      <c r="D676" s="103" t="s">
        <v>122</v>
      </c>
      <c r="E676" s="26">
        <v>46</v>
      </c>
      <c r="F676" s="26" t="s">
        <v>293</v>
      </c>
      <c r="K676" s="24">
        <v>22</v>
      </c>
      <c r="L676" s="102">
        <v>46058.364907407406</v>
      </c>
      <c r="M676" s="25" t="s">
        <v>357</v>
      </c>
      <c r="N676" s="103" t="s">
        <v>122</v>
      </c>
      <c r="O676" s="26">
        <v>210</v>
      </c>
      <c r="P676" s="26" t="s">
        <v>293</v>
      </c>
    </row>
    <row r="677" spans="1:16" x14ac:dyDescent="0.3">
      <c r="A677" s="24">
        <v>22</v>
      </c>
      <c r="B677" s="102">
        <v>46058.364907407406</v>
      </c>
      <c r="C677" s="25" t="s">
        <v>356</v>
      </c>
      <c r="D677" s="103" t="s">
        <v>124</v>
      </c>
      <c r="E677" s="26">
        <v>30</v>
      </c>
      <c r="F677" s="26" t="s">
        <v>293</v>
      </c>
      <c r="K677" s="24">
        <v>22</v>
      </c>
      <c r="L677" s="102">
        <v>46058.364907407406</v>
      </c>
      <c r="M677" s="25" t="s">
        <v>357</v>
      </c>
      <c r="N677" s="103" t="s">
        <v>124</v>
      </c>
      <c r="O677" s="26">
        <v>105</v>
      </c>
      <c r="P677" s="26" t="s">
        <v>293</v>
      </c>
    </row>
    <row r="678" spans="1:16" x14ac:dyDescent="0.3">
      <c r="A678" s="24">
        <v>22</v>
      </c>
      <c r="B678" s="102">
        <v>46058.364907407406</v>
      </c>
      <c r="C678" s="25" t="s">
        <v>356</v>
      </c>
      <c r="D678" s="103" t="s">
        <v>351</v>
      </c>
      <c r="E678" s="26">
        <v>0.97</v>
      </c>
      <c r="F678" s="26" t="s">
        <v>293</v>
      </c>
      <c r="K678" s="24">
        <v>22</v>
      </c>
      <c r="L678" s="102">
        <v>46058.364907407406</v>
      </c>
      <c r="M678" s="25" t="s">
        <v>357</v>
      </c>
      <c r="N678" s="103" t="s">
        <v>351</v>
      </c>
      <c r="O678" s="26">
        <v>3.47</v>
      </c>
      <c r="P678" s="26" t="s">
        <v>293</v>
      </c>
    </row>
    <row r="679" spans="1:16" x14ac:dyDescent="0.3">
      <c r="A679" s="24">
        <v>22</v>
      </c>
      <c r="B679" s="102">
        <v>46058.364907407406</v>
      </c>
      <c r="C679" s="25" t="s">
        <v>356</v>
      </c>
      <c r="D679" s="103" t="s">
        <v>353</v>
      </c>
      <c r="E679" s="26">
        <v>34.799999999999997</v>
      </c>
      <c r="F679" s="26" t="s">
        <v>293</v>
      </c>
      <c r="K679" s="24">
        <v>22</v>
      </c>
      <c r="L679" s="102">
        <v>46058.364907407406</v>
      </c>
      <c r="M679" s="25" t="s">
        <v>357</v>
      </c>
      <c r="N679" s="103" t="s">
        <v>353</v>
      </c>
      <c r="O679" s="26">
        <v>18.100000000000001</v>
      </c>
      <c r="P679" s="26" t="s">
        <v>293</v>
      </c>
    </row>
    <row r="680" spans="1:16" x14ac:dyDescent="0.3">
      <c r="A680" s="24">
        <v>22</v>
      </c>
      <c r="B680" s="102">
        <v>46058.364907407406</v>
      </c>
      <c r="C680" s="25" t="s">
        <v>356</v>
      </c>
      <c r="D680" s="103" t="s">
        <v>133</v>
      </c>
      <c r="E680" s="26">
        <v>145</v>
      </c>
      <c r="F680" s="26" t="s">
        <v>293</v>
      </c>
      <c r="K680" s="24">
        <v>22</v>
      </c>
      <c r="L680" s="102">
        <v>46058.364907407406</v>
      </c>
      <c r="M680" s="25" t="s">
        <v>357</v>
      </c>
      <c r="N680" s="103" t="s">
        <v>133</v>
      </c>
      <c r="O680" s="26">
        <v>126</v>
      </c>
      <c r="P680" s="26" t="s">
        <v>293</v>
      </c>
    </row>
    <row r="681" spans="1:16" x14ac:dyDescent="0.3">
      <c r="A681" s="24">
        <v>22</v>
      </c>
      <c r="B681" s="102">
        <v>46058.364907407406</v>
      </c>
      <c r="C681" s="25" t="s">
        <v>356</v>
      </c>
      <c r="D681" s="103" t="s">
        <v>135</v>
      </c>
      <c r="E681" s="26">
        <v>3.7</v>
      </c>
      <c r="F681" s="26" t="s">
        <v>293</v>
      </c>
      <c r="K681" s="24">
        <v>22</v>
      </c>
      <c r="L681" s="102">
        <v>46058.364907407406</v>
      </c>
      <c r="M681" s="25" t="s">
        <v>357</v>
      </c>
      <c r="N681" s="103" t="s">
        <v>135</v>
      </c>
      <c r="O681" s="26">
        <v>6.4</v>
      </c>
      <c r="P681" s="26" t="s">
        <v>293</v>
      </c>
    </row>
    <row r="682" spans="1:16" x14ac:dyDescent="0.3">
      <c r="A682" s="24">
        <v>22</v>
      </c>
      <c r="B682" s="102">
        <v>46058.364907407406</v>
      </c>
      <c r="C682" s="25" t="s">
        <v>356</v>
      </c>
      <c r="D682" s="103" t="s">
        <v>136</v>
      </c>
      <c r="E682" s="26">
        <v>116</v>
      </c>
      <c r="F682" s="26" t="s">
        <v>293</v>
      </c>
      <c r="K682" s="24">
        <v>22</v>
      </c>
      <c r="L682" s="102">
        <v>46058.364907407406</v>
      </c>
      <c r="M682" s="25" t="s">
        <v>357</v>
      </c>
      <c r="N682" s="103" t="s">
        <v>136</v>
      </c>
      <c r="O682" s="26">
        <v>98</v>
      </c>
      <c r="P682" s="26" t="s">
        <v>293</v>
      </c>
    </row>
    <row r="683" spans="1:16" x14ac:dyDescent="0.3">
      <c r="A683" s="24">
        <v>23</v>
      </c>
      <c r="B683" s="102">
        <v>46059.356226851851</v>
      </c>
      <c r="C683" s="25" t="s">
        <v>356</v>
      </c>
      <c r="D683" s="103" t="s">
        <v>339</v>
      </c>
      <c r="E683" s="26">
        <v>4.63</v>
      </c>
      <c r="F683" s="26" t="s">
        <v>293</v>
      </c>
      <c r="K683" s="24">
        <v>23</v>
      </c>
      <c r="L683" s="102">
        <v>46059.356226851851</v>
      </c>
      <c r="M683" s="25" t="s">
        <v>357</v>
      </c>
      <c r="N683" s="103" t="s">
        <v>339</v>
      </c>
      <c r="O683" s="26">
        <v>1.22</v>
      </c>
      <c r="P683" s="26" t="s">
        <v>293</v>
      </c>
    </row>
    <row r="684" spans="1:16" x14ac:dyDescent="0.3">
      <c r="A684" s="24">
        <v>23</v>
      </c>
      <c r="B684" s="102">
        <v>46059.356226851851</v>
      </c>
      <c r="C684" s="25" t="s">
        <v>356</v>
      </c>
      <c r="D684" s="103" t="s">
        <v>118</v>
      </c>
      <c r="E684" s="26">
        <v>4.5</v>
      </c>
      <c r="F684" s="26" t="s">
        <v>293</v>
      </c>
      <c r="K684" s="24">
        <v>23</v>
      </c>
      <c r="L684" s="102">
        <v>46059.356226851851</v>
      </c>
      <c r="M684" s="25" t="s">
        <v>357</v>
      </c>
      <c r="N684" s="103" t="s">
        <v>118</v>
      </c>
      <c r="O684" s="26">
        <v>9.6</v>
      </c>
      <c r="P684" s="26" t="s">
        <v>293</v>
      </c>
    </row>
    <row r="685" spans="1:16" x14ac:dyDescent="0.3">
      <c r="A685" s="24">
        <v>23</v>
      </c>
      <c r="B685" s="102">
        <v>46059.356226851851</v>
      </c>
      <c r="C685" s="25" t="s">
        <v>356</v>
      </c>
      <c r="D685" s="103" t="s">
        <v>130</v>
      </c>
      <c r="E685" s="26">
        <v>3.82</v>
      </c>
      <c r="F685" s="26" t="s">
        <v>293</v>
      </c>
      <c r="K685" s="24">
        <v>23</v>
      </c>
      <c r="L685" s="102">
        <v>46059.356226851851</v>
      </c>
      <c r="M685" s="25" t="s">
        <v>357</v>
      </c>
      <c r="N685" s="103" t="s">
        <v>130</v>
      </c>
      <c r="O685" s="26">
        <v>2.4700000000000002</v>
      </c>
      <c r="P685" s="26" t="s">
        <v>293</v>
      </c>
    </row>
    <row r="686" spans="1:16" x14ac:dyDescent="0.3">
      <c r="A686" s="24">
        <v>23</v>
      </c>
      <c r="B686" s="102">
        <v>46059.356226851851</v>
      </c>
      <c r="C686" s="25" t="s">
        <v>356</v>
      </c>
      <c r="D686" s="103" t="s">
        <v>341</v>
      </c>
      <c r="E686" s="26">
        <v>0.28699999999999998</v>
      </c>
      <c r="F686" s="26" t="s">
        <v>293</v>
      </c>
      <c r="K686" s="24">
        <v>23</v>
      </c>
      <c r="L686" s="102">
        <v>46059.356226851851</v>
      </c>
      <c r="M686" s="25" t="s">
        <v>357</v>
      </c>
      <c r="N686" s="103" t="s">
        <v>341</v>
      </c>
      <c r="O686" s="26">
        <v>1.077</v>
      </c>
      <c r="P686" s="26" t="s">
        <v>293</v>
      </c>
    </row>
    <row r="687" spans="1:16" x14ac:dyDescent="0.3">
      <c r="A687" s="24">
        <v>23</v>
      </c>
      <c r="B687" s="102">
        <v>46059.356226851851</v>
      </c>
      <c r="C687" s="25" t="s">
        <v>356</v>
      </c>
      <c r="D687" s="103" t="s">
        <v>127</v>
      </c>
      <c r="E687" s="26">
        <v>1.1659999999999999</v>
      </c>
      <c r="F687" s="26" t="s">
        <v>293</v>
      </c>
      <c r="K687" s="24">
        <v>23</v>
      </c>
      <c r="L687" s="102">
        <v>46059.356226851851</v>
      </c>
      <c r="M687" s="25" t="s">
        <v>357</v>
      </c>
      <c r="N687" s="103" t="s">
        <v>127</v>
      </c>
      <c r="O687" s="26">
        <v>4.4960000000000004</v>
      </c>
      <c r="P687" s="26" t="s">
        <v>293</v>
      </c>
    </row>
    <row r="688" spans="1:16" x14ac:dyDescent="0.3">
      <c r="A688" s="24">
        <v>23</v>
      </c>
      <c r="B688" s="102">
        <v>46059.356226851851</v>
      </c>
      <c r="C688" s="25" t="s">
        <v>356</v>
      </c>
      <c r="D688" s="103" t="s">
        <v>131</v>
      </c>
      <c r="E688" s="26">
        <v>8.8000000000000007</v>
      </c>
      <c r="F688" s="26" t="s">
        <v>293</v>
      </c>
      <c r="K688" s="24">
        <v>23</v>
      </c>
      <c r="L688" s="102">
        <v>46059.356226851851</v>
      </c>
      <c r="M688" s="25" t="s">
        <v>357</v>
      </c>
      <c r="N688" s="103" t="s">
        <v>131</v>
      </c>
      <c r="O688" s="26">
        <v>12.3</v>
      </c>
      <c r="P688" s="26" t="s">
        <v>293</v>
      </c>
    </row>
    <row r="689" spans="1:16" x14ac:dyDescent="0.3">
      <c r="A689" s="24">
        <v>23</v>
      </c>
      <c r="B689" s="102">
        <v>46059.356226851851</v>
      </c>
      <c r="C689" s="25" t="s">
        <v>356</v>
      </c>
      <c r="D689" s="103" t="s">
        <v>342</v>
      </c>
      <c r="E689" s="26">
        <v>307</v>
      </c>
      <c r="F689" s="26" t="s">
        <v>293</v>
      </c>
      <c r="K689" s="24">
        <v>23</v>
      </c>
      <c r="L689" s="102">
        <v>46059.356226851851</v>
      </c>
      <c r="M689" s="25" t="s">
        <v>357</v>
      </c>
      <c r="N689" s="103" t="s">
        <v>342</v>
      </c>
      <c r="O689" s="26">
        <v>187</v>
      </c>
      <c r="P689" s="26" t="s">
        <v>293</v>
      </c>
    </row>
    <row r="690" spans="1:16" x14ac:dyDescent="0.3">
      <c r="A690" s="24">
        <v>23</v>
      </c>
      <c r="B690" s="102">
        <v>46059.356226851851</v>
      </c>
      <c r="C690" s="25" t="s">
        <v>356</v>
      </c>
      <c r="D690" s="103" t="s">
        <v>119</v>
      </c>
      <c r="E690" s="26">
        <v>235</v>
      </c>
      <c r="F690" s="26" t="s">
        <v>293</v>
      </c>
      <c r="K690" s="24">
        <v>23</v>
      </c>
      <c r="L690" s="102">
        <v>46059.356226851851</v>
      </c>
      <c r="M690" s="25" t="s">
        <v>357</v>
      </c>
      <c r="N690" s="103" t="s">
        <v>119</v>
      </c>
      <c r="O690" s="26">
        <v>88</v>
      </c>
      <c r="P690" s="26" t="s">
        <v>293</v>
      </c>
    </row>
    <row r="691" spans="1:16" x14ac:dyDescent="0.3">
      <c r="A691" s="24">
        <v>23</v>
      </c>
      <c r="B691" s="102">
        <v>46059.356226851851</v>
      </c>
      <c r="C691" s="25" t="s">
        <v>356</v>
      </c>
      <c r="D691" s="103" t="s">
        <v>120</v>
      </c>
      <c r="E691" s="26">
        <v>78</v>
      </c>
      <c r="F691" s="26" t="s">
        <v>293</v>
      </c>
      <c r="K691" s="24">
        <v>23</v>
      </c>
      <c r="L691" s="102">
        <v>46059.356226851851</v>
      </c>
      <c r="M691" s="25" t="s">
        <v>357</v>
      </c>
      <c r="N691" s="103" t="s">
        <v>120</v>
      </c>
      <c r="O691" s="26">
        <v>27</v>
      </c>
      <c r="P691" s="26" t="s">
        <v>293</v>
      </c>
    </row>
    <row r="692" spans="1:16" x14ac:dyDescent="0.3">
      <c r="A692" s="24">
        <v>23</v>
      </c>
      <c r="B692" s="102">
        <v>46059.356226851851</v>
      </c>
      <c r="C692" s="25" t="s">
        <v>356</v>
      </c>
      <c r="D692" s="103" t="s">
        <v>117</v>
      </c>
      <c r="E692" s="26">
        <v>2.69</v>
      </c>
      <c r="F692" s="26" t="s">
        <v>293</v>
      </c>
      <c r="K692" s="24">
        <v>23</v>
      </c>
      <c r="L692" s="102">
        <v>46059.356226851851</v>
      </c>
      <c r="M692" s="25" t="s">
        <v>357</v>
      </c>
      <c r="N692" s="103" t="s">
        <v>117</v>
      </c>
      <c r="O692" s="26">
        <v>6.3</v>
      </c>
      <c r="P692" s="26" t="s">
        <v>293</v>
      </c>
    </row>
    <row r="693" spans="1:16" x14ac:dyDescent="0.3">
      <c r="A693" s="24">
        <v>23</v>
      </c>
      <c r="B693" s="102">
        <v>46059.356226851851</v>
      </c>
      <c r="C693" s="25" t="s">
        <v>356</v>
      </c>
      <c r="D693" s="103" t="s">
        <v>344</v>
      </c>
      <c r="E693" s="26">
        <v>233</v>
      </c>
      <c r="F693" s="26" t="s">
        <v>293</v>
      </c>
      <c r="K693" s="24">
        <v>23</v>
      </c>
      <c r="L693" s="102">
        <v>46059.356226851851</v>
      </c>
      <c r="M693" s="25" t="s">
        <v>357</v>
      </c>
      <c r="N693" s="103" t="s">
        <v>344</v>
      </c>
      <c r="O693" s="26">
        <v>69</v>
      </c>
      <c r="P693" s="26" t="s">
        <v>293</v>
      </c>
    </row>
    <row r="694" spans="1:16" x14ac:dyDescent="0.3">
      <c r="A694" s="24">
        <v>23</v>
      </c>
      <c r="B694" s="102">
        <v>46059.356226851851</v>
      </c>
      <c r="C694" s="25" t="s">
        <v>356</v>
      </c>
      <c r="D694" s="103" t="s">
        <v>132</v>
      </c>
      <c r="E694" s="26">
        <v>3.59</v>
      </c>
      <c r="F694" s="26" t="s">
        <v>293</v>
      </c>
      <c r="K694" s="24">
        <v>23</v>
      </c>
      <c r="L694" s="102">
        <v>46059.356226851851</v>
      </c>
      <c r="M694" s="25" t="s">
        <v>357</v>
      </c>
      <c r="N694" s="103" t="s">
        <v>132</v>
      </c>
      <c r="O694" s="26">
        <v>7.41</v>
      </c>
      <c r="P694" s="26" t="s">
        <v>293</v>
      </c>
    </row>
    <row r="695" spans="1:16" x14ac:dyDescent="0.3">
      <c r="A695" s="24">
        <v>23</v>
      </c>
      <c r="B695" s="102">
        <v>46059.356226851851</v>
      </c>
      <c r="C695" s="25" t="s">
        <v>356</v>
      </c>
      <c r="D695" s="103" t="s">
        <v>111</v>
      </c>
      <c r="E695" s="26">
        <v>88</v>
      </c>
      <c r="F695" s="26" t="s">
        <v>293</v>
      </c>
      <c r="K695" s="24">
        <v>23</v>
      </c>
      <c r="L695" s="102">
        <v>46059.356226851851</v>
      </c>
      <c r="M695" s="25" t="s">
        <v>357</v>
      </c>
      <c r="N695" s="103" t="s">
        <v>111</v>
      </c>
      <c r="O695" s="26">
        <v>283</v>
      </c>
      <c r="P695" s="26" t="s">
        <v>293</v>
      </c>
    </row>
    <row r="696" spans="1:16" x14ac:dyDescent="0.3">
      <c r="A696" s="24">
        <v>23</v>
      </c>
      <c r="B696" s="102">
        <v>46059.356226851851</v>
      </c>
      <c r="C696" s="25" t="s">
        <v>356</v>
      </c>
      <c r="D696" s="103" t="s">
        <v>345</v>
      </c>
      <c r="E696" s="26">
        <v>5.28</v>
      </c>
      <c r="F696" s="26" t="s">
        <v>293</v>
      </c>
      <c r="K696" s="24">
        <v>23</v>
      </c>
      <c r="L696" s="102">
        <v>46059.356226851851</v>
      </c>
      <c r="M696" s="25" t="s">
        <v>357</v>
      </c>
      <c r="N696" s="103" t="s">
        <v>345</v>
      </c>
      <c r="O696" s="26">
        <v>10.01</v>
      </c>
      <c r="P696" s="26" t="s">
        <v>293</v>
      </c>
    </row>
    <row r="697" spans="1:16" x14ac:dyDescent="0.3">
      <c r="A697" s="24">
        <v>23</v>
      </c>
      <c r="B697" s="102">
        <v>46059.356226851851</v>
      </c>
      <c r="C697" s="25" t="s">
        <v>356</v>
      </c>
      <c r="D697" s="103" t="s">
        <v>347</v>
      </c>
      <c r="E697" s="26">
        <v>1.98</v>
      </c>
      <c r="F697" s="26" t="s">
        <v>293</v>
      </c>
      <c r="K697" s="24">
        <v>23</v>
      </c>
      <c r="L697" s="102">
        <v>46059.356226851851</v>
      </c>
      <c r="M697" s="25" t="s">
        <v>357</v>
      </c>
      <c r="N697" s="103" t="s">
        <v>347</v>
      </c>
      <c r="O697" s="26">
        <v>4.45</v>
      </c>
      <c r="P697" s="26" t="s">
        <v>293</v>
      </c>
    </row>
    <row r="698" spans="1:16" x14ac:dyDescent="0.3">
      <c r="A698" s="24">
        <v>23</v>
      </c>
      <c r="B698" s="102">
        <v>46059.356226851851</v>
      </c>
      <c r="C698" s="25" t="s">
        <v>356</v>
      </c>
      <c r="D698" s="103" t="s">
        <v>128</v>
      </c>
      <c r="E698" s="26">
        <v>6.9</v>
      </c>
      <c r="F698" s="26" t="s">
        <v>293</v>
      </c>
      <c r="K698" s="24">
        <v>23</v>
      </c>
      <c r="L698" s="102">
        <v>46059.356226851851</v>
      </c>
      <c r="M698" s="25" t="s">
        <v>357</v>
      </c>
      <c r="N698" s="103" t="s">
        <v>128</v>
      </c>
      <c r="O698" s="26">
        <v>4.5</v>
      </c>
      <c r="P698" s="26" t="s">
        <v>293</v>
      </c>
    </row>
    <row r="699" spans="1:16" x14ac:dyDescent="0.3">
      <c r="A699" s="24">
        <v>23</v>
      </c>
      <c r="B699" s="102">
        <v>46059.356226851851</v>
      </c>
      <c r="C699" s="25" t="s">
        <v>356</v>
      </c>
      <c r="D699" s="103" t="s">
        <v>121</v>
      </c>
      <c r="E699" s="26">
        <v>160</v>
      </c>
      <c r="F699" s="26" t="s">
        <v>293</v>
      </c>
      <c r="K699" s="24">
        <v>23</v>
      </c>
      <c r="L699" s="102">
        <v>46059.356226851851</v>
      </c>
      <c r="M699" s="25" t="s">
        <v>357</v>
      </c>
      <c r="N699" s="103" t="s">
        <v>121</v>
      </c>
      <c r="O699" s="26">
        <v>78</v>
      </c>
      <c r="P699" s="26" t="s">
        <v>293</v>
      </c>
    </row>
    <row r="700" spans="1:16" x14ac:dyDescent="0.3">
      <c r="A700" s="24">
        <v>23</v>
      </c>
      <c r="B700" s="102">
        <v>46059.356226851851</v>
      </c>
      <c r="C700" s="25" t="s">
        <v>356</v>
      </c>
      <c r="D700" s="103" t="s">
        <v>115</v>
      </c>
      <c r="E700" s="26">
        <v>34</v>
      </c>
      <c r="F700" s="26" t="s">
        <v>293</v>
      </c>
      <c r="K700" s="24">
        <v>23</v>
      </c>
      <c r="L700" s="102">
        <v>46059.356226851851</v>
      </c>
      <c r="M700" s="25" t="s">
        <v>357</v>
      </c>
      <c r="N700" s="103" t="s">
        <v>115</v>
      </c>
      <c r="O700" s="26">
        <v>94</v>
      </c>
      <c r="P700" s="26" t="s">
        <v>293</v>
      </c>
    </row>
    <row r="701" spans="1:16" x14ac:dyDescent="0.3">
      <c r="A701" s="24">
        <v>23</v>
      </c>
      <c r="B701" s="102">
        <v>46059.356226851851</v>
      </c>
      <c r="C701" s="25" t="s">
        <v>356</v>
      </c>
      <c r="D701" s="103" t="s">
        <v>137</v>
      </c>
      <c r="E701" s="26">
        <v>75</v>
      </c>
      <c r="F701" s="26" t="s">
        <v>293</v>
      </c>
      <c r="K701" s="24">
        <v>23</v>
      </c>
      <c r="L701" s="102">
        <v>46059.356226851851</v>
      </c>
      <c r="M701" s="25" t="s">
        <v>357</v>
      </c>
      <c r="N701" s="103" t="s">
        <v>137</v>
      </c>
      <c r="O701" s="26">
        <v>485</v>
      </c>
      <c r="P701" s="26" t="s">
        <v>293</v>
      </c>
    </row>
    <row r="702" spans="1:16" x14ac:dyDescent="0.3">
      <c r="A702" s="24">
        <v>23</v>
      </c>
      <c r="B702" s="102">
        <v>46059.356226851851</v>
      </c>
      <c r="C702" s="25" t="s">
        <v>356</v>
      </c>
      <c r="D702" s="103" t="s">
        <v>348</v>
      </c>
      <c r="E702" s="26">
        <v>136</v>
      </c>
      <c r="F702" s="26" t="s">
        <v>293</v>
      </c>
      <c r="K702" s="24">
        <v>23</v>
      </c>
      <c r="L702" s="102">
        <v>46059.356226851851</v>
      </c>
      <c r="M702" s="25" t="s">
        <v>357</v>
      </c>
      <c r="N702" s="103" t="s">
        <v>348</v>
      </c>
      <c r="O702" s="26">
        <v>437</v>
      </c>
      <c r="P702" s="26" t="s">
        <v>293</v>
      </c>
    </row>
    <row r="703" spans="1:16" x14ac:dyDescent="0.3">
      <c r="A703" s="24">
        <v>23</v>
      </c>
      <c r="B703" s="102">
        <v>46059.356226851851</v>
      </c>
      <c r="C703" s="25" t="s">
        <v>356</v>
      </c>
      <c r="D703" s="103" t="s">
        <v>125</v>
      </c>
      <c r="E703" s="26">
        <v>114</v>
      </c>
      <c r="F703" s="26" t="s">
        <v>293</v>
      </c>
      <c r="K703" s="24">
        <v>23</v>
      </c>
      <c r="L703" s="102">
        <v>46059.356226851851</v>
      </c>
      <c r="M703" s="25" t="s">
        <v>357</v>
      </c>
      <c r="N703" s="103" t="s">
        <v>125</v>
      </c>
      <c r="O703" s="26">
        <v>415</v>
      </c>
      <c r="P703" s="26" t="s">
        <v>293</v>
      </c>
    </row>
    <row r="704" spans="1:16" x14ac:dyDescent="0.3">
      <c r="A704" s="24">
        <v>23</v>
      </c>
      <c r="B704" s="102">
        <v>46059.356226851851</v>
      </c>
      <c r="C704" s="25" t="s">
        <v>356</v>
      </c>
      <c r="D704" s="103" t="s">
        <v>126</v>
      </c>
      <c r="E704" s="26">
        <v>78</v>
      </c>
      <c r="F704" s="26" t="s">
        <v>293</v>
      </c>
      <c r="K704" s="24">
        <v>23</v>
      </c>
      <c r="L704" s="102">
        <v>46059.356226851851</v>
      </c>
      <c r="M704" s="25" t="s">
        <v>357</v>
      </c>
      <c r="N704" s="103" t="s">
        <v>126</v>
      </c>
      <c r="O704" s="26">
        <v>153</v>
      </c>
      <c r="P704" s="26" t="s">
        <v>293</v>
      </c>
    </row>
    <row r="705" spans="1:16" x14ac:dyDescent="0.3">
      <c r="A705" s="24">
        <v>23</v>
      </c>
      <c r="B705" s="102">
        <v>46059.356226851851</v>
      </c>
      <c r="C705" s="25" t="s">
        <v>356</v>
      </c>
      <c r="D705" s="103" t="s">
        <v>349</v>
      </c>
      <c r="E705" s="26">
        <v>163</v>
      </c>
      <c r="F705" s="26" t="s">
        <v>293</v>
      </c>
      <c r="K705" s="24">
        <v>23</v>
      </c>
      <c r="L705" s="102">
        <v>46059.356226851851</v>
      </c>
      <c r="M705" s="25" t="s">
        <v>357</v>
      </c>
      <c r="N705" s="103" t="s">
        <v>349</v>
      </c>
      <c r="O705" s="26">
        <v>382</v>
      </c>
      <c r="P705" s="26" t="s">
        <v>293</v>
      </c>
    </row>
    <row r="706" spans="1:16" x14ac:dyDescent="0.3">
      <c r="A706" s="24">
        <v>23</v>
      </c>
      <c r="B706" s="102">
        <v>46059.356226851851</v>
      </c>
      <c r="C706" s="25" t="s">
        <v>356</v>
      </c>
      <c r="D706" s="103" t="s">
        <v>350</v>
      </c>
      <c r="E706" s="26">
        <v>59</v>
      </c>
      <c r="F706" s="26" t="s">
        <v>293</v>
      </c>
      <c r="K706" s="24">
        <v>23</v>
      </c>
      <c r="L706" s="102">
        <v>46059.356226851851</v>
      </c>
      <c r="M706" s="25" t="s">
        <v>357</v>
      </c>
      <c r="N706" s="103" t="s">
        <v>350</v>
      </c>
      <c r="O706" s="26">
        <v>87</v>
      </c>
      <c r="P706" s="26" t="s">
        <v>293</v>
      </c>
    </row>
    <row r="707" spans="1:16" x14ac:dyDescent="0.3">
      <c r="A707" s="24">
        <v>23</v>
      </c>
      <c r="B707" s="102">
        <v>46059.356226851851</v>
      </c>
      <c r="C707" s="25" t="s">
        <v>356</v>
      </c>
      <c r="D707" s="103" t="s">
        <v>122</v>
      </c>
      <c r="E707" s="26">
        <v>47</v>
      </c>
      <c r="F707" s="26" t="s">
        <v>293</v>
      </c>
      <c r="K707" s="24">
        <v>23</v>
      </c>
      <c r="L707" s="102">
        <v>46059.356226851851</v>
      </c>
      <c r="M707" s="25" t="s">
        <v>357</v>
      </c>
      <c r="N707" s="103" t="s">
        <v>122</v>
      </c>
      <c r="O707" s="26">
        <v>226</v>
      </c>
      <c r="P707" s="26" t="s">
        <v>293</v>
      </c>
    </row>
    <row r="708" spans="1:16" x14ac:dyDescent="0.3">
      <c r="A708" s="24">
        <v>23</v>
      </c>
      <c r="B708" s="102">
        <v>46059.356226851851</v>
      </c>
      <c r="C708" s="25" t="s">
        <v>356</v>
      </c>
      <c r="D708" s="103" t="s">
        <v>124</v>
      </c>
      <c r="E708" s="26">
        <v>30</v>
      </c>
      <c r="F708" s="26" t="s">
        <v>293</v>
      </c>
      <c r="K708" s="24">
        <v>23</v>
      </c>
      <c r="L708" s="102">
        <v>46059.356226851851</v>
      </c>
      <c r="M708" s="25" t="s">
        <v>357</v>
      </c>
      <c r="N708" s="103" t="s">
        <v>124</v>
      </c>
      <c r="O708" s="26">
        <v>103</v>
      </c>
      <c r="P708" s="26" t="s">
        <v>293</v>
      </c>
    </row>
    <row r="709" spans="1:16" x14ac:dyDescent="0.3">
      <c r="A709" s="24">
        <v>23</v>
      </c>
      <c r="B709" s="102">
        <v>46059.356226851851</v>
      </c>
      <c r="C709" s="25" t="s">
        <v>356</v>
      </c>
      <c r="D709" s="103" t="s">
        <v>351</v>
      </c>
      <c r="E709" s="26">
        <v>1.01</v>
      </c>
      <c r="F709" s="26" t="s">
        <v>293</v>
      </c>
      <c r="K709" s="24">
        <v>23</v>
      </c>
      <c r="L709" s="102">
        <v>46059.356226851851</v>
      </c>
      <c r="M709" s="25" t="s">
        <v>357</v>
      </c>
      <c r="N709" s="103" t="s">
        <v>351</v>
      </c>
      <c r="O709" s="26">
        <v>3.56</v>
      </c>
      <c r="P709" s="26" t="s">
        <v>293</v>
      </c>
    </row>
    <row r="710" spans="1:16" x14ac:dyDescent="0.3">
      <c r="A710" s="24">
        <v>23</v>
      </c>
      <c r="B710" s="102">
        <v>46059.356226851851</v>
      </c>
      <c r="C710" s="25" t="s">
        <v>356</v>
      </c>
      <c r="D710" s="103" t="s">
        <v>353</v>
      </c>
      <c r="E710" s="26">
        <v>34.200000000000003</v>
      </c>
      <c r="F710" s="26" t="s">
        <v>293</v>
      </c>
      <c r="K710" s="24">
        <v>23</v>
      </c>
      <c r="L710" s="102">
        <v>46059.356226851851</v>
      </c>
      <c r="M710" s="25" t="s">
        <v>357</v>
      </c>
      <c r="N710" s="103" t="s">
        <v>353</v>
      </c>
      <c r="O710" s="26">
        <v>18.5</v>
      </c>
      <c r="P710" s="26" t="s">
        <v>293</v>
      </c>
    </row>
    <row r="711" spans="1:16" x14ac:dyDescent="0.3">
      <c r="A711" s="24">
        <v>23</v>
      </c>
      <c r="B711" s="102">
        <v>46059.356226851851</v>
      </c>
      <c r="C711" s="25" t="s">
        <v>356</v>
      </c>
      <c r="D711" s="103" t="s">
        <v>133</v>
      </c>
      <c r="E711" s="26">
        <v>146</v>
      </c>
      <c r="F711" s="26" t="s">
        <v>293</v>
      </c>
      <c r="K711" s="24">
        <v>23</v>
      </c>
      <c r="L711" s="102">
        <v>46059.356226851851</v>
      </c>
      <c r="M711" s="25" t="s">
        <v>357</v>
      </c>
      <c r="N711" s="103" t="s">
        <v>133</v>
      </c>
      <c r="O711" s="26">
        <v>125</v>
      </c>
      <c r="P711" s="26" t="s">
        <v>293</v>
      </c>
    </row>
    <row r="712" spans="1:16" x14ac:dyDescent="0.3">
      <c r="A712" s="24">
        <v>23</v>
      </c>
      <c r="B712" s="102">
        <v>46059.356226851851</v>
      </c>
      <c r="C712" s="25" t="s">
        <v>356</v>
      </c>
      <c r="D712" s="103" t="s">
        <v>135</v>
      </c>
      <c r="E712" s="26">
        <v>3.8</v>
      </c>
      <c r="F712" s="26" t="s">
        <v>293</v>
      </c>
      <c r="K712" s="24">
        <v>23</v>
      </c>
      <c r="L712" s="102">
        <v>46059.356226851851</v>
      </c>
      <c r="M712" s="25" t="s">
        <v>357</v>
      </c>
      <c r="N712" s="103" t="s">
        <v>135</v>
      </c>
      <c r="O712" s="26">
        <v>6.5</v>
      </c>
      <c r="P712" s="26" t="s">
        <v>293</v>
      </c>
    </row>
    <row r="713" spans="1:16" x14ac:dyDescent="0.3">
      <c r="A713" s="24">
        <v>23</v>
      </c>
      <c r="B713" s="102">
        <v>46059.356226851851</v>
      </c>
      <c r="C713" s="25" t="s">
        <v>356</v>
      </c>
      <c r="D713" s="103" t="s">
        <v>136</v>
      </c>
      <c r="E713" s="26">
        <v>118</v>
      </c>
      <c r="F713" s="26" t="s">
        <v>293</v>
      </c>
      <c r="K713" s="24">
        <v>23</v>
      </c>
      <c r="L713" s="102">
        <v>46059.356226851851</v>
      </c>
      <c r="M713" s="25" t="s">
        <v>357</v>
      </c>
      <c r="N713" s="103" t="s">
        <v>136</v>
      </c>
      <c r="O713" s="26">
        <v>97</v>
      </c>
      <c r="P713" s="26" t="s">
        <v>293</v>
      </c>
    </row>
    <row r="714" spans="1:16" x14ac:dyDescent="0.3">
      <c r="A714" s="24">
        <v>24</v>
      </c>
      <c r="B714" s="102">
        <v>46062</v>
      </c>
      <c r="C714" s="25" t="s">
        <v>356</v>
      </c>
      <c r="D714" s="103" t="s">
        <v>339</v>
      </c>
      <c r="E714" s="26">
        <v>4.6500000000000004</v>
      </c>
      <c r="F714" s="26" t="s">
        <v>293</v>
      </c>
      <c r="K714" s="24">
        <v>24</v>
      </c>
      <c r="L714" s="102">
        <v>46062</v>
      </c>
      <c r="M714" s="25" t="s">
        <v>357</v>
      </c>
      <c r="N714" s="103" t="s">
        <v>339</v>
      </c>
      <c r="O714" s="26">
        <v>1.0900000000000001</v>
      </c>
      <c r="P714" s="26" t="s">
        <v>293</v>
      </c>
    </row>
    <row r="715" spans="1:16" x14ac:dyDescent="0.3">
      <c r="A715" s="24">
        <v>24</v>
      </c>
      <c r="B715" s="102">
        <v>46062</v>
      </c>
      <c r="C715" s="25" t="s">
        <v>356</v>
      </c>
      <c r="D715" s="103" t="s">
        <v>118</v>
      </c>
      <c r="E715" s="26">
        <v>4.5999999999999996</v>
      </c>
      <c r="F715" s="26" t="s">
        <v>293</v>
      </c>
      <c r="K715" s="24">
        <v>24</v>
      </c>
      <c r="L715" s="102">
        <v>46062</v>
      </c>
      <c r="M715" s="25" t="s">
        <v>357</v>
      </c>
      <c r="N715" s="103" t="s">
        <v>118</v>
      </c>
      <c r="O715" s="26">
        <v>9.6</v>
      </c>
      <c r="P715" s="26" t="s">
        <v>293</v>
      </c>
    </row>
    <row r="716" spans="1:16" x14ac:dyDescent="0.3">
      <c r="A716" s="24">
        <v>24</v>
      </c>
      <c r="B716" s="102">
        <v>46062</v>
      </c>
      <c r="C716" s="25" t="s">
        <v>356</v>
      </c>
      <c r="D716" s="103" t="s">
        <v>130</v>
      </c>
      <c r="E716" s="26">
        <v>3.8</v>
      </c>
      <c r="F716" s="26" t="s">
        <v>293</v>
      </c>
      <c r="K716" s="24">
        <v>24</v>
      </c>
      <c r="L716" s="102">
        <v>46062</v>
      </c>
      <c r="M716" s="25" t="s">
        <v>357</v>
      </c>
      <c r="N716" s="103" t="s">
        <v>130</v>
      </c>
      <c r="O716" s="26">
        <v>2.4500000000000002</v>
      </c>
      <c r="P716" s="26" t="s">
        <v>293</v>
      </c>
    </row>
    <row r="717" spans="1:16" x14ac:dyDescent="0.3">
      <c r="A717" s="24">
        <v>24</v>
      </c>
      <c r="B717" s="102">
        <v>46062</v>
      </c>
      <c r="C717" s="25" t="s">
        <v>356</v>
      </c>
      <c r="D717" s="103" t="s">
        <v>341</v>
      </c>
      <c r="E717" s="26">
        <v>0.28000000000000003</v>
      </c>
      <c r="F717" s="26" t="s">
        <v>293</v>
      </c>
      <c r="K717" s="24">
        <v>24</v>
      </c>
      <c r="L717" s="102">
        <v>46062</v>
      </c>
      <c r="M717" s="25" t="s">
        <v>357</v>
      </c>
      <c r="N717" s="103" t="s">
        <v>341</v>
      </c>
      <c r="O717" s="26">
        <v>1.06</v>
      </c>
      <c r="P717" s="26" t="s">
        <v>293</v>
      </c>
    </row>
    <row r="718" spans="1:16" x14ac:dyDescent="0.3">
      <c r="A718" s="24">
        <v>24</v>
      </c>
      <c r="B718" s="102">
        <v>46062</v>
      </c>
      <c r="C718" s="25" t="s">
        <v>356</v>
      </c>
      <c r="D718" s="103" t="s">
        <v>127</v>
      </c>
      <c r="E718" s="26">
        <v>1.18</v>
      </c>
      <c r="F718" s="26" t="s">
        <v>293</v>
      </c>
      <c r="K718" s="24">
        <v>24</v>
      </c>
      <c r="L718" s="102">
        <v>46062</v>
      </c>
      <c r="M718" s="25" t="s">
        <v>357</v>
      </c>
      <c r="N718" s="103" t="s">
        <v>127</v>
      </c>
      <c r="O718" s="26">
        <v>4.53</v>
      </c>
      <c r="P718" s="26" t="s">
        <v>293</v>
      </c>
    </row>
    <row r="719" spans="1:16" x14ac:dyDescent="0.3">
      <c r="A719" s="24">
        <v>24</v>
      </c>
      <c r="B719" s="102">
        <v>46062</v>
      </c>
      <c r="C719" s="25" t="s">
        <v>356</v>
      </c>
      <c r="D719" s="103" t="s">
        <v>131</v>
      </c>
      <c r="E719" s="26">
        <v>8.8000000000000007</v>
      </c>
      <c r="F719" s="26" t="s">
        <v>293</v>
      </c>
      <c r="K719" s="24">
        <v>24</v>
      </c>
      <c r="L719" s="102">
        <v>46062</v>
      </c>
      <c r="M719" s="25" t="s">
        <v>357</v>
      </c>
      <c r="N719" s="103" t="s">
        <v>131</v>
      </c>
      <c r="O719" s="26">
        <v>12</v>
      </c>
      <c r="P719" s="26" t="s">
        <v>293</v>
      </c>
    </row>
    <row r="720" spans="1:16" x14ac:dyDescent="0.3">
      <c r="A720" s="24">
        <v>24</v>
      </c>
      <c r="B720" s="102">
        <v>46062</v>
      </c>
      <c r="C720" s="25" t="s">
        <v>356</v>
      </c>
      <c r="D720" s="103" t="s">
        <v>342</v>
      </c>
      <c r="E720" s="26">
        <v>319</v>
      </c>
      <c r="F720" s="26" t="s">
        <v>293</v>
      </c>
      <c r="K720" s="24">
        <v>24</v>
      </c>
      <c r="L720" s="102">
        <v>46062</v>
      </c>
      <c r="M720" s="25" t="s">
        <v>357</v>
      </c>
      <c r="N720" s="103" t="s">
        <v>342</v>
      </c>
      <c r="O720" s="26">
        <v>190</v>
      </c>
      <c r="P720" s="26" t="s">
        <v>293</v>
      </c>
    </row>
    <row r="721" spans="1:16" x14ac:dyDescent="0.3">
      <c r="A721" s="24">
        <v>24</v>
      </c>
      <c r="B721" s="102">
        <v>46062</v>
      </c>
      <c r="C721" s="25" t="s">
        <v>356</v>
      </c>
      <c r="D721" s="103" t="s">
        <v>119</v>
      </c>
      <c r="E721" s="26">
        <v>233</v>
      </c>
      <c r="F721" s="26" t="s">
        <v>293</v>
      </c>
      <c r="K721" s="24">
        <v>24</v>
      </c>
      <c r="L721" s="102">
        <v>46062</v>
      </c>
      <c r="M721" s="25" t="s">
        <v>357</v>
      </c>
      <c r="N721" s="103" t="s">
        <v>119</v>
      </c>
      <c r="O721" s="26">
        <v>84</v>
      </c>
      <c r="P721" s="26" t="s">
        <v>293</v>
      </c>
    </row>
    <row r="722" spans="1:16" x14ac:dyDescent="0.3">
      <c r="A722" s="24">
        <v>24</v>
      </c>
      <c r="B722" s="102">
        <v>46062</v>
      </c>
      <c r="C722" s="25" t="s">
        <v>356</v>
      </c>
      <c r="D722" s="103" t="s">
        <v>120</v>
      </c>
      <c r="E722" s="26">
        <v>75</v>
      </c>
      <c r="F722" s="26" t="s">
        <v>293</v>
      </c>
      <c r="K722" s="24">
        <v>24</v>
      </c>
      <c r="L722" s="102">
        <v>46062</v>
      </c>
      <c r="M722" s="25" t="s">
        <v>357</v>
      </c>
      <c r="N722" s="103" t="s">
        <v>120</v>
      </c>
      <c r="O722" s="26">
        <v>27</v>
      </c>
      <c r="P722" s="26" t="s">
        <v>293</v>
      </c>
    </row>
    <row r="723" spans="1:16" x14ac:dyDescent="0.3">
      <c r="A723" s="24">
        <v>24</v>
      </c>
      <c r="B723" s="102">
        <v>46062</v>
      </c>
      <c r="C723" s="25" t="s">
        <v>356</v>
      </c>
      <c r="D723" s="103" t="s">
        <v>117</v>
      </c>
      <c r="E723" s="26">
        <v>2.67</v>
      </c>
      <c r="F723" s="26" t="s">
        <v>293</v>
      </c>
      <c r="K723" s="24">
        <v>24</v>
      </c>
      <c r="L723" s="102">
        <v>46062</v>
      </c>
      <c r="M723" s="25" t="s">
        <v>357</v>
      </c>
      <c r="N723" s="103" t="s">
        <v>117</v>
      </c>
      <c r="O723" s="26">
        <v>6.21</v>
      </c>
      <c r="P723" s="26" t="s">
        <v>293</v>
      </c>
    </row>
    <row r="724" spans="1:16" x14ac:dyDescent="0.3">
      <c r="A724" s="24">
        <v>24</v>
      </c>
      <c r="B724" s="102">
        <v>46062</v>
      </c>
      <c r="C724" s="25" t="s">
        <v>356</v>
      </c>
      <c r="D724" s="103" t="s">
        <v>344</v>
      </c>
      <c r="E724" s="26">
        <v>229</v>
      </c>
      <c r="F724" s="26" t="s">
        <v>293</v>
      </c>
      <c r="K724" s="24">
        <v>24</v>
      </c>
      <c r="L724" s="102">
        <v>46062</v>
      </c>
      <c r="M724" s="25" t="s">
        <v>357</v>
      </c>
      <c r="N724" s="103" t="s">
        <v>344</v>
      </c>
      <c r="O724" s="26">
        <v>68</v>
      </c>
      <c r="P724" s="26" t="s">
        <v>293</v>
      </c>
    </row>
    <row r="725" spans="1:16" x14ac:dyDescent="0.3">
      <c r="A725" s="24">
        <v>24</v>
      </c>
      <c r="B725" s="102">
        <v>46062</v>
      </c>
      <c r="C725" s="25" t="s">
        <v>356</v>
      </c>
      <c r="D725" s="103" t="s">
        <v>132</v>
      </c>
      <c r="E725" s="26">
        <v>3.46</v>
      </c>
      <c r="F725" s="26" t="s">
        <v>293</v>
      </c>
      <c r="K725" s="24">
        <v>24</v>
      </c>
      <c r="L725" s="102">
        <v>46062</v>
      </c>
      <c r="M725" s="25" t="s">
        <v>357</v>
      </c>
      <c r="N725" s="103" t="s">
        <v>132</v>
      </c>
      <c r="O725" s="26">
        <v>7.14</v>
      </c>
      <c r="P725" s="26" t="s">
        <v>293</v>
      </c>
    </row>
    <row r="726" spans="1:16" x14ac:dyDescent="0.3">
      <c r="A726" s="24">
        <v>24</v>
      </c>
      <c r="B726" s="102">
        <v>46062</v>
      </c>
      <c r="C726" s="25" t="s">
        <v>356</v>
      </c>
      <c r="D726" s="103" t="s">
        <v>111</v>
      </c>
      <c r="E726" s="26">
        <v>87</v>
      </c>
      <c r="F726" s="26" t="s">
        <v>293</v>
      </c>
      <c r="K726" s="24">
        <v>24</v>
      </c>
      <c r="L726" s="102">
        <v>46062</v>
      </c>
      <c r="M726" s="25" t="s">
        <v>357</v>
      </c>
      <c r="N726" s="103" t="s">
        <v>111</v>
      </c>
      <c r="O726" s="26">
        <v>282</v>
      </c>
      <c r="P726" s="26" t="s">
        <v>293</v>
      </c>
    </row>
    <row r="727" spans="1:16" x14ac:dyDescent="0.3">
      <c r="A727" s="24">
        <v>24</v>
      </c>
      <c r="B727" s="102">
        <v>46062</v>
      </c>
      <c r="C727" s="25" t="s">
        <v>356</v>
      </c>
      <c r="D727" s="103" t="s">
        <v>345</v>
      </c>
      <c r="E727" s="26">
        <v>5.14</v>
      </c>
      <c r="F727" s="26" t="s">
        <v>293</v>
      </c>
      <c r="K727" s="24">
        <v>24</v>
      </c>
      <c r="L727" s="102">
        <v>46062</v>
      </c>
      <c r="M727" s="25" t="s">
        <v>357</v>
      </c>
      <c r="N727" s="103" t="s">
        <v>345</v>
      </c>
      <c r="O727" s="26">
        <v>9.9499999999999993</v>
      </c>
      <c r="P727" s="26" t="s">
        <v>293</v>
      </c>
    </row>
    <row r="728" spans="1:16" x14ac:dyDescent="0.3">
      <c r="A728" s="24">
        <v>24</v>
      </c>
      <c r="B728" s="102">
        <v>46062</v>
      </c>
      <c r="C728" s="25" t="s">
        <v>356</v>
      </c>
      <c r="D728" s="103" t="s">
        <v>347</v>
      </c>
      <c r="E728" s="26">
        <v>2.13</v>
      </c>
      <c r="F728" s="26" t="s">
        <v>293</v>
      </c>
      <c r="K728" s="24">
        <v>24</v>
      </c>
      <c r="L728" s="102">
        <v>46062</v>
      </c>
      <c r="M728" s="25" t="s">
        <v>357</v>
      </c>
      <c r="N728" s="103" t="s">
        <v>347</v>
      </c>
      <c r="O728" s="26">
        <v>4.74</v>
      </c>
      <c r="P728" s="26" t="s">
        <v>293</v>
      </c>
    </row>
    <row r="729" spans="1:16" x14ac:dyDescent="0.3">
      <c r="A729" s="24">
        <v>24</v>
      </c>
      <c r="B729" s="102">
        <v>46062</v>
      </c>
      <c r="C729" s="25" t="s">
        <v>356</v>
      </c>
      <c r="D729" s="103" t="s">
        <v>128</v>
      </c>
      <c r="E729" s="26">
        <v>6.8</v>
      </c>
      <c r="F729" s="26" t="s">
        <v>293</v>
      </c>
      <c r="K729" s="24">
        <v>24</v>
      </c>
      <c r="L729" s="102">
        <v>46062</v>
      </c>
      <c r="M729" s="25" t="s">
        <v>357</v>
      </c>
      <c r="N729" s="103" t="s">
        <v>128</v>
      </c>
      <c r="O729" s="26">
        <v>4.4000000000000004</v>
      </c>
      <c r="P729" s="26" t="s">
        <v>293</v>
      </c>
    </row>
    <row r="730" spans="1:16" x14ac:dyDescent="0.3">
      <c r="A730" s="24">
        <v>24</v>
      </c>
      <c r="B730" s="102">
        <v>46062</v>
      </c>
      <c r="C730" s="25" t="s">
        <v>356</v>
      </c>
      <c r="D730" s="103" t="s">
        <v>121</v>
      </c>
      <c r="E730" s="26">
        <v>160</v>
      </c>
      <c r="F730" s="26" t="s">
        <v>293</v>
      </c>
      <c r="K730" s="24">
        <v>24</v>
      </c>
      <c r="L730" s="102">
        <v>46062</v>
      </c>
      <c r="M730" s="25" t="s">
        <v>357</v>
      </c>
      <c r="N730" s="103" t="s">
        <v>121</v>
      </c>
      <c r="O730" s="26">
        <v>77</v>
      </c>
      <c r="P730" s="26" t="s">
        <v>293</v>
      </c>
    </row>
    <row r="731" spans="1:16" x14ac:dyDescent="0.3">
      <c r="A731" s="24">
        <v>24</v>
      </c>
      <c r="B731" s="102">
        <v>46062</v>
      </c>
      <c r="C731" s="25" t="s">
        <v>356</v>
      </c>
      <c r="D731" s="103" t="s">
        <v>115</v>
      </c>
      <c r="E731" s="26">
        <v>34</v>
      </c>
      <c r="F731" s="26" t="s">
        <v>293</v>
      </c>
      <c r="K731" s="24">
        <v>24</v>
      </c>
      <c r="L731" s="102">
        <v>46062</v>
      </c>
      <c r="M731" s="25" t="s">
        <v>357</v>
      </c>
      <c r="N731" s="103" t="s">
        <v>115</v>
      </c>
      <c r="O731" s="26">
        <v>94</v>
      </c>
      <c r="P731" s="26" t="s">
        <v>293</v>
      </c>
    </row>
    <row r="732" spans="1:16" x14ac:dyDescent="0.3">
      <c r="A732" s="24">
        <v>24</v>
      </c>
      <c r="B732" s="102">
        <v>46062</v>
      </c>
      <c r="C732" s="25" t="s">
        <v>356</v>
      </c>
      <c r="D732" s="103" t="s">
        <v>137</v>
      </c>
      <c r="E732" s="26">
        <v>75</v>
      </c>
      <c r="F732" s="26" t="s">
        <v>293</v>
      </c>
      <c r="K732" s="24">
        <v>24</v>
      </c>
      <c r="L732" s="102">
        <v>46062</v>
      </c>
      <c r="M732" s="25" t="s">
        <v>357</v>
      </c>
      <c r="N732" s="103" t="s">
        <v>137</v>
      </c>
      <c r="O732" s="26">
        <v>489</v>
      </c>
      <c r="P732" s="26" t="s">
        <v>293</v>
      </c>
    </row>
    <row r="733" spans="1:16" x14ac:dyDescent="0.3">
      <c r="A733" s="24">
        <v>24</v>
      </c>
      <c r="B733" s="102">
        <v>46062</v>
      </c>
      <c r="C733" s="25" t="s">
        <v>356</v>
      </c>
      <c r="D733" s="103" t="s">
        <v>348</v>
      </c>
      <c r="E733" s="26">
        <v>137</v>
      </c>
      <c r="F733" s="26" t="s">
        <v>293</v>
      </c>
      <c r="K733" s="24">
        <v>24</v>
      </c>
      <c r="L733" s="102">
        <v>46062</v>
      </c>
      <c r="M733" s="25" t="s">
        <v>357</v>
      </c>
      <c r="N733" s="103" t="s">
        <v>348</v>
      </c>
      <c r="O733" s="26">
        <v>428</v>
      </c>
      <c r="P733" s="26" t="s">
        <v>293</v>
      </c>
    </row>
    <row r="734" spans="1:16" x14ac:dyDescent="0.3">
      <c r="A734" s="24">
        <v>24</v>
      </c>
      <c r="B734" s="102">
        <v>46062</v>
      </c>
      <c r="C734" s="25" t="s">
        <v>356</v>
      </c>
      <c r="D734" s="103" t="s">
        <v>125</v>
      </c>
      <c r="E734" s="26">
        <v>114</v>
      </c>
      <c r="F734" s="26" t="s">
        <v>293</v>
      </c>
      <c r="K734" s="24">
        <v>24</v>
      </c>
      <c r="L734" s="102">
        <v>46062</v>
      </c>
      <c r="M734" s="25" t="s">
        <v>357</v>
      </c>
      <c r="N734" s="103" t="s">
        <v>125</v>
      </c>
      <c r="O734" s="26">
        <v>418</v>
      </c>
      <c r="P734" s="26" t="s">
        <v>293</v>
      </c>
    </row>
    <row r="735" spans="1:16" x14ac:dyDescent="0.3">
      <c r="A735" s="24">
        <v>24</v>
      </c>
      <c r="B735" s="102">
        <v>46062</v>
      </c>
      <c r="C735" s="25" t="s">
        <v>356</v>
      </c>
      <c r="D735" s="103" t="s">
        <v>126</v>
      </c>
      <c r="E735" s="26">
        <v>79</v>
      </c>
      <c r="F735" s="26" t="s">
        <v>293</v>
      </c>
      <c r="K735" s="24">
        <v>24</v>
      </c>
      <c r="L735" s="102">
        <v>46062</v>
      </c>
      <c r="M735" s="25" t="s">
        <v>357</v>
      </c>
      <c r="N735" s="103" t="s">
        <v>126</v>
      </c>
      <c r="O735" s="26">
        <v>150</v>
      </c>
      <c r="P735" s="26" t="s">
        <v>293</v>
      </c>
    </row>
    <row r="736" spans="1:16" x14ac:dyDescent="0.3">
      <c r="A736" s="24">
        <v>24</v>
      </c>
      <c r="B736" s="102">
        <v>46062</v>
      </c>
      <c r="C736" s="25" t="s">
        <v>356</v>
      </c>
      <c r="D736" s="103" t="s">
        <v>349</v>
      </c>
      <c r="E736" s="26">
        <v>167</v>
      </c>
      <c r="F736" s="26" t="s">
        <v>293</v>
      </c>
      <c r="K736" s="24">
        <v>24</v>
      </c>
      <c r="L736" s="102">
        <v>46062</v>
      </c>
      <c r="M736" s="25" t="s">
        <v>357</v>
      </c>
      <c r="N736" s="103" t="s">
        <v>349</v>
      </c>
      <c r="O736" s="26">
        <v>387</v>
      </c>
      <c r="P736" s="26" t="s">
        <v>293</v>
      </c>
    </row>
    <row r="737" spans="1:16" x14ac:dyDescent="0.3">
      <c r="A737" s="24">
        <v>24</v>
      </c>
      <c r="B737" s="102">
        <v>46062</v>
      </c>
      <c r="C737" s="25" t="s">
        <v>356</v>
      </c>
      <c r="D737" s="103" t="s">
        <v>350</v>
      </c>
      <c r="E737" s="26">
        <v>58</v>
      </c>
      <c r="F737" s="26" t="s">
        <v>293</v>
      </c>
      <c r="K737" s="24">
        <v>24</v>
      </c>
      <c r="L737" s="102">
        <v>46062</v>
      </c>
      <c r="M737" s="25" t="s">
        <v>357</v>
      </c>
      <c r="N737" s="103" t="s">
        <v>350</v>
      </c>
      <c r="O737" s="26">
        <v>85</v>
      </c>
      <c r="P737" s="26" t="s">
        <v>293</v>
      </c>
    </row>
    <row r="738" spans="1:16" x14ac:dyDescent="0.3">
      <c r="A738" s="24">
        <v>24</v>
      </c>
      <c r="B738" s="102">
        <v>46062</v>
      </c>
      <c r="C738" s="25" t="s">
        <v>356</v>
      </c>
      <c r="D738" s="103" t="s">
        <v>122</v>
      </c>
      <c r="E738" s="26">
        <v>49</v>
      </c>
      <c r="F738" s="26" t="s">
        <v>293</v>
      </c>
      <c r="K738" s="24">
        <v>24</v>
      </c>
      <c r="L738" s="102">
        <v>46062</v>
      </c>
      <c r="M738" s="25" t="s">
        <v>357</v>
      </c>
      <c r="N738" s="103" t="s">
        <v>122</v>
      </c>
      <c r="O738" s="26">
        <v>223</v>
      </c>
      <c r="P738" s="26" t="s">
        <v>293</v>
      </c>
    </row>
    <row r="739" spans="1:16" x14ac:dyDescent="0.3">
      <c r="A739" s="24">
        <v>24</v>
      </c>
      <c r="B739" s="102">
        <v>46062</v>
      </c>
      <c r="C739" s="25" t="s">
        <v>356</v>
      </c>
      <c r="D739" s="103" t="s">
        <v>124</v>
      </c>
      <c r="E739" s="26">
        <v>29</v>
      </c>
      <c r="F739" s="26" t="s">
        <v>293</v>
      </c>
      <c r="K739" s="24">
        <v>24</v>
      </c>
      <c r="L739" s="102">
        <v>46062</v>
      </c>
      <c r="M739" s="25" t="s">
        <v>357</v>
      </c>
      <c r="N739" s="103" t="s">
        <v>124</v>
      </c>
      <c r="O739" s="26">
        <v>103</v>
      </c>
      <c r="P739" s="26" t="s">
        <v>293</v>
      </c>
    </row>
    <row r="740" spans="1:16" x14ac:dyDescent="0.3">
      <c r="A740" s="24">
        <v>24</v>
      </c>
      <c r="B740" s="102">
        <v>46062</v>
      </c>
      <c r="C740" s="25" t="s">
        <v>356</v>
      </c>
      <c r="D740" s="103" t="s">
        <v>351</v>
      </c>
      <c r="E740" s="26">
        <v>1.1100000000000001</v>
      </c>
      <c r="F740" s="26" t="s">
        <v>293</v>
      </c>
      <c r="K740" s="24">
        <v>24</v>
      </c>
      <c r="L740" s="102">
        <v>46062</v>
      </c>
      <c r="M740" s="25" t="s">
        <v>357</v>
      </c>
      <c r="N740" s="103" t="s">
        <v>351</v>
      </c>
      <c r="O740" s="26">
        <v>3.6</v>
      </c>
      <c r="P740" s="26" t="s">
        <v>293</v>
      </c>
    </row>
    <row r="741" spans="1:16" x14ac:dyDescent="0.3">
      <c r="A741" s="24">
        <v>24</v>
      </c>
      <c r="B741" s="102">
        <v>46062</v>
      </c>
      <c r="C741" s="25" t="s">
        <v>356</v>
      </c>
      <c r="D741" s="103" t="s">
        <v>353</v>
      </c>
      <c r="E741" s="26">
        <v>31.8</v>
      </c>
      <c r="F741" s="26" t="s">
        <v>293</v>
      </c>
      <c r="K741" s="24">
        <v>24</v>
      </c>
      <c r="L741" s="102">
        <v>46062</v>
      </c>
      <c r="M741" s="25" t="s">
        <v>357</v>
      </c>
      <c r="N741" s="103" t="s">
        <v>353</v>
      </c>
      <c r="O741" s="26">
        <v>16.8</v>
      </c>
      <c r="P741" s="26" t="s">
        <v>293</v>
      </c>
    </row>
    <row r="742" spans="1:16" x14ac:dyDescent="0.3">
      <c r="A742" s="24">
        <v>24</v>
      </c>
      <c r="B742" s="102">
        <v>46062</v>
      </c>
      <c r="C742" s="25" t="s">
        <v>356</v>
      </c>
      <c r="D742" s="103" t="s">
        <v>133</v>
      </c>
      <c r="E742" s="26">
        <v>146</v>
      </c>
      <c r="F742" s="26" t="s">
        <v>293</v>
      </c>
      <c r="K742" s="24">
        <v>24</v>
      </c>
      <c r="L742" s="102">
        <v>46062</v>
      </c>
      <c r="M742" s="25" t="s">
        <v>357</v>
      </c>
      <c r="N742" s="103" t="s">
        <v>133</v>
      </c>
      <c r="O742" s="26">
        <v>128</v>
      </c>
      <c r="P742" s="26" t="s">
        <v>293</v>
      </c>
    </row>
    <row r="743" spans="1:16" x14ac:dyDescent="0.3">
      <c r="A743" s="24">
        <v>24</v>
      </c>
      <c r="B743" s="102">
        <v>46062</v>
      </c>
      <c r="C743" s="25" t="s">
        <v>356</v>
      </c>
      <c r="D743" s="103" t="s">
        <v>135</v>
      </c>
      <c r="E743" s="26">
        <v>3.7</v>
      </c>
      <c r="F743" s="26" t="s">
        <v>293</v>
      </c>
      <c r="K743" s="24">
        <v>24</v>
      </c>
      <c r="L743" s="102">
        <v>46062</v>
      </c>
      <c r="M743" s="25" t="s">
        <v>357</v>
      </c>
      <c r="N743" s="103" t="s">
        <v>135</v>
      </c>
      <c r="O743" s="26">
        <v>6.4</v>
      </c>
      <c r="P743" s="26" t="s">
        <v>293</v>
      </c>
    </row>
    <row r="744" spans="1:16" x14ac:dyDescent="0.3">
      <c r="A744" s="24">
        <v>24</v>
      </c>
      <c r="B744" s="102">
        <v>46062</v>
      </c>
      <c r="C744" s="25" t="s">
        <v>356</v>
      </c>
      <c r="D744" s="103" t="s">
        <v>136</v>
      </c>
      <c r="E744" s="26">
        <v>117</v>
      </c>
      <c r="F744" s="26" t="s">
        <v>293</v>
      </c>
      <c r="K744" s="24">
        <v>24</v>
      </c>
      <c r="L744" s="102">
        <v>46062</v>
      </c>
      <c r="M744" s="25" t="s">
        <v>357</v>
      </c>
      <c r="N744" s="103" t="s">
        <v>136</v>
      </c>
      <c r="O744" s="26">
        <v>94</v>
      </c>
      <c r="P744" s="26" t="s">
        <v>293</v>
      </c>
    </row>
    <row r="745" spans="1:16" x14ac:dyDescent="0.3">
      <c r="A745" s="24">
        <v>25</v>
      </c>
      <c r="B745" s="102">
        <v>46063</v>
      </c>
      <c r="C745" s="25" t="s">
        <v>356</v>
      </c>
      <c r="D745" s="103" t="s">
        <v>339</v>
      </c>
      <c r="E745" s="26">
        <v>4.6100000000000003</v>
      </c>
      <c r="F745" s="26" t="s">
        <v>293</v>
      </c>
      <c r="K745" s="24">
        <v>25</v>
      </c>
      <c r="L745" s="102">
        <v>46063</v>
      </c>
      <c r="M745" s="25" t="s">
        <v>357</v>
      </c>
      <c r="N745" s="103" t="s">
        <v>339</v>
      </c>
      <c r="O745" s="26">
        <v>1.34</v>
      </c>
      <c r="P745" s="26" t="s">
        <v>293</v>
      </c>
    </row>
    <row r="746" spans="1:16" x14ac:dyDescent="0.3">
      <c r="A746" s="24">
        <v>25</v>
      </c>
      <c r="B746" s="102">
        <v>46063</v>
      </c>
      <c r="C746" s="25" t="s">
        <v>356</v>
      </c>
      <c r="D746" s="103" t="s">
        <v>118</v>
      </c>
      <c r="E746" s="26">
        <v>4.5999999999999996</v>
      </c>
      <c r="F746" s="26" t="s">
        <v>293</v>
      </c>
      <c r="K746" s="24">
        <v>25</v>
      </c>
      <c r="L746" s="102">
        <v>46063</v>
      </c>
      <c r="M746" s="25" t="s">
        <v>357</v>
      </c>
      <c r="N746" s="103" t="s">
        <v>118</v>
      </c>
      <c r="O746" s="26">
        <v>9.8000000000000007</v>
      </c>
      <c r="P746" s="26" t="s">
        <v>293</v>
      </c>
    </row>
    <row r="747" spans="1:16" x14ac:dyDescent="0.3">
      <c r="A747" s="24">
        <v>25</v>
      </c>
      <c r="B747" s="102">
        <v>46063</v>
      </c>
      <c r="C747" s="25" t="s">
        <v>356</v>
      </c>
      <c r="D747" s="103" t="s">
        <v>130</v>
      </c>
      <c r="E747" s="26">
        <v>3.81</v>
      </c>
      <c r="F747" s="26" t="s">
        <v>293</v>
      </c>
      <c r="K747" s="24">
        <v>25</v>
      </c>
      <c r="L747" s="102">
        <v>46063</v>
      </c>
      <c r="M747" s="25" t="s">
        <v>357</v>
      </c>
      <c r="N747" s="103" t="s">
        <v>130</v>
      </c>
      <c r="O747" s="26">
        <v>2.46</v>
      </c>
      <c r="P747" s="26" t="s">
        <v>293</v>
      </c>
    </row>
    <row r="748" spans="1:16" x14ac:dyDescent="0.3">
      <c r="A748" s="24">
        <v>25</v>
      </c>
      <c r="B748" s="102">
        <v>46063</v>
      </c>
      <c r="C748" s="25" t="s">
        <v>356</v>
      </c>
      <c r="D748" s="103" t="s">
        <v>341</v>
      </c>
      <c r="E748" s="26">
        <v>0.28699999999999998</v>
      </c>
      <c r="F748" s="26" t="s">
        <v>293</v>
      </c>
      <c r="K748" s="24">
        <v>25</v>
      </c>
      <c r="L748" s="102">
        <v>46063</v>
      </c>
      <c r="M748" s="25" t="s">
        <v>357</v>
      </c>
      <c r="N748" s="103" t="s">
        <v>341</v>
      </c>
      <c r="O748" s="26">
        <v>1.06</v>
      </c>
      <c r="P748" s="26" t="s">
        <v>293</v>
      </c>
    </row>
    <row r="749" spans="1:16" x14ac:dyDescent="0.3">
      <c r="A749" s="24">
        <v>25</v>
      </c>
      <c r="B749" s="102">
        <v>46063</v>
      </c>
      <c r="C749" s="25" t="s">
        <v>356</v>
      </c>
      <c r="D749" s="103" t="s">
        <v>127</v>
      </c>
      <c r="E749" s="26">
        <v>1.18</v>
      </c>
      <c r="F749" s="26" t="s">
        <v>293</v>
      </c>
      <c r="K749" s="24">
        <v>25</v>
      </c>
      <c r="L749" s="102">
        <v>46063</v>
      </c>
      <c r="M749" s="25" t="s">
        <v>357</v>
      </c>
      <c r="N749" s="103" t="s">
        <v>127</v>
      </c>
      <c r="O749" s="26">
        <v>4.4400000000000004</v>
      </c>
      <c r="P749" s="26" t="s">
        <v>293</v>
      </c>
    </row>
    <row r="750" spans="1:16" x14ac:dyDescent="0.3">
      <c r="A750" s="24">
        <v>25</v>
      </c>
      <c r="B750" s="102">
        <v>46063</v>
      </c>
      <c r="C750" s="25" t="s">
        <v>356</v>
      </c>
      <c r="D750" s="103" t="s">
        <v>131</v>
      </c>
      <c r="E750" s="26">
        <v>8.6999999999999993</v>
      </c>
      <c r="F750" s="26" t="s">
        <v>293</v>
      </c>
      <c r="K750" s="24">
        <v>25</v>
      </c>
      <c r="L750" s="102">
        <v>46063</v>
      </c>
      <c r="M750" s="25" t="s">
        <v>357</v>
      </c>
      <c r="N750" s="103" t="s">
        <v>131</v>
      </c>
      <c r="O750" s="26">
        <v>12.1</v>
      </c>
      <c r="P750" s="26" t="s">
        <v>293</v>
      </c>
    </row>
    <row r="751" spans="1:16" x14ac:dyDescent="0.3">
      <c r="A751" s="24">
        <v>25</v>
      </c>
      <c r="B751" s="102">
        <v>46063</v>
      </c>
      <c r="C751" s="25" t="s">
        <v>356</v>
      </c>
      <c r="D751" s="103" t="s">
        <v>342</v>
      </c>
      <c r="E751" s="26">
        <v>314</v>
      </c>
      <c r="F751" s="26" t="s">
        <v>293</v>
      </c>
      <c r="K751" s="24">
        <v>25</v>
      </c>
      <c r="L751" s="102">
        <v>46063</v>
      </c>
      <c r="M751" s="25" t="s">
        <v>357</v>
      </c>
      <c r="N751" s="103" t="s">
        <v>342</v>
      </c>
      <c r="O751" s="26">
        <v>184</v>
      </c>
      <c r="P751" s="26" t="s">
        <v>293</v>
      </c>
    </row>
    <row r="752" spans="1:16" x14ac:dyDescent="0.3">
      <c r="A752" s="24">
        <v>25</v>
      </c>
      <c r="B752" s="102">
        <v>46063</v>
      </c>
      <c r="C752" s="25" t="s">
        <v>356</v>
      </c>
      <c r="D752" s="103" t="s">
        <v>119</v>
      </c>
      <c r="E752" s="26">
        <v>240</v>
      </c>
      <c r="F752" s="26" t="s">
        <v>293</v>
      </c>
      <c r="K752" s="24">
        <v>25</v>
      </c>
      <c r="L752" s="102">
        <v>46063</v>
      </c>
      <c r="M752" s="25" t="s">
        <v>357</v>
      </c>
      <c r="N752" s="103" t="s">
        <v>119</v>
      </c>
      <c r="O752" s="26">
        <v>87</v>
      </c>
      <c r="P752" s="26" t="s">
        <v>293</v>
      </c>
    </row>
    <row r="753" spans="1:16" x14ac:dyDescent="0.3">
      <c r="A753" s="24">
        <v>25</v>
      </c>
      <c r="B753" s="102">
        <v>46063</v>
      </c>
      <c r="C753" s="25" t="s">
        <v>356</v>
      </c>
      <c r="D753" s="103" t="s">
        <v>120</v>
      </c>
      <c r="E753" s="26">
        <v>78</v>
      </c>
      <c r="F753" s="26" t="s">
        <v>293</v>
      </c>
      <c r="K753" s="24">
        <v>25</v>
      </c>
      <c r="L753" s="102">
        <v>46063</v>
      </c>
      <c r="M753" s="25" t="s">
        <v>357</v>
      </c>
      <c r="N753" s="103" t="s">
        <v>120</v>
      </c>
      <c r="O753" s="26">
        <v>27</v>
      </c>
      <c r="P753" s="26" t="s">
        <v>293</v>
      </c>
    </row>
    <row r="754" spans="1:16" x14ac:dyDescent="0.3">
      <c r="A754" s="24">
        <v>25</v>
      </c>
      <c r="B754" s="102">
        <v>46063</v>
      </c>
      <c r="C754" s="25" t="s">
        <v>356</v>
      </c>
      <c r="D754" s="103" t="s">
        <v>117</v>
      </c>
      <c r="E754" s="26">
        <v>2.5</v>
      </c>
      <c r="F754" s="26" t="s">
        <v>293</v>
      </c>
      <c r="K754" s="24">
        <v>25</v>
      </c>
      <c r="L754" s="102">
        <v>46063</v>
      </c>
      <c r="M754" s="25" t="s">
        <v>357</v>
      </c>
      <c r="N754" s="103" t="s">
        <v>117</v>
      </c>
      <c r="O754" s="26">
        <v>6.08</v>
      </c>
      <c r="P754" s="26" t="s">
        <v>293</v>
      </c>
    </row>
    <row r="755" spans="1:16" x14ac:dyDescent="0.3">
      <c r="A755" s="24">
        <v>25</v>
      </c>
      <c r="B755" s="102">
        <v>46063</v>
      </c>
      <c r="C755" s="25" t="s">
        <v>356</v>
      </c>
      <c r="D755" s="103" t="s">
        <v>344</v>
      </c>
      <c r="E755" s="26">
        <v>231</v>
      </c>
      <c r="F755" s="26" t="s">
        <v>293</v>
      </c>
      <c r="K755" s="24">
        <v>25</v>
      </c>
      <c r="L755" s="102">
        <v>46063</v>
      </c>
      <c r="M755" s="25" t="s">
        <v>357</v>
      </c>
      <c r="N755" s="103" t="s">
        <v>344</v>
      </c>
      <c r="O755" s="26">
        <v>67</v>
      </c>
      <c r="P755" s="26" t="s">
        <v>293</v>
      </c>
    </row>
    <row r="756" spans="1:16" x14ac:dyDescent="0.3">
      <c r="A756" s="24">
        <v>25</v>
      </c>
      <c r="B756" s="102">
        <v>46063</v>
      </c>
      <c r="C756" s="25" t="s">
        <v>356</v>
      </c>
      <c r="D756" s="103" t="s">
        <v>132</v>
      </c>
      <c r="E756" s="26">
        <v>3.55</v>
      </c>
      <c r="F756" s="26" t="s">
        <v>293</v>
      </c>
      <c r="K756" s="24">
        <v>25</v>
      </c>
      <c r="L756" s="102">
        <v>46063</v>
      </c>
      <c r="M756" s="25" t="s">
        <v>357</v>
      </c>
      <c r="N756" s="103" t="s">
        <v>132</v>
      </c>
      <c r="O756" s="26">
        <v>7.32</v>
      </c>
      <c r="P756" s="26" t="s">
        <v>293</v>
      </c>
    </row>
    <row r="757" spans="1:16" x14ac:dyDescent="0.3">
      <c r="A757" s="24">
        <v>25</v>
      </c>
      <c r="B757" s="102">
        <v>46063</v>
      </c>
      <c r="C757" s="25" t="s">
        <v>356</v>
      </c>
      <c r="D757" s="103" t="s">
        <v>111</v>
      </c>
      <c r="E757" s="26">
        <v>87</v>
      </c>
      <c r="F757" s="26" t="s">
        <v>293</v>
      </c>
      <c r="K757" s="24">
        <v>25</v>
      </c>
      <c r="L757" s="102">
        <v>46063</v>
      </c>
      <c r="M757" s="25" t="s">
        <v>357</v>
      </c>
      <c r="N757" s="103" t="s">
        <v>111</v>
      </c>
      <c r="O757" s="26">
        <v>282</v>
      </c>
      <c r="P757" s="26" t="s">
        <v>293</v>
      </c>
    </row>
    <row r="758" spans="1:16" x14ac:dyDescent="0.3">
      <c r="A758" s="24">
        <v>25</v>
      </c>
      <c r="B758" s="102">
        <v>46063</v>
      </c>
      <c r="C758" s="25" t="s">
        <v>356</v>
      </c>
      <c r="D758" s="103" t="s">
        <v>345</v>
      </c>
      <c r="E758" s="26">
        <v>5.0999999999999996</v>
      </c>
      <c r="F758" s="26" t="s">
        <v>293</v>
      </c>
      <c r="K758" s="24">
        <v>25</v>
      </c>
      <c r="L758" s="102">
        <v>46063</v>
      </c>
      <c r="M758" s="25" t="s">
        <v>357</v>
      </c>
      <c r="N758" s="103" t="s">
        <v>345</v>
      </c>
      <c r="O758" s="26">
        <v>9.89</v>
      </c>
      <c r="P758" s="26" t="s">
        <v>293</v>
      </c>
    </row>
    <row r="759" spans="1:16" x14ac:dyDescent="0.3">
      <c r="A759" s="24">
        <v>25</v>
      </c>
      <c r="B759" s="102">
        <v>46063</v>
      </c>
      <c r="C759" s="25" t="s">
        <v>356</v>
      </c>
      <c r="D759" s="103" t="s">
        <v>347</v>
      </c>
      <c r="E759" s="26">
        <v>1.9</v>
      </c>
      <c r="F759" s="26" t="s">
        <v>293</v>
      </c>
      <c r="K759" s="24">
        <v>25</v>
      </c>
      <c r="L759" s="102">
        <v>46063</v>
      </c>
      <c r="M759" s="25" t="s">
        <v>357</v>
      </c>
      <c r="N759" s="103" t="s">
        <v>347</v>
      </c>
      <c r="O759" s="26">
        <v>4.3099999999999996</v>
      </c>
      <c r="P759" s="26" t="s">
        <v>293</v>
      </c>
    </row>
    <row r="760" spans="1:16" x14ac:dyDescent="0.3">
      <c r="A760" s="24">
        <v>25</v>
      </c>
      <c r="B760" s="102">
        <v>46063</v>
      </c>
      <c r="C760" s="25" t="s">
        <v>356</v>
      </c>
      <c r="D760" s="103" t="s">
        <v>128</v>
      </c>
      <c r="E760" s="26">
        <v>6.7</v>
      </c>
      <c r="F760" s="26" t="s">
        <v>293</v>
      </c>
      <c r="K760" s="24">
        <v>25</v>
      </c>
      <c r="L760" s="102">
        <v>46063</v>
      </c>
      <c r="M760" s="25" t="s">
        <v>357</v>
      </c>
      <c r="N760" s="103" t="s">
        <v>128</v>
      </c>
      <c r="O760" s="26">
        <v>4.3</v>
      </c>
      <c r="P760" s="26" t="s">
        <v>293</v>
      </c>
    </row>
    <row r="761" spans="1:16" x14ac:dyDescent="0.3">
      <c r="A761" s="24">
        <v>25</v>
      </c>
      <c r="B761" s="102">
        <v>46063</v>
      </c>
      <c r="C761" s="25" t="s">
        <v>356</v>
      </c>
      <c r="D761" s="103" t="s">
        <v>121</v>
      </c>
      <c r="E761" s="26">
        <v>161</v>
      </c>
      <c r="F761" s="26" t="s">
        <v>293</v>
      </c>
      <c r="K761" s="24">
        <v>25</v>
      </c>
      <c r="L761" s="102">
        <v>46063</v>
      </c>
      <c r="M761" s="25" t="s">
        <v>357</v>
      </c>
      <c r="N761" s="103" t="s">
        <v>121</v>
      </c>
      <c r="O761" s="26">
        <v>79</v>
      </c>
      <c r="P761" s="26" t="s">
        <v>293</v>
      </c>
    </row>
    <row r="762" spans="1:16" x14ac:dyDescent="0.3">
      <c r="A762" s="24">
        <v>25</v>
      </c>
      <c r="B762" s="102">
        <v>46063</v>
      </c>
      <c r="C762" s="25" t="s">
        <v>356</v>
      </c>
      <c r="D762" s="103" t="s">
        <v>115</v>
      </c>
      <c r="E762" s="26">
        <v>32</v>
      </c>
      <c r="F762" s="26" t="s">
        <v>293</v>
      </c>
      <c r="K762" s="24">
        <v>25</v>
      </c>
      <c r="L762" s="102">
        <v>46063</v>
      </c>
      <c r="M762" s="25" t="s">
        <v>357</v>
      </c>
      <c r="N762" s="103" t="s">
        <v>115</v>
      </c>
      <c r="O762" s="26">
        <v>95</v>
      </c>
      <c r="P762" s="26" t="s">
        <v>293</v>
      </c>
    </row>
    <row r="763" spans="1:16" x14ac:dyDescent="0.3">
      <c r="A763" s="24">
        <v>25</v>
      </c>
      <c r="B763" s="102">
        <v>46063</v>
      </c>
      <c r="C763" s="25" t="s">
        <v>356</v>
      </c>
      <c r="D763" s="103" t="s">
        <v>137</v>
      </c>
      <c r="E763" s="26">
        <v>74</v>
      </c>
      <c r="F763" s="26" t="s">
        <v>293</v>
      </c>
      <c r="K763" s="24">
        <v>25</v>
      </c>
      <c r="L763" s="102">
        <v>46063</v>
      </c>
      <c r="M763" s="25" t="s">
        <v>357</v>
      </c>
      <c r="N763" s="103" t="s">
        <v>137</v>
      </c>
      <c r="O763" s="26">
        <v>486</v>
      </c>
      <c r="P763" s="26" t="s">
        <v>293</v>
      </c>
    </row>
    <row r="764" spans="1:16" x14ac:dyDescent="0.3">
      <c r="A764" s="24">
        <v>25</v>
      </c>
      <c r="B764" s="102">
        <v>46063</v>
      </c>
      <c r="C764" s="25" t="s">
        <v>356</v>
      </c>
      <c r="D764" s="103" t="s">
        <v>348</v>
      </c>
      <c r="E764" s="26">
        <v>139</v>
      </c>
      <c r="F764" s="26" t="s">
        <v>293</v>
      </c>
      <c r="K764" s="24">
        <v>25</v>
      </c>
      <c r="L764" s="102">
        <v>46063</v>
      </c>
      <c r="M764" s="25" t="s">
        <v>357</v>
      </c>
      <c r="N764" s="103" t="s">
        <v>348</v>
      </c>
      <c r="O764" s="26">
        <v>433</v>
      </c>
      <c r="P764" s="26" t="s">
        <v>293</v>
      </c>
    </row>
    <row r="765" spans="1:16" x14ac:dyDescent="0.3">
      <c r="A765" s="24">
        <v>25</v>
      </c>
      <c r="B765" s="102">
        <v>46063</v>
      </c>
      <c r="C765" s="25" t="s">
        <v>356</v>
      </c>
      <c r="D765" s="103" t="s">
        <v>125</v>
      </c>
      <c r="E765" s="26">
        <v>107</v>
      </c>
      <c r="F765" s="26" t="s">
        <v>293</v>
      </c>
      <c r="K765" s="24">
        <v>25</v>
      </c>
      <c r="L765" s="102">
        <v>46063</v>
      </c>
      <c r="M765" s="25" t="s">
        <v>357</v>
      </c>
      <c r="N765" s="103" t="s">
        <v>125</v>
      </c>
      <c r="O765" s="26">
        <v>404</v>
      </c>
      <c r="P765" s="26" t="s">
        <v>293</v>
      </c>
    </row>
    <row r="766" spans="1:16" x14ac:dyDescent="0.3">
      <c r="A766" s="24">
        <v>25</v>
      </c>
      <c r="B766" s="102">
        <v>46063</v>
      </c>
      <c r="C766" s="25" t="s">
        <v>356</v>
      </c>
      <c r="D766" s="103" t="s">
        <v>126</v>
      </c>
      <c r="E766" s="26">
        <v>79</v>
      </c>
      <c r="F766" s="26" t="s">
        <v>293</v>
      </c>
      <c r="K766" s="24">
        <v>25</v>
      </c>
      <c r="L766" s="102">
        <v>46063</v>
      </c>
      <c r="M766" s="25" t="s">
        <v>357</v>
      </c>
      <c r="N766" s="103" t="s">
        <v>126</v>
      </c>
      <c r="O766" s="26">
        <v>156</v>
      </c>
      <c r="P766" s="26" t="s">
        <v>293</v>
      </c>
    </row>
    <row r="767" spans="1:16" x14ac:dyDescent="0.3">
      <c r="A767" s="24">
        <v>25</v>
      </c>
      <c r="B767" s="102">
        <v>46063</v>
      </c>
      <c r="C767" s="25" t="s">
        <v>356</v>
      </c>
      <c r="D767" s="103" t="s">
        <v>349</v>
      </c>
      <c r="E767" s="26">
        <v>161</v>
      </c>
      <c r="F767" s="26" t="s">
        <v>293</v>
      </c>
      <c r="K767" s="24">
        <v>25</v>
      </c>
      <c r="L767" s="102">
        <v>46063</v>
      </c>
      <c r="M767" s="25" t="s">
        <v>357</v>
      </c>
      <c r="N767" s="103" t="s">
        <v>349</v>
      </c>
      <c r="O767" s="26">
        <v>389</v>
      </c>
      <c r="P767" s="26" t="s">
        <v>293</v>
      </c>
    </row>
    <row r="768" spans="1:16" x14ac:dyDescent="0.3">
      <c r="A768" s="24">
        <v>25</v>
      </c>
      <c r="B768" s="102">
        <v>46063</v>
      </c>
      <c r="C768" s="25" t="s">
        <v>356</v>
      </c>
      <c r="D768" s="103" t="s">
        <v>350</v>
      </c>
      <c r="E768" s="26">
        <v>59</v>
      </c>
      <c r="F768" s="26" t="s">
        <v>293</v>
      </c>
      <c r="K768" s="24">
        <v>25</v>
      </c>
      <c r="L768" s="102">
        <v>46063</v>
      </c>
      <c r="M768" s="25" t="s">
        <v>357</v>
      </c>
      <c r="N768" s="103" t="s">
        <v>350</v>
      </c>
      <c r="O768" s="26">
        <v>84</v>
      </c>
      <c r="P768" s="26" t="s">
        <v>293</v>
      </c>
    </row>
    <row r="769" spans="1:16" x14ac:dyDescent="0.3">
      <c r="A769" s="24">
        <v>25</v>
      </c>
      <c r="B769" s="102">
        <v>46063</v>
      </c>
      <c r="C769" s="25" t="s">
        <v>356</v>
      </c>
      <c r="D769" s="103" t="s">
        <v>122</v>
      </c>
      <c r="E769" s="26">
        <v>46</v>
      </c>
      <c r="F769" s="26" t="s">
        <v>293</v>
      </c>
      <c r="K769" s="24">
        <v>25</v>
      </c>
      <c r="L769" s="102">
        <v>46063</v>
      </c>
      <c r="M769" s="25" t="s">
        <v>357</v>
      </c>
      <c r="N769" s="103" t="s">
        <v>122</v>
      </c>
      <c r="O769" s="26">
        <v>219</v>
      </c>
      <c r="P769" s="26" t="s">
        <v>293</v>
      </c>
    </row>
    <row r="770" spans="1:16" x14ac:dyDescent="0.3">
      <c r="A770" s="24">
        <v>25</v>
      </c>
      <c r="B770" s="102">
        <v>46063</v>
      </c>
      <c r="C770" s="25" t="s">
        <v>356</v>
      </c>
      <c r="D770" s="103" t="s">
        <v>124</v>
      </c>
      <c r="E770" s="26">
        <v>29</v>
      </c>
      <c r="F770" s="26" t="s">
        <v>293</v>
      </c>
      <c r="K770" s="24">
        <v>25</v>
      </c>
      <c r="L770" s="102">
        <v>46063</v>
      </c>
      <c r="M770" s="25" t="s">
        <v>357</v>
      </c>
      <c r="N770" s="103" t="s">
        <v>124</v>
      </c>
      <c r="O770" s="26">
        <v>106</v>
      </c>
      <c r="P770" s="26" t="s">
        <v>293</v>
      </c>
    </row>
    <row r="771" spans="1:16" x14ac:dyDescent="0.3">
      <c r="A771" s="24">
        <v>25</v>
      </c>
      <c r="B771" s="102">
        <v>46063</v>
      </c>
      <c r="C771" s="25" t="s">
        <v>356</v>
      </c>
      <c r="D771" s="103" t="s">
        <v>351</v>
      </c>
      <c r="E771" s="26">
        <v>1.05</v>
      </c>
      <c r="F771" s="26" t="s">
        <v>293</v>
      </c>
      <c r="K771" s="24">
        <v>25</v>
      </c>
      <c r="L771" s="102">
        <v>46063</v>
      </c>
      <c r="M771" s="25" t="s">
        <v>357</v>
      </c>
      <c r="N771" s="103" t="s">
        <v>351</v>
      </c>
      <c r="O771" s="26">
        <v>3.59</v>
      </c>
      <c r="P771" s="26" t="s">
        <v>293</v>
      </c>
    </row>
    <row r="772" spans="1:16" x14ac:dyDescent="0.3">
      <c r="A772" s="24">
        <v>25</v>
      </c>
      <c r="B772" s="102">
        <v>46063</v>
      </c>
      <c r="C772" s="25" t="s">
        <v>356</v>
      </c>
      <c r="D772" s="103" t="s">
        <v>353</v>
      </c>
      <c r="E772" s="26">
        <v>25</v>
      </c>
      <c r="F772" s="26" t="s">
        <v>293</v>
      </c>
      <c r="K772" s="24">
        <v>25</v>
      </c>
      <c r="L772" s="102">
        <v>46063</v>
      </c>
      <c r="M772" s="25" t="s">
        <v>357</v>
      </c>
      <c r="N772" s="103" t="s">
        <v>353</v>
      </c>
      <c r="O772" s="26">
        <v>12.5</v>
      </c>
      <c r="P772" s="26" t="s">
        <v>293</v>
      </c>
    </row>
    <row r="773" spans="1:16" x14ac:dyDescent="0.3">
      <c r="A773" s="24">
        <v>25</v>
      </c>
      <c r="B773" s="102">
        <v>46063</v>
      </c>
      <c r="C773" s="25" t="s">
        <v>356</v>
      </c>
      <c r="D773" s="103" t="s">
        <v>133</v>
      </c>
      <c r="E773" s="26">
        <v>145</v>
      </c>
      <c r="F773" s="26" t="s">
        <v>293</v>
      </c>
      <c r="K773" s="24">
        <v>25</v>
      </c>
      <c r="L773" s="102">
        <v>46063</v>
      </c>
      <c r="M773" s="25" t="s">
        <v>357</v>
      </c>
      <c r="N773" s="103" t="s">
        <v>133</v>
      </c>
      <c r="O773" s="26">
        <v>126</v>
      </c>
      <c r="P773" s="26" t="s">
        <v>293</v>
      </c>
    </row>
    <row r="774" spans="1:16" x14ac:dyDescent="0.3">
      <c r="A774" s="24">
        <v>25</v>
      </c>
      <c r="B774" s="102">
        <v>46063</v>
      </c>
      <c r="C774" s="25" t="s">
        <v>356</v>
      </c>
      <c r="D774" s="103" t="s">
        <v>135</v>
      </c>
      <c r="E774" s="26">
        <v>3.7</v>
      </c>
      <c r="F774" s="26" t="s">
        <v>293</v>
      </c>
      <c r="K774" s="24">
        <v>25</v>
      </c>
      <c r="L774" s="102">
        <v>46063</v>
      </c>
      <c r="M774" s="25" t="s">
        <v>357</v>
      </c>
      <c r="N774" s="103" t="s">
        <v>135</v>
      </c>
      <c r="O774" s="26">
        <v>6.6</v>
      </c>
      <c r="P774" s="26" t="s">
        <v>293</v>
      </c>
    </row>
    <row r="775" spans="1:16" x14ac:dyDescent="0.3">
      <c r="A775" s="24">
        <v>25</v>
      </c>
      <c r="B775" s="102">
        <v>46063</v>
      </c>
      <c r="C775" s="25" t="s">
        <v>356</v>
      </c>
      <c r="D775" s="103" t="s">
        <v>136</v>
      </c>
      <c r="E775" s="26">
        <v>116</v>
      </c>
      <c r="F775" s="26" t="s">
        <v>293</v>
      </c>
      <c r="K775" s="24">
        <v>25</v>
      </c>
      <c r="L775" s="102">
        <v>46063</v>
      </c>
      <c r="M775" s="25" t="s">
        <v>357</v>
      </c>
      <c r="N775" s="103" t="s">
        <v>136</v>
      </c>
      <c r="O775" s="26">
        <v>95</v>
      </c>
      <c r="P775" s="26" t="s">
        <v>293</v>
      </c>
    </row>
    <row r="776" spans="1:16" x14ac:dyDescent="0.3">
      <c r="A776" s="24">
        <v>26</v>
      </c>
      <c r="B776" s="102">
        <v>46064.366516203707</v>
      </c>
      <c r="C776" s="25" t="s">
        <v>356</v>
      </c>
      <c r="D776" s="103" t="s">
        <v>339</v>
      </c>
      <c r="E776" s="26">
        <v>4.63</v>
      </c>
      <c r="F776" s="26" t="s">
        <v>293</v>
      </c>
      <c r="K776" s="24">
        <v>26</v>
      </c>
      <c r="L776" s="102">
        <v>46064.366516203707</v>
      </c>
      <c r="M776" s="25" t="s">
        <v>357</v>
      </c>
      <c r="N776" s="103" t="s">
        <v>339</v>
      </c>
      <c r="O776" s="26">
        <v>1.4</v>
      </c>
      <c r="P776" s="26" t="s">
        <v>293</v>
      </c>
    </row>
    <row r="777" spans="1:16" x14ac:dyDescent="0.3">
      <c r="A777" s="24">
        <v>26</v>
      </c>
      <c r="B777" s="102">
        <v>46064.366516203707</v>
      </c>
      <c r="C777" s="25" t="s">
        <v>356</v>
      </c>
      <c r="D777" s="103" t="s">
        <v>118</v>
      </c>
      <c r="E777" s="26">
        <v>4.5</v>
      </c>
      <c r="F777" s="26" t="s">
        <v>293</v>
      </c>
      <c r="K777" s="24">
        <v>26</v>
      </c>
      <c r="L777" s="102">
        <v>46064.366516203707</v>
      </c>
      <c r="M777" s="25" t="s">
        <v>357</v>
      </c>
      <c r="N777" s="103" t="s">
        <v>118</v>
      </c>
      <c r="O777" s="26">
        <v>9.6999999999999993</v>
      </c>
      <c r="P777" s="26" t="s">
        <v>293</v>
      </c>
    </row>
    <row r="778" spans="1:16" x14ac:dyDescent="0.3">
      <c r="A778" s="24">
        <v>26</v>
      </c>
      <c r="B778" s="102">
        <v>46064.366516203707</v>
      </c>
      <c r="C778" s="25" t="s">
        <v>356</v>
      </c>
      <c r="D778" s="103" t="s">
        <v>130</v>
      </c>
      <c r="E778" s="26">
        <v>3.8</v>
      </c>
      <c r="F778" s="26" t="s">
        <v>293</v>
      </c>
      <c r="K778" s="24">
        <v>26</v>
      </c>
      <c r="L778" s="102">
        <v>46064.366516203707</v>
      </c>
      <c r="M778" s="25" t="s">
        <v>357</v>
      </c>
      <c r="N778" s="103" t="s">
        <v>130</v>
      </c>
      <c r="O778" s="26">
        <v>2.5</v>
      </c>
      <c r="P778" s="26" t="s">
        <v>293</v>
      </c>
    </row>
    <row r="779" spans="1:16" x14ac:dyDescent="0.3">
      <c r="A779" s="24">
        <v>26</v>
      </c>
      <c r="B779" s="102">
        <v>46064.366516203707</v>
      </c>
      <c r="C779" s="25" t="s">
        <v>356</v>
      </c>
      <c r="D779" s="103" t="s">
        <v>341</v>
      </c>
      <c r="E779" s="26">
        <v>0.28399999999999997</v>
      </c>
      <c r="F779" s="26" t="s">
        <v>293</v>
      </c>
      <c r="K779" s="24">
        <v>26</v>
      </c>
      <c r="L779" s="102">
        <v>46064.366516203707</v>
      </c>
      <c r="M779" s="25" t="s">
        <v>357</v>
      </c>
      <c r="N779" s="103" t="s">
        <v>341</v>
      </c>
      <c r="O779" s="26">
        <v>1.0580000000000001</v>
      </c>
      <c r="P779" s="26" t="s">
        <v>293</v>
      </c>
    </row>
    <row r="780" spans="1:16" x14ac:dyDescent="0.3">
      <c r="A780" s="24">
        <v>26</v>
      </c>
      <c r="B780" s="102">
        <v>46064.366516203707</v>
      </c>
      <c r="C780" s="25" t="s">
        <v>356</v>
      </c>
      <c r="D780" s="103" t="s">
        <v>127</v>
      </c>
      <c r="E780" s="26">
        <v>1.157</v>
      </c>
      <c r="F780" s="26" t="s">
        <v>293</v>
      </c>
      <c r="K780" s="24">
        <v>26</v>
      </c>
      <c r="L780" s="102">
        <v>46064.366516203707</v>
      </c>
      <c r="M780" s="25" t="s">
        <v>357</v>
      </c>
      <c r="N780" s="103" t="s">
        <v>127</v>
      </c>
      <c r="O780" s="26">
        <v>4.4909999999999997</v>
      </c>
      <c r="P780" s="26" t="s">
        <v>293</v>
      </c>
    </row>
    <row r="781" spans="1:16" x14ac:dyDescent="0.3">
      <c r="A781" s="24">
        <v>26</v>
      </c>
      <c r="B781" s="102">
        <v>46064.366516203707</v>
      </c>
      <c r="C781" s="25" t="s">
        <v>356</v>
      </c>
      <c r="D781" s="103" t="s">
        <v>131</v>
      </c>
      <c r="E781" s="26">
        <v>8.6</v>
      </c>
      <c r="F781" s="26" t="s">
        <v>293</v>
      </c>
      <c r="K781" s="24">
        <v>26</v>
      </c>
      <c r="L781" s="102">
        <v>46064.366516203707</v>
      </c>
      <c r="M781" s="25" t="s">
        <v>357</v>
      </c>
      <c r="N781" s="103" t="s">
        <v>131</v>
      </c>
      <c r="O781" s="26">
        <v>12</v>
      </c>
      <c r="P781" s="26" t="s">
        <v>293</v>
      </c>
    </row>
    <row r="782" spans="1:16" x14ac:dyDescent="0.3">
      <c r="A782" s="24">
        <v>26</v>
      </c>
      <c r="B782" s="102">
        <v>46064.366516203707</v>
      </c>
      <c r="C782" s="25" t="s">
        <v>356</v>
      </c>
      <c r="D782" s="103" t="s">
        <v>342</v>
      </c>
      <c r="E782" s="26">
        <v>307</v>
      </c>
      <c r="F782" s="26" t="s">
        <v>293</v>
      </c>
      <c r="K782" s="24">
        <v>26</v>
      </c>
      <c r="L782" s="102">
        <v>46064.366516203707</v>
      </c>
      <c r="M782" s="25" t="s">
        <v>357</v>
      </c>
      <c r="N782" s="103" t="s">
        <v>342</v>
      </c>
      <c r="O782" s="26">
        <v>185</v>
      </c>
      <c r="P782" s="26" t="s">
        <v>293</v>
      </c>
    </row>
    <row r="783" spans="1:16" x14ac:dyDescent="0.3">
      <c r="A783" s="24">
        <v>26</v>
      </c>
      <c r="B783" s="102">
        <v>46064.366516203707</v>
      </c>
      <c r="C783" s="25" t="s">
        <v>356</v>
      </c>
      <c r="D783" s="103" t="s">
        <v>119</v>
      </c>
      <c r="E783" s="26">
        <v>236</v>
      </c>
      <c r="F783" s="26" t="s">
        <v>293</v>
      </c>
      <c r="K783" s="24">
        <v>26</v>
      </c>
      <c r="L783" s="102">
        <v>46064.366516203707</v>
      </c>
      <c r="M783" s="25" t="s">
        <v>357</v>
      </c>
      <c r="N783" s="103" t="s">
        <v>119</v>
      </c>
      <c r="O783" s="26">
        <v>84</v>
      </c>
      <c r="P783" s="26" t="s">
        <v>293</v>
      </c>
    </row>
    <row r="784" spans="1:16" x14ac:dyDescent="0.3">
      <c r="A784" s="24">
        <v>26</v>
      </c>
      <c r="B784" s="102">
        <v>46064.366516203707</v>
      </c>
      <c r="C784" s="25" t="s">
        <v>356</v>
      </c>
      <c r="D784" s="103" t="s">
        <v>120</v>
      </c>
      <c r="E784" s="26">
        <v>77</v>
      </c>
      <c r="F784" s="26" t="s">
        <v>293</v>
      </c>
      <c r="K784" s="24">
        <v>26</v>
      </c>
      <c r="L784" s="102">
        <v>46064.366516203707</v>
      </c>
      <c r="M784" s="25" t="s">
        <v>357</v>
      </c>
      <c r="N784" s="103" t="s">
        <v>120</v>
      </c>
      <c r="O784" s="26">
        <v>27</v>
      </c>
      <c r="P784" s="26" t="s">
        <v>293</v>
      </c>
    </row>
    <row r="785" spans="1:16" x14ac:dyDescent="0.3">
      <c r="A785" s="24">
        <v>26</v>
      </c>
      <c r="B785" s="102">
        <v>46064.366516203707</v>
      </c>
      <c r="C785" s="25" t="s">
        <v>356</v>
      </c>
      <c r="D785" s="103" t="s">
        <v>117</v>
      </c>
      <c r="E785" s="26">
        <v>2.75</v>
      </c>
      <c r="F785" s="26" t="s">
        <v>293</v>
      </c>
      <c r="K785" s="24">
        <v>26</v>
      </c>
      <c r="L785" s="102">
        <v>46064.366516203707</v>
      </c>
      <c r="M785" s="25" t="s">
        <v>357</v>
      </c>
      <c r="N785" s="103" t="s">
        <v>117</v>
      </c>
      <c r="O785" s="26">
        <v>6.39</v>
      </c>
      <c r="P785" s="26" t="s">
        <v>293</v>
      </c>
    </row>
    <row r="786" spans="1:16" x14ac:dyDescent="0.3">
      <c r="A786" s="24">
        <v>26</v>
      </c>
      <c r="B786" s="102">
        <v>46064.366516203707</v>
      </c>
      <c r="C786" s="25" t="s">
        <v>356</v>
      </c>
      <c r="D786" s="103" t="s">
        <v>344</v>
      </c>
      <c r="E786" s="26">
        <v>231</v>
      </c>
      <c r="F786" s="26" t="s">
        <v>293</v>
      </c>
      <c r="K786" s="24">
        <v>26</v>
      </c>
      <c r="L786" s="102">
        <v>46064.366516203707</v>
      </c>
      <c r="M786" s="25" t="s">
        <v>357</v>
      </c>
      <c r="N786" s="103" t="s">
        <v>344</v>
      </c>
      <c r="O786" s="26">
        <v>69</v>
      </c>
      <c r="P786" s="26" t="s">
        <v>293</v>
      </c>
    </row>
    <row r="787" spans="1:16" x14ac:dyDescent="0.3">
      <c r="A787" s="24">
        <v>26</v>
      </c>
      <c r="B787" s="102">
        <v>46064.366516203707</v>
      </c>
      <c r="C787" s="25" t="s">
        <v>356</v>
      </c>
      <c r="D787" s="103" t="s">
        <v>132</v>
      </c>
      <c r="E787" s="26">
        <v>3.54</v>
      </c>
      <c r="F787" s="26" t="s">
        <v>293</v>
      </c>
      <c r="K787" s="24">
        <v>26</v>
      </c>
      <c r="L787" s="102">
        <v>46064.366516203707</v>
      </c>
      <c r="M787" s="25" t="s">
        <v>357</v>
      </c>
      <c r="N787" s="103" t="s">
        <v>132</v>
      </c>
      <c r="O787" s="26">
        <v>7.17</v>
      </c>
      <c r="P787" s="26" t="s">
        <v>293</v>
      </c>
    </row>
    <row r="788" spans="1:16" x14ac:dyDescent="0.3">
      <c r="A788" s="24">
        <v>26</v>
      </c>
      <c r="B788" s="102">
        <v>46064.366516203707</v>
      </c>
      <c r="C788" s="25" t="s">
        <v>356</v>
      </c>
      <c r="D788" s="103" t="s">
        <v>111</v>
      </c>
      <c r="E788" s="26">
        <v>87</v>
      </c>
      <c r="F788" s="26" t="s">
        <v>293</v>
      </c>
      <c r="K788" s="24">
        <v>26</v>
      </c>
      <c r="L788" s="102">
        <v>46064.366516203707</v>
      </c>
      <c r="M788" s="25" t="s">
        <v>357</v>
      </c>
      <c r="N788" s="103" t="s">
        <v>111</v>
      </c>
      <c r="O788" s="26">
        <v>286</v>
      </c>
      <c r="P788" s="26" t="s">
        <v>293</v>
      </c>
    </row>
    <row r="789" spans="1:16" x14ac:dyDescent="0.3">
      <c r="A789" s="24">
        <v>26</v>
      </c>
      <c r="B789" s="102">
        <v>46064.366516203707</v>
      </c>
      <c r="C789" s="25" t="s">
        <v>356</v>
      </c>
      <c r="D789" s="103" t="s">
        <v>345</v>
      </c>
      <c r="E789" s="26">
        <v>5.4</v>
      </c>
      <c r="F789" s="26" t="s">
        <v>293</v>
      </c>
      <c r="K789" s="24">
        <v>26</v>
      </c>
      <c r="L789" s="102">
        <v>46064.366516203707</v>
      </c>
      <c r="M789" s="25" t="s">
        <v>357</v>
      </c>
      <c r="N789" s="103" t="s">
        <v>345</v>
      </c>
      <c r="O789" s="26">
        <v>9.9499999999999993</v>
      </c>
      <c r="P789" s="26" t="s">
        <v>293</v>
      </c>
    </row>
    <row r="790" spans="1:16" x14ac:dyDescent="0.3">
      <c r="A790" s="24">
        <v>26</v>
      </c>
      <c r="B790" s="102">
        <v>46064.366516203707</v>
      </c>
      <c r="C790" s="25" t="s">
        <v>356</v>
      </c>
      <c r="D790" s="103" t="s">
        <v>347</v>
      </c>
      <c r="E790" s="26">
        <v>2.2000000000000002</v>
      </c>
      <c r="F790" s="26" t="s">
        <v>293</v>
      </c>
      <c r="K790" s="24">
        <v>26</v>
      </c>
      <c r="L790" s="102">
        <v>46064.366516203707</v>
      </c>
      <c r="M790" s="25" t="s">
        <v>357</v>
      </c>
      <c r="N790" s="103" t="s">
        <v>347</v>
      </c>
      <c r="O790" s="26">
        <v>4.82</v>
      </c>
      <c r="P790" s="26" t="s">
        <v>293</v>
      </c>
    </row>
    <row r="791" spans="1:16" x14ac:dyDescent="0.3">
      <c r="A791" s="24">
        <v>26</v>
      </c>
      <c r="B791" s="102">
        <v>46064.366516203707</v>
      </c>
      <c r="C791" s="25" t="s">
        <v>356</v>
      </c>
      <c r="D791" s="103" t="s">
        <v>128</v>
      </c>
      <c r="E791" s="26">
        <v>6.7</v>
      </c>
      <c r="F791" s="26" t="s">
        <v>293</v>
      </c>
      <c r="K791" s="24">
        <v>26</v>
      </c>
      <c r="L791" s="102">
        <v>46064.366516203707</v>
      </c>
      <c r="M791" s="25" t="s">
        <v>357</v>
      </c>
      <c r="N791" s="103" t="s">
        <v>128</v>
      </c>
      <c r="O791" s="26">
        <v>4.4000000000000004</v>
      </c>
      <c r="P791" s="26" t="s">
        <v>293</v>
      </c>
    </row>
    <row r="792" spans="1:16" x14ac:dyDescent="0.3">
      <c r="A792" s="24">
        <v>26</v>
      </c>
      <c r="B792" s="102">
        <v>46064.366516203707</v>
      </c>
      <c r="C792" s="25" t="s">
        <v>356</v>
      </c>
      <c r="D792" s="103" t="s">
        <v>121</v>
      </c>
      <c r="E792" s="26">
        <v>160</v>
      </c>
      <c r="F792" s="26" t="s">
        <v>293</v>
      </c>
      <c r="K792" s="24">
        <v>26</v>
      </c>
      <c r="L792" s="102">
        <v>46064.366516203707</v>
      </c>
      <c r="M792" s="25" t="s">
        <v>357</v>
      </c>
      <c r="N792" s="103" t="s">
        <v>121</v>
      </c>
      <c r="O792" s="26">
        <v>82</v>
      </c>
      <c r="P792" s="26" t="s">
        <v>293</v>
      </c>
    </row>
    <row r="793" spans="1:16" x14ac:dyDescent="0.3">
      <c r="A793" s="24">
        <v>26</v>
      </c>
      <c r="B793" s="102">
        <v>46064.366516203707</v>
      </c>
      <c r="C793" s="25" t="s">
        <v>356</v>
      </c>
      <c r="D793" s="103" t="s">
        <v>115</v>
      </c>
      <c r="E793" s="26">
        <v>33</v>
      </c>
      <c r="F793" s="26" t="s">
        <v>293</v>
      </c>
      <c r="K793" s="24">
        <v>26</v>
      </c>
      <c r="L793" s="102">
        <v>46064.366516203707</v>
      </c>
      <c r="M793" s="25" t="s">
        <v>357</v>
      </c>
      <c r="N793" s="103" t="s">
        <v>115</v>
      </c>
      <c r="O793" s="26">
        <v>94</v>
      </c>
      <c r="P793" s="26" t="s">
        <v>293</v>
      </c>
    </row>
    <row r="794" spans="1:16" x14ac:dyDescent="0.3">
      <c r="A794" s="24">
        <v>26</v>
      </c>
      <c r="B794" s="102">
        <v>46064.366516203707</v>
      </c>
      <c r="C794" s="25" t="s">
        <v>356</v>
      </c>
      <c r="D794" s="103" t="s">
        <v>137</v>
      </c>
      <c r="E794" s="26">
        <v>75</v>
      </c>
      <c r="F794" s="26" t="s">
        <v>293</v>
      </c>
      <c r="K794" s="24">
        <v>26</v>
      </c>
      <c r="L794" s="102">
        <v>46064.366516203707</v>
      </c>
      <c r="M794" s="25" t="s">
        <v>357</v>
      </c>
      <c r="N794" s="103" t="s">
        <v>137</v>
      </c>
      <c r="O794" s="26">
        <v>491</v>
      </c>
      <c r="P794" s="26" t="s">
        <v>293</v>
      </c>
    </row>
    <row r="795" spans="1:16" x14ac:dyDescent="0.3">
      <c r="A795" s="24">
        <v>26</v>
      </c>
      <c r="B795" s="102">
        <v>46064.366516203707</v>
      </c>
      <c r="C795" s="25" t="s">
        <v>356</v>
      </c>
      <c r="D795" s="103" t="s">
        <v>348</v>
      </c>
      <c r="E795" s="26">
        <v>135</v>
      </c>
      <c r="F795" s="26" t="s">
        <v>293</v>
      </c>
      <c r="K795" s="24">
        <v>26</v>
      </c>
      <c r="L795" s="102">
        <v>46064.366516203707</v>
      </c>
      <c r="M795" s="25" t="s">
        <v>357</v>
      </c>
      <c r="N795" s="103" t="s">
        <v>348</v>
      </c>
      <c r="O795" s="26">
        <v>447</v>
      </c>
      <c r="P795" s="26" t="s">
        <v>293</v>
      </c>
    </row>
    <row r="796" spans="1:16" x14ac:dyDescent="0.3">
      <c r="A796" s="24">
        <v>26</v>
      </c>
      <c r="B796" s="102">
        <v>46064.366516203707</v>
      </c>
      <c r="C796" s="25" t="s">
        <v>356</v>
      </c>
      <c r="D796" s="103" t="s">
        <v>125</v>
      </c>
      <c r="E796" s="26">
        <v>113</v>
      </c>
      <c r="F796" s="26" t="s">
        <v>293</v>
      </c>
      <c r="K796" s="24">
        <v>26</v>
      </c>
      <c r="L796" s="102">
        <v>46064.366516203707</v>
      </c>
      <c r="M796" s="25" t="s">
        <v>357</v>
      </c>
      <c r="N796" s="103" t="s">
        <v>125</v>
      </c>
      <c r="O796" s="26">
        <v>434</v>
      </c>
      <c r="P796" s="26" t="s">
        <v>293</v>
      </c>
    </row>
    <row r="797" spans="1:16" x14ac:dyDescent="0.3">
      <c r="A797" s="24">
        <v>26</v>
      </c>
      <c r="B797" s="102">
        <v>46064.366516203707</v>
      </c>
      <c r="C797" s="25" t="s">
        <v>356</v>
      </c>
      <c r="D797" s="103" t="s">
        <v>126</v>
      </c>
      <c r="E797" s="26">
        <v>79</v>
      </c>
      <c r="F797" s="26" t="s">
        <v>293</v>
      </c>
      <c r="K797" s="24">
        <v>26</v>
      </c>
      <c r="L797" s="102">
        <v>46064.366516203707</v>
      </c>
      <c r="M797" s="25" t="s">
        <v>357</v>
      </c>
      <c r="N797" s="103" t="s">
        <v>126</v>
      </c>
      <c r="O797" s="26">
        <v>148</v>
      </c>
      <c r="P797" s="26" t="s">
        <v>293</v>
      </c>
    </row>
    <row r="798" spans="1:16" x14ac:dyDescent="0.3">
      <c r="A798" s="24">
        <v>26</v>
      </c>
      <c r="B798" s="102">
        <v>46064.366516203707</v>
      </c>
      <c r="C798" s="25" t="s">
        <v>356</v>
      </c>
      <c r="D798" s="103" t="s">
        <v>349</v>
      </c>
      <c r="E798" s="26">
        <v>158</v>
      </c>
      <c r="F798" s="26" t="s">
        <v>293</v>
      </c>
      <c r="K798" s="24">
        <v>26</v>
      </c>
      <c r="L798" s="102">
        <v>46064.366516203707</v>
      </c>
      <c r="M798" s="25" t="s">
        <v>357</v>
      </c>
      <c r="N798" s="103" t="s">
        <v>349</v>
      </c>
      <c r="O798" s="26">
        <v>370</v>
      </c>
      <c r="P798" s="26" t="s">
        <v>293</v>
      </c>
    </row>
    <row r="799" spans="1:16" x14ac:dyDescent="0.3">
      <c r="A799" s="24">
        <v>26</v>
      </c>
      <c r="B799" s="102">
        <v>46064.366516203707</v>
      </c>
      <c r="C799" s="25" t="s">
        <v>356</v>
      </c>
      <c r="D799" s="103" t="s">
        <v>350</v>
      </c>
      <c r="E799" s="26">
        <v>58</v>
      </c>
      <c r="F799" s="26" t="s">
        <v>293</v>
      </c>
      <c r="K799" s="24">
        <v>26</v>
      </c>
      <c r="L799" s="102">
        <v>46064.366516203707</v>
      </c>
      <c r="M799" s="25" t="s">
        <v>357</v>
      </c>
      <c r="N799" s="103" t="s">
        <v>350</v>
      </c>
      <c r="O799" s="26">
        <v>84</v>
      </c>
      <c r="P799" s="26" t="s">
        <v>293</v>
      </c>
    </row>
    <row r="800" spans="1:16" x14ac:dyDescent="0.3">
      <c r="A800" s="24">
        <v>26</v>
      </c>
      <c r="B800" s="102">
        <v>46064.366516203707</v>
      </c>
      <c r="C800" s="25" t="s">
        <v>356</v>
      </c>
      <c r="D800" s="103" t="s">
        <v>122</v>
      </c>
      <c r="E800" s="26">
        <v>47</v>
      </c>
      <c r="F800" s="26" t="s">
        <v>293</v>
      </c>
      <c r="K800" s="24">
        <v>26</v>
      </c>
      <c r="L800" s="102">
        <v>46064.366516203707</v>
      </c>
      <c r="M800" s="25" t="s">
        <v>357</v>
      </c>
      <c r="N800" s="103" t="s">
        <v>122</v>
      </c>
      <c r="O800" s="26">
        <v>218</v>
      </c>
      <c r="P800" s="26" t="s">
        <v>293</v>
      </c>
    </row>
    <row r="801" spans="1:16" x14ac:dyDescent="0.3">
      <c r="A801" s="24">
        <v>26</v>
      </c>
      <c r="B801" s="102">
        <v>46064.366516203707</v>
      </c>
      <c r="C801" s="25" t="s">
        <v>356</v>
      </c>
      <c r="D801" s="103" t="s">
        <v>124</v>
      </c>
      <c r="E801" s="26">
        <v>29</v>
      </c>
      <c r="F801" s="26" t="s">
        <v>293</v>
      </c>
      <c r="K801" s="24">
        <v>26</v>
      </c>
      <c r="L801" s="102">
        <v>46064.366516203707</v>
      </c>
      <c r="M801" s="25" t="s">
        <v>357</v>
      </c>
      <c r="N801" s="103" t="s">
        <v>124</v>
      </c>
      <c r="O801" s="26">
        <v>103</v>
      </c>
      <c r="P801" s="26" t="s">
        <v>293</v>
      </c>
    </row>
    <row r="802" spans="1:16" x14ac:dyDescent="0.3">
      <c r="A802" s="24">
        <v>26</v>
      </c>
      <c r="B802" s="102">
        <v>46064.366516203707</v>
      </c>
      <c r="C802" s="25" t="s">
        <v>356</v>
      </c>
      <c r="D802" s="103" t="s">
        <v>351</v>
      </c>
      <c r="E802" s="26">
        <v>0.99</v>
      </c>
      <c r="F802" s="26" t="s">
        <v>293</v>
      </c>
      <c r="K802" s="24">
        <v>26</v>
      </c>
      <c r="L802" s="102">
        <v>46064.366516203707</v>
      </c>
      <c r="M802" s="25" t="s">
        <v>357</v>
      </c>
      <c r="N802" s="103" t="s">
        <v>351</v>
      </c>
      <c r="O802" s="26">
        <v>3.59</v>
      </c>
      <c r="P802" s="26" t="s">
        <v>293</v>
      </c>
    </row>
    <row r="803" spans="1:16" x14ac:dyDescent="0.3">
      <c r="A803" s="24">
        <v>26</v>
      </c>
      <c r="B803" s="102">
        <v>46064.366516203707</v>
      </c>
      <c r="C803" s="25" t="s">
        <v>356</v>
      </c>
      <c r="D803" s="103" t="s">
        <v>353</v>
      </c>
      <c r="E803" s="26">
        <v>33.299999999999997</v>
      </c>
      <c r="F803" s="26" t="s">
        <v>293</v>
      </c>
      <c r="K803" s="24">
        <v>26</v>
      </c>
      <c r="L803" s="102">
        <v>46064.366516203707</v>
      </c>
      <c r="M803" s="25" t="s">
        <v>357</v>
      </c>
      <c r="N803" s="103" t="s">
        <v>353</v>
      </c>
      <c r="O803" s="26">
        <v>18.100000000000001</v>
      </c>
      <c r="P803" s="26" t="s">
        <v>293</v>
      </c>
    </row>
    <row r="804" spans="1:16" x14ac:dyDescent="0.3">
      <c r="A804" s="24">
        <v>26</v>
      </c>
      <c r="B804" s="102">
        <v>46064.366516203707</v>
      </c>
      <c r="C804" s="25" t="s">
        <v>356</v>
      </c>
      <c r="D804" s="103" t="s">
        <v>133</v>
      </c>
      <c r="E804" s="26">
        <v>146</v>
      </c>
      <c r="F804" s="26" t="s">
        <v>293</v>
      </c>
      <c r="K804" s="24">
        <v>26</v>
      </c>
      <c r="L804" s="102">
        <v>46064.366516203707</v>
      </c>
      <c r="M804" s="25" t="s">
        <v>357</v>
      </c>
      <c r="N804" s="103" t="s">
        <v>133</v>
      </c>
      <c r="O804" s="26">
        <v>129</v>
      </c>
      <c r="P804" s="26" t="s">
        <v>293</v>
      </c>
    </row>
    <row r="805" spans="1:16" x14ac:dyDescent="0.3">
      <c r="A805" s="24">
        <v>26</v>
      </c>
      <c r="B805" s="102">
        <v>46064.366516203707</v>
      </c>
      <c r="C805" s="25" t="s">
        <v>356</v>
      </c>
      <c r="D805" s="103" t="s">
        <v>135</v>
      </c>
      <c r="E805" s="26">
        <v>3.8</v>
      </c>
      <c r="F805" s="26" t="s">
        <v>293</v>
      </c>
      <c r="K805" s="24">
        <v>26</v>
      </c>
      <c r="L805" s="102">
        <v>46064.366516203707</v>
      </c>
      <c r="M805" s="25" t="s">
        <v>357</v>
      </c>
      <c r="N805" s="103" t="s">
        <v>135</v>
      </c>
      <c r="O805" s="26">
        <v>6.6</v>
      </c>
      <c r="P805" s="26" t="s">
        <v>293</v>
      </c>
    </row>
    <row r="806" spans="1:16" x14ac:dyDescent="0.3">
      <c r="A806" s="24">
        <v>26</v>
      </c>
      <c r="B806" s="102">
        <v>46064.366516203707</v>
      </c>
      <c r="C806" s="25" t="s">
        <v>356</v>
      </c>
      <c r="D806" s="103" t="s">
        <v>136</v>
      </c>
      <c r="E806" s="26">
        <v>114</v>
      </c>
      <c r="F806" s="26" t="s">
        <v>293</v>
      </c>
      <c r="K806" s="24">
        <v>26</v>
      </c>
      <c r="L806" s="102">
        <v>46064.366516203707</v>
      </c>
      <c r="M806" s="25" t="s">
        <v>357</v>
      </c>
      <c r="N806" s="103" t="s">
        <v>136</v>
      </c>
      <c r="O806" s="26">
        <v>94</v>
      </c>
      <c r="P806" s="26" t="s">
        <v>293</v>
      </c>
    </row>
    <row r="807" spans="1:16" x14ac:dyDescent="0.3">
      <c r="A807" s="24">
        <v>27</v>
      </c>
      <c r="B807" s="102">
        <v>46065</v>
      </c>
      <c r="C807" s="25" t="s">
        <v>356</v>
      </c>
      <c r="D807" s="103" t="s">
        <v>339</v>
      </c>
      <c r="E807" s="26">
        <v>4.54</v>
      </c>
      <c r="F807" s="26" t="s">
        <v>293</v>
      </c>
      <c r="K807" s="24">
        <v>27</v>
      </c>
      <c r="L807" s="102">
        <v>46065</v>
      </c>
      <c r="M807" s="25" t="s">
        <v>357</v>
      </c>
      <c r="N807" s="103" t="s">
        <v>339</v>
      </c>
      <c r="O807" s="26">
        <v>1.1299999999999999</v>
      </c>
      <c r="P807" s="26" t="s">
        <v>293</v>
      </c>
    </row>
    <row r="808" spans="1:16" x14ac:dyDescent="0.3">
      <c r="A808" s="24">
        <v>27</v>
      </c>
      <c r="B808" s="102">
        <v>46065</v>
      </c>
      <c r="C808" s="25" t="s">
        <v>356</v>
      </c>
      <c r="D808" s="103" t="s">
        <v>118</v>
      </c>
      <c r="E808" s="26">
        <v>4.5999999999999996</v>
      </c>
      <c r="F808" s="26" t="s">
        <v>293</v>
      </c>
      <c r="K808" s="24">
        <v>27</v>
      </c>
      <c r="L808" s="102">
        <v>46065</v>
      </c>
      <c r="M808" s="25" t="s">
        <v>357</v>
      </c>
      <c r="N808" s="103" t="s">
        <v>118</v>
      </c>
      <c r="O808" s="26">
        <v>9.5</v>
      </c>
      <c r="P808" s="26" t="s">
        <v>293</v>
      </c>
    </row>
    <row r="809" spans="1:16" x14ac:dyDescent="0.3">
      <c r="A809" s="24">
        <v>27</v>
      </c>
      <c r="B809" s="102">
        <v>46065</v>
      </c>
      <c r="C809" s="25" t="s">
        <v>356</v>
      </c>
      <c r="D809" s="103" t="s">
        <v>130</v>
      </c>
      <c r="E809" s="26">
        <v>3.83</v>
      </c>
      <c r="F809" s="26" t="s">
        <v>293</v>
      </c>
      <c r="K809" s="24">
        <v>27</v>
      </c>
      <c r="L809" s="102">
        <v>46065</v>
      </c>
      <c r="M809" s="25" t="s">
        <v>357</v>
      </c>
      <c r="N809" s="103" t="s">
        <v>130</v>
      </c>
      <c r="O809" s="26">
        <v>2.41</v>
      </c>
      <c r="P809" s="26" t="s">
        <v>293</v>
      </c>
    </row>
    <row r="810" spans="1:16" x14ac:dyDescent="0.3">
      <c r="A810" s="24">
        <v>27</v>
      </c>
      <c r="B810" s="102">
        <v>46065</v>
      </c>
      <c r="C810" s="25" t="s">
        <v>356</v>
      </c>
      <c r="D810" s="103" t="s">
        <v>341</v>
      </c>
      <c r="E810" s="26">
        <v>0.28999999999999998</v>
      </c>
      <c r="F810" s="26" t="s">
        <v>293</v>
      </c>
      <c r="K810" s="24">
        <v>27</v>
      </c>
      <c r="L810" s="102">
        <v>46065</v>
      </c>
      <c r="M810" s="25" t="s">
        <v>357</v>
      </c>
      <c r="N810" s="103" t="s">
        <v>341</v>
      </c>
      <c r="O810" s="26">
        <v>1.08</v>
      </c>
      <c r="P810" s="26" t="s">
        <v>293</v>
      </c>
    </row>
    <row r="811" spans="1:16" x14ac:dyDescent="0.3">
      <c r="A811" s="24">
        <v>27</v>
      </c>
      <c r="B811" s="102">
        <v>46065</v>
      </c>
      <c r="C811" s="25" t="s">
        <v>356</v>
      </c>
      <c r="D811" s="103" t="s">
        <v>127</v>
      </c>
      <c r="E811" s="26">
        <v>1.17</v>
      </c>
      <c r="F811" s="26" t="s">
        <v>293</v>
      </c>
      <c r="K811" s="24">
        <v>27</v>
      </c>
      <c r="L811" s="102">
        <v>46065</v>
      </c>
      <c r="M811" s="25" t="s">
        <v>357</v>
      </c>
      <c r="N811" s="103" t="s">
        <v>127</v>
      </c>
      <c r="O811" s="26">
        <v>4.55</v>
      </c>
      <c r="P811" s="26" t="s">
        <v>293</v>
      </c>
    </row>
    <row r="812" spans="1:16" x14ac:dyDescent="0.3">
      <c r="A812" s="24">
        <v>27</v>
      </c>
      <c r="B812" s="102">
        <v>46065</v>
      </c>
      <c r="C812" s="25" t="s">
        <v>356</v>
      </c>
      <c r="D812" s="103" t="s">
        <v>131</v>
      </c>
      <c r="E812" s="26">
        <v>8.6999999999999993</v>
      </c>
      <c r="F812" s="26" t="s">
        <v>293</v>
      </c>
      <c r="K812" s="24">
        <v>27</v>
      </c>
      <c r="L812" s="102">
        <v>46065</v>
      </c>
      <c r="M812" s="25" t="s">
        <v>357</v>
      </c>
      <c r="N812" s="103" t="s">
        <v>131</v>
      </c>
      <c r="O812" s="26">
        <v>11.9</v>
      </c>
      <c r="P812" s="26" t="s">
        <v>293</v>
      </c>
    </row>
    <row r="813" spans="1:16" x14ac:dyDescent="0.3">
      <c r="A813" s="24">
        <v>27</v>
      </c>
      <c r="B813" s="102">
        <v>46065</v>
      </c>
      <c r="C813" s="25" t="s">
        <v>356</v>
      </c>
      <c r="D813" s="103" t="s">
        <v>342</v>
      </c>
      <c r="E813" s="26">
        <v>307</v>
      </c>
      <c r="F813" s="26" t="s">
        <v>293</v>
      </c>
      <c r="K813" s="24">
        <v>27</v>
      </c>
      <c r="L813" s="102">
        <v>46065</v>
      </c>
      <c r="M813" s="25" t="s">
        <v>357</v>
      </c>
      <c r="N813" s="103" t="s">
        <v>342</v>
      </c>
      <c r="O813" s="26">
        <v>190</v>
      </c>
      <c r="P813" s="26" t="s">
        <v>293</v>
      </c>
    </row>
    <row r="814" spans="1:16" x14ac:dyDescent="0.3">
      <c r="A814" s="24">
        <v>27</v>
      </c>
      <c r="B814" s="102">
        <v>46065</v>
      </c>
      <c r="C814" s="25" t="s">
        <v>356</v>
      </c>
      <c r="D814" s="103" t="s">
        <v>119</v>
      </c>
      <c r="E814" s="26">
        <v>236</v>
      </c>
      <c r="F814" s="26" t="s">
        <v>293</v>
      </c>
      <c r="K814" s="24">
        <v>27</v>
      </c>
      <c r="L814" s="102">
        <v>46065</v>
      </c>
      <c r="M814" s="25" t="s">
        <v>357</v>
      </c>
      <c r="N814" s="103" t="s">
        <v>119</v>
      </c>
      <c r="O814" s="26">
        <v>85</v>
      </c>
      <c r="P814" s="26" t="s">
        <v>293</v>
      </c>
    </row>
    <row r="815" spans="1:16" x14ac:dyDescent="0.3">
      <c r="A815" s="24">
        <v>27</v>
      </c>
      <c r="B815" s="102">
        <v>46065</v>
      </c>
      <c r="C815" s="25" t="s">
        <v>356</v>
      </c>
      <c r="D815" s="103" t="s">
        <v>120</v>
      </c>
      <c r="E815" s="26">
        <v>77</v>
      </c>
      <c r="F815" s="26" t="s">
        <v>293</v>
      </c>
      <c r="K815" s="24">
        <v>27</v>
      </c>
      <c r="L815" s="102">
        <v>46065</v>
      </c>
      <c r="M815" s="25" t="s">
        <v>357</v>
      </c>
      <c r="N815" s="103" t="s">
        <v>120</v>
      </c>
      <c r="O815" s="26">
        <v>26</v>
      </c>
      <c r="P815" s="26" t="s">
        <v>293</v>
      </c>
    </row>
    <row r="816" spans="1:16" x14ac:dyDescent="0.3">
      <c r="A816" s="24">
        <v>27</v>
      </c>
      <c r="B816" s="102">
        <v>46065</v>
      </c>
      <c r="C816" s="25" t="s">
        <v>356</v>
      </c>
      <c r="D816" s="103" t="s">
        <v>117</v>
      </c>
      <c r="E816" s="26">
        <v>2.68</v>
      </c>
      <c r="F816" s="26" t="s">
        <v>293</v>
      </c>
      <c r="K816" s="24">
        <v>27</v>
      </c>
      <c r="L816" s="102">
        <v>46065</v>
      </c>
      <c r="M816" s="25" t="s">
        <v>357</v>
      </c>
      <c r="N816" s="103" t="s">
        <v>117</v>
      </c>
      <c r="O816" s="26">
        <v>6.15</v>
      </c>
      <c r="P816" s="26" t="s">
        <v>293</v>
      </c>
    </row>
    <row r="817" spans="1:16" x14ac:dyDescent="0.3">
      <c r="A817" s="24">
        <v>27</v>
      </c>
      <c r="B817" s="102">
        <v>46065</v>
      </c>
      <c r="C817" s="25" t="s">
        <v>356</v>
      </c>
      <c r="D817" s="103" t="s">
        <v>344</v>
      </c>
      <c r="E817" s="26">
        <v>232</v>
      </c>
      <c r="F817" s="26" t="s">
        <v>293</v>
      </c>
      <c r="K817" s="24">
        <v>27</v>
      </c>
      <c r="L817" s="102">
        <v>46065</v>
      </c>
      <c r="M817" s="25" t="s">
        <v>357</v>
      </c>
      <c r="N817" s="103" t="s">
        <v>344</v>
      </c>
      <c r="O817" s="26">
        <v>67</v>
      </c>
      <c r="P817" s="26" t="s">
        <v>293</v>
      </c>
    </row>
    <row r="818" spans="1:16" x14ac:dyDescent="0.3">
      <c r="A818" s="24">
        <v>27</v>
      </c>
      <c r="B818" s="102">
        <v>46065</v>
      </c>
      <c r="C818" s="25" t="s">
        <v>356</v>
      </c>
      <c r="D818" s="103" t="s">
        <v>132</v>
      </c>
      <c r="E818" s="26">
        <v>3.62</v>
      </c>
      <c r="F818" s="26" t="s">
        <v>293</v>
      </c>
      <c r="K818" s="24">
        <v>27</v>
      </c>
      <c r="L818" s="102">
        <v>46065</v>
      </c>
      <c r="M818" s="25" t="s">
        <v>357</v>
      </c>
      <c r="N818" s="103" t="s">
        <v>132</v>
      </c>
      <c r="O818" s="26">
        <v>7.3</v>
      </c>
      <c r="P818" s="26" t="s">
        <v>293</v>
      </c>
    </row>
    <row r="819" spans="1:16" x14ac:dyDescent="0.3">
      <c r="A819" s="24">
        <v>27</v>
      </c>
      <c r="B819" s="102">
        <v>46065</v>
      </c>
      <c r="C819" s="25" t="s">
        <v>356</v>
      </c>
      <c r="D819" s="103" t="s">
        <v>111</v>
      </c>
      <c r="E819" s="26">
        <v>88</v>
      </c>
      <c r="F819" s="26" t="s">
        <v>293</v>
      </c>
      <c r="K819" s="24">
        <v>27</v>
      </c>
      <c r="L819" s="102">
        <v>46065</v>
      </c>
      <c r="M819" s="25" t="s">
        <v>357</v>
      </c>
      <c r="N819" s="103" t="s">
        <v>111</v>
      </c>
      <c r="O819" s="26">
        <v>282</v>
      </c>
      <c r="P819" s="26" t="s">
        <v>293</v>
      </c>
    </row>
    <row r="820" spans="1:16" x14ac:dyDescent="0.3">
      <c r="A820" s="24">
        <v>27</v>
      </c>
      <c r="B820" s="102">
        <v>46065</v>
      </c>
      <c r="C820" s="25" t="s">
        <v>356</v>
      </c>
      <c r="D820" s="103" t="s">
        <v>345</v>
      </c>
      <c r="E820" s="26">
        <v>5.31</v>
      </c>
      <c r="F820" s="26" t="s">
        <v>293</v>
      </c>
      <c r="K820" s="24">
        <v>27</v>
      </c>
      <c r="L820" s="102">
        <v>46065</v>
      </c>
      <c r="M820" s="25" t="s">
        <v>357</v>
      </c>
      <c r="N820" s="103" t="s">
        <v>345</v>
      </c>
      <c r="O820" s="26">
        <v>9.7799999999999994</v>
      </c>
      <c r="P820" s="26" t="s">
        <v>293</v>
      </c>
    </row>
    <row r="821" spans="1:16" x14ac:dyDescent="0.3">
      <c r="A821" s="24">
        <v>27</v>
      </c>
      <c r="B821" s="102">
        <v>46065</v>
      </c>
      <c r="C821" s="25" t="s">
        <v>356</v>
      </c>
      <c r="D821" s="103" t="s">
        <v>347</v>
      </c>
      <c r="E821" s="26">
        <v>2.04</v>
      </c>
      <c r="F821" s="26" t="s">
        <v>293</v>
      </c>
      <c r="K821" s="24">
        <v>27</v>
      </c>
      <c r="L821" s="102">
        <v>46065</v>
      </c>
      <c r="M821" s="25" t="s">
        <v>357</v>
      </c>
      <c r="N821" s="103" t="s">
        <v>347</v>
      </c>
      <c r="O821" s="26">
        <v>4.45</v>
      </c>
      <c r="P821" s="26" t="s">
        <v>293</v>
      </c>
    </row>
    <row r="822" spans="1:16" x14ac:dyDescent="0.3">
      <c r="A822" s="24">
        <v>27</v>
      </c>
      <c r="B822" s="102">
        <v>46065</v>
      </c>
      <c r="C822" s="25" t="s">
        <v>356</v>
      </c>
      <c r="D822" s="103" t="s">
        <v>128</v>
      </c>
      <c r="E822" s="26">
        <v>6.9</v>
      </c>
      <c r="F822" s="26" t="s">
        <v>293</v>
      </c>
      <c r="K822" s="24">
        <v>27</v>
      </c>
      <c r="L822" s="102">
        <v>46065</v>
      </c>
      <c r="M822" s="25" t="s">
        <v>357</v>
      </c>
      <c r="N822" s="103" t="s">
        <v>128</v>
      </c>
      <c r="O822" s="26">
        <v>4.4000000000000004</v>
      </c>
      <c r="P822" s="26" t="s">
        <v>293</v>
      </c>
    </row>
    <row r="823" spans="1:16" x14ac:dyDescent="0.3">
      <c r="A823" s="24">
        <v>27</v>
      </c>
      <c r="B823" s="102">
        <v>46065</v>
      </c>
      <c r="C823" s="25" t="s">
        <v>356</v>
      </c>
      <c r="D823" s="103" t="s">
        <v>121</v>
      </c>
      <c r="E823" s="26">
        <v>157</v>
      </c>
      <c r="F823" s="26" t="s">
        <v>293</v>
      </c>
      <c r="K823" s="24">
        <v>27</v>
      </c>
      <c r="L823" s="102">
        <v>46065</v>
      </c>
      <c r="M823" s="25" t="s">
        <v>357</v>
      </c>
      <c r="N823" s="103" t="s">
        <v>121</v>
      </c>
      <c r="O823" s="26">
        <v>78</v>
      </c>
      <c r="P823" s="26" t="s">
        <v>293</v>
      </c>
    </row>
    <row r="824" spans="1:16" x14ac:dyDescent="0.3">
      <c r="A824" s="24">
        <v>27</v>
      </c>
      <c r="B824" s="102">
        <v>46065</v>
      </c>
      <c r="C824" s="25" t="s">
        <v>356</v>
      </c>
      <c r="D824" s="103" t="s">
        <v>115</v>
      </c>
      <c r="E824" s="26">
        <v>32</v>
      </c>
      <c r="F824" s="26" t="s">
        <v>293</v>
      </c>
      <c r="K824" s="24">
        <v>27</v>
      </c>
      <c r="L824" s="102">
        <v>46065</v>
      </c>
      <c r="M824" s="25" t="s">
        <v>357</v>
      </c>
      <c r="N824" s="103" t="s">
        <v>115</v>
      </c>
      <c r="O824" s="26">
        <v>95</v>
      </c>
      <c r="P824" s="26" t="s">
        <v>293</v>
      </c>
    </row>
    <row r="825" spans="1:16" x14ac:dyDescent="0.3">
      <c r="A825" s="24">
        <v>27</v>
      </c>
      <c r="B825" s="102">
        <v>46065</v>
      </c>
      <c r="C825" s="25" t="s">
        <v>356</v>
      </c>
      <c r="D825" s="103" t="s">
        <v>137</v>
      </c>
      <c r="E825" s="26">
        <v>74</v>
      </c>
      <c r="F825" s="26" t="s">
        <v>293</v>
      </c>
      <c r="K825" s="24">
        <v>27</v>
      </c>
      <c r="L825" s="102">
        <v>46065</v>
      </c>
      <c r="M825" s="25" t="s">
        <v>357</v>
      </c>
      <c r="N825" s="103" t="s">
        <v>137</v>
      </c>
      <c r="O825" s="26">
        <v>483</v>
      </c>
      <c r="P825" s="26" t="s">
        <v>293</v>
      </c>
    </row>
    <row r="826" spans="1:16" x14ac:dyDescent="0.3">
      <c r="A826" s="24">
        <v>27</v>
      </c>
      <c r="B826" s="102">
        <v>46065</v>
      </c>
      <c r="C826" s="25" t="s">
        <v>356</v>
      </c>
      <c r="D826" s="103" t="s">
        <v>348</v>
      </c>
      <c r="E826" s="26">
        <v>138</v>
      </c>
      <c r="F826" s="26" t="s">
        <v>293</v>
      </c>
      <c r="K826" s="24">
        <v>27</v>
      </c>
      <c r="L826" s="102">
        <v>46065</v>
      </c>
      <c r="M826" s="25" t="s">
        <v>357</v>
      </c>
      <c r="N826" s="103" t="s">
        <v>348</v>
      </c>
      <c r="O826" s="26">
        <v>426</v>
      </c>
      <c r="P826" s="26" t="s">
        <v>293</v>
      </c>
    </row>
    <row r="827" spans="1:16" x14ac:dyDescent="0.3">
      <c r="A827" s="24">
        <v>27</v>
      </c>
      <c r="B827" s="102">
        <v>46065</v>
      </c>
      <c r="C827" s="25" t="s">
        <v>356</v>
      </c>
      <c r="D827" s="103" t="s">
        <v>125</v>
      </c>
      <c r="E827" s="26">
        <v>109</v>
      </c>
      <c r="F827" s="26" t="s">
        <v>293</v>
      </c>
      <c r="K827" s="24">
        <v>27</v>
      </c>
      <c r="L827" s="102">
        <v>46065</v>
      </c>
      <c r="M827" s="25" t="s">
        <v>357</v>
      </c>
      <c r="N827" s="103" t="s">
        <v>125</v>
      </c>
      <c r="O827" s="26">
        <v>420</v>
      </c>
      <c r="P827" s="26" t="s">
        <v>293</v>
      </c>
    </row>
    <row r="828" spans="1:16" x14ac:dyDescent="0.3">
      <c r="A828" s="24">
        <v>27</v>
      </c>
      <c r="B828" s="102">
        <v>46065</v>
      </c>
      <c r="C828" s="25" t="s">
        <v>356</v>
      </c>
      <c r="D828" s="103" t="s">
        <v>126</v>
      </c>
      <c r="E828" s="26">
        <v>82</v>
      </c>
      <c r="F828" s="26" t="s">
        <v>293</v>
      </c>
      <c r="K828" s="24">
        <v>27</v>
      </c>
      <c r="L828" s="102">
        <v>46065</v>
      </c>
      <c r="M828" s="25" t="s">
        <v>357</v>
      </c>
      <c r="N828" s="103" t="s">
        <v>126</v>
      </c>
      <c r="O828" s="26">
        <v>153</v>
      </c>
      <c r="P828" s="26" t="s">
        <v>293</v>
      </c>
    </row>
    <row r="829" spans="1:16" x14ac:dyDescent="0.3">
      <c r="A829" s="24">
        <v>27</v>
      </c>
      <c r="B829" s="102">
        <v>46065</v>
      </c>
      <c r="C829" s="25" t="s">
        <v>356</v>
      </c>
      <c r="D829" s="103" t="s">
        <v>349</v>
      </c>
      <c r="E829" s="26">
        <v>167</v>
      </c>
      <c r="F829" s="26" t="s">
        <v>293</v>
      </c>
      <c r="K829" s="24">
        <v>27</v>
      </c>
      <c r="L829" s="102">
        <v>46065</v>
      </c>
      <c r="M829" s="25" t="s">
        <v>357</v>
      </c>
      <c r="N829" s="103" t="s">
        <v>349</v>
      </c>
      <c r="O829" s="26">
        <v>381</v>
      </c>
      <c r="P829" s="26" t="s">
        <v>293</v>
      </c>
    </row>
    <row r="830" spans="1:16" x14ac:dyDescent="0.3">
      <c r="A830" s="24">
        <v>27</v>
      </c>
      <c r="B830" s="102">
        <v>46065</v>
      </c>
      <c r="C830" s="25" t="s">
        <v>356</v>
      </c>
      <c r="D830" s="103" t="s">
        <v>350</v>
      </c>
      <c r="E830" s="26">
        <v>57</v>
      </c>
      <c r="F830" s="26" t="s">
        <v>293</v>
      </c>
      <c r="K830" s="24">
        <v>27</v>
      </c>
      <c r="L830" s="102">
        <v>46065</v>
      </c>
      <c r="M830" s="25" t="s">
        <v>357</v>
      </c>
      <c r="N830" s="103" t="s">
        <v>350</v>
      </c>
      <c r="O830" s="26">
        <v>81</v>
      </c>
      <c r="P830" s="26" t="s">
        <v>293</v>
      </c>
    </row>
    <row r="831" spans="1:16" x14ac:dyDescent="0.3">
      <c r="A831" s="24">
        <v>27</v>
      </c>
      <c r="B831" s="102">
        <v>46065</v>
      </c>
      <c r="C831" s="25" t="s">
        <v>356</v>
      </c>
      <c r="D831" s="103" t="s">
        <v>122</v>
      </c>
      <c r="E831" s="26">
        <v>46</v>
      </c>
      <c r="F831" s="26" t="s">
        <v>293</v>
      </c>
      <c r="K831" s="24">
        <v>27</v>
      </c>
      <c r="L831" s="102">
        <v>46065</v>
      </c>
      <c r="M831" s="25" t="s">
        <v>357</v>
      </c>
      <c r="N831" s="103" t="s">
        <v>122</v>
      </c>
      <c r="O831" s="26">
        <v>217</v>
      </c>
      <c r="P831" s="26" t="s">
        <v>293</v>
      </c>
    </row>
    <row r="832" spans="1:16" x14ac:dyDescent="0.3">
      <c r="A832" s="24">
        <v>27</v>
      </c>
      <c r="B832" s="102">
        <v>46065</v>
      </c>
      <c r="C832" s="25" t="s">
        <v>356</v>
      </c>
      <c r="D832" s="103" t="s">
        <v>124</v>
      </c>
      <c r="E832" s="26">
        <v>31</v>
      </c>
      <c r="F832" s="26" t="s">
        <v>293</v>
      </c>
      <c r="K832" s="24">
        <v>27</v>
      </c>
      <c r="L832" s="102">
        <v>46065</v>
      </c>
      <c r="M832" s="25" t="s">
        <v>357</v>
      </c>
      <c r="N832" s="103" t="s">
        <v>124</v>
      </c>
      <c r="O832" s="26">
        <v>106</v>
      </c>
      <c r="P832" s="26" t="s">
        <v>293</v>
      </c>
    </row>
    <row r="833" spans="1:16" x14ac:dyDescent="0.3">
      <c r="A833" s="24">
        <v>27</v>
      </c>
      <c r="B833" s="102">
        <v>46065</v>
      </c>
      <c r="C833" s="25" t="s">
        <v>356</v>
      </c>
      <c r="D833" s="103" t="s">
        <v>351</v>
      </c>
      <c r="E833" s="26">
        <v>0.95</v>
      </c>
      <c r="F833" s="26" t="s">
        <v>293</v>
      </c>
      <c r="K833" s="24">
        <v>27</v>
      </c>
      <c r="L833" s="102">
        <v>46065</v>
      </c>
      <c r="M833" s="25" t="s">
        <v>357</v>
      </c>
      <c r="N833" s="103" t="s">
        <v>351</v>
      </c>
      <c r="O833" s="26">
        <v>3.65</v>
      </c>
      <c r="P833" s="26" t="s">
        <v>293</v>
      </c>
    </row>
    <row r="834" spans="1:16" x14ac:dyDescent="0.3">
      <c r="A834" s="24">
        <v>27</v>
      </c>
      <c r="B834" s="102">
        <v>46065</v>
      </c>
      <c r="C834" s="25" t="s">
        <v>356</v>
      </c>
      <c r="D834" s="103" t="s">
        <v>353</v>
      </c>
      <c r="E834" s="26">
        <v>36</v>
      </c>
      <c r="F834" s="26" t="s">
        <v>293</v>
      </c>
      <c r="K834" s="24">
        <v>27</v>
      </c>
      <c r="L834" s="102">
        <v>46065</v>
      </c>
      <c r="M834" s="25" t="s">
        <v>357</v>
      </c>
      <c r="N834" s="103" t="s">
        <v>353</v>
      </c>
      <c r="O834" s="26">
        <v>20.3</v>
      </c>
      <c r="P834" s="26" t="s">
        <v>293</v>
      </c>
    </row>
    <row r="835" spans="1:16" x14ac:dyDescent="0.3">
      <c r="A835" s="24">
        <v>27</v>
      </c>
      <c r="B835" s="102">
        <v>46065</v>
      </c>
      <c r="C835" s="25" t="s">
        <v>356</v>
      </c>
      <c r="D835" s="103" t="s">
        <v>133</v>
      </c>
      <c r="E835" s="26">
        <v>145</v>
      </c>
      <c r="F835" s="26" t="s">
        <v>293</v>
      </c>
      <c r="K835" s="24">
        <v>27</v>
      </c>
      <c r="L835" s="102">
        <v>46065</v>
      </c>
      <c r="M835" s="25" t="s">
        <v>357</v>
      </c>
      <c r="N835" s="103" t="s">
        <v>133</v>
      </c>
      <c r="O835" s="26">
        <v>126</v>
      </c>
      <c r="P835" s="26" t="s">
        <v>293</v>
      </c>
    </row>
    <row r="836" spans="1:16" x14ac:dyDescent="0.3">
      <c r="A836" s="24">
        <v>27</v>
      </c>
      <c r="B836" s="102">
        <v>46065</v>
      </c>
      <c r="C836" s="25" t="s">
        <v>356</v>
      </c>
      <c r="D836" s="103" t="s">
        <v>135</v>
      </c>
      <c r="E836" s="26">
        <v>3.8</v>
      </c>
      <c r="F836" s="26" t="s">
        <v>293</v>
      </c>
      <c r="K836" s="24">
        <v>27</v>
      </c>
      <c r="L836" s="102">
        <v>46065</v>
      </c>
      <c r="M836" s="25" t="s">
        <v>357</v>
      </c>
      <c r="N836" s="103" t="s">
        <v>135</v>
      </c>
      <c r="O836" s="26">
        <v>6.5</v>
      </c>
      <c r="P836" s="26" t="s">
        <v>293</v>
      </c>
    </row>
    <row r="837" spans="1:16" x14ac:dyDescent="0.3">
      <c r="A837" s="24">
        <v>27</v>
      </c>
      <c r="B837" s="102">
        <v>46065</v>
      </c>
      <c r="C837" s="25" t="s">
        <v>356</v>
      </c>
      <c r="D837" s="103" t="s">
        <v>136</v>
      </c>
      <c r="E837" s="26">
        <v>115</v>
      </c>
      <c r="F837" s="26" t="s">
        <v>293</v>
      </c>
      <c r="K837" s="24">
        <v>27</v>
      </c>
      <c r="L837" s="102">
        <v>46065</v>
      </c>
      <c r="M837" s="25" t="s">
        <v>357</v>
      </c>
      <c r="N837" s="103" t="s">
        <v>136</v>
      </c>
      <c r="O837" s="26">
        <v>95</v>
      </c>
      <c r="P837" s="26" t="s">
        <v>293</v>
      </c>
    </row>
    <row r="838" spans="1:16" x14ac:dyDescent="0.3">
      <c r="A838" s="24">
        <v>28</v>
      </c>
      <c r="B838" s="102">
        <v>46072</v>
      </c>
      <c r="C838" s="25" t="s">
        <v>356</v>
      </c>
      <c r="D838" s="103" t="s">
        <v>339</v>
      </c>
      <c r="E838" s="26">
        <v>4.7</v>
      </c>
      <c r="F838" s="26" t="s">
        <v>293</v>
      </c>
      <c r="K838" s="24">
        <v>28</v>
      </c>
      <c r="L838" s="102">
        <v>46072</v>
      </c>
      <c r="M838" s="25" t="s">
        <v>357</v>
      </c>
      <c r="N838" s="103" t="s">
        <v>339</v>
      </c>
      <c r="O838" s="26">
        <v>1.25</v>
      </c>
      <c r="P838" s="26" t="s">
        <v>293</v>
      </c>
    </row>
    <row r="839" spans="1:16" x14ac:dyDescent="0.3">
      <c r="A839" s="24">
        <v>28</v>
      </c>
      <c r="B839" s="102">
        <v>46072</v>
      </c>
      <c r="C839" s="25" t="s">
        <v>356</v>
      </c>
      <c r="D839" s="103" t="s">
        <v>118</v>
      </c>
      <c r="E839" s="26">
        <v>4.5</v>
      </c>
      <c r="F839" s="26" t="s">
        <v>293</v>
      </c>
      <c r="K839" s="24">
        <v>28</v>
      </c>
      <c r="L839" s="102">
        <v>46072</v>
      </c>
      <c r="M839" s="25" t="s">
        <v>357</v>
      </c>
      <c r="N839" s="103" t="s">
        <v>118</v>
      </c>
      <c r="O839" s="26">
        <v>9.6</v>
      </c>
      <c r="P839" s="26" t="s">
        <v>293</v>
      </c>
    </row>
    <row r="840" spans="1:16" x14ac:dyDescent="0.3">
      <c r="A840" s="24">
        <v>28</v>
      </c>
      <c r="B840" s="102">
        <v>46072</v>
      </c>
      <c r="C840" s="25" t="s">
        <v>356</v>
      </c>
      <c r="D840" s="103" t="s">
        <v>130</v>
      </c>
      <c r="E840" s="26">
        <v>3.85</v>
      </c>
      <c r="F840" s="26" t="s">
        <v>293</v>
      </c>
      <c r="K840" s="24">
        <v>28</v>
      </c>
      <c r="L840" s="102">
        <v>46072</v>
      </c>
      <c r="M840" s="25" t="s">
        <v>357</v>
      </c>
      <c r="N840" s="103" t="s">
        <v>130</v>
      </c>
      <c r="O840" s="26">
        <v>2.4700000000000002</v>
      </c>
      <c r="P840" s="26" t="s">
        <v>293</v>
      </c>
    </row>
    <row r="841" spans="1:16" x14ac:dyDescent="0.3">
      <c r="A841" s="24">
        <v>28</v>
      </c>
      <c r="B841" s="102">
        <v>46072</v>
      </c>
      <c r="C841" s="25" t="s">
        <v>356</v>
      </c>
      <c r="D841" s="103" t="s">
        <v>341</v>
      </c>
      <c r="E841" s="26">
        <v>0.27</v>
      </c>
      <c r="F841" s="26" t="s">
        <v>293</v>
      </c>
      <c r="K841" s="24">
        <v>28</v>
      </c>
      <c r="L841" s="102">
        <v>46072</v>
      </c>
      <c r="M841" s="25" t="s">
        <v>357</v>
      </c>
      <c r="N841" s="103" t="s">
        <v>341</v>
      </c>
      <c r="O841" s="26">
        <v>1.05</v>
      </c>
      <c r="P841" s="26" t="s">
        <v>293</v>
      </c>
    </row>
    <row r="842" spans="1:16" x14ac:dyDescent="0.3">
      <c r="A842" s="24">
        <v>28</v>
      </c>
      <c r="B842" s="102">
        <v>46072</v>
      </c>
      <c r="C842" s="25" t="s">
        <v>356</v>
      </c>
      <c r="D842" s="103" t="s">
        <v>127</v>
      </c>
      <c r="E842" s="26">
        <v>1.18</v>
      </c>
      <c r="F842" s="26" t="s">
        <v>293</v>
      </c>
      <c r="K842" s="24">
        <v>28</v>
      </c>
      <c r="L842" s="102">
        <v>46072</v>
      </c>
      <c r="M842" s="25" t="s">
        <v>357</v>
      </c>
      <c r="N842" s="103" t="s">
        <v>127</v>
      </c>
      <c r="O842" s="26">
        <v>4.54</v>
      </c>
      <c r="P842" s="26" t="s">
        <v>293</v>
      </c>
    </row>
    <row r="843" spans="1:16" x14ac:dyDescent="0.3">
      <c r="A843" s="24">
        <v>28</v>
      </c>
      <c r="B843" s="102">
        <v>46072</v>
      </c>
      <c r="C843" s="25" t="s">
        <v>356</v>
      </c>
      <c r="D843" s="103" t="s">
        <v>131</v>
      </c>
      <c r="E843" s="26">
        <v>8.9</v>
      </c>
      <c r="F843" s="26" t="s">
        <v>293</v>
      </c>
      <c r="K843" s="24">
        <v>28</v>
      </c>
      <c r="L843" s="102">
        <v>46072</v>
      </c>
      <c r="M843" s="25" t="s">
        <v>357</v>
      </c>
      <c r="N843" s="103" t="s">
        <v>131</v>
      </c>
      <c r="O843" s="26">
        <v>12.3</v>
      </c>
      <c r="P843" s="26" t="s">
        <v>293</v>
      </c>
    </row>
    <row r="844" spans="1:16" x14ac:dyDescent="0.3">
      <c r="A844" s="24">
        <v>28</v>
      </c>
      <c r="B844" s="102">
        <v>46072</v>
      </c>
      <c r="C844" s="25" t="s">
        <v>356</v>
      </c>
      <c r="D844" s="103" t="s">
        <v>342</v>
      </c>
      <c r="E844" s="26">
        <v>319</v>
      </c>
      <c r="F844" s="26" t="s">
        <v>293</v>
      </c>
      <c r="K844" s="24">
        <v>28</v>
      </c>
      <c r="L844" s="102">
        <v>46072</v>
      </c>
      <c r="M844" s="25" t="s">
        <v>357</v>
      </c>
      <c r="N844" s="103" t="s">
        <v>342</v>
      </c>
      <c r="O844" s="26">
        <v>184</v>
      </c>
      <c r="P844" s="26" t="s">
        <v>293</v>
      </c>
    </row>
    <row r="845" spans="1:16" x14ac:dyDescent="0.3">
      <c r="A845" s="24">
        <v>28</v>
      </c>
      <c r="B845" s="102">
        <v>46072</v>
      </c>
      <c r="C845" s="25" t="s">
        <v>356</v>
      </c>
      <c r="D845" s="103" t="s">
        <v>119</v>
      </c>
      <c r="E845" s="26">
        <v>232</v>
      </c>
      <c r="F845" s="26" t="s">
        <v>293</v>
      </c>
      <c r="K845" s="24">
        <v>28</v>
      </c>
      <c r="L845" s="102">
        <v>46072</v>
      </c>
      <c r="M845" s="25" t="s">
        <v>357</v>
      </c>
      <c r="N845" s="103" t="s">
        <v>119</v>
      </c>
      <c r="O845" s="26">
        <v>82</v>
      </c>
      <c r="P845" s="26" t="s">
        <v>293</v>
      </c>
    </row>
    <row r="846" spans="1:16" x14ac:dyDescent="0.3">
      <c r="A846" s="24">
        <v>28</v>
      </c>
      <c r="B846" s="102">
        <v>46072</v>
      </c>
      <c r="C846" s="25" t="s">
        <v>356</v>
      </c>
      <c r="D846" s="103" t="s">
        <v>120</v>
      </c>
      <c r="E846" s="26">
        <v>77</v>
      </c>
      <c r="F846" s="26" t="s">
        <v>293</v>
      </c>
      <c r="K846" s="24">
        <v>28</v>
      </c>
      <c r="L846" s="102">
        <v>46072</v>
      </c>
      <c r="M846" s="25" t="s">
        <v>357</v>
      </c>
      <c r="N846" s="103" t="s">
        <v>120</v>
      </c>
      <c r="O846" s="26">
        <v>27</v>
      </c>
      <c r="P846" s="26" t="s">
        <v>293</v>
      </c>
    </row>
    <row r="847" spans="1:16" x14ac:dyDescent="0.3">
      <c r="A847" s="24">
        <v>28</v>
      </c>
      <c r="B847" s="102">
        <v>46072</v>
      </c>
      <c r="C847" s="25" t="s">
        <v>356</v>
      </c>
      <c r="D847" s="103" t="s">
        <v>117</v>
      </c>
      <c r="E847" s="26">
        <v>2.84</v>
      </c>
      <c r="F847" s="26" t="s">
        <v>293</v>
      </c>
      <c r="K847" s="24">
        <v>28</v>
      </c>
      <c r="L847" s="102">
        <v>46072</v>
      </c>
      <c r="M847" s="25" t="s">
        <v>357</v>
      </c>
      <c r="N847" s="103" t="s">
        <v>117</v>
      </c>
      <c r="O847" s="26">
        <v>6.4</v>
      </c>
      <c r="P847" s="26" t="s">
        <v>293</v>
      </c>
    </row>
    <row r="848" spans="1:16" x14ac:dyDescent="0.3">
      <c r="A848" s="24">
        <v>28</v>
      </c>
      <c r="B848" s="102">
        <v>46072</v>
      </c>
      <c r="C848" s="25" t="s">
        <v>356</v>
      </c>
      <c r="D848" s="103" t="s">
        <v>344</v>
      </c>
      <c r="E848" s="26">
        <v>230</v>
      </c>
      <c r="F848" s="26" t="s">
        <v>293</v>
      </c>
      <c r="K848" s="24">
        <v>28</v>
      </c>
      <c r="L848" s="102">
        <v>46072</v>
      </c>
      <c r="M848" s="25" t="s">
        <v>357</v>
      </c>
      <c r="N848" s="103" t="s">
        <v>344</v>
      </c>
      <c r="O848" s="26">
        <v>68</v>
      </c>
      <c r="P848" s="26" t="s">
        <v>293</v>
      </c>
    </row>
    <row r="849" spans="1:16" x14ac:dyDescent="0.3">
      <c r="A849" s="24">
        <v>28</v>
      </c>
      <c r="B849" s="102">
        <v>46072</v>
      </c>
      <c r="C849" s="25" t="s">
        <v>356</v>
      </c>
      <c r="D849" s="103" t="s">
        <v>132</v>
      </c>
      <c r="E849" s="26">
        <v>3.51</v>
      </c>
      <c r="F849" s="26" t="s">
        <v>293</v>
      </c>
      <c r="K849" s="24">
        <v>28</v>
      </c>
      <c r="L849" s="102">
        <v>46072</v>
      </c>
      <c r="M849" s="25" t="s">
        <v>357</v>
      </c>
      <c r="N849" s="103" t="s">
        <v>132</v>
      </c>
      <c r="O849" s="26">
        <v>7.41</v>
      </c>
      <c r="P849" s="26" t="s">
        <v>293</v>
      </c>
    </row>
    <row r="850" spans="1:16" x14ac:dyDescent="0.3">
      <c r="A850" s="24">
        <v>28</v>
      </c>
      <c r="B850" s="102">
        <v>46072</v>
      </c>
      <c r="C850" s="25" t="s">
        <v>356</v>
      </c>
      <c r="D850" s="103" t="s">
        <v>111</v>
      </c>
      <c r="E850" s="26">
        <v>89</v>
      </c>
      <c r="F850" s="26" t="s">
        <v>293</v>
      </c>
      <c r="K850" s="24">
        <v>28</v>
      </c>
      <c r="L850" s="102">
        <v>46072</v>
      </c>
      <c r="M850" s="25" t="s">
        <v>357</v>
      </c>
      <c r="N850" s="103" t="s">
        <v>111</v>
      </c>
      <c r="O850" s="26">
        <v>282</v>
      </c>
      <c r="P850" s="26" t="s">
        <v>293</v>
      </c>
    </row>
    <row r="851" spans="1:16" x14ac:dyDescent="0.3">
      <c r="A851" s="24">
        <v>28</v>
      </c>
      <c r="B851" s="102">
        <v>46072</v>
      </c>
      <c r="C851" s="25" t="s">
        <v>356</v>
      </c>
      <c r="D851" s="103" t="s">
        <v>345</v>
      </c>
      <c r="E851" s="26">
        <v>5.12</v>
      </c>
      <c r="F851" s="26" t="s">
        <v>293</v>
      </c>
      <c r="K851" s="24">
        <v>28</v>
      </c>
      <c r="L851" s="102">
        <v>46072</v>
      </c>
      <c r="M851" s="25" t="s">
        <v>357</v>
      </c>
      <c r="N851" s="103" t="s">
        <v>345</v>
      </c>
      <c r="O851" s="26">
        <v>10.199999999999999</v>
      </c>
      <c r="P851" s="26" t="s">
        <v>293</v>
      </c>
    </row>
    <row r="852" spans="1:16" x14ac:dyDescent="0.3">
      <c r="A852" s="24">
        <v>28</v>
      </c>
      <c r="B852" s="102">
        <v>46072</v>
      </c>
      <c r="C852" s="25" t="s">
        <v>356</v>
      </c>
      <c r="D852" s="103" t="s">
        <v>347</v>
      </c>
      <c r="E852" s="26">
        <v>2.19</v>
      </c>
      <c r="F852" s="26" t="s">
        <v>293</v>
      </c>
      <c r="K852" s="24">
        <v>28</v>
      </c>
      <c r="L852" s="102">
        <v>46072</v>
      </c>
      <c r="M852" s="25" t="s">
        <v>357</v>
      </c>
      <c r="N852" s="103" t="s">
        <v>347</v>
      </c>
      <c r="O852" s="26">
        <v>4.62</v>
      </c>
      <c r="P852" s="26" t="s">
        <v>293</v>
      </c>
    </row>
    <row r="853" spans="1:16" x14ac:dyDescent="0.3">
      <c r="A853" s="24">
        <v>28</v>
      </c>
      <c r="B853" s="102">
        <v>46072</v>
      </c>
      <c r="C853" s="25" t="s">
        <v>356</v>
      </c>
      <c r="D853" s="103" t="s">
        <v>128</v>
      </c>
      <c r="E853" s="26">
        <v>6.9</v>
      </c>
      <c r="F853" s="26" t="s">
        <v>293</v>
      </c>
      <c r="K853" s="24">
        <v>28</v>
      </c>
      <c r="L853" s="102">
        <v>46072</v>
      </c>
      <c r="M853" s="25" t="s">
        <v>357</v>
      </c>
      <c r="N853" s="103" t="s">
        <v>128</v>
      </c>
      <c r="O853" s="26">
        <v>4.5</v>
      </c>
      <c r="P853" s="26" t="s">
        <v>293</v>
      </c>
    </row>
    <row r="854" spans="1:16" x14ac:dyDescent="0.3">
      <c r="A854" s="24">
        <v>28</v>
      </c>
      <c r="B854" s="102">
        <v>46072</v>
      </c>
      <c r="C854" s="25" t="s">
        <v>356</v>
      </c>
      <c r="D854" s="103" t="s">
        <v>121</v>
      </c>
      <c r="E854" s="26">
        <v>165</v>
      </c>
      <c r="F854" s="26" t="s">
        <v>293</v>
      </c>
      <c r="K854" s="24">
        <v>28</v>
      </c>
      <c r="L854" s="102">
        <v>46072</v>
      </c>
      <c r="M854" s="25" t="s">
        <v>357</v>
      </c>
      <c r="N854" s="103" t="s">
        <v>121</v>
      </c>
      <c r="O854" s="26">
        <v>79</v>
      </c>
      <c r="P854" s="26" t="s">
        <v>293</v>
      </c>
    </row>
    <row r="855" spans="1:16" x14ac:dyDescent="0.3">
      <c r="A855" s="24">
        <v>28</v>
      </c>
      <c r="B855" s="102">
        <v>46072</v>
      </c>
      <c r="C855" s="25" t="s">
        <v>356</v>
      </c>
      <c r="D855" s="103" t="s">
        <v>115</v>
      </c>
      <c r="E855" s="26">
        <v>32</v>
      </c>
      <c r="F855" s="26" t="s">
        <v>293</v>
      </c>
      <c r="K855" s="24">
        <v>28</v>
      </c>
      <c r="L855" s="102">
        <v>46072</v>
      </c>
      <c r="M855" s="25" t="s">
        <v>357</v>
      </c>
      <c r="N855" s="103" t="s">
        <v>115</v>
      </c>
      <c r="O855" s="26">
        <v>94</v>
      </c>
      <c r="P855" s="26" t="s">
        <v>293</v>
      </c>
    </row>
    <row r="856" spans="1:16" x14ac:dyDescent="0.3">
      <c r="A856" s="24">
        <v>28</v>
      </c>
      <c r="B856" s="102">
        <v>46072</v>
      </c>
      <c r="C856" s="25" t="s">
        <v>356</v>
      </c>
      <c r="D856" s="103" t="s">
        <v>137</v>
      </c>
      <c r="E856" s="26">
        <v>75</v>
      </c>
      <c r="F856" s="26" t="s">
        <v>293</v>
      </c>
      <c r="K856" s="24">
        <v>28</v>
      </c>
      <c r="L856" s="102">
        <v>46072</v>
      </c>
      <c r="M856" s="25" t="s">
        <v>357</v>
      </c>
      <c r="N856" s="103" t="s">
        <v>137</v>
      </c>
      <c r="O856" s="26">
        <v>490</v>
      </c>
      <c r="P856" s="26" t="s">
        <v>293</v>
      </c>
    </row>
    <row r="857" spans="1:16" x14ac:dyDescent="0.3">
      <c r="A857" s="24">
        <v>28</v>
      </c>
      <c r="B857" s="102">
        <v>46072</v>
      </c>
      <c r="C857" s="25" t="s">
        <v>356</v>
      </c>
      <c r="D857" s="103" t="s">
        <v>348</v>
      </c>
      <c r="E857" s="26">
        <v>138</v>
      </c>
      <c r="F857" s="26" t="s">
        <v>293</v>
      </c>
      <c r="K857" s="24">
        <v>28</v>
      </c>
      <c r="L857" s="102">
        <v>46072</v>
      </c>
      <c r="M857" s="25" t="s">
        <v>357</v>
      </c>
      <c r="N857" s="103" t="s">
        <v>348</v>
      </c>
      <c r="O857" s="26">
        <v>429</v>
      </c>
      <c r="P857" s="26" t="s">
        <v>293</v>
      </c>
    </row>
    <row r="858" spans="1:16" x14ac:dyDescent="0.3">
      <c r="A858" s="24">
        <v>28</v>
      </c>
      <c r="B858" s="102">
        <v>46072</v>
      </c>
      <c r="C858" s="25" t="s">
        <v>356</v>
      </c>
      <c r="D858" s="103" t="s">
        <v>125</v>
      </c>
      <c r="E858" s="26">
        <v>117</v>
      </c>
      <c r="F858" s="26" t="s">
        <v>293</v>
      </c>
      <c r="K858" s="24">
        <v>28</v>
      </c>
      <c r="L858" s="102">
        <v>46072</v>
      </c>
      <c r="M858" s="25" t="s">
        <v>357</v>
      </c>
      <c r="N858" s="103" t="s">
        <v>125</v>
      </c>
      <c r="O858" s="26">
        <v>436</v>
      </c>
      <c r="P858" s="26" t="s">
        <v>293</v>
      </c>
    </row>
    <row r="859" spans="1:16" x14ac:dyDescent="0.3">
      <c r="A859" s="24">
        <v>28</v>
      </c>
      <c r="B859" s="102">
        <v>46072</v>
      </c>
      <c r="C859" s="25" t="s">
        <v>356</v>
      </c>
      <c r="D859" s="103" t="s">
        <v>126</v>
      </c>
      <c r="E859" s="26">
        <v>78</v>
      </c>
      <c r="F859" s="26" t="s">
        <v>293</v>
      </c>
      <c r="K859" s="24">
        <v>28</v>
      </c>
      <c r="L859" s="102">
        <v>46072</v>
      </c>
      <c r="M859" s="25" t="s">
        <v>357</v>
      </c>
      <c r="N859" s="103" t="s">
        <v>126</v>
      </c>
      <c r="O859" s="26">
        <v>151</v>
      </c>
      <c r="P859" s="26" t="s">
        <v>293</v>
      </c>
    </row>
    <row r="860" spans="1:16" x14ac:dyDescent="0.3">
      <c r="A860" s="24">
        <v>28</v>
      </c>
      <c r="B860" s="102">
        <v>46072</v>
      </c>
      <c r="C860" s="25" t="s">
        <v>356</v>
      </c>
      <c r="D860" s="103" t="s">
        <v>349</v>
      </c>
      <c r="E860" s="26">
        <v>157</v>
      </c>
      <c r="F860" s="26" t="s">
        <v>293</v>
      </c>
      <c r="K860" s="24">
        <v>28</v>
      </c>
      <c r="L860" s="102">
        <v>46072</v>
      </c>
      <c r="M860" s="25" t="s">
        <v>357</v>
      </c>
      <c r="N860" s="103" t="s">
        <v>349</v>
      </c>
      <c r="O860" s="26">
        <v>381</v>
      </c>
      <c r="P860" s="26" t="s">
        <v>293</v>
      </c>
    </row>
    <row r="861" spans="1:16" x14ac:dyDescent="0.3">
      <c r="A861" s="24">
        <v>28</v>
      </c>
      <c r="B861" s="102">
        <v>46072</v>
      </c>
      <c r="C861" s="25" t="s">
        <v>356</v>
      </c>
      <c r="D861" s="103" t="s">
        <v>350</v>
      </c>
      <c r="E861" s="26">
        <v>55</v>
      </c>
      <c r="F861" s="26" t="s">
        <v>293</v>
      </c>
      <c r="K861" s="24">
        <v>28</v>
      </c>
      <c r="L861" s="102">
        <v>46072</v>
      </c>
      <c r="M861" s="25" t="s">
        <v>357</v>
      </c>
      <c r="N861" s="103" t="s">
        <v>350</v>
      </c>
      <c r="O861" s="26">
        <v>82</v>
      </c>
      <c r="P861" s="26" t="s">
        <v>293</v>
      </c>
    </row>
    <row r="862" spans="1:16" x14ac:dyDescent="0.3">
      <c r="A862" s="24">
        <v>28</v>
      </c>
      <c r="B862" s="102">
        <v>46072</v>
      </c>
      <c r="C862" s="25" t="s">
        <v>356</v>
      </c>
      <c r="D862" s="103" t="s">
        <v>122</v>
      </c>
      <c r="E862" s="26">
        <v>48</v>
      </c>
      <c r="F862" s="26" t="s">
        <v>293</v>
      </c>
      <c r="K862" s="24">
        <v>28</v>
      </c>
      <c r="L862" s="102">
        <v>46072</v>
      </c>
      <c r="M862" s="25" t="s">
        <v>357</v>
      </c>
      <c r="N862" s="103" t="s">
        <v>122</v>
      </c>
      <c r="O862" s="26">
        <v>227</v>
      </c>
      <c r="P862" s="26" t="s">
        <v>293</v>
      </c>
    </row>
    <row r="863" spans="1:16" x14ac:dyDescent="0.3">
      <c r="A863" s="24">
        <v>28</v>
      </c>
      <c r="B863" s="102">
        <v>46072</v>
      </c>
      <c r="C863" s="25" t="s">
        <v>356</v>
      </c>
      <c r="D863" s="103" t="s">
        <v>124</v>
      </c>
      <c r="E863" s="26">
        <v>31</v>
      </c>
      <c r="F863" s="26" t="s">
        <v>293</v>
      </c>
      <c r="K863" s="24">
        <v>28</v>
      </c>
      <c r="L863" s="102">
        <v>46072</v>
      </c>
      <c r="M863" s="25" t="s">
        <v>357</v>
      </c>
      <c r="N863" s="103" t="s">
        <v>124</v>
      </c>
      <c r="O863" s="26">
        <v>105</v>
      </c>
      <c r="P863" s="26" t="s">
        <v>293</v>
      </c>
    </row>
    <row r="864" spans="1:16" x14ac:dyDescent="0.3">
      <c r="A864" s="24">
        <v>28</v>
      </c>
      <c r="B864" s="102">
        <v>46072</v>
      </c>
      <c r="C864" s="25" t="s">
        <v>356</v>
      </c>
      <c r="D864" s="103" t="s">
        <v>351</v>
      </c>
      <c r="E864" s="26">
        <v>0.97</v>
      </c>
      <c r="F864" s="26" t="s">
        <v>293</v>
      </c>
      <c r="K864" s="24">
        <v>28</v>
      </c>
      <c r="L864" s="102">
        <v>46072</v>
      </c>
      <c r="M864" s="25" t="s">
        <v>357</v>
      </c>
      <c r="N864" s="103" t="s">
        <v>351</v>
      </c>
      <c r="O864" s="26">
        <v>3.61</v>
      </c>
      <c r="P864" s="26" t="s">
        <v>293</v>
      </c>
    </row>
    <row r="865" spans="1:16" x14ac:dyDescent="0.3">
      <c r="A865" s="24">
        <v>28</v>
      </c>
      <c r="B865" s="102">
        <v>46072</v>
      </c>
      <c r="C865" s="25" t="s">
        <v>356</v>
      </c>
      <c r="D865" s="103" t="s">
        <v>353</v>
      </c>
      <c r="E865" s="26">
        <v>33.4</v>
      </c>
      <c r="F865" s="26" t="s">
        <v>293</v>
      </c>
      <c r="K865" s="24">
        <v>28</v>
      </c>
      <c r="L865" s="102">
        <v>46072</v>
      </c>
      <c r="M865" s="25" t="s">
        <v>357</v>
      </c>
      <c r="N865" s="103" t="s">
        <v>353</v>
      </c>
      <c r="O865" s="26">
        <v>16.399999999999999</v>
      </c>
      <c r="P865" s="26" t="s">
        <v>293</v>
      </c>
    </row>
    <row r="866" spans="1:16" x14ac:dyDescent="0.3">
      <c r="A866" s="24">
        <v>28</v>
      </c>
      <c r="B866" s="102">
        <v>46072</v>
      </c>
      <c r="C866" s="25" t="s">
        <v>356</v>
      </c>
      <c r="D866" s="103" t="s">
        <v>133</v>
      </c>
      <c r="E866" s="26">
        <v>145</v>
      </c>
      <c r="F866" s="26" t="s">
        <v>293</v>
      </c>
      <c r="K866" s="24">
        <v>28</v>
      </c>
      <c r="L866" s="102">
        <v>46072</v>
      </c>
      <c r="M866" s="25" t="s">
        <v>357</v>
      </c>
      <c r="N866" s="103" t="s">
        <v>133</v>
      </c>
      <c r="O866" s="26">
        <v>125</v>
      </c>
      <c r="P866" s="26" t="s">
        <v>293</v>
      </c>
    </row>
    <row r="867" spans="1:16" x14ac:dyDescent="0.3">
      <c r="A867" s="24">
        <v>28</v>
      </c>
      <c r="B867" s="102">
        <v>46072</v>
      </c>
      <c r="C867" s="25" t="s">
        <v>356</v>
      </c>
      <c r="D867" s="103" t="s">
        <v>135</v>
      </c>
      <c r="E867" s="26">
        <v>3.7</v>
      </c>
      <c r="F867" s="26" t="s">
        <v>293</v>
      </c>
      <c r="K867" s="24">
        <v>28</v>
      </c>
      <c r="L867" s="102">
        <v>46072</v>
      </c>
      <c r="M867" s="25" t="s">
        <v>357</v>
      </c>
      <c r="N867" s="103" t="s">
        <v>135</v>
      </c>
      <c r="O867" s="26">
        <v>6.5</v>
      </c>
      <c r="P867" s="26" t="s">
        <v>293</v>
      </c>
    </row>
    <row r="868" spans="1:16" x14ac:dyDescent="0.3">
      <c r="A868" s="24">
        <v>28</v>
      </c>
      <c r="B868" s="102">
        <v>46072</v>
      </c>
      <c r="C868" s="25" t="s">
        <v>356</v>
      </c>
      <c r="D868" s="103" t="s">
        <v>136</v>
      </c>
      <c r="E868" s="26">
        <v>118</v>
      </c>
      <c r="F868" s="26" t="s">
        <v>293</v>
      </c>
      <c r="K868" s="24">
        <v>28</v>
      </c>
      <c r="L868" s="102">
        <v>46072</v>
      </c>
      <c r="M868" s="25" t="s">
        <v>357</v>
      </c>
      <c r="N868" s="103" t="s">
        <v>136</v>
      </c>
      <c r="O868" s="26">
        <v>94</v>
      </c>
      <c r="P868" s="26" t="s">
        <v>293</v>
      </c>
    </row>
    <row r="869" spans="1:16" x14ac:dyDescent="0.3">
      <c r="A869" s="24">
        <v>29</v>
      </c>
      <c r="B869" s="102">
        <v>46073</v>
      </c>
      <c r="C869" s="25" t="s">
        <v>356</v>
      </c>
      <c r="D869" s="103" t="s">
        <v>339</v>
      </c>
      <c r="E869" s="26">
        <v>4.6100000000000003</v>
      </c>
      <c r="F869" s="26" t="s">
        <v>293</v>
      </c>
      <c r="K869" s="24">
        <v>29</v>
      </c>
      <c r="L869" s="102">
        <v>46073</v>
      </c>
      <c r="M869" s="25" t="s">
        <v>357</v>
      </c>
      <c r="N869" s="103" t="s">
        <v>339</v>
      </c>
      <c r="O869" s="26">
        <v>1.2</v>
      </c>
      <c r="P869" s="26" t="s">
        <v>293</v>
      </c>
    </row>
    <row r="870" spans="1:16" x14ac:dyDescent="0.3">
      <c r="A870" s="24">
        <v>29</v>
      </c>
      <c r="B870" s="102">
        <v>46073</v>
      </c>
      <c r="C870" s="25" t="s">
        <v>356</v>
      </c>
      <c r="D870" s="103" t="s">
        <v>118</v>
      </c>
      <c r="E870" s="26">
        <v>4.5999999999999996</v>
      </c>
      <c r="F870" s="26" t="s">
        <v>293</v>
      </c>
      <c r="K870" s="24">
        <v>29</v>
      </c>
      <c r="L870" s="102">
        <v>46073</v>
      </c>
      <c r="M870" s="25" t="s">
        <v>357</v>
      </c>
      <c r="N870" s="103" t="s">
        <v>118</v>
      </c>
      <c r="O870" s="26">
        <v>9.5</v>
      </c>
      <c r="P870" s="26" t="s">
        <v>293</v>
      </c>
    </row>
    <row r="871" spans="1:16" x14ac:dyDescent="0.3">
      <c r="A871" s="24">
        <v>29</v>
      </c>
      <c r="B871" s="102">
        <v>46073</v>
      </c>
      <c r="C871" s="25" t="s">
        <v>356</v>
      </c>
      <c r="D871" s="103" t="s">
        <v>130</v>
      </c>
      <c r="E871" s="26">
        <v>3.83</v>
      </c>
      <c r="F871" s="26" t="s">
        <v>293</v>
      </c>
      <c r="K871" s="24">
        <v>29</v>
      </c>
      <c r="L871" s="102">
        <v>46073</v>
      </c>
      <c r="M871" s="25" t="s">
        <v>357</v>
      </c>
      <c r="N871" s="103" t="s">
        <v>130</v>
      </c>
      <c r="O871" s="26">
        <v>2.48</v>
      </c>
      <c r="P871" s="26" t="s">
        <v>293</v>
      </c>
    </row>
    <row r="872" spans="1:16" x14ac:dyDescent="0.3">
      <c r="A872" s="24">
        <v>29</v>
      </c>
      <c r="B872" s="102">
        <v>46073</v>
      </c>
      <c r="C872" s="25" t="s">
        <v>356</v>
      </c>
      <c r="D872" s="103" t="s">
        <v>341</v>
      </c>
      <c r="E872" s="26">
        <v>0.28000000000000003</v>
      </c>
      <c r="F872" s="26" t="s">
        <v>293</v>
      </c>
      <c r="K872" s="24">
        <v>29</v>
      </c>
      <c r="L872" s="102">
        <v>46073</v>
      </c>
      <c r="M872" s="25" t="s">
        <v>357</v>
      </c>
      <c r="N872" s="103" t="s">
        <v>341</v>
      </c>
      <c r="O872" s="26">
        <v>1.06</v>
      </c>
      <c r="P872" s="26" t="s">
        <v>293</v>
      </c>
    </row>
    <row r="873" spans="1:16" x14ac:dyDescent="0.3">
      <c r="A873" s="24">
        <v>29</v>
      </c>
      <c r="B873" s="102">
        <v>46073</v>
      </c>
      <c r="C873" s="25" t="s">
        <v>356</v>
      </c>
      <c r="D873" s="103" t="s">
        <v>127</v>
      </c>
      <c r="E873" s="26">
        <v>1.1599999999999999</v>
      </c>
      <c r="F873" s="26" t="s">
        <v>293</v>
      </c>
      <c r="K873" s="24">
        <v>29</v>
      </c>
      <c r="L873" s="102">
        <v>46073</v>
      </c>
      <c r="M873" s="25" t="s">
        <v>357</v>
      </c>
      <c r="N873" s="103" t="s">
        <v>127</v>
      </c>
      <c r="O873" s="26">
        <v>4.5</v>
      </c>
      <c r="P873" s="26" t="s">
        <v>293</v>
      </c>
    </row>
    <row r="874" spans="1:16" x14ac:dyDescent="0.3">
      <c r="A874" s="24">
        <v>29</v>
      </c>
      <c r="B874" s="102">
        <v>46073</v>
      </c>
      <c r="C874" s="25" t="s">
        <v>356</v>
      </c>
      <c r="D874" s="103" t="s">
        <v>131</v>
      </c>
      <c r="E874" s="26">
        <v>8.6999999999999993</v>
      </c>
      <c r="F874" s="26" t="s">
        <v>293</v>
      </c>
      <c r="K874" s="24">
        <v>29</v>
      </c>
      <c r="L874" s="102">
        <v>46073</v>
      </c>
      <c r="M874" s="25" t="s">
        <v>357</v>
      </c>
      <c r="N874" s="103" t="s">
        <v>131</v>
      </c>
      <c r="O874" s="26">
        <v>12</v>
      </c>
      <c r="P874" s="26" t="s">
        <v>293</v>
      </c>
    </row>
    <row r="875" spans="1:16" x14ac:dyDescent="0.3">
      <c r="A875" s="24">
        <v>29</v>
      </c>
      <c r="B875" s="102">
        <v>46073</v>
      </c>
      <c r="C875" s="25" t="s">
        <v>356</v>
      </c>
      <c r="D875" s="103" t="s">
        <v>342</v>
      </c>
      <c r="E875" s="26">
        <v>332</v>
      </c>
      <c r="F875" s="26" t="s">
        <v>293</v>
      </c>
      <c r="K875" s="24">
        <v>29</v>
      </c>
      <c r="L875" s="102">
        <v>46073</v>
      </c>
      <c r="M875" s="25" t="s">
        <v>357</v>
      </c>
      <c r="N875" s="103" t="s">
        <v>342</v>
      </c>
      <c r="O875" s="26">
        <v>186</v>
      </c>
      <c r="P875" s="26" t="s">
        <v>293</v>
      </c>
    </row>
    <row r="876" spans="1:16" x14ac:dyDescent="0.3">
      <c r="A876" s="24">
        <v>29</v>
      </c>
      <c r="B876" s="102">
        <v>46073</v>
      </c>
      <c r="C876" s="25" t="s">
        <v>356</v>
      </c>
      <c r="D876" s="103" t="s">
        <v>119</v>
      </c>
      <c r="E876" s="26">
        <v>226</v>
      </c>
      <c r="F876" s="26" t="s">
        <v>293</v>
      </c>
      <c r="K876" s="24">
        <v>29</v>
      </c>
      <c r="L876" s="102">
        <v>46073</v>
      </c>
      <c r="M876" s="25" t="s">
        <v>357</v>
      </c>
      <c r="N876" s="103" t="s">
        <v>119</v>
      </c>
      <c r="O876" s="26">
        <v>82</v>
      </c>
      <c r="P876" s="26" t="s">
        <v>293</v>
      </c>
    </row>
    <row r="877" spans="1:16" x14ac:dyDescent="0.3">
      <c r="A877" s="24">
        <v>29</v>
      </c>
      <c r="B877" s="102">
        <v>46073</v>
      </c>
      <c r="C877" s="25" t="s">
        <v>356</v>
      </c>
      <c r="D877" s="103" t="s">
        <v>120</v>
      </c>
      <c r="E877" s="26">
        <v>75</v>
      </c>
      <c r="F877" s="26" t="s">
        <v>293</v>
      </c>
      <c r="K877" s="24">
        <v>29</v>
      </c>
      <c r="L877" s="102">
        <v>46073</v>
      </c>
      <c r="M877" s="25" t="s">
        <v>357</v>
      </c>
      <c r="N877" s="103" t="s">
        <v>120</v>
      </c>
      <c r="O877" s="26">
        <v>27</v>
      </c>
      <c r="P877" s="26" t="s">
        <v>293</v>
      </c>
    </row>
    <row r="878" spans="1:16" x14ac:dyDescent="0.3">
      <c r="A878" s="24">
        <v>29</v>
      </c>
      <c r="B878" s="102">
        <v>46073</v>
      </c>
      <c r="C878" s="25" t="s">
        <v>356</v>
      </c>
      <c r="D878" s="103" t="s">
        <v>117</v>
      </c>
      <c r="E878" s="26">
        <v>2.69</v>
      </c>
      <c r="F878" s="26" t="s">
        <v>293</v>
      </c>
      <c r="K878" s="24">
        <v>29</v>
      </c>
      <c r="L878" s="102">
        <v>46073</v>
      </c>
      <c r="M878" s="25" t="s">
        <v>357</v>
      </c>
      <c r="N878" s="103" t="s">
        <v>117</v>
      </c>
      <c r="O878" s="26">
        <v>6.16</v>
      </c>
      <c r="P878" s="26" t="s">
        <v>293</v>
      </c>
    </row>
    <row r="879" spans="1:16" x14ac:dyDescent="0.3">
      <c r="A879" s="24">
        <v>29</v>
      </c>
      <c r="B879" s="102">
        <v>46073</v>
      </c>
      <c r="C879" s="25" t="s">
        <v>356</v>
      </c>
      <c r="D879" s="103" t="s">
        <v>344</v>
      </c>
      <c r="E879" s="26">
        <v>232</v>
      </c>
      <c r="F879" s="26" t="s">
        <v>293</v>
      </c>
      <c r="K879" s="24">
        <v>29</v>
      </c>
      <c r="L879" s="102">
        <v>46073</v>
      </c>
      <c r="M879" s="25" t="s">
        <v>357</v>
      </c>
      <c r="N879" s="103" t="s">
        <v>344</v>
      </c>
      <c r="O879" s="26">
        <v>68</v>
      </c>
      <c r="P879" s="26" t="s">
        <v>293</v>
      </c>
    </row>
    <row r="880" spans="1:16" x14ac:dyDescent="0.3">
      <c r="A880" s="24">
        <v>29</v>
      </c>
      <c r="B880" s="102">
        <v>46073</v>
      </c>
      <c r="C880" s="25" t="s">
        <v>356</v>
      </c>
      <c r="D880" s="103" t="s">
        <v>132</v>
      </c>
      <c r="E880" s="26">
        <v>3.6</v>
      </c>
      <c r="F880" s="26" t="s">
        <v>293</v>
      </c>
      <c r="K880" s="24">
        <v>29</v>
      </c>
      <c r="L880" s="102">
        <v>46073</v>
      </c>
      <c r="M880" s="25" t="s">
        <v>357</v>
      </c>
      <c r="N880" s="103" t="s">
        <v>132</v>
      </c>
      <c r="O880" s="26">
        <v>7.31</v>
      </c>
      <c r="P880" s="26" t="s">
        <v>293</v>
      </c>
    </row>
    <row r="881" spans="1:16" x14ac:dyDescent="0.3">
      <c r="A881" s="24">
        <v>29</v>
      </c>
      <c r="B881" s="102">
        <v>46073</v>
      </c>
      <c r="C881" s="25" t="s">
        <v>356</v>
      </c>
      <c r="D881" s="103" t="s">
        <v>111</v>
      </c>
      <c r="E881" s="26">
        <v>87</v>
      </c>
      <c r="F881" s="26" t="s">
        <v>293</v>
      </c>
      <c r="K881" s="24">
        <v>29</v>
      </c>
      <c r="L881" s="102">
        <v>46073</v>
      </c>
      <c r="M881" s="25" t="s">
        <v>357</v>
      </c>
      <c r="N881" s="103" t="s">
        <v>111</v>
      </c>
      <c r="O881" s="26">
        <v>281</v>
      </c>
      <c r="P881" s="26" t="s">
        <v>293</v>
      </c>
    </row>
    <row r="882" spans="1:16" x14ac:dyDescent="0.3">
      <c r="A882" s="24">
        <v>29</v>
      </c>
      <c r="B882" s="102">
        <v>46073</v>
      </c>
      <c r="C882" s="25" t="s">
        <v>356</v>
      </c>
      <c r="D882" s="103" t="s">
        <v>345</v>
      </c>
      <c r="E882" s="26">
        <v>5.15</v>
      </c>
      <c r="F882" s="26" t="s">
        <v>293</v>
      </c>
      <c r="K882" s="24">
        <v>29</v>
      </c>
      <c r="L882" s="102">
        <v>46073</v>
      </c>
      <c r="M882" s="25" t="s">
        <v>357</v>
      </c>
      <c r="N882" s="103" t="s">
        <v>345</v>
      </c>
      <c r="O882" s="26">
        <v>9.99</v>
      </c>
      <c r="P882" s="26" t="s">
        <v>293</v>
      </c>
    </row>
    <row r="883" spans="1:16" x14ac:dyDescent="0.3">
      <c r="A883" s="24">
        <v>29</v>
      </c>
      <c r="B883" s="102">
        <v>46073</v>
      </c>
      <c r="C883" s="25" t="s">
        <v>356</v>
      </c>
      <c r="D883" s="103" t="s">
        <v>347</v>
      </c>
      <c r="E883" s="26">
        <v>2.0699999999999998</v>
      </c>
      <c r="F883" s="26" t="s">
        <v>293</v>
      </c>
      <c r="K883" s="24">
        <v>29</v>
      </c>
      <c r="L883" s="102">
        <v>46073</v>
      </c>
      <c r="M883" s="25" t="s">
        <v>357</v>
      </c>
      <c r="N883" s="103" t="s">
        <v>347</v>
      </c>
      <c r="O883" s="26">
        <v>4.62</v>
      </c>
      <c r="P883" s="26" t="s">
        <v>293</v>
      </c>
    </row>
    <row r="884" spans="1:16" x14ac:dyDescent="0.3">
      <c r="A884" s="24">
        <v>29</v>
      </c>
      <c r="B884" s="102">
        <v>46073</v>
      </c>
      <c r="C884" s="25" t="s">
        <v>356</v>
      </c>
      <c r="D884" s="103" t="s">
        <v>128</v>
      </c>
      <c r="E884" s="26">
        <v>6.9</v>
      </c>
      <c r="F884" s="26" t="s">
        <v>293</v>
      </c>
      <c r="K884" s="24">
        <v>29</v>
      </c>
      <c r="L884" s="102">
        <v>46073</v>
      </c>
      <c r="M884" s="25" t="s">
        <v>357</v>
      </c>
      <c r="N884" s="103" t="s">
        <v>128</v>
      </c>
      <c r="O884" s="26">
        <v>4.5</v>
      </c>
      <c r="P884" s="26" t="s">
        <v>293</v>
      </c>
    </row>
    <row r="885" spans="1:16" x14ac:dyDescent="0.3">
      <c r="A885" s="24">
        <v>29</v>
      </c>
      <c r="B885" s="102">
        <v>46073</v>
      </c>
      <c r="C885" s="25" t="s">
        <v>356</v>
      </c>
      <c r="D885" s="103" t="s">
        <v>121</v>
      </c>
      <c r="E885" s="26">
        <v>158</v>
      </c>
      <c r="F885" s="26" t="s">
        <v>293</v>
      </c>
      <c r="K885" s="24">
        <v>29</v>
      </c>
      <c r="L885" s="102">
        <v>46073</v>
      </c>
      <c r="M885" s="25" t="s">
        <v>357</v>
      </c>
      <c r="N885" s="103" t="s">
        <v>121</v>
      </c>
      <c r="O885" s="26">
        <v>80</v>
      </c>
      <c r="P885" s="26" t="s">
        <v>293</v>
      </c>
    </row>
    <row r="886" spans="1:16" x14ac:dyDescent="0.3">
      <c r="A886" s="24">
        <v>29</v>
      </c>
      <c r="B886" s="102">
        <v>46073</v>
      </c>
      <c r="C886" s="25" t="s">
        <v>356</v>
      </c>
      <c r="D886" s="103" t="s">
        <v>115</v>
      </c>
      <c r="E886" s="26">
        <v>32</v>
      </c>
      <c r="F886" s="26" t="s">
        <v>293</v>
      </c>
      <c r="K886" s="24">
        <v>29</v>
      </c>
      <c r="L886" s="102">
        <v>46073</v>
      </c>
      <c r="M886" s="25" t="s">
        <v>357</v>
      </c>
      <c r="N886" s="103" t="s">
        <v>115</v>
      </c>
      <c r="O886" s="26">
        <v>95</v>
      </c>
      <c r="P886" s="26" t="s">
        <v>293</v>
      </c>
    </row>
    <row r="887" spans="1:16" x14ac:dyDescent="0.3">
      <c r="A887" s="24">
        <v>29</v>
      </c>
      <c r="B887" s="102">
        <v>46073</v>
      </c>
      <c r="C887" s="25" t="s">
        <v>356</v>
      </c>
      <c r="D887" s="103" t="s">
        <v>137</v>
      </c>
      <c r="E887" s="26">
        <v>74</v>
      </c>
      <c r="F887" s="26" t="s">
        <v>293</v>
      </c>
      <c r="K887" s="24">
        <v>29</v>
      </c>
      <c r="L887" s="102">
        <v>46073</v>
      </c>
      <c r="M887" s="25" t="s">
        <v>357</v>
      </c>
      <c r="N887" s="103" t="s">
        <v>137</v>
      </c>
      <c r="O887" s="26">
        <v>488</v>
      </c>
      <c r="P887" s="26" t="s">
        <v>293</v>
      </c>
    </row>
    <row r="888" spans="1:16" x14ac:dyDescent="0.3">
      <c r="A888" s="24">
        <v>29</v>
      </c>
      <c r="B888" s="102">
        <v>46073</v>
      </c>
      <c r="C888" s="25" t="s">
        <v>356</v>
      </c>
      <c r="D888" s="103" t="s">
        <v>348</v>
      </c>
      <c r="E888" s="26">
        <v>135</v>
      </c>
      <c r="F888" s="26" t="s">
        <v>293</v>
      </c>
      <c r="K888" s="24">
        <v>29</v>
      </c>
      <c r="L888" s="102">
        <v>46073</v>
      </c>
      <c r="M888" s="25" t="s">
        <v>357</v>
      </c>
      <c r="N888" s="103" t="s">
        <v>348</v>
      </c>
      <c r="O888" s="26">
        <v>430</v>
      </c>
      <c r="P888" s="26" t="s">
        <v>293</v>
      </c>
    </row>
    <row r="889" spans="1:16" x14ac:dyDescent="0.3">
      <c r="A889" s="24">
        <v>29</v>
      </c>
      <c r="B889" s="102">
        <v>46073</v>
      </c>
      <c r="C889" s="25" t="s">
        <v>356</v>
      </c>
      <c r="D889" s="103" t="s">
        <v>125</v>
      </c>
      <c r="E889" s="26">
        <v>117</v>
      </c>
      <c r="F889" s="26" t="s">
        <v>293</v>
      </c>
      <c r="K889" s="24">
        <v>29</v>
      </c>
      <c r="L889" s="102">
        <v>46073</v>
      </c>
      <c r="M889" s="25" t="s">
        <v>357</v>
      </c>
      <c r="N889" s="103" t="s">
        <v>125</v>
      </c>
      <c r="O889" s="26">
        <v>425</v>
      </c>
      <c r="P889" s="26" t="s">
        <v>293</v>
      </c>
    </row>
    <row r="890" spans="1:16" x14ac:dyDescent="0.3">
      <c r="A890" s="24">
        <v>29</v>
      </c>
      <c r="B890" s="102">
        <v>46073</v>
      </c>
      <c r="C890" s="25" t="s">
        <v>356</v>
      </c>
      <c r="D890" s="103" t="s">
        <v>126</v>
      </c>
      <c r="E890" s="26">
        <v>81</v>
      </c>
      <c r="F890" s="26" t="s">
        <v>293</v>
      </c>
      <c r="K890" s="24">
        <v>29</v>
      </c>
      <c r="L890" s="102">
        <v>46073</v>
      </c>
      <c r="M890" s="25" t="s">
        <v>357</v>
      </c>
      <c r="N890" s="103" t="s">
        <v>126</v>
      </c>
      <c r="O890" s="26">
        <v>154</v>
      </c>
      <c r="P890" s="26" t="s">
        <v>293</v>
      </c>
    </row>
    <row r="891" spans="1:16" x14ac:dyDescent="0.3">
      <c r="A891" s="24">
        <v>29</v>
      </c>
      <c r="B891" s="102">
        <v>46073</v>
      </c>
      <c r="C891" s="25" t="s">
        <v>356</v>
      </c>
      <c r="D891" s="103" t="s">
        <v>349</v>
      </c>
      <c r="E891" s="26">
        <v>148</v>
      </c>
      <c r="F891" s="26" t="s">
        <v>293</v>
      </c>
      <c r="K891" s="24">
        <v>29</v>
      </c>
      <c r="L891" s="102">
        <v>46073</v>
      </c>
      <c r="M891" s="25" t="s">
        <v>357</v>
      </c>
      <c r="N891" s="103" t="s">
        <v>349</v>
      </c>
      <c r="O891" s="26">
        <v>374</v>
      </c>
      <c r="P891" s="26" t="s">
        <v>293</v>
      </c>
    </row>
    <row r="892" spans="1:16" x14ac:dyDescent="0.3">
      <c r="A892" s="24">
        <v>29</v>
      </c>
      <c r="B892" s="102">
        <v>46073</v>
      </c>
      <c r="C892" s="25" t="s">
        <v>356</v>
      </c>
      <c r="D892" s="103" t="s">
        <v>350</v>
      </c>
      <c r="E892" s="26">
        <v>61</v>
      </c>
      <c r="F892" s="26" t="s">
        <v>293</v>
      </c>
      <c r="K892" s="24">
        <v>29</v>
      </c>
      <c r="L892" s="102">
        <v>46073</v>
      </c>
      <c r="M892" s="25" t="s">
        <v>357</v>
      </c>
      <c r="N892" s="103" t="s">
        <v>350</v>
      </c>
      <c r="O892" s="26">
        <v>89</v>
      </c>
      <c r="P892" s="26" t="s">
        <v>293</v>
      </c>
    </row>
    <row r="893" spans="1:16" x14ac:dyDescent="0.3">
      <c r="A893" s="24">
        <v>29</v>
      </c>
      <c r="B893" s="102">
        <v>46073</v>
      </c>
      <c r="C893" s="25" t="s">
        <v>356</v>
      </c>
      <c r="D893" s="103" t="s">
        <v>122</v>
      </c>
      <c r="E893" s="26">
        <v>46</v>
      </c>
      <c r="F893" s="26" t="s">
        <v>293</v>
      </c>
      <c r="K893" s="24">
        <v>29</v>
      </c>
      <c r="L893" s="102">
        <v>46073</v>
      </c>
      <c r="M893" s="25" t="s">
        <v>357</v>
      </c>
      <c r="N893" s="103" t="s">
        <v>122</v>
      </c>
      <c r="O893" s="26">
        <v>221</v>
      </c>
      <c r="P893" s="26" t="s">
        <v>293</v>
      </c>
    </row>
    <row r="894" spans="1:16" x14ac:dyDescent="0.3">
      <c r="A894" s="24">
        <v>29</v>
      </c>
      <c r="B894" s="102">
        <v>46073</v>
      </c>
      <c r="C894" s="25" t="s">
        <v>356</v>
      </c>
      <c r="D894" s="103" t="s">
        <v>124</v>
      </c>
      <c r="E894" s="26">
        <v>30</v>
      </c>
      <c r="F894" s="26" t="s">
        <v>293</v>
      </c>
      <c r="K894" s="24">
        <v>29</v>
      </c>
      <c r="L894" s="102">
        <v>46073</v>
      </c>
      <c r="M894" s="25" t="s">
        <v>357</v>
      </c>
      <c r="N894" s="103" t="s">
        <v>124</v>
      </c>
      <c r="O894" s="26">
        <v>106</v>
      </c>
      <c r="P894" s="26" t="s">
        <v>293</v>
      </c>
    </row>
    <row r="895" spans="1:16" x14ac:dyDescent="0.3">
      <c r="A895" s="24">
        <v>29</v>
      </c>
      <c r="B895" s="102">
        <v>46073</v>
      </c>
      <c r="C895" s="25" t="s">
        <v>356</v>
      </c>
      <c r="D895" s="103" t="s">
        <v>351</v>
      </c>
      <c r="E895" s="26">
        <v>0.98</v>
      </c>
      <c r="F895" s="26" t="s">
        <v>293</v>
      </c>
      <c r="K895" s="24">
        <v>29</v>
      </c>
      <c r="L895" s="102">
        <v>46073</v>
      </c>
      <c r="M895" s="25" t="s">
        <v>357</v>
      </c>
      <c r="N895" s="103" t="s">
        <v>351</v>
      </c>
      <c r="O895" s="26">
        <v>3.56</v>
      </c>
      <c r="P895" s="26" t="s">
        <v>293</v>
      </c>
    </row>
    <row r="896" spans="1:16" x14ac:dyDescent="0.3">
      <c r="A896" s="24">
        <v>29</v>
      </c>
      <c r="B896" s="102">
        <v>46073</v>
      </c>
      <c r="C896" s="25" t="s">
        <v>356</v>
      </c>
      <c r="D896" s="103" t="s">
        <v>353</v>
      </c>
      <c r="E896" s="26">
        <v>32.200000000000003</v>
      </c>
      <c r="F896" s="26" t="s">
        <v>293</v>
      </c>
      <c r="K896" s="24">
        <v>29</v>
      </c>
      <c r="L896" s="102">
        <v>46073</v>
      </c>
      <c r="M896" s="25" t="s">
        <v>357</v>
      </c>
      <c r="N896" s="103" t="s">
        <v>353</v>
      </c>
      <c r="O896" s="26">
        <v>16.5</v>
      </c>
      <c r="P896" s="26" t="s">
        <v>293</v>
      </c>
    </row>
    <row r="897" spans="1:16" x14ac:dyDescent="0.3">
      <c r="A897" s="24">
        <v>29</v>
      </c>
      <c r="B897" s="102">
        <v>46073</v>
      </c>
      <c r="C897" s="25" t="s">
        <v>356</v>
      </c>
      <c r="D897" s="103" t="s">
        <v>133</v>
      </c>
      <c r="E897" s="26">
        <v>144</v>
      </c>
      <c r="F897" s="26" t="s">
        <v>293</v>
      </c>
      <c r="K897" s="24">
        <v>29</v>
      </c>
      <c r="L897" s="102">
        <v>46073</v>
      </c>
      <c r="M897" s="25" t="s">
        <v>357</v>
      </c>
      <c r="N897" s="103" t="s">
        <v>133</v>
      </c>
      <c r="O897" s="26">
        <v>125</v>
      </c>
      <c r="P897" s="26" t="s">
        <v>293</v>
      </c>
    </row>
    <row r="898" spans="1:16" x14ac:dyDescent="0.3">
      <c r="A898" s="24">
        <v>29</v>
      </c>
      <c r="B898" s="102">
        <v>46073</v>
      </c>
      <c r="C898" s="25" t="s">
        <v>356</v>
      </c>
      <c r="D898" s="103" t="s">
        <v>135</v>
      </c>
      <c r="E898" s="26">
        <v>3.7</v>
      </c>
      <c r="F898" s="26" t="s">
        <v>293</v>
      </c>
      <c r="K898" s="24">
        <v>29</v>
      </c>
      <c r="L898" s="102">
        <v>46073</v>
      </c>
      <c r="M898" s="25" t="s">
        <v>357</v>
      </c>
      <c r="N898" s="103" t="s">
        <v>135</v>
      </c>
      <c r="O898" s="26">
        <v>6.4</v>
      </c>
      <c r="P898" s="26" t="s">
        <v>293</v>
      </c>
    </row>
    <row r="899" spans="1:16" x14ac:dyDescent="0.3">
      <c r="A899" s="24">
        <v>29</v>
      </c>
      <c r="B899" s="102">
        <v>46073</v>
      </c>
      <c r="C899" s="25" t="s">
        <v>356</v>
      </c>
      <c r="D899" s="103" t="s">
        <v>136</v>
      </c>
      <c r="E899" s="26">
        <v>115</v>
      </c>
      <c r="F899" s="26" t="s">
        <v>293</v>
      </c>
      <c r="K899" s="24">
        <v>29</v>
      </c>
      <c r="L899" s="102">
        <v>46073</v>
      </c>
      <c r="M899" s="25" t="s">
        <v>357</v>
      </c>
      <c r="N899" s="103" t="s">
        <v>136</v>
      </c>
      <c r="O899" s="26">
        <v>95</v>
      </c>
      <c r="P899" s="26" t="s">
        <v>293</v>
      </c>
    </row>
    <row r="900" spans="1:16" x14ac:dyDescent="0.3">
      <c r="A900" s="24">
        <v>30</v>
      </c>
      <c r="B900" s="102">
        <v>46076</v>
      </c>
      <c r="C900" s="25" t="s">
        <v>356</v>
      </c>
      <c r="D900" s="103" t="s">
        <v>339</v>
      </c>
      <c r="E900" s="26">
        <v>4.68</v>
      </c>
      <c r="F900" s="26" t="s">
        <v>293</v>
      </c>
      <c r="K900" s="24">
        <v>30</v>
      </c>
      <c r="L900" s="102">
        <v>46076</v>
      </c>
      <c r="M900" s="25" t="s">
        <v>357</v>
      </c>
      <c r="N900" s="103" t="s">
        <v>339</v>
      </c>
      <c r="O900" s="26">
        <v>1.1499999999999999</v>
      </c>
      <c r="P900" s="26" t="s">
        <v>293</v>
      </c>
    </row>
    <row r="901" spans="1:16" x14ac:dyDescent="0.3">
      <c r="A901" s="24">
        <v>30</v>
      </c>
      <c r="B901" s="102">
        <v>46076</v>
      </c>
      <c r="C901" s="25" t="s">
        <v>356</v>
      </c>
      <c r="D901" s="103" t="s">
        <v>118</v>
      </c>
      <c r="E901" s="26">
        <v>4.5</v>
      </c>
      <c r="F901" s="26" t="s">
        <v>293</v>
      </c>
      <c r="K901" s="24">
        <v>30</v>
      </c>
      <c r="L901" s="102">
        <v>46076</v>
      </c>
      <c r="M901" s="25" t="s">
        <v>357</v>
      </c>
      <c r="N901" s="103" t="s">
        <v>118</v>
      </c>
      <c r="O901" s="26">
        <v>9.8000000000000007</v>
      </c>
      <c r="P901" s="26" t="s">
        <v>293</v>
      </c>
    </row>
    <row r="902" spans="1:16" x14ac:dyDescent="0.3">
      <c r="A902" s="24">
        <v>30</v>
      </c>
      <c r="B902" s="102">
        <v>46076</v>
      </c>
      <c r="C902" s="25" t="s">
        <v>356</v>
      </c>
      <c r="D902" s="103" t="s">
        <v>130</v>
      </c>
      <c r="E902" s="26">
        <v>3.82</v>
      </c>
      <c r="F902" s="26" t="s">
        <v>293</v>
      </c>
      <c r="K902" s="24">
        <v>30</v>
      </c>
      <c r="L902" s="102">
        <v>46076</v>
      </c>
      <c r="M902" s="25" t="s">
        <v>357</v>
      </c>
      <c r="N902" s="103" t="s">
        <v>130</v>
      </c>
      <c r="O902" s="26">
        <v>2.4500000000000002</v>
      </c>
      <c r="P902" s="26" t="s">
        <v>293</v>
      </c>
    </row>
    <row r="903" spans="1:16" x14ac:dyDescent="0.3">
      <c r="A903" s="24">
        <v>30</v>
      </c>
      <c r="B903" s="102">
        <v>46076</v>
      </c>
      <c r="C903" s="25" t="s">
        <v>356</v>
      </c>
      <c r="D903" s="103" t="s">
        <v>341</v>
      </c>
      <c r="E903" s="26">
        <v>0.27</v>
      </c>
      <c r="F903" s="26" t="s">
        <v>293</v>
      </c>
      <c r="K903" s="24">
        <v>30</v>
      </c>
      <c r="L903" s="102">
        <v>46076</v>
      </c>
      <c r="M903" s="25" t="s">
        <v>357</v>
      </c>
      <c r="N903" s="103" t="s">
        <v>341</v>
      </c>
      <c r="O903" s="26">
        <v>1.04</v>
      </c>
      <c r="P903" s="26" t="s">
        <v>293</v>
      </c>
    </row>
    <row r="904" spans="1:16" x14ac:dyDescent="0.3">
      <c r="A904" s="24">
        <v>30</v>
      </c>
      <c r="B904" s="102">
        <v>46076</v>
      </c>
      <c r="C904" s="25" t="s">
        <v>356</v>
      </c>
      <c r="D904" s="103" t="s">
        <v>127</v>
      </c>
      <c r="E904" s="26">
        <v>1.1399999999999999</v>
      </c>
      <c r="F904" s="26" t="s">
        <v>293</v>
      </c>
      <c r="K904" s="24">
        <v>30</v>
      </c>
      <c r="L904" s="102">
        <v>46076</v>
      </c>
      <c r="M904" s="25" t="s">
        <v>357</v>
      </c>
      <c r="N904" s="103" t="s">
        <v>127</v>
      </c>
      <c r="O904" s="26">
        <v>4.3899999999999997</v>
      </c>
      <c r="P904" s="26" t="s">
        <v>293</v>
      </c>
    </row>
    <row r="905" spans="1:16" x14ac:dyDescent="0.3">
      <c r="A905" s="24">
        <v>30</v>
      </c>
      <c r="B905" s="102">
        <v>46076</v>
      </c>
      <c r="C905" s="25" t="s">
        <v>356</v>
      </c>
      <c r="D905" s="103" t="s">
        <v>131</v>
      </c>
      <c r="E905" s="26">
        <v>9</v>
      </c>
      <c r="F905" s="26" t="s">
        <v>293</v>
      </c>
      <c r="K905" s="24">
        <v>30</v>
      </c>
      <c r="L905" s="102">
        <v>46076</v>
      </c>
      <c r="M905" s="25" t="s">
        <v>357</v>
      </c>
      <c r="N905" s="103" t="s">
        <v>131</v>
      </c>
      <c r="O905" s="26">
        <v>12.4</v>
      </c>
      <c r="P905" s="26" t="s">
        <v>293</v>
      </c>
    </row>
    <row r="906" spans="1:16" x14ac:dyDescent="0.3">
      <c r="A906" s="24">
        <v>30</v>
      </c>
      <c r="B906" s="102">
        <v>46076</v>
      </c>
      <c r="C906" s="25" t="s">
        <v>356</v>
      </c>
      <c r="D906" s="103" t="s">
        <v>342</v>
      </c>
      <c r="E906" s="26">
        <v>323</v>
      </c>
      <c r="F906" s="26" t="s">
        <v>293</v>
      </c>
      <c r="K906" s="24">
        <v>30</v>
      </c>
      <c r="L906" s="102">
        <v>46076</v>
      </c>
      <c r="M906" s="25" t="s">
        <v>357</v>
      </c>
      <c r="N906" s="103" t="s">
        <v>342</v>
      </c>
      <c r="O906" s="26">
        <v>192</v>
      </c>
      <c r="P906" s="26" t="s">
        <v>293</v>
      </c>
    </row>
    <row r="907" spans="1:16" x14ac:dyDescent="0.3">
      <c r="A907" s="24">
        <v>30</v>
      </c>
      <c r="B907" s="102">
        <v>46076</v>
      </c>
      <c r="C907" s="25" t="s">
        <v>356</v>
      </c>
      <c r="D907" s="103" t="s">
        <v>119</v>
      </c>
      <c r="E907" s="26">
        <v>238</v>
      </c>
      <c r="F907" s="26" t="s">
        <v>293</v>
      </c>
      <c r="K907" s="24">
        <v>30</v>
      </c>
      <c r="L907" s="102">
        <v>46076</v>
      </c>
      <c r="M907" s="25" t="s">
        <v>357</v>
      </c>
      <c r="N907" s="103" t="s">
        <v>119</v>
      </c>
      <c r="O907" s="26">
        <v>85</v>
      </c>
      <c r="P907" s="26" t="s">
        <v>293</v>
      </c>
    </row>
    <row r="908" spans="1:16" x14ac:dyDescent="0.3">
      <c r="A908" s="24">
        <v>30</v>
      </c>
      <c r="B908" s="102">
        <v>46076</v>
      </c>
      <c r="C908" s="25" t="s">
        <v>356</v>
      </c>
      <c r="D908" s="103" t="s">
        <v>120</v>
      </c>
      <c r="E908" s="26">
        <v>76</v>
      </c>
      <c r="F908" s="26" t="s">
        <v>293</v>
      </c>
      <c r="K908" s="24">
        <v>30</v>
      </c>
      <c r="L908" s="102">
        <v>46076</v>
      </c>
      <c r="M908" s="25" t="s">
        <v>357</v>
      </c>
      <c r="N908" s="103" t="s">
        <v>120</v>
      </c>
      <c r="O908" s="26">
        <v>27</v>
      </c>
      <c r="P908" s="26" t="s">
        <v>293</v>
      </c>
    </row>
    <row r="909" spans="1:16" x14ac:dyDescent="0.3">
      <c r="A909" s="24">
        <v>30</v>
      </c>
      <c r="B909" s="102">
        <v>46076</v>
      </c>
      <c r="C909" s="25" t="s">
        <v>356</v>
      </c>
      <c r="D909" s="103" t="s">
        <v>117</v>
      </c>
      <c r="E909" s="26">
        <v>2.65</v>
      </c>
      <c r="F909" s="26" t="s">
        <v>293</v>
      </c>
      <c r="K909" s="24">
        <v>30</v>
      </c>
      <c r="L909" s="102">
        <v>46076</v>
      </c>
      <c r="M909" s="25" t="s">
        <v>357</v>
      </c>
      <c r="N909" s="103" t="s">
        <v>117</v>
      </c>
      <c r="O909" s="26">
        <v>6.28</v>
      </c>
      <c r="P909" s="26" t="s">
        <v>293</v>
      </c>
    </row>
    <row r="910" spans="1:16" x14ac:dyDescent="0.3">
      <c r="A910" s="24">
        <v>30</v>
      </c>
      <c r="B910" s="102">
        <v>46076</v>
      </c>
      <c r="C910" s="25" t="s">
        <v>356</v>
      </c>
      <c r="D910" s="103" t="s">
        <v>344</v>
      </c>
      <c r="E910" s="26">
        <v>234</v>
      </c>
      <c r="F910" s="26" t="s">
        <v>293</v>
      </c>
      <c r="K910" s="24">
        <v>30</v>
      </c>
      <c r="L910" s="102">
        <v>46076</v>
      </c>
      <c r="M910" s="25" t="s">
        <v>357</v>
      </c>
      <c r="N910" s="103" t="s">
        <v>344</v>
      </c>
      <c r="O910" s="26">
        <v>69</v>
      </c>
      <c r="P910" s="26" t="s">
        <v>293</v>
      </c>
    </row>
    <row r="911" spans="1:16" x14ac:dyDescent="0.3">
      <c r="A911" s="24">
        <v>30</v>
      </c>
      <c r="B911" s="102">
        <v>46076</v>
      </c>
      <c r="C911" s="25" t="s">
        <v>356</v>
      </c>
      <c r="D911" s="103" t="s">
        <v>132</v>
      </c>
      <c r="E911" s="26">
        <v>3.74</v>
      </c>
      <c r="F911" s="26" t="s">
        <v>293</v>
      </c>
      <c r="K911" s="24">
        <v>30</v>
      </c>
      <c r="L911" s="102">
        <v>46076</v>
      </c>
      <c r="M911" s="25" t="s">
        <v>357</v>
      </c>
      <c r="N911" s="103" t="s">
        <v>132</v>
      </c>
      <c r="O911" s="26">
        <v>7.53</v>
      </c>
      <c r="P911" s="26" t="s">
        <v>293</v>
      </c>
    </row>
    <row r="912" spans="1:16" x14ac:dyDescent="0.3">
      <c r="A912" s="24">
        <v>30</v>
      </c>
      <c r="B912" s="102">
        <v>46076</v>
      </c>
      <c r="C912" s="25" t="s">
        <v>356</v>
      </c>
      <c r="D912" s="103" t="s">
        <v>111</v>
      </c>
      <c r="E912" s="26">
        <v>87</v>
      </c>
      <c r="F912" s="26" t="s">
        <v>293</v>
      </c>
      <c r="K912" s="24">
        <v>30</v>
      </c>
      <c r="L912" s="102">
        <v>46076</v>
      </c>
      <c r="M912" s="25" t="s">
        <v>357</v>
      </c>
      <c r="N912" s="103" t="s">
        <v>111</v>
      </c>
      <c r="O912" s="26">
        <v>281</v>
      </c>
      <c r="P912" s="26" t="s">
        <v>293</v>
      </c>
    </row>
    <row r="913" spans="1:16" x14ac:dyDescent="0.3">
      <c r="A913" s="24">
        <v>30</v>
      </c>
      <c r="B913" s="102">
        <v>46076</v>
      </c>
      <c r="C913" s="25" t="s">
        <v>356</v>
      </c>
      <c r="D913" s="103" t="s">
        <v>345</v>
      </c>
      <c r="E913" s="26">
        <v>5.21</v>
      </c>
      <c r="F913" s="26" t="s">
        <v>293</v>
      </c>
      <c r="K913" s="24">
        <v>30</v>
      </c>
      <c r="L913" s="102">
        <v>46076</v>
      </c>
      <c r="M913" s="25" t="s">
        <v>357</v>
      </c>
      <c r="N913" s="103" t="s">
        <v>345</v>
      </c>
      <c r="O913" s="26">
        <v>9.8000000000000007</v>
      </c>
      <c r="P913" s="26" t="s">
        <v>293</v>
      </c>
    </row>
    <row r="914" spans="1:16" x14ac:dyDescent="0.3">
      <c r="A914" s="24">
        <v>30</v>
      </c>
      <c r="B914" s="102">
        <v>46076</v>
      </c>
      <c r="C914" s="25" t="s">
        <v>356</v>
      </c>
      <c r="D914" s="103" t="s">
        <v>347</v>
      </c>
      <c r="E914" s="26">
        <v>2.0499999999999998</v>
      </c>
      <c r="F914" s="26" t="s">
        <v>293</v>
      </c>
      <c r="K914" s="24">
        <v>30</v>
      </c>
      <c r="L914" s="102">
        <v>46076</v>
      </c>
      <c r="M914" s="25" t="s">
        <v>357</v>
      </c>
      <c r="N914" s="103" t="s">
        <v>347</v>
      </c>
      <c r="O914" s="26">
        <v>4.6500000000000004</v>
      </c>
      <c r="P914" s="26" t="s">
        <v>293</v>
      </c>
    </row>
    <row r="915" spans="1:16" x14ac:dyDescent="0.3">
      <c r="A915" s="24">
        <v>30</v>
      </c>
      <c r="B915" s="102">
        <v>46076</v>
      </c>
      <c r="C915" s="25" t="s">
        <v>356</v>
      </c>
      <c r="D915" s="103" t="s">
        <v>128</v>
      </c>
      <c r="E915" s="26">
        <v>6.9</v>
      </c>
      <c r="F915" s="26" t="s">
        <v>293</v>
      </c>
      <c r="K915" s="24">
        <v>30</v>
      </c>
      <c r="L915" s="102">
        <v>46076</v>
      </c>
      <c r="M915" s="25" t="s">
        <v>357</v>
      </c>
      <c r="N915" s="103" t="s">
        <v>128</v>
      </c>
      <c r="O915" s="26">
        <v>4.5</v>
      </c>
      <c r="P915" s="26" t="s">
        <v>293</v>
      </c>
    </row>
    <row r="916" spans="1:16" x14ac:dyDescent="0.3">
      <c r="A916" s="24">
        <v>30</v>
      </c>
      <c r="B916" s="102">
        <v>46076</v>
      </c>
      <c r="C916" s="25" t="s">
        <v>356</v>
      </c>
      <c r="D916" s="103" t="s">
        <v>121</v>
      </c>
      <c r="E916" s="26">
        <v>161</v>
      </c>
      <c r="F916" s="26" t="s">
        <v>293</v>
      </c>
      <c r="K916" s="24">
        <v>30</v>
      </c>
      <c r="L916" s="102">
        <v>46076</v>
      </c>
      <c r="M916" s="25" t="s">
        <v>357</v>
      </c>
      <c r="N916" s="103" t="s">
        <v>121</v>
      </c>
      <c r="O916" s="26">
        <v>81</v>
      </c>
      <c r="P916" s="26" t="s">
        <v>293</v>
      </c>
    </row>
    <row r="917" spans="1:16" x14ac:dyDescent="0.3">
      <c r="A917" s="24">
        <v>30</v>
      </c>
      <c r="B917" s="102">
        <v>46076</v>
      </c>
      <c r="C917" s="25" t="s">
        <v>356</v>
      </c>
      <c r="D917" s="103" t="s">
        <v>115</v>
      </c>
      <c r="E917" s="26">
        <v>33</v>
      </c>
      <c r="F917" s="26" t="s">
        <v>293</v>
      </c>
      <c r="K917" s="24">
        <v>30</v>
      </c>
      <c r="L917" s="102">
        <v>46076</v>
      </c>
      <c r="M917" s="25" t="s">
        <v>357</v>
      </c>
      <c r="N917" s="103" t="s">
        <v>115</v>
      </c>
      <c r="O917" s="26">
        <v>98</v>
      </c>
      <c r="P917" s="26" t="s">
        <v>293</v>
      </c>
    </row>
    <row r="918" spans="1:16" x14ac:dyDescent="0.3">
      <c r="A918" s="24">
        <v>30</v>
      </c>
      <c r="B918" s="102">
        <v>46076</v>
      </c>
      <c r="C918" s="25" t="s">
        <v>356</v>
      </c>
      <c r="D918" s="103" t="s">
        <v>137</v>
      </c>
      <c r="E918" s="26">
        <v>75</v>
      </c>
      <c r="F918" s="26" t="s">
        <v>293</v>
      </c>
      <c r="K918" s="24">
        <v>30</v>
      </c>
      <c r="L918" s="102">
        <v>46076</v>
      </c>
      <c r="M918" s="25" t="s">
        <v>357</v>
      </c>
      <c r="N918" s="103" t="s">
        <v>137</v>
      </c>
      <c r="O918" s="26">
        <v>488</v>
      </c>
      <c r="P918" s="26" t="s">
        <v>293</v>
      </c>
    </row>
    <row r="919" spans="1:16" x14ac:dyDescent="0.3">
      <c r="A919" s="24">
        <v>30</v>
      </c>
      <c r="B919" s="102">
        <v>46076</v>
      </c>
      <c r="C919" s="25" t="s">
        <v>356</v>
      </c>
      <c r="D919" s="103" t="s">
        <v>348</v>
      </c>
      <c r="E919" s="26">
        <v>135</v>
      </c>
      <c r="F919" s="26" t="s">
        <v>293</v>
      </c>
      <c r="K919" s="24">
        <v>30</v>
      </c>
      <c r="L919" s="102">
        <v>46076</v>
      </c>
      <c r="M919" s="25" t="s">
        <v>357</v>
      </c>
      <c r="N919" s="103" t="s">
        <v>348</v>
      </c>
      <c r="O919" s="26">
        <v>429</v>
      </c>
      <c r="P919" s="26" t="s">
        <v>293</v>
      </c>
    </row>
    <row r="920" spans="1:16" x14ac:dyDescent="0.3">
      <c r="A920" s="24">
        <v>30</v>
      </c>
      <c r="B920" s="102">
        <v>46076</v>
      </c>
      <c r="C920" s="25" t="s">
        <v>356</v>
      </c>
      <c r="D920" s="103" t="s">
        <v>125</v>
      </c>
      <c r="E920" s="26">
        <v>117</v>
      </c>
      <c r="F920" s="26" t="s">
        <v>293</v>
      </c>
      <c r="K920" s="24">
        <v>30</v>
      </c>
      <c r="L920" s="102">
        <v>46076</v>
      </c>
      <c r="M920" s="25" t="s">
        <v>357</v>
      </c>
      <c r="N920" s="103" t="s">
        <v>125</v>
      </c>
      <c r="O920" s="26">
        <v>441</v>
      </c>
      <c r="P920" s="26" t="s">
        <v>293</v>
      </c>
    </row>
    <row r="921" spans="1:16" x14ac:dyDescent="0.3">
      <c r="A921" s="24">
        <v>30</v>
      </c>
      <c r="B921" s="102">
        <v>46076</v>
      </c>
      <c r="C921" s="25" t="s">
        <v>356</v>
      </c>
      <c r="D921" s="103" t="s">
        <v>126</v>
      </c>
      <c r="E921" s="26">
        <v>80</v>
      </c>
      <c r="F921" s="26" t="s">
        <v>293</v>
      </c>
      <c r="K921" s="24">
        <v>30</v>
      </c>
      <c r="L921" s="102">
        <v>46076</v>
      </c>
      <c r="M921" s="25" t="s">
        <v>357</v>
      </c>
      <c r="N921" s="103" t="s">
        <v>126</v>
      </c>
      <c r="O921" s="26">
        <v>151</v>
      </c>
      <c r="P921" s="26" t="s">
        <v>293</v>
      </c>
    </row>
    <row r="922" spans="1:16" x14ac:dyDescent="0.3">
      <c r="A922" s="24">
        <v>30</v>
      </c>
      <c r="B922" s="102">
        <v>46076</v>
      </c>
      <c r="C922" s="25" t="s">
        <v>356</v>
      </c>
      <c r="D922" s="103" t="s">
        <v>349</v>
      </c>
      <c r="E922" s="26">
        <v>154</v>
      </c>
      <c r="F922" s="26" t="s">
        <v>293</v>
      </c>
      <c r="K922" s="24">
        <v>30</v>
      </c>
      <c r="L922" s="102">
        <v>46076</v>
      </c>
      <c r="M922" s="25" t="s">
        <v>357</v>
      </c>
      <c r="N922" s="103" t="s">
        <v>349</v>
      </c>
      <c r="O922" s="26">
        <v>377</v>
      </c>
      <c r="P922" s="26" t="s">
        <v>293</v>
      </c>
    </row>
    <row r="923" spans="1:16" x14ac:dyDescent="0.3">
      <c r="A923" s="24">
        <v>30</v>
      </c>
      <c r="B923" s="102">
        <v>46076</v>
      </c>
      <c r="C923" s="25" t="s">
        <v>356</v>
      </c>
      <c r="D923" s="103" t="s">
        <v>350</v>
      </c>
      <c r="E923" s="26">
        <v>61</v>
      </c>
      <c r="F923" s="26" t="s">
        <v>293</v>
      </c>
      <c r="K923" s="24">
        <v>30</v>
      </c>
      <c r="L923" s="102">
        <v>46076</v>
      </c>
      <c r="M923" s="25" t="s">
        <v>357</v>
      </c>
      <c r="N923" s="103" t="s">
        <v>350</v>
      </c>
      <c r="O923" s="26">
        <v>87</v>
      </c>
      <c r="P923" s="26" t="s">
        <v>293</v>
      </c>
    </row>
    <row r="924" spans="1:16" x14ac:dyDescent="0.3">
      <c r="A924" s="24">
        <v>30</v>
      </c>
      <c r="B924" s="102">
        <v>46076</v>
      </c>
      <c r="C924" s="25" t="s">
        <v>356</v>
      </c>
      <c r="D924" s="103" t="s">
        <v>122</v>
      </c>
      <c r="E924" s="26">
        <v>46</v>
      </c>
      <c r="F924" s="26" t="s">
        <v>293</v>
      </c>
      <c r="K924" s="24">
        <v>30</v>
      </c>
      <c r="L924" s="102">
        <v>46076</v>
      </c>
      <c r="M924" s="25" t="s">
        <v>357</v>
      </c>
      <c r="N924" s="103" t="s">
        <v>122</v>
      </c>
      <c r="O924" s="26">
        <v>216</v>
      </c>
      <c r="P924" s="26" t="s">
        <v>293</v>
      </c>
    </row>
    <row r="925" spans="1:16" x14ac:dyDescent="0.3">
      <c r="A925" s="24">
        <v>30</v>
      </c>
      <c r="B925" s="102">
        <v>46076</v>
      </c>
      <c r="C925" s="25" t="s">
        <v>356</v>
      </c>
      <c r="D925" s="103" t="s">
        <v>124</v>
      </c>
      <c r="E925" s="26">
        <v>30</v>
      </c>
      <c r="F925" s="26" t="s">
        <v>293</v>
      </c>
      <c r="K925" s="24">
        <v>30</v>
      </c>
      <c r="L925" s="102">
        <v>46076</v>
      </c>
      <c r="M925" s="25" t="s">
        <v>357</v>
      </c>
      <c r="N925" s="103" t="s">
        <v>124</v>
      </c>
      <c r="O925" s="26">
        <v>104</v>
      </c>
      <c r="P925" s="26" t="s">
        <v>293</v>
      </c>
    </row>
    <row r="926" spans="1:16" x14ac:dyDescent="0.3">
      <c r="A926" s="24">
        <v>30</v>
      </c>
      <c r="B926" s="102">
        <v>46076</v>
      </c>
      <c r="C926" s="25" t="s">
        <v>356</v>
      </c>
      <c r="D926" s="103" t="s">
        <v>351</v>
      </c>
      <c r="E926" s="26">
        <v>0.95</v>
      </c>
      <c r="F926" s="26" t="s">
        <v>293</v>
      </c>
      <c r="K926" s="24">
        <v>30</v>
      </c>
      <c r="L926" s="102">
        <v>46076</v>
      </c>
      <c r="M926" s="25" t="s">
        <v>357</v>
      </c>
      <c r="N926" s="103" t="s">
        <v>351</v>
      </c>
      <c r="O926" s="26">
        <v>3.6</v>
      </c>
      <c r="P926" s="26" t="s">
        <v>293</v>
      </c>
    </row>
    <row r="927" spans="1:16" x14ac:dyDescent="0.3">
      <c r="A927" s="24">
        <v>30</v>
      </c>
      <c r="B927" s="102">
        <v>46076</v>
      </c>
      <c r="C927" s="25" t="s">
        <v>356</v>
      </c>
      <c r="D927" s="103" t="s">
        <v>353</v>
      </c>
      <c r="E927" s="26">
        <v>32.9</v>
      </c>
      <c r="F927" s="26" t="s">
        <v>293</v>
      </c>
      <c r="K927" s="24">
        <v>30</v>
      </c>
      <c r="L927" s="102">
        <v>46076</v>
      </c>
      <c r="M927" s="25" t="s">
        <v>357</v>
      </c>
      <c r="N927" s="103" t="s">
        <v>353</v>
      </c>
      <c r="O927" s="26">
        <v>15.7</v>
      </c>
      <c r="P927" s="26" t="s">
        <v>293</v>
      </c>
    </row>
    <row r="928" spans="1:16" x14ac:dyDescent="0.3">
      <c r="A928" s="24">
        <v>30</v>
      </c>
      <c r="B928" s="102">
        <v>46076</v>
      </c>
      <c r="C928" s="25" t="s">
        <v>356</v>
      </c>
      <c r="D928" s="103" t="s">
        <v>133</v>
      </c>
      <c r="E928" s="26">
        <v>143</v>
      </c>
      <c r="F928" s="26" t="s">
        <v>293</v>
      </c>
      <c r="K928" s="24">
        <v>30</v>
      </c>
      <c r="L928" s="102">
        <v>46076</v>
      </c>
      <c r="M928" s="25" t="s">
        <v>357</v>
      </c>
      <c r="N928" s="103" t="s">
        <v>133</v>
      </c>
      <c r="O928" s="26">
        <v>129</v>
      </c>
      <c r="P928" s="26" t="s">
        <v>293</v>
      </c>
    </row>
    <row r="929" spans="1:16" x14ac:dyDescent="0.3">
      <c r="A929" s="24">
        <v>30</v>
      </c>
      <c r="B929" s="102">
        <v>46076</v>
      </c>
      <c r="C929" s="25" t="s">
        <v>356</v>
      </c>
      <c r="D929" s="103" t="s">
        <v>135</v>
      </c>
      <c r="E929" s="26">
        <v>3.6</v>
      </c>
      <c r="F929" s="26" t="s">
        <v>293</v>
      </c>
      <c r="K929" s="24">
        <v>30</v>
      </c>
      <c r="L929" s="102">
        <v>46076</v>
      </c>
      <c r="M929" s="25" t="s">
        <v>357</v>
      </c>
      <c r="N929" s="103" t="s">
        <v>135</v>
      </c>
      <c r="O929" s="26">
        <v>6.6</v>
      </c>
      <c r="P929" s="26" t="s">
        <v>293</v>
      </c>
    </row>
    <row r="930" spans="1:16" x14ac:dyDescent="0.3">
      <c r="A930" s="24">
        <v>30</v>
      </c>
      <c r="B930" s="102">
        <v>46076</v>
      </c>
      <c r="C930" s="25" t="s">
        <v>356</v>
      </c>
      <c r="D930" s="103" t="s">
        <v>136</v>
      </c>
      <c r="E930" s="26">
        <v>116</v>
      </c>
      <c r="F930" s="26" t="s">
        <v>293</v>
      </c>
      <c r="K930" s="24">
        <v>30</v>
      </c>
      <c r="L930" s="102">
        <v>46076</v>
      </c>
      <c r="M930" s="25" t="s">
        <v>357</v>
      </c>
      <c r="N930" s="103" t="s">
        <v>136</v>
      </c>
      <c r="O930" s="26">
        <v>96</v>
      </c>
      <c r="P930" s="26" t="s">
        <v>293</v>
      </c>
    </row>
    <row r="931" spans="1:16" x14ac:dyDescent="0.3">
      <c r="A931" s="24">
        <v>31</v>
      </c>
      <c r="B931" s="102">
        <v>46077</v>
      </c>
      <c r="C931" s="25" t="s">
        <v>356</v>
      </c>
      <c r="D931" s="103" t="s">
        <v>339</v>
      </c>
      <c r="E931" s="26">
        <v>4.5</v>
      </c>
      <c r="F931" s="26" t="s">
        <v>293</v>
      </c>
      <c r="K931" s="24">
        <v>31</v>
      </c>
      <c r="L931" s="102">
        <v>46077</v>
      </c>
      <c r="M931" s="25" t="s">
        <v>357</v>
      </c>
      <c r="N931" s="103" t="s">
        <v>339</v>
      </c>
      <c r="O931" s="26">
        <v>1.28</v>
      </c>
      <c r="P931" s="26" t="s">
        <v>293</v>
      </c>
    </row>
    <row r="932" spans="1:16" x14ac:dyDescent="0.3">
      <c r="A932" s="24">
        <v>31</v>
      </c>
      <c r="B932" s="102">
        <v>46077</v>
      </c>
      <c r="C932" s="25" t="s">
        <v>356</v>
      </c>
      <c r="D932" s="103" t="s">
        <v>118</v>
      </c>
      <c r="E932" s="26">
        <v>4.5999999999999996</v>
      </c>
      <c r="F932" s="26" t="s">
        <v>293</v>
      </c>
      <c r="K932" s="24">
        <v>31</v>
      </c>
      <c r="L932" s="102">
        <v>46077</v>
      </c>
      <c r="M932" s="25" t="s">
        <v>357</v>
      </c>
      <c r="N932" s="103" t="s">
        <v>118</v>
      </c>
      <c r="O932" s="26">
        <v>9.6999999999999993</v>
      </c>
      <c r="P932" s="26" t="s">
        <v>293</v>
      </c>
    </row>
    <row r="933" spans="1:16" x14ac:dyDescent="0.3">
      <c r="A933" s="24">
        <v>31</v>
      </c>
      <c r="B933" s="102">
        <v>46077</v>
      </c>
      <c r="C933" s="25" t="s">
        <v>356</v>
      </c>
      <c r="D933" s="103" t="s">
        <v>130</v>
      </c>
      <c r="E933" s="26">
        <v>3.81</v>
      </c>
      <c r="F933" s="26" t="s">
        <v>293</v>
      </c>
      <c r="K933" s="24">
        <v>31</v>
      </c>
      <c r="L933" s="102">
        <v>46077</v>
      </c>
      <c r="M933" s="25" t="s">
        <v>357</v>
      </c>
      <c r="N933" s="103" t="s">
        <v>130</v>
      </c>
      <c r="O933" s="26">
        <v>2.39</v>
      </c>
      <c r="P933" s="26" t="s">
        <v>293</v>
      </c>
    </row>
    <row r="934" spans="1:16" x14ac:dyDescent="0.3">
      <c r="A934" s="24">
        <v>31</v>
      </c>
      <c r="B934" s="102">
        <v>46077</v>
      </c>
      <c r="C934" s="25" t="s">
        <v>356</v>
      </c>
      <c r="D934" s="103" t="s">
        <v>341</v>
      </c>
      <c r="E934" s="26">
        <v>0.28000000000000003</v>
      </c>
      <c r="F934" s="26" t="s">
        <v>293</v>
      </c>
      <c r="K934" s="24">
        <v>31</v>
      </c>
      <c r="L934" s="102">
        <v>46077</v>
      </c>
      <c r="M934" s="25" t="s">
        <v>357</v>
      </c>
      <c r="N934" s="103" t="s">
        <v>341</v>
      </c>
      <c r="O934" s="26">
        <v>1.1000000000000001</v>
      </c>
      <c r="P934" s="26" t="s">
        <v>293</v>
      </c>
    </row>
    <row r="935" spans="1:16" x14ac:dyDescent="0.3">
      <c r="A935" s="24">
        <v>31</v>
      </c>
      <c r="B935" s="102">
        <v>46077</v>
      </c>
      <c r="C935" s="25" t="s">
        <v>356</v>
      </c>
      <c r="D935" s="103" t="s">
        <v>127</v>
      </c>
      <c r="E935" s="26">
        <v>1.1399999999999999</v>
      </c>
      <c r="F935" s="26" t="s">
        <v>293</v>
      </c>
      <c r="K935" s="24">
        <v>31</v>
      </c>
      <c r="L935" s="102">
        <v>46077</v>
      </c>
      <c r="M935" s="25" t="s">
        <v>357</v>
      </c>
      <c r="N935" s="103" t="s">
        <v>127</v>
      </c>
      <c r="O935" s="26">
        <v>4.57</v>
      </c>
      <c r="P935" s="26" t="s">
        <v>293</v>
      </c>
    </row>
    <row r="936" spans="1:16" x14ac:dyDescent="0.3">
      <c r="A936" s="24">
        <v>31</v>
      </c>
      <c r="B936" s="102">
        <v>46077</v>
      </c>
      <c r="C936" s="25" t="s">
        <v>356</v>
      </c>
      <c r="D936" s="103" t="s">
        <v>131</v>
      </c>
      <c r="E936" s="26">
        <v>8.6999999999999993</v>
      </c>
      <c r="F936" s="26" t="s">
        <v>293</v>
      </c>
      <c r="K936" s="24">
        <v>31</v>
      </c>
      <c r="L936" s="102">
        <v>46077</v>
      </c>
      <c r="M936" s="25" t="s">
        <v>357</v>
      </c>
      <c r="N936" s="103" t="s">
        <v>131</v>
      </c>
      <c r="O936" s="26">
        <v>12</v>
      </c>
      <c r="P936" s="26" t="s">
        <v>293</v>
      </c>
    </row>
    <row r="937" spans="1:16" x14ac:dyDescent="0.3">
      <c r="A937" s="24">
        <v>31</v>
      </c>
      <c r="B937" s="102">
        <v>46077</v>
      </c>
      <c r="C937" s="25" t="s">
        <v>356</v>
      </c>
      <c r="D937" s="103" t="s">
        <v>342</v>
      </c>
      <c r="E937" s="26">
        <v>325</v>
      </c>
      <c r="F937" s="26" t="s">
        <v>293</v>
      </c>
      <c r="K937" s="24">
        <v>31</v>
      </c>
      <c r="L937" s="102">
        <v>46077</v>
      </c>
      <c r="M937" s="25" t="s">
        <v>357</v>
      </c>
      <c r="N937" s="103" t="s">
        <v>342</v>
      </c>
      <c r="O937" s="26">
        <v>185</v>
      </c>
      <c r="P937" s="26" t="s">
        <v>293</v>
      </c>
    </row>
    <row r="938" spans="1:16" x14ac:dyDescent="0.3">
      <c r="A938" s="24">
        <v>31</v>
      </c>
      <c r="B938" s="102">
        <v>46077</v>
      </c>
      <c r="C938" s="25" t="s">
        <v>356</v>
      </c>
      <c r="D938" s="103" t="s">
        <v>119</v>
      </c>
      <c r="E938" s="26">
        <v>237</v>
      </c>
      <c r="F938" s="26" t="s">
        <v>293</v>
      </c>
      <c r="K938" s="24">
        <v>31</v>
      </c>
      <c r="L938" s="102">
        <v>46077</v>
      </c>
      <c r="M938" s="25" t="s">
        <v>357</v>
      </c>
      <c r="N938" s="103" t="s">
        <v>119</v>
      </c>
      <c r="O938" s="26">
        <v>84</v>
      </c>
      <c r="P938" s="26" t="s">
        <v>293</v>
      </c>
    </row>
    <row r="939" spans="1:16" x14ac:dyDescent="0.3">
      <c r="A939" s="24">
        <v>31</v>
      </c>
      <c r="B939" s="102">
        <v>46077</v>
      </c>
      <c r="C939" s="25" t="s">
        <v>356</v>
      </c>
      <c r="D939" s="103" t="s">
        <v>120</v>
      </c>
      <c r="E939" s="26">
        <v>80</v>
      </c>
      <c r="F939" s="26" t="s">
        <v>293</v>
      </c>
      <c r="K939" s="24">
        <v>31</v>
      </c>
      <c r="L939" s="102">
        <v>46077</v>
      </c>
      <c r="M939" s="25" t="s">
        <v>357</v>
      </c>
      <c r="N939" s="103" t="s">
        <v>120</v>
      </c>
      <c r="O939" s="26">
        <v>27</v>
      </c>
      <c r="P939" s="26" t="s">
        <v>293</v>
      </c>
    </row>
    <row r="940" spans="1:16" x14ac:dyDescent="0.3">
      <c r="A940" s="24">
        <v>31</v>
      </c>
      <c r="B940" s="102">
        <v>46077</v>
      </c>
      <c r="C940" s="25" t="s">
        <v>356</v>
      </c>
      <c r="D940" s="103" t="s">
        <v>117</v>
      </c>
      <c r="E940" s="26">
        <v>2.65</v>
      </c>
      <c r="F940" s="26" t="s">
        <v>293</v>
      </c>
      <c r="K940" s="24">
        <v>31</v>
      </c>
      <c r="L940" s="102">
        <v>46077</v>
      </c>
      <c r="M940" s="25" t="s">
        <v>357</v>
      </c>
      <c r="N940" s="103" t="s">
        <v>117</v>
      </c>
      <c r="O940" s="26">
        <v>6.2</v>
      </c>
      <c r="P940" s="26" t="s">
        <v>293</v>
      </c>
    </row>
    <row r="941" spans="1:16" x14ac:dyDescent="0.3">
      <c r="A941" s="24">
        <v>31</v>
      </c>
      <c r="B941" s="102">
        <v>46077</v>
      </c>
      <c r="C941" s="25" t="s">
        <v>356</v>
      </c>
      <c r="D941" s="103" t="s">
        <v>344</v>
      </c>
      <c r="E941" s="26">
        <v>234</v>
      </c>
      <c r="F941" s="26" t="s">
        <v>293</v>
      </c>
      <c r="K941" s="24">
        <v>31</v>
      </c>
      <c r="L941" s="102">
        <v>46077</v>
      </c>
      <c r="M941" s="25" t="s">
        <v>357</v>
      </c>
      <c r="N941" s="103" t="s">
        <v>344</v>
      </c>
      <c r="O941" s="26">
        <v>68</v>
      </c>
      <c r="P941" s="26" t="s">
        <v>293</v>
      </c>
    </row>
    <row r="942" spans="1:16" x14ac:dyDescent="0.3">
      <c r="A942" s="24">
        <v>31</v>
      </c>
      <c r="B942" s="102">
        <v>46077</v>
      </c>
      <c r="C942" s="25" t="s">
        <v>356</v>
      </c>
      <c r="D942" s="103" t="s">
        <v>132</v>
      </c>
      <c r="E942" s="26">
        <v>3.68</v>
      </c>
      <c r="F942" s="26" t="s">
        <v>293</v>
      </c>
      <c r="K942" s="24">
        <v>31</v>
      </c>
      <c r="L942" s="102">
        <v>46077</v>
      </c>
      <c r="M942" s="25" t="s">
        <v>357</v>
      </c>
      <c r="N942" s="103" t="s">
        <v>132</v>
      </c>
      <c r="O942" s="26">
        <v>7.55</v>
      </c>
      <c r="P942" s="26" t="s">
        <v>293</v>
      </c>
    </row>
    <row r="943" spans="1:16" x14ac:dyDescent="0.3">
      <c r="A943" s="24">
        <v>31</v>
      </c>
      <c r="B943" s="102">
        <v>46077</v>
      </c>
      <c r="C943" s="25" t="s">
        <v>356</v>
      </c>
      <c r="D943" s="103" t="s">
        <v>111</v>
      </c>
      <c r="E943" s="26">
        <v>86</v>
      </c>
      <c r="F943" s="26" t="s">
        <v>293</v>
      </c>
      <c r="K943" s="24">
        <v>31</v>
      </c>
      <c r="L943" s="102">
        <v>46077</v>
      </c>
      <c r="M943" s="25" t="s">
        <v>357</v>
      </c>
      <c r="N943" s="103" t="s">
        <v>111</v>
      </c>
      <c r="O943" s="26">
        <v>279</v>
      </c>
      <c r="P943" s="26" t="s">
        <v>293</v>
      </c>
    </row>
    <row r="944" spans="1:16" x14ac:dyDescent="0.3">
      <c r="A944" s="24">
        <v>31</v>
      </c>
      <c r="B944" s="102">
        <v>46077</v>
      </c>
      <c r="C944" s="25" t="s">
        <v>356</v>
      </c>
      <c r="D944" s="103" t="s">
        <v>345</v>
      </c>
      <c r="E944" s="26">
        <v>5.14</v>
      </c>
      <c r="F944" s="26" t="s">
        <v>293</v>
      </c>
      <c r="K944" s="24">
        <v>31</v>
      </c>
      <c r="L944" s="102">
        <v>46077</v>
      </c>
      <c r="M944" s="25" t="s">
        <v>357</v>
      </c>
      <c r="N944" s="103" t="s">
        <v>345</v>
      </c>
      <c r="O944" s="26">
        <v>10</v>
      </c>
      <c r="P944" s="26" t="s">
        <v>293</v>
      </c>
    </row>
    <row r="945" spans="1:16" x14ac:dyDescent="0.3">
      <c r="A945" s="24">
        <v>31</v>
      </c>
      <c r="B945" s="102">
        <v>46077</v>
      </c>
      <c r="C945" s="25" t="s">
        <v>356</v>
      </c>
      <c r="D945" s="103" t="s">
        <v>347</v>
      </c>
      <c r="E945" s="26">
        <v>1.95</v>
      </c>
      <c r="F945" s="26" t="s">
        <v>293</v>
      </c>
      <c r="K945" s="24">
        <v>31</v>
      </c>
      <c r="L945" s="102">
        <v>46077</v>
      </c>
      <c r="M945" s="25" t="s">
        <v>357</v>
      </c>
      <c r="N945" s="103" t="s">
        <v>347</v>
      </c>
      <c r="O945" s="26">
        <v>4.3899999999999997</v>
      </c>
      <c r="P945" s="26" t="s">
        <v>293</v>
      </c>
    </row>
    <row r="946" spans="1:16" x14ac:dyDescent="0.3">
      <c r="A946" s="24">
        <v>31</v>
      </c>
      <c r="B946" s="102">
        <v>46077</v>
      </c>
      <c r="C946" s="25" t="s">
        <v>356</v>
      </c>
      <c r="D946" s="103" t="s">
        <v>128</v>
      </c>
      <c r="E946" s="26">
        <v>6.6</v>
      </c>
      <c r="F946" s="26" t="s">
        <v>293</v>
      </c>
      <c r="K946" s="24">
        <v>31</v>
      </c>
      <c r="L946" s="102">
        <v>46077</v>
      </c>
      <c r="M946" s="25" t="s">
        <v>357</v>
      </c>
      <c r="N946" s="103" t="s">
        <v>128</v>
      </c>
      <c r="O946" s="26">
        <v>4.3</v>
      </c>
      <c r="P946" s="26" t="s">
        <v>293</v>
      </c>
    </row>
    <row r="947" spans="1:16" x14ac:dyDescent="0.3">
      <c r="A947" s="24">
        <v>31</v>
      </c>
      <c r="B947" s="102">
        <v>46077</v>
      </c>
      <c r="C947" s="25" t="s">
        <v>356</v>
      </c>
      <c r="D947" s="103" t="s">
        <v>121</v>
      </c>
      <c r="E947" s="26">
        <v>159</v>
      </c>
      <c r="F947" s="26" t="s">
        <v>293</v>
      </c>
      <c r="K947" s="24">
        <v>31</v>
      </c>
      <c r="L947" s="102">
        <v>46077</v>
      </c>
      <c r="M947" s="25" t="s">
        <v>357</v>
      </c>
      <c r="N947" s="103" t="s">
        <v>121</v>
      </c>
      <c r="O947" s="26">
        <v>82</v>
      </c>
      <c r="P947" s="26" t="s">
        <v>293</v>
      </c>
    </row>
    <row r="948" spans="1:16" x14ac:dyDescent="0.3">
      <c r="A948" s="24">
        <v>31</v>
      </c>
      <c r="B948" s="102">
        <v>46077</v>
      </c>
      <c r="C948" s="25" t="s">
        <v>356</v>
      </c>
      <c r="D948" s="103" t="s">
        <v>115</v>
      </c>
      <c r="E948" s="26">
        <v>32</v>
      </c>
      <c r="F948" s="26" t="s">
        <v>293</v>
      </c>
      <c r="K948" s="24">
        <v>31</v>
      </c>
      <c r="L948" s="102">
        <v>46077</v>
      </c>
      <c r="M948" s="25" t="s">
        <v>357</v>
      </c>
      <c r="N948" s="103" t="s">
        <v>115</v>
      </c>
      <c r="O948" s="26">
        <v>96</v>
      </c>
      <c r="P948" s="26" t="s">
        <v>293</v>
      </c>
    </row>
    <row r="949" spans="1:16" x14ac:dyDescent="0.3">
      <c r="A949" s="24">
        <v>31</v>
      </c>
      <c r="B949" s="102">
        <v>46077</v>
      </c>
      <c r="C949" s="25" t="s">
        <v>356</v>
      </c>
      <c r="D949" s="103" t="s">
        <v>137</v>
      </c>
      <c r="E949" s="26">
        <v>75</v>
      </c>
      <c r="F949" s="26" t="s">
        <v>293</v>
      </c>
      <c r="K949" s="24">
        <v>31</v>
      </c>
      <c r="L949" s="102">
        <v>46077</v>
      </c>
      <c r="M949" s="25" t="s">
        <v>357</v>
      </c>
      <c r="N949" s="103" t="s">
        <v>137</v>
      </c>
      <c r="O949" s="26">
        <v>484</v>
      </c>
      <c r="P949" s="26" t="s">
        <v>293</v>
      </c>
    </row>
    <row r="950" spans="1:16" x14ac:dyDescent="0.3">
      <c r="A950" s="24">
        <v>31</v>
      </c>
      <c r="B950" s="102">
        <v>46077</v>
      </c>
      <c r="C950" s="25" t="s">
        <v>356</v>
      </c>
      <c r="D950" s="103" t="s">
        <v>348</v>
      </c>
      <c r="E950" s="26">
        <v>141</v>
      </c>
      <c r="F950" s="26" t="s">
        <v>293</v>
      </c>
      <c r="K950" s="24">
        <v>31</v>
      </c>
      <c r="L950" s="102">
        <v>46077</v>
      </c>
      <c r="M950" s="25" t="s">
        <v>357</v>
      </c>
      <c r="N950" s="103" t="s">
        <v>348</v>
      </c>
      <c r="O950" s="26">
        <v>434</v>
      </c>
      <c r="P950" s="26" t="s">
        <v>293</v>
      </c>
    </row>
    <row r="951" spans="1:16" x14ac:dyDescent="0.3">
      <c r="A951" s="24">
        <v>31</v>
      </c>
      <c r="B951" s="102">
        <v>46077</v>
      </c>
      <c r="C951" s="25" t="s">
        <v>356</v>
      </c>
      <c r="D951" s="103" t="s">
        <v>125</v>
      </c>
      <c r="E951" s="26">
        <v>104</v>
      </c>
      <c r="F951" s="26" t="s">
        <v>293</v>
      </c>
      <c r="K951" s="24">
        <v>31</v>
      </c>
      <c r="L951" s="102">
        <v>46077</v>
      </c>
      <c r="M951" s="25" t="s">
        <v>357</v>
      </c>
      <c r="N951" s="103" t="s">
        <v>125</v>
      </c>
      <c r="O951" s="26">
        <v>423</v>
      </c>
      <c r="P951" s="26" t="s">
        <v>293</v>
      </c>
    </row>
    <row r="952" spans="1:16" x14ac:dyDescent="0.3">
      <c r="A952" s="24">
        <v>31</v>
      </c>
      <c r="B952" s="102">
        <v>46077</v>
      </c>
      <c r="C952" s="25" t="s">
        <v>356</v>
      </c>
      <c r="D952" s="103" t="s">
        <v>126</v>
      </c>
      <c r="E952" s="26">
        <v>78</v>
      </c>
      <c r="F952" s="26" t="s">
        <v>293</v>
      </c>
      <c r="K952" s="24">
        <v>31</v>
      </c>
      <c r="L952" s="102">
        <v>46077</v>
      </c>
      <c r="M952" s="25" t="s">
        <v>357</v>
      </c>
      <c r="N952" s="103" t="s">
        <v>126</v>
      </c>
      <c r="O952" s="26">
        <v>148</v>
      </c>
      <c r="P952" s="26" t="s">
        <v>293</v>
      </c>
    </row>
    <row r="953" spans="1:16" x14ac:dyDescent="0.3">
      <c r="A953" s="24">
        <v>31</v>
      </c>
      <c r="B953" s="102">
        <v>46077</v>
      </c>
      <c r="C953" s="25" t="s">
        <v>356</v>
      </c>
      <c r="D953" s="103" t="s">
        <v>349</v>
      </c>
      <c r="E953" s="26">
        <v>153</v>
      </c>
      <c r="F953" s="26" t="s">
        <v>293</v>
      </c>
      <c r="K953" s="24">
        <v>31</v>
      </c>
      <c r="L953" s="102">
        <v>46077</v>
      </c>
      <c r="M953" s="25" t="s">
        <v>357</v>
      </c>
      <c r="N953" s="103" t="s">
        <v>349</v>
      </c>
      <c r="O953" s="26">
        <v>366</v>
      </c>
      <c r="P953" s="26" t="s">
        <v>293</v>
      </c>
    </row>
    <row r="954" spans="1:16" x14ac:dyDescent="0.3">
      <c r="A954" s="24">
        <v>31</v>
      </c>
      <c r="B954" s="102">
        <v>46077</v>
      </c>
      <c r="C954" s="25" t="s">
        <v>356</v>
      </c>
      <c r="D954" s="103" t="s">
        <v>350</v>
      </c>
      <c r="E954" s="26">
        <v>59</v>
      </c>
      <c r="F954" s="26" t="s">
        <v>293</v>
      </c>
      <c r="K954" s="24">
        <v>31</v>
      </c>
      <c r="L954" s="102">
        <v>46077</v>
      </c>
      <c r="M954" s="25" t="s">
        <v>357</v>
      </c>
      <c r="N954" s="103" t="s">
        <v>350</v>
      </c>
      <c r="O954" s="26">
        <v>86</v>
      </c>
      <c r="P954" s="26" t="s">
        <v>293</v>
      </c>
    </row>
    <row r="955" spans="1:16" x14ac:dyDescent="0.3">
      <c r="A955" s="24">
        <v>31</v>
      </c>
      <c r="B955" s="102">
        <v>46077</v>
      </c>
      <c r="C955" s="25" t="s">
        <v>356</v>
      </c>
      <c r="D955" s="103" t="s">
        <v>122</v>
      </c>
      <c r="E955" s="26">
        <v>48</v>
      </c>
      <c r="F955" s="26" t="s">
        <v>293</v>
      </c>
      <c r="K955" s="24">
        <v>31</v>
      </c>
      <c r="L955" s="102">
        <v>46077</v>
      </c>
      <c r="M955" s="25" t="s">
        <v>357</v>
      </c>
      <c r="N955" s="103" t="s">
        <v>122</v>
      </c>
      <c r="O955" s="26">
        <v>213</v>
      </c>
      <c r="P955" s="26" t="s">
        <v>293</v>
      </c>
    </row>
    <row r="956" spans="1:16" x14ac:dyDescent="0.3">
      <c r="A956" s="24">
        <v>31</v>
      </c>
      <c r="B956" s="102">
        <v>46077</v>
      </c>
      <c r="C956" s="25" t="s">
        <v>356</v>
      </c>
      <c r="D956" s="103" t="s">
        <v>124</v>
      </c>
      <c r="E956" s="26">
        <v>33</v>
      </c>
      <c r="F956" s="26" t="s">
        <v>293</v>
      </c>
      <c r="K956" s="24">
        <v>31</v>
      </c>
      <c r="L956" s="102">
        <v>46077</v>
      </c>
      <c r="M956" s="25" t="s">
        <v>357</v>
      </c>
      <c r="N956" s="103" t="s">
        <v>124</v>
      </c>
      <c r="O956" s="26">
        <v>107</v>
      </c>
      <c r="P956" s="26" t="s">
        <v>293</v>
      </c>
    </row>
    <row r="957" spans="1:16" x14ac:dyDescent="0.3">
      <c r="A957" s="24">
        <v>31</v>
      </c>
      <c r="B957" s="102">
        <v>46077</v>
      </c>
      <c r="C957" s="25" t="s">
        <v>356</v>
      </c>
      <c r="D957" s="103" t="s">
        <v>351</v>
      </c>
      <c r="E957" s="26">
        <v>0.97</v>
      </c>
      <c r="F957" s="26" t="s">
        <v>293</v>
      </c>
      <c r="K957" s="24">
        <v>31</v>
      </c>
      <c r="L957" s="102">
        <v>46077</v>
      </c>
      <c r="M957" s="25" t="s">
        <v>357</v>
      </c>
      <c r="N957" s="103" t="s">
        <v>351</v>
      </c>
      <c r="O957" s="26">
        <v>3.6</v>
      </c>
      <c r="P957" s="26" t="s">
        <v>293</v>
      </c>
    </row>
    <row r="958" spans="1:16" x14ac:dyDescent="0.3">
      <c r="A958" s="24">
        <v>31</v>
      </c>
      <c r="B958" s="102">
        <v>46077</v>
      </c>
      <c r="C958" s="25" t="s">
        <v>356</v>
      </c>
      <c r="D958" s="103" t="s">
        <v>353</v>
      </c>
      <c r="E958" s="26">
        <v>35.700000000000003</v>
      </c>
      <c r="F958" s="26" t="s">
        <v>293</v>
      </c>
      <c r="K958" s="24">
        <v>31</v>
      </c>
      <c r="L958" s="102">
        <v>46077</v>
      </c>
      <c r="M958" s="25" t="s">
        <v>357</v>
      </c>
      <c r="N958" s="103" t="s">
        <v>353</v>
      </c>
      <c r="O958" s="26">
        <v>20</v>
      </c>
      <c r="P958" s="26" t="s">
        <v>293</v>
      </c>
    </row>
    <row r="959" spans="1:16" x14ac:dyDescent="0.3">
      <c r="A959" s="24">
        <v>31</v>
      </c>
      <c r="B959" s="102">
        <v>46077</v>
      </c>
      <c r="C959" s="25" t="s">
        <v>356</v>
      </c>
      <c r="D959" s="103" t="s">
        <v>133</v>
      </c>
      <c r="E959" s="26">
        <v>145</v>
      </c>
      <c r="F959" s="26" t="s">
        <v>293</v>
      </c>
      <c r="K959" s="24">
        <v>31</v>
      </c>
      <c r="L959" s="102">
        <v>46077</v>
      </c>
      <c r="M959" s="25" t="s">
        <v>357</v>
      </c>
      <c r="N959" s="103" t="s">
        <v>133</v>
      </c>
      <c r="O959" s="26">
        <v>127</v>
      </c>
      <c r="P959" s="26" t="s">
        <v>293</v>
      </c>
    </row>
    <row r="960" spans="1:16" x14ac:dyDescent="0.3">
      <c r="A960" s="24">
        <v>31</v>
      </c>
      <c r="B960" s="102">
        <v>46077</v>
      </c>
      <c r="C960" s="25" t="s">
        <v>356</v>
      </c>
      <c r="D960" s="103" t="s">
        <v>135</v>
      </c>
      <c r="E960" s="26">
        <v>3.7</v>
      </c>
      <c r="F960" s="26" t="s">
        <v>293</v>
      </c>
      <c r="K960" s="24">
        <v>31</v>
      </c>
      <c r="L960" s="102">
        <v>46077</v>
      </c>
      <c r="M960" s="25" t="s">
        <v>357</v>
      </c>
      <c r="N960" s="103" t="s">
        <v>135</v>
      </c>
      <c r="O960" s="26">
        <v>6.5</v>
      </c>
      <c r="P960" s="26" t="s">
        <v>293</v>
      </c>
    </row>
    <row r="961" spans="1:16" x14ac:dyDescent="0.3">
      <c r="A961" s="24">
        <v>31</v>
      </c>
      <c r="B961" s="102">
        <v>46077</v>
      </c>
      <c r="C961" s="25" t="s">
        <v>356</v>
      </c>
      <c r="D961" s="103" t="s">
        <v>136</v>
      </c>
      <c r="E961" s="26">
        <v>115</v>
      </c>
      <c r="F961" s="26" t="s">
        <v>293</v>
      </c>
      <c r="K961" s="24">
        <v>31</v>
      </c>
      <c r="L961" s="102">
        <v>46077</v>
      </c>
      <c r="M961" s="25" t="s">
        <v>357</v>
      </c>
      <c r="N961" s="103" t="s">
        <v>136</v>
      </c>
      <c r="O961" s="26">
        <v>97</v>
      </c>
      <c r="P961" s="26" t="s">
        <v>293</v>
      </c>
    </row>
    <row r="962" spans="1:16" x14ac:dyDescent="0.3">
      <c r="A962" s="24">
        <v>32</v>
      </c>
      <c r="B962" s="102">
        <v>46078</v>
      </c>
      <c r="C962" s="25" t="s">
        <v>356</v>
      </c>
      <c r="D962" s="103" t="s">
        <v>339</v>
      </c>
      <c r="E962" s="26">
        <v>4.68</v>
      </c>
      <c r="F962" s="26" t="s">
        <v>293</v>
      </c>
      <c r="K962" s="24">
        <v>32</v>
      </c>
      <c r="L962" s="102">
        <v>46078</v>
      </c>
      <c r="M962" s="25" t="s">
        <v>357</v>
      </c>
      <c r="N962" s="103" t="s">
        <v>339</v>
      </c>
      <c r="O962" s="26">
        <v>1.18</v>
      </c>
      <c r="P962" s="26" t="s">
        <v>293</v>
      </c>
    </row>
    <row r="963" spans="1:16" x14ac:dyDescent="0.3">
      <c r="A963" s="24">
        <v>32</v>
      </c>
      <c r="B963" s="102">
        <v>46078</v>
      </c>
      <c r="C963" s="25" t="s">
        <v>356</v>
      </c>
      <c r="D963" s="103" t="s">
        <v>118</v>
      </c>
      <c r="E963" s="26">
        <v>4.7</v>
      </c>
      <c r="F963" s="26" t="s">
        <v>293</v>
      </c>
      <c r="K963" s="24">
        <v>32</v>
      </c>
      <c r="L963" s="102">
        <v>46078</v>
      </c>
      <c r="M963" s="25" t="s">
        <v>357</v>
      </c>
      <c r="N963" s="103" t="s">
        <v>118</v>
      </c>
      <c r="O963" s="26">
        <v>9.8000000000000007</v>
      </c>
      <c r="P963" s="26" t="s">
        <v>293</v>
      </c>
    </row>
    <row r="964" spans="1:16" x14ac:dyDescent="0.3">
      <c r="A964" s="24">
        <v>32</v>
      </c>
      <c r="B964" s="102">
        <v>46078</v>
      </c>
      <c r="C964" s="25" t="s">
        <v>356</v>
      </c>
      <c r="D964" s="103" t="s">
        <v>130</v>
      </c>
      <c r="E964" s="26">
        <v>3.81</v>
      </c>
      <c r="F964" s="26" t="s">
        <v>293</v>
      </c>
      <c r="K964" s="24">
        <v>32</v>
      </c>
      <c r="L964" s="102">
        <v>46078</v>
      </c>
      <c r="M964" s="25" t="s">
        <v>357</v>
      </c>
      <c r="N964" s="103" t="s">
        <v>130</v>
      </c>
      <c r="O964" s="26">
        <v>2.4</v>
      </c>
      <c r="P964" s="26" t="s">
        <v>293</v>
      </c>
    </row>
    <row r="965" spans="1:16" x14ac:dyDescent="0.3">
      <c r="A965" s="24">
        <v>32</v>
      </c>
      <c r="B965" s="102">
        <v>46078</v>
      </c>
      <c r="C965" s="25" t="s">
        <v>356</v>
      </c>
      <c r="D965" s="103" t="s">
        <v>341</v>
      </c>
      <c r="E965" s="26">
        <v>0.28999999999999998</v>
      </c>
      <c r="F965" s="26" t="s">
        <v>293</v>
      </c>
      <c r="K965" s="24">
        <v>32</v>
      </c>
      <c r="L965" s="102">
        <v>46078</v>
      </c>
      <c r="M965" s="25" t="s">
        <v>357</v>
      </c>
      <c r="N965" s="103" t="s">
        <v>341</v>
      </c>
      <c r="O965" s="26">
        <v>1.0900000000000001</v>
      </c>
      <c r="P965" s="26" t="s">
        <v>293</v>
      </c>
    </row>
    <row r="966" spans="1:16" x14ac:dyDescent="0.3">
      <c r="A966" s="24">
        <v>32</v>
      </c>
      <c r="B966" s="102">
        <v>46078</v>
      </c>
      <c r="C966" s="25" t="s">
        <v>356</v>
      </c>
      <c r="D966" s="103" t="s">
        <v>127</v>
      </c>
      <c r="E966" s="26">
        <v>1.18</v>
      </c>
      <c r="F966" s="26" t="s">
        <v>293</v>
      </c>
      <c r="K966" s="24">
        <v>32</v>
      </c>
      <c r="L966" s="102">
        <v>46078</v>
      </c>
      <c r="M966" s="25" t="s">
        <v>357</v>
      </c>
      <c r="N966" s="103" t="s">
        <v>127</v>
      </c>
      <c r="O966" s="26">
        <v>4.57</v>
      </c>
      <c r="P966" s="26" t="s">
        <v>293</v>
      </c>
    </row>
    <row r="967" spans="1:16" x14ac:dyDescent="0.3">
      <c r="A967" s="24">
        <v>32</v>
      </c>
      <c r="B967" s="102">
        <v>46078</v>
      </c>
      <c r="C967" s="25" t="s">
        <v>356</v>
      </c>
      <c r="D967" s="103" t="s">
        <v>131</v>
      </c>
      <c r="E967" s="26">
        <v>8.8000000000000007</v>
      </c>
      <c r="F967" s="26" t="s">
        <v>293</v>
      </c>
      <c r="K967" s="24">
        <v>32</v>
      </c>
      <c r="L967" s="102">
        <v>46078</v>
      </c>
      <c r="M967" s="25" t="s">
        <v>357</v>
      </c>
      <c r="N967" s="103" t="s">
        <v>131</v>
      </c>
      <c r="O967" s="26">
        <v>12.2</v>
      </c>
      <c r="P967" s="26" t="s">
        <v>293</v>
      </c>
    </row>
    <row r="968" spans="1:16" x14ac:dyDescent="0.3">
      <c r="A968" s="24">
        <v>32</v>
      </c>
      <c r="B968" s="102">
        <v>46078</v>
      </c>
      <c r="C968" s="25" t="s">
        <v>356</v>
      </c>
      <c r="D968" s="103" t="s">
        <v>342</v>
      </c>
      <c r="E968" s="26">
        <v>312</v>
      </c>
      <c r="F968" s="26" t="s">
        <v>293</v>
      </c>
      <c r="K968" s="24">
        <v>32</v>
      </c>
      <c r="L968" s="102">
        <v>46078</v>
      </c>
      <c r="M968" s="25" t="s">
        <v>357</v>
      </c>
      <c r="N968" s="103" t="s">
        <v>342</v>
      </c>
      <c r="O968" s="26">
        <v>186</v>
      </c>
      <c r="P968" s="26" t="s">
        <v>293</v>
      </c>
    </row>
    <row r="969" spans="1:16" x14ac:dyDescent="0.3">
      <c r="A969" s="24">
        <v>32</v>
      </c>
      <c r="B969" s="102">
        <v>46078</v>
      </c>
      <c r="C969" s="25" t="s">
        <v>356</v>
      </c>
      <c r="D969" s="103" t="s">
        <v>119</v>
      </c>
      <c r="E969" s="26">
        <v>231</v>
      </c>
      <c r="F969" s="26" t="s">
        <v>293</v>
      </c>
      <c r="K969" s="24">
        <v>32</v>
      </c>
      <c r="L969" s="102">
        <v>46078</v>
      </c>
      <c r="M969" s="25" t="s">
        <v>357</v>
      </c>
      <c r="N969" s="103" t="s">
        <v>119</v>
      </c>
      <c r="O969" s="26">
        <v>85</v>
      </c>
      <c r="P969" s="26" t="s">
        <v>293</v>
      </c>
    </row>
    <row r="970" spans="1:16" x14ac:dyDescent="0.3">
      <c r="A970" s="24">
        <v>32</v>
      </c>
      <c r="B970" s="102">
        <v>46078</v>
      </c>
      <c r="C970" s="25" t="s">
        <v>356</v>
      </c>
      <c r="D970" s="103" t="s">
        <v>120</v>
      </c>
      <c r="E970" s="26">
        <v>78</v>
      </c>
      <c r="F970" s="26" t="s">
        <v>293</v>
      </c>
      <c r="K970" s="24">
        <v>32</v>
      </c>
      <c r="L970" s="102">
        <v>46078</v>
      </c>
      <c r="M970" s="25" t="s">
        <v>357</v>
      </c>
      <c r="N970" s="103" t="s">
        <v>120</v>
      </c>
      <c r="O970" s="26">
        <v>26</v>
      </c>
      <c r="P970" s="26" t="s">
        <v>293</v>
      </c>
    </row>
    <row r="971" spans="1:16" x14ac:dyDescent="0.3">
      <c r="A971" s="24">
        <v>32</v>
      </c>
      <c r="B971" s="102">
        <v>46078</v>
      </c>
      <c r="C971" s="25" t="s">
        <v>356</v>
      </c>
      <c r="D971" s="103" t="s">
        <v>117</v>
      </c>
      <c r="E971" s="26">
        <v>2.66</v>
      </c>
      <c r="F971" s="26" t="s">
        <v>293</v>
      </c>
      <c r="K971" s="24">
        <v>32</v>
      </c>
      <c r="L971" s="102">
        <v>46078</v>
      </c>
      <c r="M971" s="25" t="s">
        <v>357</v>
      </c>
      <c r="N971" s="103" t="s">
        <v>117</v>
      </c>
      <c r="O971" s="26">
        <v>6.26</v>
      </c>
      <c r="P971" s="26" t="s">
        <v>293</v>
      </c>
    </row>
    <row r="972" spans="1:16" x14ac:dyDescent="0.3">
      <c r="A972" s="24">
        <v>32</v>
      </c>
      <c r="B972" s="102">
        <v>46078</v>
      </c>
      <c r="C972" s="25" t="s">
        <v>356</v>
      </c>
      <c r="D972" s="103" t="s">
        <v>344</v>
      </c>
      <c r="E972" s="26">
        <v>233</v>
      </c>
      <c r="F972" s="26" t="s">
        <v>293</v>
      </c>
      <c r="K972" s="24">
        <v>32</v>
      </c>
      <c r="L972" s="102">
        <v>46078</v>
      </c>
      <c r="M972" s="25" t="s">
        <v>357</v>
      </c>
      <c r="N972" s="103" t="s">
        <v>344</v>
      </c>
      <c r="O972" s="26">
        <v>69</v>
      </c>
      <c r="P972" s="26" t="s">
        <v>293</v>
      </c>
    </row>
    <row r="973" spans="1:16" x14ac:dyDescent="0.3">
      <c r="A973" s="24">
        <v>32</v>
      </c>
      <c r="B973" s="102">
        <v>46078</v>
      </c>
      <c r="C973" s="25" t="s">
        <v>356</v>
      </c>
      <c r="D973" s="103" t="s">
        <v>132</v>
      </c>
      <c r="E973" s="26">
        <v>3.57</v>
      </c>
      <c r="F973" s="26" t="s">
        <v>293</v>
      </c>
      <c r="K973" s="24">
        <v>32</v>
      </c>
      <c r="L973" s="102">
        <v>46078</v>
      </c>
      <c r="M973" s="25" t="s">
        <v>357</v>
      </c>
      <c r="N973" s="103" t="s">
        <v>132</v>
      </c>
      <c r="O973" s="26">
        <v>7.4</v>
      </c>
      <c r="P973" s="26" t="s">
        <v>293</v>
      </c>
    </row>
    <row r="974" spans="1:16" x14ac:dyDescent="0.3">
      <c r="A974" s="24">
        <v>32</v>
      </c>
      <c r="B974" s="102">
        <v>46078</v>
      </c>
      <c r="C974" s="25" t="s">
        <v>356</v>
      </c>
      <c r="D974" s="103" t="s">
        <v>111</v>
      </c>
      <c r="E974" s="26">
        <v>87</v>
      </c>
      <c r="F974" s="26" t="s">
        <v>293</v>
      </c>
      <c r="K974" s="24">
        <v>32</v>
      </c>
      <c r="L974" s="102">
        <v>46078</v>
      </c>
      <c r="M974" s="25" t="s">
        <v>357</v>
      </c>
      <c r="N974" s="103" t="s">
        <v>111</v>
      </c>
      <c r="O974" s="26">
        <v>281</v>
      </c>
      <c r="P974" s="26" t="s">
        <v>293</v>
      </c>
    </row>
    <row r="975" spans="1:16" x14ac:dyDescent="0.3">
      <c r="A975" s="24">
        <v>32</v>
      </c>
      <c r="B975" s="102">
        <v>46078</v>
      </c>
      <c r="C975" s="25" t="s">
        <v>356</v>
      </c>
      <c r="D975" s="103" t="s">
        <v>345</v>
      </c>
      <c r="E975" s="26">
        <v>5.23</v>
      </c>
      <c r="F975" s="26" t="s">
        <v>293</v>
      </c>
      <c r="K975" s="24">
        <v>32</v>
      </c>
      <c r="L975" s="102">
        <v>46078</v>
      </c>
      <c r="M975" s="25" t="s">
        <v>357</v>
      </c>
      <c r="N975" s="103" t="s">
        <v>345</v>
      </c>
      <c r="O975" s="26">
        <v>10.039999999999999</v>
      </c>
      <c r="P975" s="26" t="s">
        <v>293</v>
      </c>
    </row>
    <row r="976" spans="1:16" x14ac:dyDescent="0.3">
      <c r="A976" s="24">
        <v>32</v>
      </c>
      <c r="B976" s="102">
        <v>46078</v>
      </c>
      <c r="C976" s="25" t="s">
        <v>356</v>
      </c>
      <c r="D976" s="103" t="s">
        <v>347</v>
      </c>
      <c r="E976" s="26">
        <v>2.15</v>
      </c>
      <c r="F976" s="26" t="s">
        <v>293</v>
      </c>
      <c r="K976" s="24">
        <v>32</v>
      </c>
      <c r="L976" s="102">
        <v>46078</v>
      </c>
      <c r="M976" s="25" t="s">
        <v>357</v>
      </c>
      <c r="N976" s="103" t="s">
        <v>347</v>
      </c>
      <c r="O976" s="26">
        <v>4.5599999999999996</v>
      </c>
      <c r="P976" s="26" t="s">
        <v>293</v>
      </c>
    </row>
    <row r="977" spans="1:16" x14ac:dyDescent="0.3">
      <c r="A977" s="24">
        <v>32</v>
      </c>
      <c r="B977" s="102">
        <v>46078</v>
      </c>
      <c r="C977" s="25" t="s">
        <v>356</v>
      </c>
      <c r="D977" s="103" t="s">
        <v>128</v>
      </c>
      <c r="E977" s="26">
        <v>6.8</v>
      </c>
      <c r="F977" s="26" t="s">
        <v>293</v>
      </c>
      <c r="K977" s="24">
        <v>32</v>
      </c>
      <c r="L977" s="102">
        <v>46078</v>
      </c>
      <c r="M977" s="25" t="s">
        <v>357</v>
      </c>
      <c r="N977" s="103" t="s">
        <v>128</v>
      </c>
      <c r="O977" s="26">
        <v>4.4000000000000004</v>
      </c>
      <c r="P977" s="26" t="s">
        <v>293</v>
      </c>
    </row>
    <row r="978" spans="1:16" x14ac:dyDescent="0.3">
      <c r="A978" s="24">
        <v>32</v>
      </c>
      <c r="B978" s="102">
        <v>46078</v>
      </c>
      <c r="C978" s="25" t="s">
        <v>356</v>
      </c>
      <c r="D978" s="103" t="s">
        <v>121</v>
      </c>
      <c r="E978" s="26">
        <v>157</v>
      </c>
      <c r="F978" s="26" t="s">
        <v>293</v>
      </c>
      <c r="K978" s="24">
        <v>32</v>
      </c>
      <c r="L978" s="102">
        <v>46078</v>
      </c>
      <c r="M978" s="25" t="s">
        <v>357</v>
      </c>
      <c r="N978" s="103" t="s">
        <v>121</v>
      </c>
      <c r="O978" s="26">
        <v>78</v>
      </c>
      <c r="P978" s="26" t="s">
        <v>293</v>
      </c>
    </row>
    <row r="979" spans="1:16" x14ac:dyDescent="0.3">
      <c r="A979" s="24">
        <v>32</v>
      </c>
      <c r="B979" s="102">
        <v>46078</v>
      </c>
      <c r="C979" s="25" t="s">
        <v>356</v>
      </c>
      <c r="D979" s="103" t="s">
        <v>115</v>
      </c>
      <c r="E979" s="26">
        <v>32</v>
      </c>
      <c r="F979" s="26" t="s">
        <v>293</v>
      </c>
      <c r="K979" s="24">
        <v>32</v>
      </c>
      <c r="L979" s="102">
        <v>46078</v>
      </c>
      <c r="M979" s="25" t="s">
        <v>357</v>
      </c>
      <c r="N979" s="103" t="s">
        <v>115</v>
      </c>
      <c r="O979" s="26">
        <v>95</v>
      </c>
      <c r="P979" s="26" t="s">
        <v>293</v>
      </c>
    </row>
    <row r="980" spans="1:16" x14ac:dyDescent="0.3">
      <c r="A980" s="24">
        <v>32</v>
      </c>
      <c r="B980" s="102">
        <v>46078</v>
      </c>
      <c r="C980" s="25" t="s">
        <v>356</v>
      </c>
      <c r="D980" s="103" t="s">
        <v>137</v>
      </c>
      <c r="E980" s="26">
        <v>75</v>
      </c>
      <c r="F980" s="26" t="s">
        <v>293</v>
      </c>
      <c r="K980" s="24">
        <v>32</v>
      </c>
      <c r="L980" s="102">
        <v>46078</v>
      </c>
      <c r="M980" s="25" t="s">
        <v>357</v>
      </c>
      <c r="N980" s="103" t="s">
        <v>137</v>
      </c>
      <c r="O980" s="26">
        <v>485</v>
      </c>
      <c r="P980" s="26" t="s">
        <v>293</v>
      </c>
    </row>
    <row r="981" spans="1:16" x14ac:dyDescent="0.3">
      <c r="A981" s="24">
        <v>32</v>
      </c>
      <c r="B981" s="102">
        <v>46078</v>
      </c>
      <c r="C981" s="25" t="s">
        <v>356</v>
      </c>
      <c r="D981" s="103" t="s">
        <v>348</v>
      </c>
      <c r="E981" s="26">
        <v>140</v>
      </c>
      <c r="F981" s="26" t="s">
        <v>293</v>
      </c>
      <c r="K981" s="24">
        <v>32</v>
      </c>
      <c r="L981" s="102">
        <v>46078</v>
      </c>
      <c r="M981" s="25" t="s">
        <v>357</v>
      </c>
      <c r="N981" s="103" t="s">
        <v>348</v>
      </c>
      <c r="O981" s="26">
        <v>435</v>
      </c>
      <c r="P981" s="26" t="s">
        <v>293</v>
      </c>
    </row>
    <row r="982" spans="1:16" x14ac:dyDescent="0.3">
      <c r="A982" s="24">
        <v>32</v>
      </c>
      <c r="B982" s="102">
        <v>46078</v>
      </c>
      <c r="C982" s="25" t="s">
        <v>356</v>
      </c>
      <c r="D982" s="103" t="s">
        <v>125</v>
      </c>
      <c r="E982" s="26">
        <v>109</v>
      </c>
      <c r="F982" s="26" t="s">
        <v>293</v>
      </c>
      <c r="K982" s="24">
        <v>32</v>
      </c>
      <c r="L982" s="102">
        <v>46078</v>
      </c>
      <c r="M982" s="25" t="s">
        <v>357</v>
      </c>
      <c r="N982" s="103" t="s">
        <v>125</v>
      </c>
      <c r="O982" s="26">
        <v>421</v>
      </c>
      <c r="P982" s="26" t="s">
        <v>293</v>
      </c>
    </row>
    <row r="983" spans="1:16" x14ac:dyDescent="0.3">
      <c r="A983" s="24">
        <v>32</v>
      </c>
      <c r="B983" s="102">
        <v>46078</v>
      </c>
      <c r="C983" s="25" t="s">
        <v>356</v>
      </c>
      <c r="D983" s="103" t="s">
        <v>126</v>
      </c>
      <c r="E983" s="26">
        <v>79</v>
      </c>
      <c r="F983" s="26" t="s">
        <v>293</v>
      </c>
      <c r="K983" s="24">
        <v>32</v>
      </c>
      <c r="L983" s="102">
        <v>46078</v>
      </c>
      <c r="M983" s="25" t="s">
        <v>357</v>
      </c>
      <c r="N983" s="103" t="s">
        <v>126</v>
      </c>
      <c r="O983" s="26">
        <v>153</v>
      </c>
      <c r="P983" s="26" t="s">
        <v>293</v>
      </c>
    </row>
    <row r="984" spans="1:16" x14ac:dyDescent="0.3">
      <c r="A984" s="24">
        <v>32</v>
      </c>
      <c r="B984" s="102">
        <v>46078</v>
      </c>
      <c r="C984" s="25" t="s">
        <v>356</v>
      </c>
      <c r="D984" s="103" t="s">
        <v>349</v>
      </c>
      <c r="E984" s="26">
        <v>158</v>
      </c>
      <c r="F984" s="26" t="s">
        <v>293</v>
      </c>
      <c r="K984" s="24">
        <v>32</v>
      </c>
      <c r="L984" s="102">
        <v>46078</v>
      </c>
      <c r="M984" s="25" t="s">
        <v>357</v>
      </c>
      <c r="N984" s="103" t="s">
        <v>349</v>
      </c>
      <c r="O984" s="26">
        <v>372</v>
      </c>
      <c r="P984" s="26" t="s">
        <v>293</v>
      </c>
    </row>
    <row r="985" spans="1:16" x14ac:dyDescent="0.3">
      <c r="A985" s="24">
        <v>32</v>
      </c>
      <c r="B985" s="102">
        <v>46078</v>
      </c>
      <c r="C985" s="25" t="s">
        <v>356</v>
      </c>
      <c r="D985" s="103" t="s">
        <v>350</v>
      </c>
      <c r="E985" s="26">
        <v>62</v>
      </c>
      <c r="F985" s="26" t="s">
        <v>293</v>
      </c>
      <c r="K985" s="24">
        <v>32</v>
      </c>
      <c r="L985" s="102">
        <v>46078</v>
      </c>
      <c r="M985" s="25" t="s">
        <v>357</v>
      </c>
      <c r="N985" s="103" t="s">
        <v>350</v>
      </c>
      <c r="O985" s="26">
        <v>88</v>
      </c>
      <c r="P985" s="26" t="s">
        <v>293</v>
      </c>
    </row>
    <row r="986" spans="1:16" x14ac:dyDescent="0.3">
      <c r="A986" s="24">
        <v>32</v>
      </c>
      <c r="B986" s="102">
        <v>46078</v>
      </c>
      <c r="C986" s="25" t="s">
        <v>356</v>
      </c>
      <c r="D986" s="103" t="s">
        <v>122</v>
      </c>
      <c r="E986" s="26">
        <v>46</v>
      </c>
      <c r="F986" s="26" t="s">
        <v>293</v>
      </c>
      <c r="K986" s="24">
        <v>32</v>
      </c>
      <c r="L986" s="102">
        <v>46078</v>
      </c>
      <c r="M986" s="25" t="s">
        <v>357</v>
      </c>
      <c r="N986" s="103" t="s">
        <v>122</v>
      </c>
      <c r="O986" s="26">
        <v>215</v>
      </c>
      <c r="P986" s="26" t="s">
        <v>293</v>
      </c>
    </row>
    <row r="987" spans="1:16" x14ac:dyDescent="0.3">
      <c r="A987" s="24">
        <v>32</v>
      </c>
      <c r="B987" s="102">
        <v>46078</v>
      </c>
      <c r="C987" s="25" t="s">
        <v>356</v>
      </c>
      <c r="D987" s="103" t="s">
        <v>124</v>
      </c>
      <c r="E987" s="26">
        <v>32</v>
      </c>
      <c r="F987" s="26" t="s">
        <v>293</v>
      </c>
      <c r="K987" s="24">
        <v>32</v>
      </c>
      <c r="L987" s="102">
        <v>46078</v>
      </c>
      <c r="M987" s="25" t="s">
        <v>357</v>
      </c>
      <c r="N987" s="103" t="s">
        <v>124</v>
      </c>
      <c r="O987" s="26">
        <v>106</v>
      </c>
      <c r="P987" s="26" t="s">
        <v>293</v>
      </c>
    </row>
    <row r="988" spans="1:16" x14ac:dyDescent="0.3">
      <c r="A988" s="24">
        <v>32</v>
      </c>
      <c r="B988" s="102">
        <v>46078</v>
      </c>
      <c r="C988" s="25" t="s">
        <v>356</v>
      </c>
      <c r="D988" s="103" t="s">
        <v>351</v>
      </c>
      <c r="E988" s="26">
        <v>1</v>
      </c>
      <c r="F988" s="26" t="s">
        <v>293</v>
      </c>
      <c r="K988" s="24">
        <v>32</v>
      </c>
      <c r="L988" s="102">
        <v>46078</v>
      </c>
      <c r="M988" s="25" t="s">
        <v>357</v>
      </c>
      <c r="N988" s="103" t="s">
        <v>351</v>
      </c>
      <c r="O988" s="26">
        <v>3.56</v>
      </c>
      <c r="P988" s="26" t="s">
        <v>293</v>
      </c>
    </row>
    <row r="989" spans="1:16" x14ac:dyDescent="0.3">
      <c r="A989" s="24">
        <v>32</v>
      </c>
      <c r="B989" s="102">
        <v>46078</v>
      </c>
      <c r="C989" s="25" t="s">
        <v>356</v>
      </c>
      <c r="D989" s="103" t="s">
        <v>353</v>
      </c>
      <c r="E989" s="26">
        <v>33.799999999999997</v>
      </c>
      <c r="F989" s="26" t="s">
        <v>293</v>
      </c>
      <c r="K989" s="24">
        <v>32</v>
      </c>
      <c r="L989" s="102">
        <v>46078</v>
      </c>
      <c r="M989" s="25" t="s">
        <v>357</v>
      </c>
      <c r="N989" s="103" t="s">
        <v>353</v>
      </c>
      <c r="O989" s="26">
        <v>16.7</v>
      </c>
      <c r="P989" s="26" t="s">
        <v>293</v>
      </c>
    </row>
    <row r="990" spans="1:16" x14ac:dyDescent="0.3">
      <c r="A990" s="24">
        <v>32</v>
      </c>
      <c r="B990" s="102">
        <v>46078</v>
      </c>
      <c r="C990" s="25" t="s">
        <v>356</v>
      </c>
      <c r="D990" s="103" t="s">
        <v>133</v>
      </c>
      <c r="E990" s="26">
        <v>146</v>
      </c>
      <c r="F990" s="26" t="s">
        <v>293</v>
      </c>
      <c r="K990" s="24">
        <v>32</v>
      </c>
      <c r="L990" s="102">
        <v>46078</v>
      </c>
      <c r="M990" s="25" t="s">
        <v>357</v>
      </c>
      <c r="N990" s="103" t="s">
        <v>133</v>
      </c>
      <c r="O990" s="26">
        <v>127</v>
      </c>
      <c r="P990" s="26" t="s">
        <v>293</v>
      </c>
    </row>
    <row r="991" spans="1:16" x14ac:dyDescent="0.3">
      <c r="A991" s="24">
        <v>32</v>
      </c>
      <c r="B991" s="102">
        <v>46078</v>
      </c>
      <c r="C991" s="25" t="s">
        <v>356</v>
      </c>
      <c r="D991" s="103" t="s">
        <v>135</v>
      </c>
      <c r="E991" s="26">
        <v>3.8</v>
      </c>
      <c r="F991" s="26" t="s">
        <v>293</v>
      </c>
      <c r="K991" s="24">
        <v>32</v>
      </c>
      <c r="L991" s="102">
        <v>46078</v>
      </c>
      <c r="M991" s="25" t="s">
        <v>357</v>
      </c>
      <c r="N991" s="103" t="s">
        <v>135</v>
      </c>
      <c r="O991" s="26">
        <v>6.4</v>
      </c>
      <c r="P991" s="26" t="s">
        <v>293</v>
      </c>
    </row>
    <row r="992" spans="1:16" x14ac:dyDescent="0.3">
      <c r="A992" s="24">
        <v>32</v>
      </c>
      <c r="B992" s="102">
        <v>46078</v>
      </c>
      <c r="C992" s="25" t="s">
        <v>356</v>
      </c>
      <c r="D992" s="103" t="s">
        <v>136</v>
      </c>
      <c r="E992" s="26">
        <v>117</v>
      </c>
      <c r="F992" s="26" t="s">
        <v>293</v>
      </c>
      <c r="K992" s="24">
        <v>32</v>
      </c>
      <c r="L992" s="102">
        <v>46078</v>
      </c>
      <c r="M992" s="25" t="s">
        <v>357</v>
      </c>
      <c r="N992" s="103" t="s">
        <v>136</v>
      </c>
      <c r="O992" s="26">
        <v>95</v>
      </c>
      <c r="P992" s="26" t="s">
        <v>293</v>
      </c>
    </row>
    <row r="993" spans="1:16" x14ac:dyDescent="0.3">
      <c r="A993" s="24">
        <v>33</v>
      </c>
      <c r="B993" s="102">
        <v>46079</v>
      </c>
      <c r="C993" s="25" t="s">
        <v>356</v>
      </c>
      <c r="D993" s="103" t="s">
        <v>339</v>
      </c>
      <c r="E993" s="26">
        <v>4.59</v>
      </c>
      <c r="F993" s="26" t="s">
        <v>293</v>
      </c>
      <c r="K993" s="24">
        <v>33</v>
      </c>
      <c r="L993" s="102">
        <v>46079</v>
      </c>
      <c r="M993" s="25" t="s">
        <v>357</v>
      </c>
      <c r="N993" s="103" t="s">
        <v>339</v>
      </c>
      <c r="O993" s="26">
        <v>1.1299999999999999</v>
      </c>
      <c r="P993" s="26" t="s">
        <v>293</v>
      </c>
    </row>
    <row r="994" spans="1:16" x14ac:dyDescent="0.3">
      <c r="A994" s="24">
        <v>33</v>
      </c>
      <c r="B994" s="102">
        <v>46079</v>
      </c>
      <c r="C994" s="25" t="s">
        <v>356</v>
      </c>
      <c r="D994" s="103" t="s">
        <v>118</v>
      </c>
      <c r="E994" s="26">
        <v>4.5</v>
      </c>
      <c r="F994" s="26" t="s">
        <v>293</v>
      </c>
      <c r="K994" s="24">
        <v>33</v>
      </c>
      <c r="L994" s="102">
        <v>46079</v>
      </c>
      <c r="M994" s="25" t="s">
        <v>357</v>
      </c>
      <c r="N994" s="103" t="s">
        <v>118</v>
      </c>
      <c r="O994" s="26">
        <v>9.4</v>
      </c>
      <c r="P994" s="26" t="s">
        <v>293</v>
      </c>
    </row>
    <row r="995" spans="1:16" x14ac:dyDescent="0.3">
      <c r="A995" s="24">
        <v>33</v>
      </c>
      <c r="B995" s="102">
        <v>46079</v>
      </c>
      <c r="C995" s="25" t="s">
        <v>356</v>
      </c>
      <c r="D995" s="103" t="s">
        <v>130</v>
      </c>
      <c r="E995" s="26">
        <v>3.79</v>
      </c>
      <c r="F995" s="26" t="s">
        <v>293</v>
      </c>
      <c r="K995" s="24">
        <v>33</v>
      </c>
      <c r="L995" s="102">
        <v>46079</v>
      </c>
      <c r="M995" s="25" t="s">
        <v>357</v>
      </c>
      <c r="N995" s="103" t="s">
        <v>130</v>
      </c>
      <c r="O995" s="26">
        <v>2.38</v>
      </c>
      <c r="P995" s="26" t="s">
        <v>293</v>
      </c>
    </row>
    <row r="996" spans="1:16" x14ac:dyDescent="0.3">
      <c r="A996" s="24">
        <v>33</v>
      </c>
      <c r="B996" s="102">
        <v>46079</v>
      </c>
      <c r="C996" s="25" t="s">
        <v>356</v>
      </c>
      <c r="D996" s="103" t="s">
        <v>341</v>
      </c>
      <c r="E996" s="26">
        <v>0.28999999999999998</v>
      </c>
      <c r="F996" s="26" t="s">
        <v>293</v>
      </c>
      <c r="K996" s="24">
        <v>33</v>
      </c>
      <c r="L996" s="102">
        <v>46079</v>
      </c>
      <c r="M996" s="25" t="s">
        <v>357</v>
      </c>
      <c r="N996" s="103" t="s">
        <v>341</v>
      </c>
      <c r="O996" s="26">
        <v>1.0900000000000001</v>
      </c>
      <c r="P996" s="26" t="s">
        <v>293</v>
      </c>
    </row>
    <row r="997" spans="1:16" x14ac:dyDescent="0.3">
      <c r="A997" s="24">
        <v>33</v>
      </c>
      <c r="B997" s="102">
        <v>46079</v>
      </c>
      <c r="C997" s="25" t="s">
        <v>356</v>
      </c>
      <c r="D997" s="103" t="s">
        <v>127</v>
      </c>
      <c r="E997" s="26">
        <v>1.17</v>
      </c>
      <c r="F997" s="26" t="s">
        <v>293</v>
      </c>
      <c r="K997" s="24">
        <v>33</v>
      </c>
      <c r="L997" s="102">
        <v>46079</v>
      </c>
      <c r="M997" s="25" t="s">
        <v>357</v>
      </c>
      <c r="N997" s="103" t="s">
        <v>127</v>
      </c>
      <c r="O997" s="26">
        <v>4.57</v>
      </c>
      <c r="P997" s="26" t="s">
        <v>293</v>
      </c>
    </row>
    <row r="998" spans="1:16" x14ac:dyDescent="0.3">
      <c r="A998" s="24">
        <v>33</v>
      </c>
      <c r="B998" s="102">
        <v>46079</v>
      </c>
      <c r="C998" s="25" t="s">
        <v>356</v>
      </c>
      <c r="D998" s="103" t="s">
        <v>131</v>
      </c>
      <c r="E998" s="26">
        <v>8.6999999999999993</v>
      </c>
      <c r="F998" s="26" t="s">
        <v>293</v>
      </c>
      <c r="K998" s="24">
        <v>33</v>
      </c>
      <c r="L998" s="102">
        <v>46079</v>
      </c>
      <c r="M998" s="25" t="s">
        <v>357</v>
      </c>
      <c r="N998" s="103" t="s">
        <v>131</v>
      </c>
      <c r="O998" s="26">
        <v>12.4</v>
      </c>
      <c r="P998" s="26" t="s">
        <v>293</v>
      </c>
    </row>
    <row r="999" spans="1:16" x14ac:dyDescent="0.3">
      <c r="A999" s="24">
        <v>33</v>
      </c>
      <c r="B999" s="102">
        <v>46079</v>
      </c>
      <c r="C999" s="25" t="s">
        <v>356</v>
      </c>
      <c r="D999" s="103" t="s">
        <v>342</v>
      </c>
      <c r="E999" s="26">
        <v>325</v>
      </c>
      <c r="F999" s="26" t="s">
        <v>293</v>
      </c>
      <c r="K999" s="24">
        <v>33</v>
      </c>
      <c r="L999" s="102">
        <v>46079</v>
      </c>
      <c r="M999" s="25" t="s">
        <v>357</v>
      </c>
      <c r="N999" s="103" t="s">
        <v>342</v>
      </c>
      <c r="O999" s="26">
        <v>191</v>
      </c>
      <c r="P999" s="26" t="s">
        <v>293</v>
      </c>
    </row>
    <row r="1000" spans="1:16" x14ac:dyDescent="0.3">
      <c r="A1000" s="24">
        <v>33</v>
      </c>
      <c r="B1000" s="102">
        <v>46079</v>
      </c>
      <c r="C1000" s="25" t="s">
        <v>356</v>
      </c>
      <c r="D1000" s="103" t="s">
        <v>119</v>
      </c>
      <c r="E1000" s="26">
        <v>234</v>
      </c>
      <c r="F1000" s="26" t="s">
        <v>293</v>
      </c>
      <c r="K1000" s="24">
        <v>33</v>
      </c>
      <c r="L1000" s="102">
        <v>46079</v>
      </c>
      <c r="M1000" s="25" t="s">
        <v>357</v>
      </c>
      <c r="N1000" s="103" t="s">
        <v>119</v>
      </c>
      <c r="O1000" s="26">
        <v>85</v>
      </c>
      <c r="P1000" s="26" t="s">
        <v>293</v>
      </c>
    </row>
    <row r="1001" spans="1:16" x14ac:dyDescent="0.3">
      <c r="A1001" s="24">
        <v>33</v>
      </c>
      <c r="B1001" s="102">
        <v>46079</v>
      </c>
      <c r="C1001" s="25" t="s">
        <v>356</v>
      </c>
      <c r="D1001" s="103" t="s">
        <v>120</v>
      </c>
      <c r="E1001" s="26">
        <v>79</v>
      </c>
      <c r="F1001" s="26" t="s">
        <v>293</v>
      </c>
      <c r="K1001" s="24">
        <v>33</v>
      </c>
      <c r="L1001" s="102">
        <v>46079</v>
      </c>
      <c r="M1001" s="25" t="s">
        <v>357</v>
      </c>
      <c r="N1001" s="103" t="s">
        <v>120</v>
      </c>
      <c r="O1001" s="26">
        <v>27</v>
      </c>
      <c r="P1001" s="26" t="s">
        <v>293</v>
      </c>
    </row>
    <row r="1002" spans="1:16" x14ac:dyDescent="0.3">
      <c r="A1002" s="24">
        <v>33</v>
      </c>
      <c r="B1002" s="102">
        <v>46079</v>
      </c>
      <c r="C1002" s="25" t="s">
        <v>356</v>
      </c>
      <c r="D1002" s="103" t="s">
        <v>117</v>
      </c>
      <c r="E1002" s="26">
        <v>2.76</v>
      </c>
      <c r="F1002" s="26" t="s">
        <v>293</v>
      </c>
      <c r="K1002" s="24">
        <v>33</v>
      </c>
      <c r="L1002" s="102">
        <v>46079</v>
      </c>
      <c r="M1002" s="25" t="s">
        <v>357</v>
      </c>
      <c r="N1002" s="103" t="s">
        <v>117</v>
      </c>
      <c r="O1002" s="26">
        <v>6.43</v>
      </c>
      <c r="P1002" s="26" t="s">
        <v>293</v>
      </c>
    </row>
    <row r="1003" spans="1:16" x14ac:dyDescent="0.3">
      <c r="A1003" s="24">
        <v>33</v>
      </c>
      <c r="B1003" s="102">
        <v>46079</v>
      </c>
      <c r="C1003" s="25" t="s">
        <v>356</v>
      </c>
      <c r="D1003" s="103" t="s">
        <v>344</v>
      </c>
      <c r="E1003" s="26">
        <v>233</v>
      </c>
      <c r="F1003" s="26" t="s">
        <v>293</v>
      </c>
      <c r="K1003" s="24">
        <v>33</v>
      </c>
      <c r="L1003" s="102">
        <v>46079</v>
      </c>
      <c r="M1003" s="25" t="s">
        <v>357</v>
      </c>
      <c r="N1003" s="103" t="s">
        <v>344</v>
      </c>
      <c r="O1003" s="26">
        <v>68</v>
      </c>
      <c r="P1003" s="26" t="s">
        <v>293</v>
      </c>
    </row>
    <row r="1004" spans="1:16" x14ac:dyDescent="0.3">
      <c r="A1004" s="24">
        <v>33</v>
      </c>
      <c r="B1004" s="102">
        <v>46079</v>
      </c>
      <c r="C1004" s="25" t="s">
        <v>356</v>
      </c>
      <c r="D1004" s="103" t="s">
        <v>132</v>
      </c>
      <c r="E1004" s="26">
        <v>3.74</v>
      </c>
      <c r="F1004" s="26" t="s">
        <v>293</v>
      </c>
      <c r="K1004" s="24">
        <v>33</v>
      </c>
      <c r="L1004" s="102">
        <v>46079</v>
      </c>
      <c r="M1004" s="25" t="s">
        <v>357</v>
      </c>
      <c r="N1004" s="103" t="s">
        <v>132</v>
      </c>
      <c r="O1004" s="26">
        <v>7.18</v>
      </c>
      <c r="P1004" s="26" t="s">
        <v>293</v>
      </c>
    </row>
    <row r="1005" spans="1:16" x14ac:dyDescent="0.3">
      <c r="A1005" s="24">
        <v>33</v>
      </c>
      <c r="B1005" s="102">
        <v>46079</v>
      </c>
      <c r="C1005" s="25" t="s">
        <v>356</v>
      </c>
      <c r="D1005" s="103" t="s">
        <v>111</v>
      </c>
      <c r="E1005" s="26">
        <v>87</v>
      </c>
      <c r="F1005" s="26" t="s">
        <v>293</v>
      </c>
      <c r="K1005" s="24">
        <v>33</v>
      </c>
      <c r="L1005" s="102">
        <v>46079</v>
      </c>
      <c r="M1005" s="25" t="s">
        <v>357</v>
      </c>
      <c r="N1005" s="103" t="s">
        <v>111</v>
      </c>
      <c r="O1005" s="26">
        <v>283</v>
      </c>
      <c r="P1005" s="26" t="s">
        <v>293</v>
      </c>
    </row>
    <row r="1006" spans="1:16" x14ac:dyDescent="0.3">
      <c r="A1006" s="24">
        <v>33</v>
      </c>
      <c r="B1006" s="102">
        <v>46079</v>
      </c>
      <c r="C1006" s="25" t="s">
        <v>356</v>
      </c>
      <c r="D1006" s="103" t="s">
        <v>345</v>
      </c>
      <c r="E1006" s="26">
        <v>5.28</v>
      </c>
      <c r="F1006" s="26" t="s">
        <v>293</v>
      </c>
      <c r="K1006" s="24">
        <v>33</v>
      </c>
      <c r="L1006" s="102">
        <v>46079</v>
      </c>
      <c r="M1006" s="25" t="s">
        <v>357</v>
      </c>
      <c r="N1006" s="103" t="s">
        <v>345</v>
      </c>
      <c r="O1006" s="26">
        <v>9.94</v>
      </c>
      <c r="P1006" s="26" t="s">
        <v>293</v>
      </c>
    </row>
    <row r="1007" spans="1:16" x14ac:dyDescent="0.3">
      <c r="A1007" s="24">
        <v>33</v>
      </c>
      <c r="B1007" s="102">
        <v>46079</v>
      </c>
      <c r="C1007" s="25" t="s">
        <v>356</v>
      </c>
      <c r="D1007" s="103" t="s">
        <v>347</v>
      </c>
      <c r="E1007" s="26">
        <v>2.12</v>
      </c>
      <c r="F1007" s="26" t="s">
        <v>293</v>
      </c>
      <c r="K1007" s="24">
        <v>33</v>
      </c>
      <c r="L1007" s="102">
        <v>46079</v>
      </c>
      <c r="M1007" s="25" t="s">
        <v>357</v>
      </c>
      <c r="N1007" s="103" t="s">
        <v>347</v>
      </c>
      <c r="O1007" s="26">
        <v>4.6500000000000004</v>
      </c>
      <c r="P1007" s="26" t="s">
        <v>293</v>
      </c>
    </row>
    <row r="1008" spans="1:16" x14ac:dyDescent="0.3">
      <c r="A1008" s="24">
        <v>33</v>
      </c>
      <c r="B1008" s="102">
        <v>46079</v>
      </c>
      <c r="C1008" s="25" t="s">
        <v>356</v>
      </c>
      <c r="D1008" s="103" t="s">
        <v>128</v>
      </c>
      <c r="E1008" s="26">
        <v>6.7</v>
      </c>
      <c r="F1008" s="26" t="s">
        <v>293</v>
      </c>
      <c r="K1008" s="24">
        <v>33</v>
      </c>
      <c r="L1008" s="102">
        <v>46079</v>
      </c>
      <c r="M1008" s="25" t="s">
        <v>357</v>
      </c>
      <c r="N1008" s="103" t="s">
        <v>128</v>
      </c>
      <c r="O1008" s="26">
        <v>4.4000000000000004</v>
      </c>
      <c r="P1008" s="26" t="s">
        <v>293</v>
      </c>
    </row>
    <row r="1009" spans="1:16" x14ac:dyDescent="0.3">
      <c r="A1009" s="24">
        <v>33</v>
      </c>
      <c r="B1009" s="102">
        <v>46079</v>
      </c>
      <c r="C1009" s="25" t="s">
        <v>356</v>
      </c>
      <c r="D1009" s="103" t="s">
        <v>121</v>
      </c>
      <c r="E1009" s="26">
        <v>155</v>
      </c>
      <c r="F1009" s="26" t="s">
        <v>293</v>
      </c>
      <c r="K1009" s="24">
        <v>33</v>
      </c>
      <c r="L1009" s="102">
        <v>46079</v>
      </c>
      <c r="M1009" s="25" t="s">
        <v>357</v>
      </c>
      <c r="N1009" s="103" t="s">
        <v>121</v>
      </c>
      <c r="O1009" s="26">
        <v>78</v>
      </c>
      <c r="P1009" s="26" t="s">
        <v>293</v>
      </c>
    </row>
    <row r="1010" spans="1:16" x14ac:dyDescent="0.3">
      <c r="A1010" s="24">
        <v>33</v>
      </c>
      <c r="B1010" s="102">
        <v>46079</v>
      </c>
      <c r="C1010" s="25" t="s">
        <v>356</v>
      </c>
      <c r="D1010" s="103" t="s">
        <v>115</v>
      </c>
      <c r="E1010" s="26">
        <v>31</v>
      </c>
      <c r="F1010" s="26" t="s">
        <v>293</v>
      </c>
      <c r="K1010" s="24">
        <v>33</v>
      </c>
      <c r="L1010" s="102">
        <v>46079</v>
      </c>
      <c r="M1010" s="25" t="s">
        <v>357</v>
      </c>
      <c r="N1010" s="103" t="s">
        <v>115</v>
      </c>
      <c r="O1010" s="26">
        <v>95</v>
      </c>
      <c r="P1010" s="26" t="s">
        <v>293</v>
      </c>
    </row>
    <row r="1011" spans="1:16" x14ac:dyDescent="0.3">
      <c r="A1011" s="24">
        <v>33</v>
      </c>
      <c r="B1011" s="102">
        <v>46079</v>
      </c>
      <c r="C1011" s="25" t="s">
        <v>356</v>
      </c>
      <c r="D1011" s="103" t="s">
        <v>137</v>
      </c>
      <c r="E1011" s="26">
        <v>75</v>
      </c>
      <c r="F1011" s="26" t="s">
        <v>293</v>
      </c>
      <c r="K1011" s="24">
        <v>33</v>
      </c>
      <c r="L1011" s="102">
        <v>46079</v>
      </c>
      <c r="M1011" s="25" t="s">
        <v>357</v>
      </c>
      <c r="N1011" s="103" t="s">
        <v>137</v>
      </c>
      <c r="O1011" s="26">
        <v>482</v>
      </c>
      <c r="P1011" s="26" t="s">
        <v>293</v>
      </c>
    </row>
    <row r="1012" spans="1:16" x14ac:dyDescent="0.3">
      <c r="A1012" s="24">
        <v>33</v>
      </c>
      <c r="B1012" s="102">
        <v>46079</v>
      </c>
      <c r="C1012" s="25" t="s">
        <v>356</v>
      </c>
      <c r="D1012" s="103" t="s">
        <v>348</v>
      </c>
      <c r="E1012" s="26">
        <v>140</v>
      </c>
      <c r="F1012" s="26" t="s">
        <v>293</v>
      </c>
      <c r="K1012" s="24">
        <v>33</v>
      </c>
      <c r="L1012" s="102">
        <v>46079</v>
      </c>
      <c r="M1012" s="25" t="s">
        <v>357</v>
      </c>
      <c r="N1012" s="103" t="s">
        <v>348</v>
      </c>
      <c r="O1012" s="26">
        <v>430</v>
      </c>
      <c r="P1012" s="26" t="s">
        <v>293</v>
      </c>
    </row>
    <row r="1013" spans="1:16" x14ac:dyDescent="0.3">
      <c r="A1013" s="24">
        <v>33</v>
      </c>
      <c r="B1013" s="102">
        <v>46079</v>
      </c>
      <c r="C1013" s="25" t="s">
        <v>356</v>
      </c>
      <c r="D1013" s="103" t="s">
        <v>125</v>
      </c>
      <c r="E1013" s="26">
        <v>113</v>
      </c>
      <c r="F1013" s="26" t="s">
        <v>293</v>
      </c>
      <c r="K1013" s="24">
        <v>33</v>
      </c>
      <c r="L1013" s="102">
        <v>46079</v>
      </c>
      <c r="M1013" s="25" t="s">
        <v>357</v>
      </c>
      <c r="N1013" s="103" t="s">
        <v>125</v>
      </c>
      <c r="O1013" s="26">
        <v>431</v>
      </c>
      <c r="P1013" s="26" t="s">
        <v>293</v>
      </c>
    </row>
    <row r="1014" spans="1:16" x14ac:dyDescent="0.3">
      <c r="A1014" s="24">
        <v>33</v>
      </c>
      <c r="B1014" s="102">
        <v>46079</v>
      </c>
      <c r="C1014" s="25" t="s">
        <v>356</v>
      </c>
      <c r="D1014" s="103" t="s">
        <v>126</v>
      </c>
      <c r="E1014" s="26">
        <v>79</v>
      </c>
      <c r="F1014" s="26" t="s">
        <v>293</v>
      </c>
      <c r="K1014" s="24">
        <v>33</v>
      </c>
      <c r="L1014" s="102">
        <v>46079</v>
      </c>
      <c r="M1014" s="25" t="s">
        <v>357</v>
      </c>
      <c r="N1014" s="103" t="s">
        <v>126</v>
      </c>
      <c r="O1014" s="26">
        <v>156</v>
      </c>
      <c r="P1014" s="26" t="s">
        <v>293</v>
      </c>
    </row>
    <row r="1015" spans="1:16" x14ac:dyDescent="0.3">
      <c r="A1015" s="24">
        <v>33</v>
      </c>
      <c r="B1015" s="102">
        <v>46079</v>
      </c>
      <c r="C1015" s="25" t="s">
        <v>356</v>
      </c>
      <c r="D1015" s="103" t="s">
        <v>349</v>
      </c>
      <c r="E1015" s="26">
        <v>163</v>
      </c>
      <c r="F1015" s="26" t="s">
        <v>293</v>
      </c>
      <c r="K1015" s="24">
        <v>33</v>
      </c>
      <c r="L1015" s="102">
        <v>46079</v>
      </c>
      <c r="M1015" s="25" t="s">
        <v>357</v>
      </c>
      <c r="N1015" s="103" t="s">
        <v>349</v>
      </c>
      <c r="O1015" s="26">
        <v>383</v>
      </c>
      <c r="P1015" s="26" t="s">
        <v>293</v>
      </c>
    </row>
    <row r="1016" spans="1:16" x14ac:dyDescent="0.3">
      <c r="A1016" s="24">
        <v>33</v>
      </c>
      <c r="B1016" s="102">
        <v>46079</v>
      </c>
      <c r="C1016" s="25" t="s">
        <v>356</v>
      </c>
      <c r="D1016" s="103" t="s">
        <v>350</v>
      </c>
      <c r="E1016" s="26">
        <v>60</v>
      </c>
      <c r="F1016" s="26" t="s">
        <v>293</v>
      </c>
      <c r="K1016" s="24">
        <v>33</v>
      </c>
      <c r="L1016" s="102">
        <v>46079</v>
      </c>
      <c r="M1016" s="25" t="s">
        <v>357</v>
      </c>
      <c r="N1016" s="103" t="s">
        <v>350</v>
      </c>
      <c r="O1016" s="26">
        <v>86</v>
      </c>
      <c r="P1016" s="26" t="s">
        <v>293</v>
      </c>
    </row>
    <row r="1017" spans="1:16" x14ac:dyDescent="0.3">
      <c r="A1017" s="24">
        <v>33</v>
      </c>
      <c r="B1017" s="102">
        <v>46079</v>
      </c>
      <c r="C1017" s="25" t="s">
        <v>356</v>
      </c>
      <c r="D1017" s="103" t="s">
        <v>122</v>
      </c>
      <c r="E1017" s="26">
        <v>46</v>
      </c>
      <c r="F1017" s="26" t="s">
        <v>293</v>
      </c>
      <c r="K1017" s="24">
        <v>33</v>
      </c>
      <c r="L1017" s="102">
        <v>46079</v>
      </c>
      <c r="M1017" s="25" t="s">
        <v>357</v>
      </c>
      <c r="N1017" s="103" t="s">
        <v>122</v>
      </c>
      <c r="O1017" s="26">
        <v>216</v>
      </c>
      <c r="P1017" s="26" t="s">
        <v>293</v>
      </c>
    </row>
    <row r="1018" spans="1:16" x14ac:dyDescent="0.3">
      <c r="A1018" s="24">
        <v>33</v>
      </c>
      <c r="B1018" s="102">
        <v>46079</v>
      </c>
      <c r="C1018" s="25" t="s">
        <v>356</v>
      </c>
      <c r="D1018" s="103" t="s">
        <v>124</v>
      </c>
      <c r="E1018" s="26">
        <v>32</v>
      </c>
      <c r="F1018" s="26" t="s">
        <v>293</v>
      </c>
      <c r="K1018" s="24">
        <v>33</v>
      </c>
      <c r="L1018" s="102">
        <v>46079</v>
      </c>
      <c r="M1018" s="25" t="s">
        <v>357</v>
      </c>
      <c r="N1018" s="103" t="s">
        <v>124</v>
      </c>
      <c r="O1018" s="26">
        <v>102</v>
      </c>
      <c r="P1018" s="26" t="s">
        <v>293</v>
      </c>
    </row>
    <row r="1019" spans="1:16" x14ac:dyDescent="0.3">
      <c r="A1019" s="24">
        <v>33</v>
      </c>
      <c r="B1019" s="102">
        <v>46079</v>
      </c>
      <c r="C1019" s="25" t="s">
        <v>356</v>
      </c>
      <c r="D1019" s="103" t="s">
        <v>351</v>
      </c>
      <c r="E1019" s="26">
        <v>0.98</v>
      </c>
      <c r="F1019" s="26" t="s">
        <v>293</v>
      </c>
      <c r="K1019" s="24">
        <v>33</v>
      </c>
      <c r="L1019" s="102">
        <v>46079</v>
      </c>
      <c r="M1019" s="25" t="s">
        <v>357</v>
      </c>
      <c r="N1019" s="103" t="s">
        <v>351</v>
      </c>
      <c r="O1019" s="26">
        <v>3.63</v>
      </c>
      <c r="P1019" s="26" t="s">
        <v>293</v>
      </c>
    </row>
    <row r="1020" spans="1:16" x14ac:dyDescent="0.3">
      <c r="A1020" s="24">
        <v>33</v>
      </c>
      <c r="B1020" s="102">
        <v>46079</v>
      </c>
      <c r="C1020" s="25" t="s">
        <v>356</v>
      </c>
      <c r="D1020" s="103" t="s">
        <v>353</v>
      </c>
      <c r="E1020" s="26">
        <v>35.1</v>
      </c>
      <c r="F1020" s="26" t="s">
        <v>293</v>
      </c>
      <c r="K1020" s="24">
        <v>33</v>
      </c>
      <c r="L1020" s="102">
        <v>46079</v>
      </c>
      <c r="M1020" s="25" t="s">
        <v>357</v>
      </c>
      <c r="N1020" s="103" t="s">
        <v>353</v>
      </c>
      <c r="O1020" s="26">
        <v>18.3</v>
      </c>
      <c r="P1020" s="26" t="s">
        <v>293</v>
      </c>
    </row>
    <row r="1021" spans="1:16" x14ac:dyDescent="0.3">
      <c r="A1021" s="24">
        <v>33</v>
      </c>
      <c r="B1021" s="102">
        <v>46079</v>
      </c>
      <c r="C1021" s="25" t="s">
        <v>356</v>
      </c>
      <c r="D1021" s="103" t="s">
        <v>133</v>
      </c>
      <c r="E1021" s="26">
        <v>146</v>
      </c>
      <c r="F1021" s="26" t="s">
        <v>293</v>
      </c>
      <c r="K1021" s="24">
        <v>33</v>
      </c>
      <c r="L1021" s="102">
        <v>46079</v>
      </c>
      <c r="M1021" s="25" t="s">
        <v>357</v>
      </c>
      <c r="N1021" s="103" t="s">
        <v>133</v>
      </c>
      <c r="O1021" s="26">
        <v>128</v>
      </c>
      <c r="P1021" s="26" t="s">
        <v>293</v>
      </c>
    </row>
    <row r="1022" spans="1:16" x14ac:dyDescent="0.3">
      <c r="A1022" s="24">
        <v>33</v>
      </c>
      <c r="B1022" s="102">
        <v>46079</v>
      </c>
      <c r="C1022" s="25" t="s">
        <v>356</v>
      </c>
      <c r="D1022" s="103" t="s">
        <v>135</v>
      </c>
      <c r="E1022" s="26">
        <v>3.9</v>
      </c>
      <c r="F1022" s="26" t="s">
        <v>293</v>
      </c>
      <c r="K1022" s="24">
        <v>33</v>
      </c>
      <c r="L1022" s="102">
        <v>46079</v>
      </c>
      <c r="M1022" s="25" t="s">
        <v>357</v>
      </c>
      <c r="N1022" s="103" t="s">
        <v>135</v>
      </c>
      <c r="O1022" s="26">
        <v>6.6</v>
      </c>
      <c r="P1022" s="26" t="s">
        <v>293</v>
      </c>
    </row>
    <row r="1023" spans="1:16" x14ac:dyDescent="0.3">
      <c r="A1023" s="24">
        <v>33</v>
      </c>
      <c r="B1023" s="102">
        <v>46079</v>
      </c>
      <c r="C1023" s="25" t="s">
        <v>356</v>
      </c>
      <c r="D1023" s="103" t="s">
        <v>136</v>
      </c>
      <c r="E1023" s="26">
        <v>116</v>
      </c>
      <c r="F1023" s="26" t="s">
        <v>293</v>
      </c>
      <c r="K1023" s="24">
        <v>33</v>
      </c>
      <c r="L1023" s="102">
        <v>46079</v>
      </c>
      <c r="M1023" s="25" t="s">
        <v>357</v>
      </c>
      <c r="N1023" s="103" t="s">
        <v>136</v>
      </c>
      <c r="O1023" s="26">
        <v>94</v>
      </c>
      <c r="P1023" s="26" t="s">
        <v>293</v>
      </c>
    </row>
    <row r="1024" spans="1:16" x14ac:dyDescent="0.3">
      <c r="A1024" s="24">
        <v>34</v>
      </c>
      <c r="B1024" s="102">
        <v>46080</v>
      </c>
      <c r="C1024" s="25" t="s">
        <v>356</v>
      </c>
      <c r="D1024" s="103" t="s">
        <v>339</v>
      </c>
      <c r="E1024" s="26">
        <v>4.5999999999999996</v>
      </c>
      <c r="F1024" s="26" t="s">
        <v>293</v>
      </c>
      <c r="K1024" s="24">
        <v>34</v>
      </c>
      <c r="L1024" s="102">
        <v>46080</v>
      </c>
      <c r="M1024" s="25" t="s">
        <v>357</v>
      </c>
      <c r="N1024" s="103" t="s">
        <v>339</v>
      </c>
      <c r="O1024" s="26">
        <v>1.07</v>
      </c>
      <c r="P1024" s="26" t="s">
        <v>293</v>
      </c>
    </row>
    <row r="1025" spans="1:16" x14ac:dyDescent="0.3">
      <c r="A1025" s="24">
        <v>34</v>
      </c>
      <c r="B1025" s="102">
        <v>46080</v>
      </c>
      <c r="C1025" s="25" t="s">
        <v>356</v>
      </c>
      <c r="D1025" s="103" t="s">
        <v>118</v>
      </c>
      <c r="E1025" s="26">
        <v>4.5999999999999996</v>
      </c>
      <c r="F1025" s="26" t="s">
        <v>293</v>
      </c>
      <c r="K1025" s="24">
        <v>34</v>
      </c>
      <c r="L1025" s="102">
        <v>46080</v>
      </c>
      <c r="M1025" s="25" t="s">
        <v>357</v>
      </c>
      <c r="N1025" s="103" t="s">
        <v>118</v>
      </c>
      <c r="O1025" s="26">
        <v>9.5</v>
      </c>
      <c r="P1025" s="26" t="s">
        <v>293</v>
      </c>
    </row>
    <row r="1026" spans="1:16" x14ac:dyDescent="0.3">
      <c r="A1026" s="24">
        <v>34</v>
      </c>
      <c r="B1026" s="102">
        <v>46080</v>
      </c>
      <c r="C1026" s="25" t="s">
        <v>356</v>
      </c>
      <c r="D1026" s="103" t="s">
        <v>130</v>
      </c>
      <c r="E1026" s="26">
        <v>3.78</v>
      </c>
      <c r="F1026" s="26" t="s">
        <v>293</v>
      </c>
      <c r="K1026" s="24">
        <v>34</v>
      </c>
      <c r="L1026" s="102">
        <v>46080</v>
      </c>
      <c r="M1026" s="25" t="s">
        <v>357</v>
      </c>
      <c r="N1026" s="103" t="s">
        <v>130</v>
      </c>
      <c r="O1026" s="26">
        <v>2.4</v>
      </c>
      <c r="P1026" s="26" t="s">
        <v>293</v>
      </c>
    </row>
    <row r="1027" spans="1:16" x14ac:dyDescent="0.3">
      <c r="A1027" s="24">
        <v>34</v>
      </c>
      <c r="B1027" s="102">
        <v>46080</v>
      </c>
      <c r="C1027" s="25" t="s">
        <v>356</v>
      </c>
      <c r="D1027" s="103" t="s">
        <v>341</v>
      </c>
      <c r="E1027" s="26">
        <v>0.3</v>
      </c>
      <c r="F1027" s="26" t="s">
        <v>293</v>
      </c>
      <c r="K1027" s="24">
        <v>34</v>
      </c>
      <c r="L1027" s="102">
        <v>46080</v>
      </c>
      <c r="M1027" s="25" t="s">
        <v>357</v>
      </c>
      <c r="N1027" s="103" t="s">
        <v>341</v>
      </c>
      <c r="O1027" s="26">
        <v>1.1100000000000001</v>
      </c>
      <c r="P1027" s="26" t="s">
        <v>293</v>
      </c>
    </row>
    <row r="1028" spans="1:16" x14ac:dyDescent="0.3">
      <c r="A1028" s="24">
        <v>34</v>
      </c>
      <c r="B1028" s="102">
        <v>46080</v>
      </c>
      <c r="C1028" s="25" t="s">
        <v>356</v>
      </c>
      <c r="D1028" s="103" t="s">
        <v>127</v>
      </c>
      <c r="E1028" s="26">
        <v>1.1499999999999999</v>
      </c>
      <c r="F1028" s="26" t="s">
        <v>293</v>
      </c>
      <c r="K1028" s="24">
        <v>34</v>
      </c>
      <c r="L1028" s="102">
        <v>46080</v>
      </c>
      <c r="M1028" s="25" t="s">
        <v>357</v>
      </c>
      <c r="N1028" s="103" t="s">
        <v>127</v>
      </c>
      <c r="O1028" s="26">
        <v>4.59</v>
      </c>
      <c r="P1028" s="26" t="s">
        <v>293</v>
      </c>
    </row>
    <row r="1029" spans="1:16" x14ac:dyDescent="0.3">
      <c r="A1029" s="24">
        <v>34</v>
      </c>
      <c r="B1029" s="102">
        <v>46080</v>
      </c>
      <c r="C1029" s="25" t="s">
        <v>356</v>
      </c>
      <c r="D1029" s="103" t="s">
        <v>131</v>
      </c>
      <c r="E1029" s="26">
        <v>8.6999999999999993</v>
      </c>
      <c r="F1029" s="26" t="s">
        <v>293</v>
      </c>
      <c r="K1029" s="24">
        <v>34</v>
      </c>
      <c r="L1029" s="102">
        <v>46080</v>
      </c>
      <c r="M1029" s="25" t="s">
        <v>357</v>
      </c>
      <c r="N1029" s="103" t="s">
        <v>131</v>
      </c>
      <c r="O1029" s="26">
        <v>12</v>
      </c>
      <c r="P1029" s="26" t="s">
        <v>293</v>
      </c>
    </row>
    <row r="1030" spans="1:16" x14ac:dyDescent="0.3">
      <c r="A1030" s="24">
        <v>34</v>
      </c>
      <c r="B1030" s="102">
        <v>46080</v>
      </c>
      <c r="C1030" s="25" t="s">
        <v>356</v>
      </c>
      <c r="D1030" s="103" t="s">
        <v>342</v>
      </c>
      <c r="E1030" s="26">
        <v>312</v>
      </c>
      <c r="F1030" s="26" t="s">
        <v>293</v>
      </c>
      <c r="K1030" s="24">
        <v>34</v>
      </c>
      <c r="L1030" s="102">
        <v>46080</v>
      </c>
      <c r="M1030" s="25" t="s">
        <v>357</v>
      </c>
      <c r="N1030" s="103" t="s">
        <v>342</v>
      </c>
      <c r="O1030" s="26">
        <v>185</v>
      </c>
      <c r="P1030" s="26" t="s">
        <v>293</v>
      </c>
    </row>
    <row r="1031" spans="1:16" x14ac:dyDescent="0.3">
      <c r="A1031" s="24">
        <v>34</v>
      </c>
      <c r="B1031" s="102">
        <v>46080</v>
      </c>
      <c r="C1031" s="25" t="s">
        <v>356</v>
      </c>
      <c r="D1031" s="103" t="s">
        <v>119</v>
      </c>
      <c r="E1031" s="26">
        <v>229</v>
      </c>
      <c r="F1031" s="26" t="s">
        <v>293</v>
      </c>
      <c r="K1031" s="24">
        <v>34</v>
      </c>
      <c r="L1031" s="102">
        <v>46080</v>
      </c>
      <c r="M1031" s="25" t="s">
        <v>357</v>
      </c>
      <c r="N1031" s="103" t="s">
        <v>119</v>
      </c>
      <c r="O1031" s="26">
        <v>83</v>
      </c>
      <c r="P1031" s="26" t="s">
        <v>293</v>
      </c>
    </row>
    <row r="1032" spans="1:16" x14ac:dyDescent="0.3">
      <c r="A1032" s="24">
        <v>34</v>
      </c>
      <c r="B1032" s="102">
        <v>46080</v>
      </c>
      <c r="C1032" s="25" t="s">
        <v>356</v>
      </c>
      <c r="D1032" s="103" t="s">
        <v>120</v>
      </c>
      <c r="E1032" s="26">
        <v>80</v>
      </c>
      <c r="F1032" s="26" t="s">
        <v>293</v>
      </c>
      <c r="K1032" s="24">
        <v>34</v>
      </c>
      <c r="L1032" s="102">
        <v>46080</v>
      </c>
      <c r="M1032" s="25" t="s">
        <v>357</v>
      </c>
      <c r="N1032" s="103" t="s">
        <v>120</v>
      </c>
      <c r="O1032" s="26">
        <v>27</v>
      </c>
      <c r="P1032" s="26" t="s">
        <v>293</v>
      </c>
    </row>
    <row r="1033" spans="1:16" x14ac:dyDescent="0.3">
      <c r="A1033" s="24">
        <v>34</v>
      </c>
      <c r="B1033" s="102">
        <v>46080</v>
      </c>
      <c r="C1033" s="25" t="s">
        <v>356</v>
      </c>
      <c r="D1033" s="103" t="s">
        <v>117</v>
      </c>
      <c r="E1033" s="26">
        <v>2.73</v>
      </c>
      <c r="F1033" s="26" t="s">
        <v>293</v>
      </c>
      <c r="K1033" s="24">
        <v>34</v>
      </c>
      <c r="L1033" s="102">
        <v>46080</v>
      </c>
      <c r="M1033" s="25" t="s">
        <v>357</v>
      </c>
      <c r="N1033" s="103" t="s">
        <v>117</v>
      </c>
      <c r="O1033" s="26">
        <v>6.33</v>
      </c>
      <c r="P1033" s="26" t="s">
        <v>293</v>
      </c>
    </row>
    <row r="1034" spans="1:16" x14ac:dyDescent="0.3">
      <c r="A1034" s="24">
        <v>34</v>
      </c>
      <c r="B1034" s="102">
        <v>46080</v>
      </c>
      <c r="C1034" s="25" t="s">
        <v>356</v>
      </c>
      <c r="D1034" s="103" t="s">
        <v>344</v>
      </c>
      <c r="E1034" s="26">
        <v>231</v>
      </c>
      <c r="F1034" s="26" t="s">
        <v>293</v>
      </c>
      <c r="K1034" s="24">
        <v>34</v>
      </c>
      <c r="L1034" s="102">
        <v>46080</v>
      </c>
      <c r="M1034" s="25" t="s">
        <v>357</v>
      </c>
      <c r="N1034" s="103" t="s">
        <v>344</v>
      </c>
      <c r="O1034" s="26">
        <v>67</v>
      </c>
      <c r="P1034" s="26" t="s">
        <v>293</v>
      </c>
    </row>
    <row r="1035" spans="1:16" x14ac:dyDescent="0.3">
      <c r="A1035" s="24">
        <v>34</v>
      </c>
      <c r="B1035" s="102">
        <v>46080</v>
      </c>
      <c r="C1035" s="25" t="s">
        <v>356</v>
      </c>
      <c r="D1035" s="103" t="s">
        <v>132</v>
      </c>
      <c r="E1035" s="26">
        <v>3.48</v>
      </c>
      <c r="F1035" s="26" t="s">
        <v>293</v>
      </c>
      <c r="K1035" s="24">
        <v>34</v>
      </c>
      <c r="L1035" s="102">
        <v>46080</v>
      </c>
      <c r="M1035" s="25" t="s">
        <v>357</v>
      </c>
      <c r="N1035" s="103" t="s">
        <v>132</v>
      </c>
      <c r="O1035" s="26">
        <v>7.09</v>
      </c>
      <c r="P1035" s="26" t="s">
        <v>293</v>
      </c>
    </row>
    <row r="1036" spans="1:16" x14ac:dyDescent="0.3">
      <c r="A1036" s="24">
        <v>34</v>
      </c>
      <c r="B1036" s="102">
        <v>46080</v>
      </c>
      <c r="C1036" s="25" t="s">
        <v>356</v>
      </c>
      <c r="D1036" s="103" t="s">
        <v>111</v>
      </c>
      <c r="E1036" s="26">
        <v>87</v>
      </c>
      <c r="F1036" s="26" t="s">
        <v>293</v>
      </c>
      <c r="K1036" s="24">
        <v>34</v>
      </c>
      <c r="L1036" s="102">
        <v>46080</v>
      </c>
      <c r="M1036" s="25" t="s">
        <v>357</v>
      </c>
      <c r="N1036" s="103" t="s">
        <v>111</v>
      </c>
      <c r="O1036" s="26">
        <v>282</v>
      </c>
      <c r="P1036" s="26" t="s">
        <v>293</v>
      </c>
    </row>
    <row r="1037" spans="1:16" x14ac:dyDescent="0.3">
      <c r="A1037" s="24">
        <v>34</v>
      </c>
      <c r="B1037" s="102">
        <v>46080</v>
      </c>
      <c r="C1037" s="25" t="s">
        <v>356</v>
      </c>
      <c r="D1037" s="103" t="s">
        <v>345</v>
      </c>
      <c r="E1037" s="26">
        <v>5.18</v>
      </c>
      <c r="F1037" s="26" t="s">
        <v>293</v>
      </c>
      <c r="K1037" s="24">
        <v>34</v>
      </c>
      <c r="L1037" s="102">
        <v>46080</v>
      </c>
      <c r="M1037" s="25" t="s">
        <v>357</v>
      </c>
      <c r="N1037" s="103" t="s">
        <v>345</v>
      </c>
      <c r="O1037" s="26">
        <v>9.99</v>
      </c>
      <c r="P1037" s="26" t="s">
        <v>293</v>
      </c>
    </row>
    <row r="1038" spans="1:16" x14ac:dyDescent="0.3">
      <c r="A1038" s="24">
        <v>34</v>
      </c>
      <c r="B1038" s="102">
        <v>46080</v>
      </c>
      <c r="C1038" s="25" t="s">
        <v>356</v>
      </c>
      <c r="D1038" s="103" t="s">
        <v>347</v>
      </c>
      <c r="E1038" s="26">
        <v>1.93</v>
      </c>
      <c r="F1038" s="26" t="s">
        <v>293</v>
      </c>
      <c r="K1038" s="24">
        <v>34</v>
      </c>
      <c r="L1038" s="102">
        <v>46080</v>
      </c>
      <c r="M1038" s="25" t="s">
        <v>357</v>
      </c>
      <c r="N1038" s="103" t="s">
        <v>347</v>
      </c>
      <c r="O1038" s="26">
        <v>4.4000000000000004</v>
      </c>
      <c r="P1038" s="26" t="s">
        <v>293</v>
      </c>
    </row>
    <row r="1039" spans="1:16" x14ac:dyDescent="0.3">
      <c r="A1039" s="24">
        <v>34</v>
      </c>
      <c r="B1039" s="102">
        <v>46080</v>
      </c>
      <c r="C1039" s="25" t="s">
        <v>356</v>
      </c>
      <c r="D1039" s="103" t="s">
        <v>128</v>
      </c>
      <c r="E1039" s="26">
        <v>6.7</v>
      </c>
      <c r="F1039" s="26" t="s">
        <v>293</v>
      </c>
      <c r="K1039" s="24">
        <v>34</v>
      </c>
      <c r="L1039" s="102">
        <v>46080</v>
      </c>
      <c r="M1039" s="25" t="s">
        <v>357</v>
      </c>
      <c r="N1039" s="103" t="s">
        <v>128</v>
      </c>
      <c r="O1039" s="26">
        <v>4.3</v>
      </c>
      <c r="P1039" s="26" t="s">
        <v>293</v>
      </c>
    </row>
    <row r="1040" spans="1:16" x14ac:dyDescent="0.3">
      <c r="A1040" s="24">
        <v>34</v>
      </c>
      <c r="B1040" s="102">
        <v>46080</v>
      </c>
      <c r="C1040" s="25" t="s">
        <v>356</v>
      </c>
      <c r="D1040" s="103" t="s">
        <v>121</v>
      </c>
      <c r="E1040" s="26">
        <v>159</v>
      </c>
      <c r="F1040" s="26" t="s">
        <v>293</v>
      </c>
      <c r="K1040" s="24">
        <v>34</v>
      </c>
      <c r="L1040" s="102">
        <v>46080</v>
      </c>
      <c r="M1040" s="25" t="s">
        <v>357</v>
      </c>
      <c r="N1040" s="103" t="s">
        <v>121</v>
      </c>
      <c r="O1040" s="26">
        <v>77</v>
      </c>
      <c r="P1040" s="26" t="s">
        <v>293</v>
      </c>
    </row>
    <row r="1041" spans="1:16" x14ac:dyDescent="0.3">
      <c r="A1041" s="24">
        <v>34</v>
      </c>
      <c r="B1041" s="102">
        <v>46080</v>
      </c>
      <c r="C1041" s="25" t="s">
        <v>356</v>
      </c>
      <c r="D1041" s="103" t="s">
        <v>115</v>
      </c>
      <c r="E1041" s="26">
        <v>31</v>
      </c>
      <c r="F1041" s="26" t="s">
        <v>293</v>
      </c>
      <c r="K1041" s="24">
        <v>34</v>
      </c>
      <c r="L1041" s="102">
        <v>46080</v>
      </c>
      <c r="M1041" s="25" t="s">
        <v>357</v>
      </c>
      <c r="N1041" s="103" t="s">
        <v>115</v>
      </c>
      <c r="O1041" s="26">
        <v>96</v>
      </c>
      <c r="P1041" s="26" t="s">
        <v>293</v>
      </c>
    </row>
    <row r="1042" spans="1:16" x14ac:dyDescent="0.3">
      <c r="A1042" s="24">
        <v>34</v>
      </c>
      <c r="B1042" s="102">
        <v>46080</v>
      </c>
      <c r="C1042" s="25" t="s">
        <v>356</v>
      </c>
      <c r="D1042" s="103" t="s">
        <v>137</v>
      </c>
      <c r="E1042" s="26">
        <v>75</v>
      </c>
      <c r="F1042" s="26" t="s">
        <v>293</v>
      </c>
      <c r="K1042" s="24">
        <v>34</v>
      </c>
      <c r="L1042" s="102">
        <v>46080</v>
      </c>
      <c r="M1042" s="25" t="s">
        <v>357</v>
      </c>
      <c r="N1042" s="103" t="s">
        <v>137</v>
      </c>
      <c r="O1042" s="26">
        <v>487</v>
      </c>
      <c r="P1042" s="26" t="s">
        <v>293</v>
      </c>
    </row>
    <row r="1043" spans="1:16" x14ac:dyDescent="0.3">
      <c r="A1043" s="24">
        <v>34</v>
      </c>
      <c r="B1043" s="102">
        <v>46080</v>
      </c>
      <c r="C1043" s="25" t="s">
        <v>356</v>
      </c>
      <c r="D1043" s="103" t="s">
        <v>348</v>
      </c>
      <c r="E1043" s="26">
        <v>136</v>
      </c>
      <c r="F1043" s="26" t="s">
        <v>293</v>
      </c>
      <c r="K1043" s="24">
        <v>34</v>
      </c>
      <c r="L1043" s="102">
        <v>46080</v>
      </c>
      <c r="M1043" s="25" t="s">
        <v>357</v>
      </c>
      <c r="N1043" s="103" t="s">
        <v>348</v>
      </c>
      <c r="O1043" s="26">
        <v>427</v>
      </c>
      <c r="P1043" s="26" t="s">
        <v>293</v>
      </c>
    </row>
    <row r="1044" spans="1:16" x14ac:dyDescent="0.3">
      <c r="A1044" s="24">
        <v>34</v>
      </c>
      <c r="B1044" s="102">
        <v>46080</v>
      </c>
      <c r="C1044" s="25" t="s">
        <v>356</v>
      </c>
      <c r="D1044" s="103" t="s">
        <v>125</v>
      </c>
      <c r="E1044" s="26">
        <v>111</v>
      </c>
      <c r="F1044" s="26" t="s">
        <v>293</v>
      </c>
      <c r="K1044" s="24">
        <v>34</v>
      </c>
      <c r="L1044" s="102">
        <v>46080</v>
      </c>
      <c r="M1044" s="25" t="s">
        <v>357</v>
      </c>
      <c r="N1044" s="103" t="s">
        <v>125</v>
      </c>
      <c r="O1044" s="26">
        <v>416</v>
      </c>
      <c r="P1044" s="26" t="s">
        <v>293</v>
      </c>
    </row>
    <row r="1045" spans="1:16" x14ac:dyDescent="0.3">
      <c r="A1045" s="24">
        <v>34</v>
      </c>
      <c r="B1045" s="102">
        <v>46080</v>
      </c>
      <c r="C1045" s="25" t="s">
        <v>356</v>
      </c>
      <c r="D1045" s="103" t="s">
        <v>126</v>
      </c>
      <c r="E1045" s="26">
        <v>80</v>
      </c>
      <c r="F1045" s="26" t="s">
        <v>293</v>
      </c>
      <c r="K1045" s="24">
        <v>34</v>
      </c>
      <c r="L1045" s="102">
        <v>46080</v>
      </c>
      <c r="M1045" s="25" t="s">
        <v>357</v>
      </c>
      <c r="N1045" s="103" t="s">
        <v>126</v>
      </c>
      <c r="O1045" s="26">
        <v>151</v>
      </c>
      <c r="P1045" s="26" t="s">
        <v>293</v>
      </c>
    </row>
    <row r="1046" spans="1:16" x14ac:dyDescent="0.3">
      <c r="A1046" s="24">
        <v>34</v>
      </c>
      <c r="B1046" s="102">
        <v>46080</v>
      </c>
      <c r="C1046" s="25" t="s">
        <v>356</v>
      </c>
      <c r="D1046" s="103" t="s">
        <v>349</v>
      </c>
      <c r="E1046" s="26">
        <v>147</v>
      </c>
      <c r="F1046" s="26" t="s">
        <v>293</v>
      </c>
      <c r="K1046" s="24">
        <v>34</v>
      </c>
      <c r="L1046" s="102">
        <v>46080</v>
      </c>
      <c r="M1046" s="25" t="s">
        <v>357</v>
      </c>
      <c r="N1046" s="103" t="s">
        <v>349</v>
      </c>
      <c r="O1046" s="26">
        <v>366</v>
      </c>
      <c r="P1046" s="26" t="s">
        <v>293</v>
      </c>
    </row>
    <row r="1047" spans="1:16" x14ac:dyDescent="0.3">
      <c r="A1047" s="24">
        <v>34</v>
      </c>
      <c r="B1047" s="102">
        <v>46080</v>
      </c>
      <c r="C1047" s="25" t="s">
        <v>356</v>
      </c>
      <c r="D1047" s="103" t="s">
        <v>350</v>
      </c>
      <c r="E1047" s="26">
        <v>62</v>
      </c>
      <c r="F1047" s="26" t="s">
        <v>293</v>
      </c>
      <c r="K1047" s="24">
        <v>34</v>
      </c>
      <c r="L1047" s="102">
        <v>46080</v>
      </c>
      <c r="M1047" s="25" t="s">
        <v>357</v>
      </c>
      <c r="N1047" s="103" t="s">
        <v>350</v>
      </c>
      <c r="O1047" s="26">
        <v>86</v>
      </c>
      <c r="P1047" s="26" t="s">
        <v>293</v>
      </c>
    </row>
    <row r="1048" spans="1:16" x14ac:dyDescent="0.3">
      <c r="A1048" s="24">
        <v>34</v>
      </c>
      <c r="B1048" s="102">
        <v>46080</v>
      </c>
      <c r="C1048" s="25" t="s">
        <v>356</v>
      </c>
      <c r="D1048" s="103" t="s">
        <v>122</v>
      </c>
      <c r="E1048" s="26">
        <v>45</v>
      </c>
      <c r="F1048" s="26" t="s">
        <v>293</v>
      </c>
      <c r="K1048" s="24">
        <v>34</v>
      </c>
      <c r="L1048" s="102">
        <v>46080</v>
      </c>
      <c r="M1048" s="25" t="s">
        <v>357</v>
      </c>
      <c r="N1048" s="103" t="s">
        <v>122</v>
      </c>
      <c r="O1048" s="26">
        <v>217</v>
      </c>
      <c r="P1048" s="26" t="s">
        <v>293</v>
      </c>
    </row>
    <row r="1049" spans="1:16" x14ac:dyDescent="0.3">
      <c r="A1049" s="24">
        <v>34</v>
      </c>
      <c r="B1049" s="102">
        <v>46080</v>
      </c>
      <c r="C1049" s="25" t="s">
        <v>356</v>
      </c>
      <c r="D1049" s="103" t="s">
        <v>124</v>
      </c>
      <c r="E1049" s="26">
        <v>31</v>
      </c>
      <c r="F1049" s="26" t="s">
        <v>293</v>
      </c>
      <c r="K1049" s="24">
        <v>34</v>
      </c>
      <c r="L1049" s="102">
        <v>46080</v>
      </c>
      <c r="M1049" s="25" t="s">
        <v>357</v>
      </c>
      <c r="N1049" s="103" t="s">
        <v>124</v>
      </c>
      <c r="O1049" s="26">
        <v>107</v>
      </c>
      <c r="P1049" s="26" t="s">
        <v>293</v>
      </c>
    </row>
    <row r="1050" spans="1:16" x14ac:dyDescent="0.3">
      <c r="A1050" s="24">
        <v>34</v>
      </c>
      <c r="B1050" s="102">
        <v>46080</v>
      </c>
      <c r="C1050" s="25" t="s">
        <v>356</v>
      </c>
      <c r="D1050" s="103" t="s">
        <v>351</v>
      </c>
      <c r="E1050" s="26">
        <v>0.99</v>
      </c>
      <c r="F1050" s="26" t="s">
        <v>293</v>
      </c>
      <c r="K1050" s="24">
        <v>34</v>
      </c>
      <c r="L1050" s="102">
        <v>46080</v>
      </c>
      <c r="M1050" s="25" t="s">
        <v>357</v>
      </c>
      <c r="N1050" s="103" t="s">
        <v>351</v>
      </c>
      <c r="O1050" s="26">
        <v>3.65</v>
      </c>
      <c r="P1050" s="26" t="s">
        <v>293</v>
      </c>
    </row>
    <row r="1051" spans="1:16" x14ac:dyDescent="0.3">
      <c r="A1051" s="24">
        <v>34</v>
      </c>
      <c r="B1051" s="102">
        <v>46080</v>
      </c>
      <c r="C1051" s="25" t="s">
        <v>356</v>
      </c>
      <c r="D1051" s="103" t="s">
        <v>353</v>
      </c>
      <c r="E1051" s="26">
        <v>32.700000000000003</v>
      </c>
      <c r="F1051" s="26" t="s">
        <v>293</v>
      </c>
      <c r="K1051" s="24">
        <v>34</v>
      </c>
      <c r="L1051" s="102">
        <v>46080</v>
      </c>
      <c r="M1051" s="25" t="s">
        <v>357</v>
      </c>
      <c r="N1051" s="103" t="s">
        <v>353</v>
      </c>
      <c r="O1051" s="26">
        <v>18.399999999999999</v>
      </c>
      <c r="P1051" s="26" t="s">
        <v>293</v>
      </c>
    </row>
    <row r="1052" spans="1:16" x14ac:dyDescent="0.3">
      <c r="A1052" s="24">
        <v>34</v>
      </c>
      <c r="B1052" s="102">
        <v>46080</v>
      </c>
      <c r="C1052" s="25" t="s">
        <v>356</v>
      </c>
      <c r="D1052" s="103" t="s">
        <v>133</v>
      </c>
      <c r="E1052" s="26">
        <v>143</v>
      </c>
      <c r="F1052" s="26" t="s">
        <v>293</v>
      </c>
      <c r="K1052" s="24">
        <v>34</v>
      </c>
      <c r="L1052" s="102">
        <v>46080</v>
      </c>
      <c r="M1052" s="25" t="s">
        <v>357</v>
      </c>
      <c r="N1052" s="103" t="s">
        <v>133</v>
      </c>
      <c r="O1052" s="26">
        <v>126</v>
      </c>
      <c r="P1052" s="26" t="s">
        <v>293</v>
      </c>
    </row>
    <row r="1053" spans="1:16" x14ac:dyDescent="0.3">
      <c r="A1053" s="24">
        <v>34</v>
      </c>
      <c r="B1053" s="102">
        <v>46080</v>
      </c>
      <c r="C1053" s="25" t="s">
        <v>356</v>
      </c>
      <c r="D1053" s="103" t="s">
        <v>135</v>
      </c>
      <c r="E1053" s="26">
        <v>3.8</v>
      </c>
      <c r="F1053" s="26" t="s">
        <v>293</v>
      </c>
      <c r="K1053" s="24">
        <v>34</v>
      </c>
      <c r="L1053" s="102">
        <v>46080</v>
      </c>
      <c r="M1053" s="25" t="s">
        <v>357</v>
      </c>
      <c r="N1053" s="103" t="s">
        <v>135</v>
      </c>
      <c r="O1053" s="26">
        <v>6.4</v>
      </c>
      <c r="P1053" s="26" t="s">
        <v>293</v>
      </c>
    </row>
    <row r="1054" spans="1:16" x14ac:dyDescent="0.3">
      <c r="A1054" s="24">
        <v>34</v>
      </c>
      <c r="B1054" s="102">
        <v>46080</v>
      </c>
      <c r="C1054" s="25" t="s">
        <v>356</v>
      </c>
      <c r="D1054" s="103" t="s">
        <v>136</v>
      </c>
      <c r="E1054" s="26">
        <v>115</v>
      </c>
      <c r="F1054" s="26" t="s">
        <v>293</v>
      </c>
      <c r="K1054" s="24">
        <v>34</v>
      </c>
      <c r="L1054" s="102">
        <v>46080</v>
      </c>
      <c r="M1054" s="25" t="s">
        <v>357</v>
      </c>
      <c r="N1054" s="103" t="s">
        <v>136</v>
      </c>
      <c r="O1054" s="26">
        <v>96</v>
      </c>
      <c r="P1054" s="26" t="s">
        <v>293</v>
      </c>
    </row>
    <row r="1055" spans="1:16" x14ac:dyDescent="0.3">
      <c r="A1055" s="24">
        <v>35</v>
      </c>
      <c r="B1055" s="102">
        <v>46083</v>
      </c>
      <c r="C1055" s="25" t="s">
        <v>356</v>
      </c>
      <c r="D1055" s="103" t="s">
        <v>339</v>
      </c>
      <c r="E1055" s="26">
        <v>4.5999999999999996</v>
      </c>
      <c r="F1055" s="26" t="s">
        <v>293</v>
      </c>
      <c r="K1055" s="24">
        <v>35</v>
      </c>
      <c r="L1055" s="102">
        <v>46083</v>
      </c>
      <c r="M1055" s="25" t="s">
        <v>357</v>
      </c>
      <c r="N1055" s="103" t="s">
        <v>339</v>
      </c>
      <c r="O1055" s="26">
        <v>1.1499999999999999</v>
      </c>
      <c r="P1055" s="26" t="s">
        <v>293</v>
      </c>
    </row>
    <row r="1056" spans="1:16" x14ac:dyDescent="0.3">
      <c r="A1056" s="24">
        <v>35</v>
      </c>
      <c r="B1056" s="102">
        <v>46083</v>
      </c>
      <c r="C1056" s="25" t="s">
        <v>356</v>
      </c>
      <c r="D1056" s="103" t="s">
        <v>118</v>
      </c>
      <c r="E1056" s="26">
        <v>4.5</v>
      </c>
      <c r="F1056" s="26" t="s">
        <v>293</v>
      </c>
      <c r="K1056" s="24">
        <v>35</v>
      </c>
      <c r="L1056" s="102">
        <v>46083</v>
      </c>
      <c r="M1056" s="25" t="s">
        <v>357</v>
      </c>
      <c r="N1056" s="103" t="s">
        <v>118</v>
      </c>
      <c r="O1056" s="26">
        <v>9.6999999999999993</v>
      </c>
      <c r="P1056" s="26" t="s">
        <v>293</v>
      </c>
    </row>
    <row r="1057" spans="1:16" x14ac:dyDescent="0.3">
      <c r="A1057" s="24">
        <v>35</v>
      </c>
      <c r="B1057" s="102">
        <v>46083</v>
      </c>
      <c r="C1057" s="25" t="s">
        <v>356</v>
      </c>
      <c r="D1057" s="103" t="s">
        <v>130</v>
      </c>
      <c r="E1057" s="26">
        <v>3.75</v>
      </c>
      <c r="F1057" s="26" t="s">
        <v>293</v>
      </c>
      <c r="K1057" s="24">
        <v>35</v>
      </c>
      <c r="L1057" s="102">
        <v>46083</v>
      </c>
      <c r="M1057" s="25" t="s">
        <v>357</v>
      </c>
      <c r="N1057" s="103" t="s">
        <v>130</v>
      </c>
      <c r="O1057" s="26">
        <v>2.4700000000000002</v>
      </c>
      <c r="P1057" s="26" t="s">
        <v>293</v>
      </c>
    </row>
    <row r="1058" spans="1:16" x14ac:dyDescent="0.3">
      <c r="A1058" s="24">
        <v>35</v>
      </c>
      <c r="B1058" s="102">
        <v>46083</v>
      </c>
      <c r="C1058" s="25" t="s">
        <v>356</v>
      </c>
      <c r="D1058" s="103" t="s">
        <v>341</v>
      </c>
      <c r="E1058" s="26">
        <v>0.27</v>
      </c>
      <c r="F1058" s="26" t="s">
        <v>293</v>
      </c>
      <c r="K1058" s="24">
        <v>35</v>
      </c>
      <c r="L1058" s="102">
        <v>46083</v>
      </c>
      <c r="M1058" s="25" t="s">
        <v>357</v>
      </c>
      <c r="N1058" s="103" t="s">
        <v>341</v>
      </c>
      <c r="O1058" s="26">
        <v>1.06</v>
      </c>
      <c r="P1058" s="26" t="s">
        <v>293</v>
      </c>
    </row>
    <row r="1059" spans="1:16" x14ac:dyDescent="0.3">
      <c r="A1059" s="24">
        <v>35</v>
      </c>
      <c r="B1059" s="102">
        <v>46083</v>
      </c>
      <c r="C1059" s="25" t="s">
        <v>356</v>
      </c>
      <c r="D1059" s="103" t="s">
        <v>127</v>
      </c>
      <c r="E1059" s="26">
        <v>1.18</v>
      </c>
      <c r="F1059" s="26" t="s">
        <v>293</v>
      </c>
      <c r="K1059" s="24">
        <v>35</v>
      </c>
      <c r="L1059" s="102">
        <v>46083</v>
      </c>
      <c r="M1059" s="25" t="s">
        <v>357</v>
      </c>
      <c r="N1059" s="103" t="s">
        <v>127</v>
      </c>
      <c r="O1059" s="26">
        <v>4.49</v>
      </c>
      <c r="P1059" s="26" t="s">
        <v>293</v>
      </c>
    </row>
    <row r="1060" spans="1:16" x14ac:dyDescent="0.3">
      <c r="A1060" s="24">
        <v>35</v>
      </c>
      <c r="B1060" s="102">
        <v>46083</v>
      </c>
      <c r="C1060" s="25" t="s">
        <v>356</v>
      </c>
      <c r="D1060" s="103" t="s">
        <v>131</v>
      </c>
      <c r="E1060" s="26">
        <v>8.6999999999999993</v>
      </c>
      <c r="F1060" s="26" t="s">
        <v>293</v>
      </c>
      <c r="K1060" s="24">
        <v>35</v>
      </c>
      <c r="L1060" s="102">
        <v>46083</v>
      </c>
      <c r="M1060" s="25" t="s">
        <v>357</v>
      </c>
      <c r="N1060" s="103" t="s">
        <v>131</v>
      </c>
      <c r="O1060" s="26">
        <v>12.1</v>
      </c>
      <c r="P1060" s="26" t="s">
        <v>293</v>
      </c>
    </row>
    <row r="1061" spans="1:16" x14ac:dyDescent="0.3">
      <c r="A1061" s="24">
        <v>35</v>
      </c>
      <c r="B1061" s="102">
        <v>46083</v>
      </c>
      <c r="C1061" s="25" t="s">
        <v>356</v>
      </c>
      <c r="D1061" s="103" t="s">
        <v>342</v>
      </c>
      <c r="E1061" s="26">
        <v>319</v>
      </c>
      <c r="F1061" s="26" t="s">
        <v>293</v>
      </c>
      <c r="K1061" s="24">
        <v>35</v>
      </c>
      <c r="L1061" s="102">
        <v>46083</v>
      </c>
      <c r="M1061" s="25" t="s">
        <v>357</v>
      </c>
      <c r="N1061" s="103" t="s">
        <v>342</v>
      </c>
      <c r="O1061" s="26">
        <v>184</v>
      </c>
      <c r="P1061" s="26" t="s">
        <v>293</v>
      </c>
    </row>
    <row r="1062" spans="1:16" x14ac:dyDescent="0.3">
      <c r="A1062" s="24">
        <v>35</v>
      </c>
      <c r="B1062" s="102">
        <v>46083</v>
      </c>
      <c r="C1062" s="25" t="s">
        <v>356</v>
      </c>
      <c r="D1062" s="103" t="s">
        <v>119</v>
      </c>
      <c r="E1062" s="26">
        <v>231</v>
      </c>
      <c r="F1062" s="26" t="s">
        <v>293</v>
      </c>
      <c r="K1062" s="24">
        <v>35</v>
      </c>
      <c r="L1062" s="102">
        <v>46083</v>
      </c>
      <c r="M1062" s="25" t="s">
        <v>357</v>
      </c>
      <c r="N1062" s="103" t="s">
        <v>119</v>
      </c>
      <c r="O1062" s="26">
        <v>82</v>
      </c>
      <c r="P1062" s="26" t="s">
        <v>293</v>
      </c>
    </row>
    <row r="1063" spans="1:16" x14ac:dyDescent="0.3">
      <c r="A1063" s="24">
        <v>35</v>
      </c>
      <c r="B1063" s="102">
        <v>46083</v>
      </c>
      <c r="C1063" s="25" t="s">
        <v>356</v>
      </c>
      <c r="D1063" s="103" t="s">
        <v>120</v>
      </c>
      <c r="E1063" s="26">
        <v>77</v>
      </c>
      <c r="F1063" s="26" t="s">
        <v>293</v>
      </c>
      <c r="K1063" s="24">
        <v>35</v>
      </c>
      <c r="L1063" s="102">
        <v>46083</v>
      </c>
      <c r="M1063" s="25" t="s">
        <v>357</v>
      </c>
      <c r="N1063" s="103" t="s">
        <v>120</v>
      </c>
      <c r="O1063" s="26">
        <v>27</v>
      </c>
      <c r="P1063" s="26" t="s">
        <v>293</v>
      </c>
    </row>
    <row r="1064" spans="1:16" x14ac:dyDescent="0.3">
      <c r="A1064" s="24">
        <v>35</v>
      </c>
      <c r="B1064" s="102">
        <v>46083</v>
      </c>
      <c r="C1064" s="25" t="s">
        <v>356</v>
      </c>
      <c r="D1064" s="103" t="s">
        <v>117</v>
      </c>
      <c r="E1064" s="26">
        <v>2.77</v>
      </c>
      <c r="F1064" s="26" t="s">
        <v>293</v>
      </c>
      <c r="K1064" s="24">
        <v>35</v>
      </c>
      <c r="L1064" s="102">
        <v>46083</v>
      </c>
      <c r="M1064" s="25" t="s">
        <v>357</v>
      </c>
      <c r="N1064" s="103" t="s">
        <v>117</v>
      </c>
      <c r="O1064" s="26">
        <v>6.38</v>
      </c>
      <c r="P1064" s="26" t="s">
        <v>293</v>
      </c>
    </row>
    <row r="1065" spans="1:16" x14ac:dyDescent="0.3">
      <c r="A1065" s="24">
        <v>35</v>
      </c>
      <c r="B1065" s="102">
        <v>46083</v>
      </c>
      <c r="C1065" s="25" t="s">
        <v>356</v>
      </c>
      <c r="D1065" s="103" t="s">
        <v>344</v>
      </c>
      <c r="E1065" s="26">
        <v>230</v>
      </c>
      <c r="F1065" s="26" t="s">
        <v>293</v>
      </c>
      <c r="K1065" s="24">
        <v>35</v>
      </c>
      <c r="L1065" s="102">
        <v>46083</v>
      </c>
      <c r="M1065" s="25" t="s">
        <v>357</v>
      </c>
      <c r="N1065" s="103" t="s">
        <v>344</v>
      </c>
      <c r="O1065" s="26">
        <v>67</v>
      </c>
      <c r="P1065" s="26" t="s">
        <v>293</v>
      </c>
    </row>
    <row r="1066" spans="1:16" x14ac:dyDescent="0.3">
      <c r="A1066" s="24">
        <v>35</v>
      </c>
      <c r="B1066" s="102">
        <v>46083</v>
      </c>
      <c r="C1066" s="25" t="s">
        <v>356</v>
      </c>
      <c r="D1066" s="103" t="s">
        <v>132</v>
      </c>
      <c r="E1066" s="26">
        <v>3.5</v>
      </c>
      <c r="F1066" s="26" t="s">
        <v>293</v>
      </c>
      <c r="K1066" s="24">
        <v>35</v>
      </c>
      <c r="L1066" s="102">
        <v>46083</v>
      </c>
      <c r="M1066" s="25" t="s">
        <v>357</v>
      </c>
      <c r="N1066" s="103" t="s">
        <v>132</v>
      </c>
      <c r="O1066" s="26">
        <v>7.08</v>
      </c>
      <c r="P1066" s="26" t="s">
        <v>293</v>
      </c>
    </row>
    <row r="1067" spans="1:16" x14ac:dyDescent="0.3">
      <c r="A1067" s="24">
        <v>35</v>
      </c>
      <c r="B1067" s="102">
        <v>46083</v>
      </c>
      <c r="C1067" s="25" t="s">
        <v>356</v>
      </c>
      <c r="D1067" s="103" t="s">
        <v>111</v>
      </c>
      <c r="E1067" s="26">
        <v>88</v>
      </c>
      <c r="F1067" s="26" t="s">
        <v>293</v>
      </c>
      <c r="K1067" s="24">
        <v>35</v>
      </c>
      <c r="L1067" s="102">
        <v>46083</v>
      </c>
      <c r="M1067" s="25" t="s">
        <v>357</v>
      </c>
      <c r="N1067" s="103" t="s">
        <v>111</v>
      </c>
      <c r="O1067" s="26">
        <v>281</v>
      </c>
      <c r="P1067" s="26" t="s">
        <v>293</v>
      </c>
    </row>
    <row r="1068" spans="1:16" x14ac:dyDescent="0.3">
      <c r="A1068" s="24">
        <v>35</v>
      </c>
      <c r="B1068" s="102">
        <v>46083</v>
      </c>
      <c r="C1068" s="25" t="s">
        <v>356</v>
      </c>
      <c r="D1068" s="103" t="s">
        <v>345</v>
      </c>
      <c r="E1068" s="26">
        <v>5.0999999999999996</v>
      </c>
      <c r="F1068" s="26" t="s">
        <v>293</v>
      </c>
      <c r="K1068" s="24">
        <v>35</v>
      </c>
      <c r="L1068" s="102">
        <v>46083</v>
      </c>
      <c r="M1068" s="25" t="s">
        <v>357</v>
      </c>
      <c r="N1068" s="103" t="s">
        <v>345</v>
      </c>
      <c r="O1068" s="26">
        <v>10.1</v>
      </c>
      <c r="P1068" s="26" t="s">
        <v>293</v>
      </c>
    </row>
    <row r="1069" spans="1:16" x14ac:dyDescent="0.3">
      <c r="A1069" s="24">
        <v>35</v>
      </c>
      <c r="B1069" s="102">
        <v>46083</v>
      </c>
      <c r="C1069" s="25" t="s">
        <v>356</v>
      </c>
      <c r="D1069" s="103" t="s">
        <v>347</v>
      </c>
      <c r="E1069" s="26">
        <v>2.15</v>
      </c>
      <c r="F1069" s="26" t="s">
        <v>293</v>
      </c>
      <c r="K1069" s="24">
        <v>35</v>
      </c>
      <c r="L1069" s="102">
        <v>46083</v>
      </c>
      <c r="M1069" s="25" t="s">
        <v>357</v>
      </c>
      <c r="N1069" s="103" t="s">
        <v>347</v>
      </c>
      <c r="O1069" s="26">
        <v>4.58</v>
      </c>
      <c r="P1069" s="26" t="s">
        <v>293</v>
      </c>
    </row>
    <row r="1070" spans="1:16" x14ac:dyDescent="0.3">
      <c r="A1070" s="24">
        <v>35</v>
      </c>
      <c r="B1070" s="102">
        <v>46083</v>
      </c>
      <c r="C1070" s="25" t="s">
        <v>356</v>
      </c>
      <c r="D1070" s="103" t="s">
        <v>128</v>
      </c>
      <c r="E1070" s="26">
        <v>6.8</v>
      </c>
      <c r="F1070" s="26" t="s">
        <v>293</v>
      </c>
      <c r="K1070" s="24">
        <v>35</v>
      </c>
      <c r="L1070" s="102">
        <v>46083</v>
      </c>
      <c r="M1070" s="25" t="s">
        <v>357</v>
      </c>
      <c r="N1070" s="103" t="s">
        <v>128</v>
      </c>
      <c r="O1070" s="26">
        <v>4.4000000000000004</v>
      </c>
      <c r="P1070" s="26" t="s">
        <v>293</v>
      </c>
    </row>
    <row r="1071" spans="1:16" x14ac:dyDescent="0.3">
      <c r="A1071" s="24">
        <v>35</v>
      </c>
      <c r="B1071" s="102">
        <v>46083</v>
      </c>
      <c r="C1071" s="25" t="s">
        <v>356</v>
      </c>
      <c r="D1071" s="103" t="s">
        <v>121</v>
      </c>
      <c r="E1071" s="26">
        <v>158</v>
      </c>
      <c r="F1071" s="26" t="s">
        <v>293</v>
      </c>
      <c r="K1071" s="24">
        <v>35</v>
      </c>
      <c r="L1071" s="102">
        <v>46083</v>
      </c>
      <c r="M1071" s="25" t="s">
        <v>357</v>
      </c>
      <c r="N1071" s="103" t="s">
        <v>121</v>
      </c>
      <c r="O1071" s="26">
        <v>80</v>
      </c>
      <c r="P1071" s="26" t="s">
        <v>293</v>
      </c>
    </row>
    <row r="1072" spans="1:16" x14ac:dyDescent="0.3">
      <c r="A1072" s="24">
        <v>35</v>
      </c>
      <c r="B1072" s="102">
        <v>46083</v>
      </c>
      <c r="C1072" s="25" t="s">
        <v>356</v>
      </c>
      <c r="D1072" s="103" t="s">
        <v>115</v>
      </c>
      <c r="E1072" s="26">
        <v>32</v>
      </c>
      <c r="F1072" s="26" t="s">
        <v>293</v>
      </c>
      <c r="K1072" s="24">
        <v>35</v>
      </c>
      <c r="L1072" s="102">
        <v>46083</v>
      </c>
      <c r="M1072" s="25" t="s">
        <v>357</v>
      </c>
      <c r="N1072" s="103" t="s">
        <v>115</v>
      </c>
      <c r="O1072" s="26">
        <v>97</v>
      </c>
      <c r="P1072" s="26" t="s">
        <v>293</v>
      </c>
    </row>
    <row r="1073" spans="1:16" x14ac:dyDescent="0.3">
      <c r="A1073" s="24">
        <v>35</v>
      </c>
      <c r="B1073" s="102">
        <v>46083</v>
      </c>
      <c r="C1073" s="25" t="s">
        <v>356</v>
      </c>
      <c r="D1073" s="103" t="s">
        <v>137</v>
      </c>
      <c r="E1073" s="26">
        <v>75</v>
      </c>
      <c r="F1073" s="26" t="s">
        <v>293</v>
      </c>
      <c r="K1073" s="24">
        <v>35</v>
      </c>
      <c r="L1073" s="102">
        <v>46083</v>
      </c>
      <c r="M1073" s="25" t="s">
        <v>357</v>
      </c>
      <c r="N1073" s="103" t="s">
        <v>137</v>
      </c>
      <c r="O1073" s="26">
        <v>484</v>
      </c>
      <c r="P1073" s="26" t="s">
        <v>293</v>
      </c>
    </row>
    <row r="1074" spans="1:16" x14ac:dyDescent="0.3">
      <c r="A1074" s="24">
        <v>35</v>
      </c>
      <c r="B1074" s="102">
        <v>46083</v>
      </c>
      <c r="C1074" s="25" t="s">
        <v>356</v>
      </c>
      <c r="D1074" s="103" t="s">
        <v>348</v>
      </c>
      <c r="E1074" s="26">
        <v>136</v>
      </c>
      <c r="F1074" s="26" t="s">
        <v>293</v>
      </c>
      <c r="K1074" s="24">
        <v>35</v>
      </c>
      <c r="L1074" s="102">
        <v>46083</v>
      </c>
      <c r="M1074" s="25" t="s">
        <v>357</v>
      </c>
      <c r="N1074" s="103" t="s">
        <v>348</v>
      </c>
      <c r="O1074" s="26">
        <v>424</v>
      </c>
      <c r="P1074" s="26" t="s">
        <v>293</v>
      </c>
    </row>
    <row r="1075" spans="1:16" x14ac:dyDescent="0.3">
      <c r="A1075" s="24">
        <v>35</v>
      </c>
      <c r="B1075" s="102">
        <v>46083</v>
      </c>
      <c r="C1075" s="25" t="s">
        <v>356</v>
      </c>
      <c r="D1075" s="103" t="s">
        <v>125</v>
      </c>
      <c r="E1075" s="26">
        <v>115</v>
      </c>
      <c r="F1075" s="26" t="s">
        <v>293</v>
      </c>
      <c r="K1075" s="24">
        <v>35</v>
      </c>
      <c r="L1075" s="102">
        <v>46083</v>
      </c>
      <c r="M1075" s="25" t="s">
        <v>357</v>
      </c>
      <c r="N1075" s="103" t="s">
        <v>125</v>
      </c>
      <c r="O1075" s="26">
        <v>430</v>
      </c>
      <c r="P1075" s="26" t="s">
        <v>293</v>
      </c>
    </row>
    <row r="1076" spans="1:16" x14ac:dyDescent="0.3">
      <c r="A1076" s="24">
        <v>35</v>
      </c>
      <c r="B1076" s="102">
        <v>46083</v>
      </c>
      <c r="C1076" s="25" t="s">
        <v>356</v>
      </c>
      <c r="D1076" s="103" t="s">
        <v>126</v>
      </c>
      <c r="E1076" s="26">
        <v>77</v>
      </c>
      <c r="F1076" s="26" t="s">
        <v>293</v>
      </c>
      <c r="K1076" s="24">
        <v>35</v>
      </c>
      <c r="L1076" s="102">
        <v>46083</v>
      </c>
      <c r="M1076" s="25" t="s">
        <v>357</v>
      </c>
      <c r="N1076" s="103" t="s">
        <v>126</v>
      </c>
      <c r="O1076" s="26">
        <v>149</v>
      </c>
      <c r="P1076" s="26" t="s">
        <v>293</v>
      </c>
    </row>
    <row r="1077" spans="1:16" x14ac:dyDescent="0.3">
      <c r="A1077" s="24">
        <v>35</v>
      </c>
      <c r="B1077" s="102">
        <v>46083</v>
      </c>
      <c r="C1077" s="25" t="s">
        <v>356</v>
      </c>
      <c r="D1077" s="103" t="s">
        <v>349</v>
      </c>
      <c r="E1077" s="26">
        <v>161</v>
      </c>
      <c r="F1077" s="26" t="s">
        <v>293</v>
      </c>
      <c r="K1077" s="24">
        <v>35</v>
      </c>
      <c r="L1077" s="102">
        <v>46083</v>
      </c>
      <c r="M1077" s="25" t="s">
        <v>357</v>
      </c>
      <c r="N1077" s="103" t="s">
        <v>349</v>
      </c>
      <c r="O1077" s="26">
        <v>380</v>
      </c>
      <c r="P1077" s="26" t="s">
        <v>293</v>
      </c>
    </row>
    <row r="1078" spans="1:16" x14ac:dyDescent="0.3">
      <c r="A1078" s="24">
        <v>35</v>
      </c>
      <c r="B1078" s="102">
        <v>46083</v>
      </c>
      <c r="C1078" s="25" t="s">
        <v>356</v>
      </c>
      <c r="D1078" s="103" t="s">
        <v>350</v>
      </c>
      <c r="E1078" s="26">
        <v>61</v>
      </c>
      <c r="F1078" s="26" t="s">
        <v>293</v>
      </c>
      <c r="K1078" s="24">
        <v>35</v>
      </c>
      <c r="L1078" s="102">
        <v>46083</v>
      </c>
      <c r="M1078" s="25" t="s">
        <v>357</v>
      </c>
      <c r="N1078" s="103" t="s">
        <v>350</v>
      </c>
      <c r="O1078" s="26">
        <v>87</v>
      </c>
      <c r="P1078" s="26" t="s">
        <v>293</v>
      </c>
    </row>
    <row r="1079" spans="1:16" x14ac:dyDescent="0.3">
      <c r="A1079" s="24">
        <v>35</v>
      </c>
      <c r="B1079" s="102">
        <v>46083</v>
      </c>
      <c r="C1079" s="25" t="s">
        <v>356</v>
      </c>
      <c r="D1079" s="103" t="s">
        <v>122</v>
      </c>
      <c r="E1079" s="26">
        <v>47</v>
      </c>
      <c r="F1079" s="26" t="s">
        <v>293</v>
      </c>
      <c r="K1079" s="24">
        <v>35</v>
      </c>
      <c r="L1079" s="102">
        <v>46083</v>
      </c>
      <c r="M1079" s="25" t="s">
        <v>357</v>
      </c>
      <c r="N1079" s="103" t="s">
        <v>122</v>
      </c>
      <c r="O1079" s="26">
        <v>219</v>
      </c>
      <c r="P1079" s="26" t="s">
        <v>293</v>
      </c>
    </row>
    <row r="1080" spans="1:16" x14ac:dyDescent="0.3">
      <c r="A1080" s="24">
        <v>35</v>
      </c>
      <c r="B1080" s="102">
        <v>46083</v>
      </c>
      <c r="C1080" s="25" t="s">
        <v>356</v>
      </c>
      <c r="D1080" s="103" t="s">
        <v>124</v>
      </c>
      <c r="E1080" s="26">
        <v>30</v>
      </c>
      <c r="F1080" s="26" t="s">
        <v>293</v>
      </c>
      <c r="K1080" s="24">
        <v>35</v>
      </c>
      <c r="L1080" s="102">
        <v>46083</v>
      </c>
      <c r="M1080" s="25" t="s">
        <v>357</v>
      </c>
      <c r="N1080" s="103" t="s">
        <v>124</v>
      </c>
      <c r="O1080" s="26">
        <v>102</v>
      </c>
      <c r="P1080" s="26" t="s">
        <v>293</v>
      </c>
    </row>
    <row r="1081" spans="1:16" x14ac:dyDescent="0.3">
      <c r="A1081" s="24">
        <v>35</v>
      </c>
      <c r="B1081" s="102">
        <v>46083</v>
      </c>
      <c r="C1081" s="25" t="s">
        <v>356</v>
      </c>
      <c r="D1081" s="103" t="s">
        <v>351</v>
      </c>
      <c r="E1081" s="26">
        <v>0.98</v>
      </c>
      <c r="F1081" s="26" t="s">
        <v>293</v>
      </c>
      <c r="K1081" s="24">
        <v>35</v>
      </c>
      <c r="L1081" s="102">
        <v>46083</v>
      </c>
      <c r="M1081" s="25" t="s">
        <v>357</v>
      </c>
      <c r="N1081" s="103" t="s">
        <v>351</v>
      </c>
      <c r="O1081" s="26">
        <v>3.57</v>
      </c>
      <c r="P1081" s="26" t="s">
        <v>293</v>
      </c>
    </row>
    <row r="1082" spans="1:16" x14ac:dyDescent="0.3">
      <c r="A1082" s="24">
        <v>35</v>
      </c>
      <c r="B1082" s="102">
        <v>46083</v>
      </c>
      <c r="C1082" s="25" t="s">
        <v>356</v>
      </c>
      <c r="D1082" s="103" t="s">
        <v>353</v>
      </c>
      <c r="E1082" s="26">
        <v>30.7</v>
      </c>
      <c r="F1082" s="26" t="s">
        <v>293</v>
      </c>
      <c r="K1082" s="24">
        <v>35</v>
      </c>
      <c r="L1082" s="102">
        <v>46083</v>
      </c>
      <c r="M1082" s="25" t="s">
        <v>357</v>
      </c>
      <c r="N1082" s="103" t="s">
        <v>353</v>
      </c>
      <c r="O1082" s="26">
        <v>15.2</v>
      </c>
      <c r="P1082" s="26" t="s">
        <v>293</v>
      </c>
    </row>
    <row r="1083" spans="1:16" x14ac:dyDescent="0.3">
      <c r="A1083" s="24">
        <v>35</v>
      </c>
      <c r="B1083" s="102">
        <v>46083</v>
      </c>
      <c r="C1083" s="25" t="s">
        <v>356</v>
      </c>
      <c r="D1083" s="103" t="s">
        <v>133</v>
      </c>
      <c r="E1083" s="26">
        <v>143</v>
      </c>
      <c r="F1083" s="26" t="s">
        <v>293</v>
      </c>
      <c r="K1083" s="24">
        <v>35</v>
      </c>
      <c r="L1083" s="102">
        <v>46083</v>
      </c>
      <c r="M1083" s="25" t="s">
        <v>357</v>
      </c>
      <c r="N1083" s="103" t="s">
        <v>133</v>
      </c>
      <c r="O1083" s="26">
        <v>125</v>
      </c>
      <c r="P1083" s="26" t="s">
        <v>293</v>
      </c>
    </row>
    <row r="1084" spans="1:16" x14ac:dyDescent="0.3">
      <c r="A1084" s="24">
        <v>35</v>
      </c>
      <c r="B1084" s="102">
        <v>46083</v>
      </c>
      <c r="C1084" s="25" t="s">
        <v>356</v>
      </c>
      <c r="D1084" s="103" t="s">
        <v>135</v>
      </c>
      <c r="E1084" s="26">
        <v>3.7</v>
      </c>
      <c r="F1084" s="26" t="s">
        <v>293</v>
      </c>
      <c r="K1084" s="24">
        <v>35</v>
      </c>
      <c r="L1084" s="102">
        <v>46083</v>
      </c>
      <c r="M1084" s="25" t="s">
        <v>357</v>
      </c>
      <c r="N1084" s="103" t="s">
        <v>135</v>
      </c>
      <c r="O1084" s="26">
        <v>6.4</v>
      </c>
      <c r="P1084" s="26" t="s">
        <v>293</v>
      </c>
    </row>
    <row r="1085" spans="1:16" x14ac:dyDescent="0.3">
      <c r="A1085" s="24">
        <v>35</v>
      </c>
      <c r="B1085" s="102">
        <v>46083</v>
      </c>
      <c r="C1085" s="25" t="s">
        <v>356</v>
      </c>
      <c r="D1085" s="103" t="s">
        <v>136</v>
      </c>
      <c r="E1085" s="26">
        <v>117</v>
      </c>
      <c r="F1085" s="26" t="s">
        <v>293</v>
      </c>
      <c r="K1085" s="24">
        <v>35</v>
      </c>
      <c r="L1085" s="102">
        <v>46083</v>
      </c>
      <c r="M1085" s="25" t="s">
        <v>357</v>
      </c>
      <c r="N1085" s="103" t="s">
        <v>136</v>
      </c>
      <c r="O1085" s="26">
        <v>96</v>
      </c>
      <c r="P1085" s="26" t="s">
        <v>293</v>
      </c>
    </row>
    <row r="1086" spans="1:16" x14ac:dyDescent="0.3">
      <c r="A1086" s="24">
        <v>36</v>
      </c>
      <c r="B1086" s="102">
        <v>46084</v>
      </c>
      <c r="C1086" s="25" t="s">
        <v>356</v>
      </c>
      <c r="D1086" s="103" t="s">
        <v>339</v>
      </c>
      <c r="E1086" s="26">
        <v>4.7</v>
      </c>
      <c r="F1086" s="26" t="s">
        <v>293</v>
      </c>
      <c r="K1086" s="24">
        <v>36</v>
      </c>
      <c r="L1086" s="102">
        <v>46084</v>
      </c>
      <c r="M1086" s="25" t="s">
        <v>357</v>
      </c>
      <c r="N1086" s="103" t="s">
        <v>339</v>
      </c>
      <c r="O1086" s="26">
        <v>1.1299999999999999</v>
      </c>
      <c r="P1086" s="26" t="s">
        <v>293</v>
      </c>
    </row>
    <row r="1087" spans="1:16" x14ac:dyDescent="0.3">
      <c r="A1087" s="24">
        <v>36</v>
      </c>
      <c r="B1087" s="102">
        <v>46084</v>
      </c>
      <c r="C1087" s="25" t="s">
        <v>356</v>
      </c>
      <c r="D1087" s="103" t="s">
        <v>118</v>
      </c>
      <c r="E1087" s="26">
        <v>4.5999999999999996</v>
      </c>
      <c r="F1087" s="26" t="s">
        <v>293</v>
      </c>
      <c r="K1087" s="24">
        <v>36</v>
      </c>
      <c r="L1087" s="102">
        <v>46084</v>
      </c>
      <c r="M1087" s="25" t="s">
        <v>357</v>
      </c>
      <c r="N1087" s="103" t="s">
        <v>118</v>
      </c>
      <c r="O1087" s="26">
        <v>9.4</v>
      </c>
      <c r="P1087" s="26" t="s">
        <v>293</v>
      </c>
    </row>
    <row r="1088" spans="1:16" x14ac:dyDescent="0.3">
      <c r="A1088" s="24">
        <v>36</v>
      </c>
      <c r="B1088" s="102">
        <v>46084</v>
      </c>
      <c r="C1088" s="25" t="s">
        <v>356</v>
      </c>
      <c r="D1088" s="103" t="s">
        <v>130</v>
      </c>
      <c r="E1088" s="26">
        <v>3.86</v>
      </c>
      <c r="F1088" s="26" t="s">
        <v>293</v>
      </c>
      <c r="K1088" s="24">
        <v>36</v>
      </c>
      <c r="L1088" s="102">
        <v>46084</v>
      </c>
      <c r="M1088" s="25" t="s">
        <v>357</v>
      </c>
      <c r="N1088" s="103" t="s">
        <v>130</v>
      </c>
      <c r="O1088" s="26">
        <v>2.4500000000000002</v>
      </c>
      <c r="P1088" s="26" t="s">
        <v>293</v>
      </c>
    </row>
    <row r="1089" spans="1:16" x14ac:dyDescent="0.3">
      <c r="A1089" s="24">
        <v>36</v>
      </c>
      <c r="B1089" s="102">
        <v>46084</v>
      </c>
      <c r="C1089" s="25" t="s">
        <v>356</v>
      </c>
      <c r="D1089" s="103" t="s">
        <v>341</v>
      </c>
      <c r="E1089" s="26">
        <v>0.27</v>
      </c>
      <c r="F1089" s="26" t="s">
        <v>293</v>
      </c>
      <c r="K1089" s="24">
        <v>36</v>
      </c>
      <c r="L1089" s="102">
        <v>46084</v>
      </c>
      <c r="M1089" s="25" t="s">
        <v>357</v>
      </c>
      <c r="N1089" s="103" t="s">
        <v>341</v>
      </c>
      <c r="O1089" s="26">
        <v>1.04</v>
      </c>
      <c r="P1089" s="26" t="s">
        <v>293</v>
      </c>
    </row>
    <row r="1090" spans="1:16" x14ac:dyDescent="0.3">
      <c r="A1090" s="24">
        <v>36</v>
      </c>
      <c r="B1090" s="102">
        <v>46084</v>
      </c>
      <c r="C1090" s="25" t="s">
        <v>356</v>
      </c>
      <c r="D1090" s="103" t="s">
        <v>127</v>
      </c>
      <c r="E1090" s="26">
        <v>1.1599999999999999</v>
      </c>
      <c r="F1090" s="26" t="s">
        <v>293</v>
      </c>
      <c r="K1090" s="24">
        <v>36</v>
      </c>
      <c r="L1090" s="102">
        <v>46084</v>
      </c>
      <c r="M1090" s="25" t="s">
        <v>357</v>
      </c>
      <c r="N1090" s="103" t="s">
        <v>127</v>
      </c>
      <c r="O1090" s="26">
        <v>4.4800000000000004</v>
      </c>
      <c r="P1090" s="26" t="s">
        <v>293</v>
      </c>
    </row>
    <row r="1091" spans="1:16" x14ac:dyDescent="0.3">
      <c r="A1091" s="24">
        <v>36</v>
      </c>
      <c r="B1091" s="102">
        <v>46084</v>
      </c>
      <c r="C1091" s="25" t="s">
        <v>356</v>
      </c>
      <c r="D1091" s="103" t="s">
        <v>131</v>
      </c>
      <c r="E1091" s="26">
        <v>8.5</v>
      </c>
      <c r="F1091" s="26" t="s">
        <v>293</v>
      </c>
      <c r="K1091" s="24">
        <v>36</v>
      </c>
      <c r="L1091" s="102">
        <v>46084</v>
      </c>
      <c r="M1091" s="25" t="s">
        <v>357</v>
      </c>
      <c r="N1091" s="103" t="s">
        <v>131</v>
      </c>
      <c r="O1091" s="26">
        <v>11.8</v>
      </c>
      <c r="P1091" s="26" t="s">
        <v>293</v>
      </c>
    </row>
    <row r="1092" spans="1:16" x14ac:dyDescent="0.3">
      <c r="A1092" s="24">
        <v>36</v>
      </c>
      <c r="B1092" s="102">
        <v>46084</v>
      </c>
      <c r="C1092" s="25" t="s">
        <v>356</v>
      </c>
      <c r="D1092" s="103" t="s">
        <v>342</v>
      </c>
      <c r="E1092" s="26">
        <v>315</v>
      </c>
      <c r="F1092" s="26" t="s">
        <v>293</v>
      </c>
      <c r="K1092" s="24">
        <v>36</v>
      </c>
      <c r="L1092" s="102">
        <v>46084</v>
      </c>
      <c r="M1092" s="25" t="s">
        <v>357</v>
      </c>
      <c r="N1092" s="103" t="s">
        <v>342</v>
      </c>
      <c r="O1092" s="26">
        <v>188</v>
      </c>
      <c r="P1092" s="26" t="s">
        <v>293</v>
      </c>
    </row>
    <row r="1093" spans="1:16" x14ac:dyDescent="0.3">
      <c r="A1093" s="24">
        <v>36</v>
      </c>
      <c r="B1093" s="102">
        <v>46084</v>
      </c>
      <c r="C1093" s="25" t="s">
        <v>356</v>
      </c>
      <c r="D1093" s="103" t="s">
        <v>119</v>
      </c>
      <c r="E1093" s="26">
        <v>228</v>
      </c>
      <c r="F1093" s="26" t="s">
        <v>293</v>
      </c>
      <c r="K1093" s="24">
        <v>36</v>
      </c>
      <c r="L1093" s="102">
        <v>46084</v>
      </c>
      <c r="M1093" s="25" t="s">
        <v>357</v>
      </c>
      <c r="N1093" s="103" t="s">
        <v>119</v>
      </c>
      <c r="O1093" s="26">
        <v>84</v>
      </c>
      <c r="P1093" s="26" t="s">
        <v>293</v>
      </c>
    </row>
    <row r="1094" spans="1:16" x14ac:dyDescent="0.3">
      <c r="A1094" s="24">
        <v>36</v>
      </c>
      <c r="B1094" s="102">
        <v>46084</v>
      </c>
      <c r="C1094" s="25" t="s">
        <v>356</v>
      </c>
      <c r="D1094" s="103" t="s">
        <v>120</v>
      </c>
      <c r="E1094" s="26">
        <v>76</v>
      </c>
      <c r="F1094" s="26" t="s">
        <v>293</v>
      </c>
      <c r="K1094" s="24">
        <v>36</v>
      </c>
      <c r="L1094" s="102">
        <v>46084</v>
      </c>
      <c r="M1094" s="25" t="s">
        <v>357</v>
      </c>
      <c r="N1094" s="103" t="s">
        <v>120</v>
      </c>
      <c r="O1094" s="26">
        <v>26</v>
      </c>
      <c r="P1094" s="26" t="s">
        <v>293</v>
      </c>
    </row>
    <row r="1095" spans="1:16" x14ac:dyDescent="0.3">
      <c r="A1095" s="24">
        <v>36</v>
      </c>
      <c r="B1095" s="102">
        <v>46084</v>
      </c>
      <c r="C1095" s="25" t="s">
        <v>356</v>
      </c>
      <c r="D1095" s="103" t="s">
        <v>117</v>
      </c>
      <c r="E1095" s="26">
        <v>2.62</v>
      </c>
      <c r="F1095" s="26" t="s">
        <v>293</v>
      </c>
      <c r="K1095" s="24">
        <v>36</v>
      </c>
      <c r="L1095" s="102">
        <v>46084</v>
      </c>
      <c r="M1095" s="25" t="s">
        <v>357</v>
      </c>
      <c r="N1095" s="103" t="s">
        <v>117</v>
      </c>
      <c r="O1095" s="26">
        <v>6.22</v>
      </c>
      <c r="P1095" s="26" t="s">
        <v>293</v>
      </c>
    </row>
    <row r="1096" spans="1:16" x14ac:dyDescent="0.3">
      <c r="A1096" s="24">
        <v>36</v>
      </c>
      <c r="B1096" s="102">
        <v>46084</v>
      </c>
      <c r="C1096" s="25" t="s">
        <v>356</v>
      </c>
      <c r="D1096" s="103" t="s">
        <v>344</v>
      </c>
      <c r="E1096" s="26">
        <v>233</v>
      </c>
      <c r="F1096" s="26" t="s">
        <v>293</v>
      </c>
      <c r="K1096" s="24">
        <v>36</v>
      </c>
      <c r="L1096" s="102">
        <v>46084</v>
      </c>
      <c r="M1096" s="25" t="s">
        <v>357</v>
      </c>
      <c r="N1096" s="103" t="s">
        <v>344</v>
      </c>
      <c r="O1096" s="26">
        <v>69</v>
      </c>
      <c r="P1096" s="26" t="s">
        <v>293</v>
      </c>
    </row>
    <row r="1097" spans="1:16" x14ac:dyDescent="0.3">
      <c r="A1097" s="24">
        <v>36</v>
      </c>
      <c r="B1097" s="102">
        <v>46084</v>
      </c>
      <c r="C1097" s="25" t="s">
        <v>356</v>
      </c>
      <c r="D1097" s="103" t="s">
        <v>132</v>
      </c>
      <c r="E1097" s="26">
        <v>3.8</v>
      </c>
      <c r="F1097" s="26" t="s">
        <v>293</v>
      </c>
      <c r="K1097" s="24">
        <v>36</v>
      </c>
      <c r="L1097" s="102">
        <v>46084</v>
      </c>
      <c r="M1097" s="25" t="s">
        <v>357</v>
      </c>
      <c r="N1097" s="103" t="s">
        <v>132</v>
      </c>
      <c r="O1097" s="26">
        <v>7.29</v>
      </c>
      <c r="P1097" s="26" t="s">
        <v>293</v>
      </c>
    </row>
    <row r="1098" spans="1:16" x14ac:dyDescent="0.3">
      <c r="A1098" s="24">
        <v>36</v>
      </c>
      <c r="B1098" s="102">
        <v>46084</v>
      </c>
      <c r="C1098" s="25" t="s">
        <v>356</v>
      </c>
      <c r="D1098" s="103" t="s">
        <v>111</v>
      </c>
      <c r="E1098" s="26">
        <v>88</v>
      </c>
      <c r="F1098" s="26" t="s">
        <v>293</v>
      </c>
      <c r="K1098" s="24">
        <v>36</v>
      </c>
      <c r="L1098" s="102">
        <v>46084</v>
      </c>
      <c r="M1098" s="25" t="s">
        <v>357</v>
      </c>
      <c r="N1098" s="103" t="s">
        <v>111</v>
      </c>
      <c r="O1098" s="26">
        <v>284</v>
      </c>
      <c r="P1098" s="26" t="s">
        <v>293</v>
      </c>
    </row>
    <row r="1099" spans="1:16" x14ac:dyDescent="0.3">
      <c r="A1099" s="24">
        <v>36</v>
      </c>
      <c r="B1099" s="102">
        <v>46084</v>
      </c>
      <c r="C1099" s="25" t="s">
        <v>356</v>
      </c>
      <c r="D1099" s="103" t="s">
        <v>345</v>
      </c>
      <c r="E1099" s="26">
        <v>5.05</v>
      </c>
      <c r="F1099" s="26" t="s">
        <v>293</v>
      </c>
      <c r="K1099" s="24">
        <v>36</v>
      </c>
      <c r="L1099" s="102">
        <v>46084</v>
      </c>
      <c r="M1099" s="25" t="s">
        <v>357</v>
      </c>
      <c r="N1099" s="103" t="s">
        <v>345</v>
      </c>
      <c r="O1099" s="26">
        <v>10.08</v>
      </c>
      <c r="P1099" s="26" t="s">
        <v>293</v>
      </c>
    </row>
    <row r="1100" spans="1:16" x14ac:dyDescent="0.3">
      <c r="A1100" s="24">
        <v>36</v>
      </c>
      <c r="B1100" s="102">
        <v>46084</v>
      </c>
      <c r="C1100" s="25" t="s">
        <v>356</v>
      </c>
      <c r="D1100" s="103" t="s">
        <v>347</v>
      </c>
      <c r="E1100" s="26">
        <v>2.02</v>
      </c>
      <c r="F1100" s="26" t="s">
        <v>293</v>
      </c>
      <c r="K1100" s="24">
        <v>36</v>
      </c>
      <c r="L1100" s="102">
        <v>46084</v>
      </c>
      <c r="M1100" s="25" t="s">
        <v>357</v>
      </c>
      <c r="N1100" s="103" t="s">
        <v>347</v>
      </c>
      <c r="O1100" s="26">
        <v>4.59</v>
      </c>
      <c r="P1100" s="26" t="s">
        <v>293</v>
      </c>
    </row>
    <row r="1101" spans="1:16" x14ac:dyDescent="0.3">
      <c r="A1101" s="24">
        <v>36</v>
      </c>
      <c r="B1101" s="102">
        <v>46084</v>
      </c>
      <c r="C1101" s="25" t="s">
        <v>356</v>
      </c>
      <c r="D1101" s="103" t="s">
        <v>128</v>
      </c>
      <c r="E1101" s="26">
        <v>6.8</v>
      </c>
      <c r="F1101" s="26" t="s">
        <v>293</v>
      </c>
      <c r="K1101" s="24">
        <v>36</v>
      </c>
      <c r="L1101" s="102">
        <v>46084</v>
      </c>
      <c r="M1101" s="25" t="s">
        <v>357</v>
      </c>
      <c r="N1101" s="103" t="s">
        <v>128</v>
      </c>
      <c r="O1101" s="26">
        <v>4.3</v>
      </c>
      <c r="P1101" s="26" t="s">
        <v>293</v>
      </c>
    </row>
    <row r="1102" spans="1:16" x14ac:dyDescent="0.3">
      <c r="A1102" s="24">
        <v>36</v>
      </c>
      <c r="B1102" s="102">
        <v>46084</v>
      </c>
      <c r="C1102" s="25" t="s">
        <v>356</v>
      </c>
      <c r="D1102" s="103" t="s">
        <v>121</v>
      </c>
      <c r="E1102" s="26">
        <v>157</v>
      </c>
      <c r="F1102" s="26" t="s">
        <v>293</v>
      </c>
      <c r="K1102" s="24">
        <v>36</v>
      </c>
      <c r="L1102" s="102">
        <v>46084</v>
      </c>
      <c r="M1102" s="25" t="s">
        <v>357</v>
      </c>
      <c r="N1102" s="103" t="s">
        <v>121</v>
      </c>
      <c r="O1102" s="26">
        <v>81</v>
      </c>
      <c r="P1102" s="26" t="s">
        <v>293</v>
      </c>
    </row>
    <row r="1103" spans="1:16" x14ac:dyDescent="0.3">
      <c r="A1103" s="24">
        <v>36</v>
      </c>
      <c r="B1103" s="102">
        <v>46084</v>
      </c>
      <c r="C1103" s="25" t="s">
        <v>356</v>
      </c>
      <c r="D1103" s="103" t="s">
        <v>115</v>
      </c>
      <c r="E1103" s="26">
        <v>33</v>
      </c>
      <c r="F1103" s="26" t="s">
        <v>293</v>
      </c>
      <c r="K1103" s="24">
        <v>36</v>
      </c>
      <c r="L1103" s="102">
        <v>46084</v>
      </c>
      <c r="M1103" s="25" t="s">
        <v>357</v>
      </c>
      <c r="N1103" s="103" t="s">
        <v>115</v>
      </c>
      <c r="O1103" s="26">
        <v>96</v>
      </c>
      <c r="P1103" s="26" t="s">
        <v>293</v>
      </c>
    </row>
    <row r="1104" spans="1:16" x14ac:dyDescent="0.3">
      <c r="A1104" s="24">
        <v>36</v>
      </c>
      <c r="B1104" s="102">
        <v>46084</v>
      </c>
      <c r="C1104" s="25" t="s">
        <v>356</v>
      </c>
      <c r="D1104" s="103" t="s">
        <v>137</v>
      </c>
      <c r="E1104" s="26">
        <v>75</v>
      </c>
      <c r="F1104" s="26" t="s">
        <v>293</v>
      </c>
      <c r="K1104" s="24">
        <v>36</v>
      </c>
      <c r="L1104" s="102">
        <v>46084</v>
      </c>
      <c r="M1104" s="25" t="s">
        <v>357</v>
      </c>
      <c r="N1104" s="103" t="s">
        <v>137</v>
      </c>
      <c r="O1104" s="26">
        <v>478</v>
      </c>
      <c r="P1104" s="26" t="s">
        <v>293</v>
      </c>
    </row>
    <row r="1105" spans="1:16" x14ac:dyDescent="0.3">
      <c r="A1105" s="24">
        <v>36</v>
      </c>
      <c r="B1105" s="102">
        <v>46084</v>
      </c>
      <c r="C1105" s="25" t="s">
        <v>356</v>
      </c>
      <c r="D1105" s="103" t="s">
        <v>348</v>
      </c>
      <c r="E1105" s="26">
        <v>136</v>
      </c>
      <c r="F1105" s="26" t="s">
        <v>293</v>
      </c>
      <c r="K1105" s="24">
        <v>36</v>
      </c>
      <c r="L1105" s="102">
        <v>46084</v>
      </c>
      <c r="M1105" s="25" t="s">
        <v>357</v>
      </c>
      <c r="N1105" s="103" t="s">
        <v>348</v>
      </c>
      <c r="O1105" s="26">
        <v>422</v>
      </c>
      <c r="P1105" s="26" t="s">
        <v>293</v>
      </c>
    </row>
    <row r="1106" spans="1:16" x14ac:dyDescent="0.3">
      <c r="A1106" s="24">
        <v>36</v>
      </c>
      <c r="B1106" s="102">
        <v>46084</v>
      </c>
      <c r="C1106" s="25" t="s">
        <v>356</v>
      </c>
      <c r="D1106" s="103" t="s">
        <v>125</v>
      </c>
      <c r="E1106" s="26">
        <v>115</v>
      </c>
      <c r="F1106" s="26" t="s">
        <v>293</v>
      </c>
      <c r="K1106" s="24">
        <v>36</v>
      </c>
      <c r="L1106" s="102">
        <v>46084</v>
      </c>
      <c r="M1106" s="25" t="s">
        <v>357</v>
      </c>
      <c r="N1106" s="103" t="s">
        <v>125</v>
      </c>
      <c r="O1106" s="26">
        <v>424</v>
      </c>
      <c r="P1106" s="26" t="s">
        <v>293</v>
      </c>
    </row>
    <row r="1107" spans="1:16" x14ac:dyDescent="0.3">
      <c r="A1107" s="24">
        <v>36</v>
      </c>
      <c r="B1107" s="102">
        <v>46084</v>
      </c>
      <c r="C1107" s="25" t="s">
        <v>356</v>
      </c>
      <c r="D1107" s="103" t="s">
        <v>126</v>
      </c>
      <c r="E1107" s="26">
        <v>77</v>
      </c>
      <c r="F1107" s="26" t="s">
        <v>293</v>
      </c>
      <c r="K1107" s="24">
        <v>36</v>
      </c>
      <c r="L1107" s="102">
        <v>46084</v>
      </c>
      <c r="M1107" s="25" t="s">
        <v>357</v>
      </c>
      <c r="N1107" s="103" t="s">
        <v>126</v>
      </c>
      <c r="O1107" s="26">
        <v>147</v>
      </c>
      <c r="P1107" s="26" t="s">
        <v>293</v>
      </c>
    </row>
    <row r="1108" spans="1:16" x14ac:dyDescent="0.3">
      <c r="A1108" s="24">
        <v>36</v>
      </c>
      <c r="B1108" s="102">
        <v>46084</v>
      </c>
      <c r="C1108" s="25" t="s">
        <v>356</v>
      </c>
      <c r="D1108" s="103" t="s">
        <v>349</v>
      </c>
      <c r="E1108" s="26">
        <v>157</v>
      </c>
      <c r="F1108" s="26" t="s">
        <v>293</v>
      </c>
      <c r="K1108" s="24">
        <v>36</v>
      </c>
      <c r="L1108" s="102">
        <v>46084</v>
      </c>
      <c r="M1108" s="25" t="s">
        <v>357</v>
      </c>
      <c r="N1108" s="103" t="s">
        <v>349</v>
      </c>
      <c r="O1108" s="26">
        <v>365</v>
      </c>
      <c r="P1108" s="26" t="s">
        <v>293</v>
      </c>
    </row>
    <row r="1109" spans="1:16" x14ac:dyDescent="0.3">
      <c r="A1109" s="24">
        <v>36</v>
      </c>
      <c r="B1109" s="102">
        <v>46084</v>
      </c>
      <c r="C1109" s="25" t="s">
        <v>356</v>
      </c>
      <c r="D1109" s="103" t="s">
        <v>350</v>
      </c>
      <c r="E1109" s="26">
        <v>59</v>
      </c>
      <c r="F1109" s="26" t="s">
        <v>293</v>
      </c>
      <c r="K1109" s="24">
        <v>36</v>
      </c>
      <c r="L1109" s="102">
        <v>46084</v>
      </c>
      <c r="M1109" s="25" t="s">
        <v>357</v>
      </c>
      <c r="N1109" s="103" t="s">
        <v>350</v>
      </c>
      <c r="O1109" s="26">
        <v>87</v>
      </c>
      <c r="P1109" s="26" t="s">
        <v>293</v>
      </c>
    </row>
    <row r="1110" spans="1:16" x14ac:dyDescent="0.3">
      <c r="A1110" s="24">
        <v>36</v>
      </c>
      <c r="B1110" s="102">
        <v>46084</v>
      </c>
      <c r="C1110" s="25" t="s">
        <v>356</v>
      </c>
      <c r="D1110" s="103" t="s">
        <v>122</v>
      </c>
      <c r="E1110" s="26">
        <v>47</v>
      </c>
      <c r="F1110" s="26" t="s">
        <v>293</v>
      </c>
      <c r="K1110" s="24">
        <v>36</v>
      </c>
      <c r="L1110" s="102">
        <v>46084</v>
      </c>
      <c r="M1110" s="25" t="s">
        <v>357</v>
      </c>
      <c r="N1110" s="103" t="s">
        <v>122</v>
      </c>
      <c r="O1110" s="26">
        <v>216</v>
      </c>
      <c r="P1110" s="26" t="s">
        <v>293</v>
      </c>
    </row>
    <row r="1111" spans="1:16" x14ac:dyDescent="0.3">
      <c r="A1111" s="24">
        <v>36</v>
      </c>
      <c r="B1111" s="102">
        <v>46084</v>
      </c>
      <c r="C1111" s="25" t="s">
        <v>356</v>
      </c>
      <c r="D1111" s="103" t="s">
        <v>124</v>
      </c>
      <c r="E1111" s="26">
        <v>29</v>
      </c>
      <c r="F1111" s="26" t="s">
        <v>293</v>
      </c>
      <c r="K1111" s="24">
        <v>36</v>
      </c>
      <c r="L1111" s="102">
        <v>46084</v>
      </c>
      <c r="M1111" s="25" t="s">
        <v>357</v>
      </c>
      <c r="N1111" s="103" t="s">
        <v>124</v>
      </c>
      <c r="O1111" s="26">
        <v>101</v>
      </c>
      <c r="P1111" s="26" t="s">
        <v>293</v>
      </c>
    </row>
    <row r="1112" spans="1:16" x14ac:dyDescent="0.3">
      <c r="A1112" s="24">
        <v>36</v>
      </c>
      <c r="B1112" s="102">
        <v>46084</v>
      </c>
      <c r="C1112" s="25" t="s">
        <v>356</v>
      </c>
      <c r="D1112" s="103" t="s">
        <v>351</v>
      </c>
      <c r="E1112" s="26">
        <v>1.01</v>
      </c>
      <c r="F1112" s="26" t="s">
        <v>293</v>
      </c>
      <c r="K1112" s="24">
        <v>36</v>
      </c>
      <c r="L1112" s="102">
        <v>46084</v>
      </c>
      <c r="M1112" s="25" t="s">
        <v>357</v>
      </c>
      <c r="N1112" s="103" t="s">
        <v>351</v>
      </c>
      <c r="O1112" s="26">
        <v>3.6</v>
      </c>
      <c r="P1112" s="26" t="s">
        <v>293</v>
      </c>
    </row>
    <row r="1113" spans="1:16" x14ac:dyDescent="0.3">
      <c r="A1113" s="24">
        <v>36</v>
      </c>
      <c r="B1113" s="102">
        <v>46084</v>
      </c>
      <c r="C1113" s="25" t="s">
        <v>356</v>
      </c>
      <c r="D1113" s="103" t="s">
        <v>353</v>
      </c>
      <c r="E1113" s="26">
        <v>25.9</v>
      </c>
      <c r="F1113" s="26" t="s">
        <v>293</v>
      </c>
      <c r="K1113" s="24">
        <v>36</v>
      </c>
      <c r="L1113" s="102">
        <v>46084</v>
      </c>
      <c r="M1113" s="25" t="s">
        <v>357</v>
      </c>
      <c r="N1113" s="103" t="s">
        <v>353</v>
      </c>
      <c r="O1113" s="26">
        <v>18.600000000000001</v>
      </c>
      <c r="P1113" s="26" t="s">
        <v>293</v>
      </c>
    </row>
    <row r="1114" spans="1:16" x14ac:dyDescent="0.3">
      <c r="A1114" s="24">
        <v>36</v>
      </c>
      <c r="B1114" s="102">
        <v>46084</v>
      </c>
      <c r="C1114" s="25" t="s">
        <v>356</v>
      </c>
      <c r="D1114" s="103" t="s">
        <v>133</v>
      </c>
      <c r="E1114" s="26">
        <v>145</v>
      </c>
      <c r="F1114" s="26" t="s">
        <v>293</v>
      </c>
      <c r="K1114" s="24">
        <v>36</v>
      </c>
      <c r="L1114" s="102">
        <v>46084</v>
      </c>
      <c r="M1114" s="25" t="s">
        <v>357</v>
      </c>
      <c r="N1114" s="103" t="s">
        <v>133</v>
      </c>
      <c r="O1114" s="26">
        <v>126</v>
      </c>
      <c r="P1114" s="26" t="s">
        <v>293</v>
      </c>
    </row>
    <row r="1115" spans="1:16" x14ac:dyDescent="0.3">
      <c r="A1115" s="24">
        <v>36</v>
      </c>
      <c r="B1115" s="102">
        <v>46084</v>
      </c>
      <c r="C1115" s="25" t="s">
        <v>356</v>
      </c>
      <c r="D1115" s="103" t="s">
        <v>135</v>
      </c>
      <c r="E1115" s="26">
        <v>3.8</v>
      </c>
      <c r="F1115" s="26" t="s">
        <v>293</v>
      </c>
      <c r="K1115" s="24">
        <v>36</v>
      </c>
      <c r="L1115" s="102">
        <v>46084</v>
      </c>
      <c r="M1115" s="25" t="s">
        <v>357</v>
      </c>
      <c r="N1115" s="103" t="s">
        <v>135</v>
      </c>
      <c r="O1115" s="26">
        <v>6.4</v>
      </c>
      <c r="P1115" s="26" t="s">
        <v>293</v>
      </c>
    </row>
    <row r="1116" spans="1:16" x14ac:dyDescent="0.3">
      <c r="A1116" s="24">
        <v>36</v>
      </c>
      <c r="B1116" s="102">
        <v>46084</v>
      </c>
      <c r="C1116" s="25" t="s">
        <v>356</v>
      </c>
      <c r="D1116" s="103" t="s">
        <v>136</v>
      </c>
      <c r="E1116" s="26">
        <v>116</v>
      </c>
      <c r="F1116" s="26" t="s">
        <v>293</v>
      </c>
      <c r="K1116" s="24">
        <v>36</v>
      </c>
      <c r="L1116" s="102">
        <v>46084</v>
      </c>
      <c r="M1116" s="25" t="s">
        <v>357</v>
      </c>
      <c r="N1116" s="103" t="s">
        <v>136</v>
      </c>
      <c r="O1116" s="26">
        <v>97</v>
      </c>
      <c r="P1116" s="26" t="s">
        <v>293</v>
      </c>
    </row>
    <row r="1117" spans="1:16" x14ac:dyDescent="0.3">
      <c r="A1117" s="24">
        <v>37</v>
      </c>
      <c r="B1117" s="102">
        <v>46085</v>
      </c>
      <c r="C1117" s="25" t="s">
        <v>356</v>
      </c>
      <c r="D1117" s="103" t="s">
        <v>339</v>
      </c>
      <c r="E1117" s="26">
        <v>4.6100000000000003</v>
      </c>
      <c r="F1117" s="26" t="s">
        <v>293</v>
      </c>
      <c r="K1117" s="24">
        <v>37</v>
      </c>
      <c r="L1117" s="102">
        <v>46085</v>
      </c>
      <c r="M1117" s="25" t="s">
        <v>357</v>
      </c>
      <c r="N1117" s="103" t="s">
        <v>339</v>
      </c>
      <c r="O1117" s="26">
        <v>1.0900000000000001</v>
      </c>
      <c r="P1117" s="26" t="s">
        <v>293</v>
      </c>
    </row>
    <row r="1118" spans="1:16" x14ac:dyDescent="0.3">
      <c r="A1118" s="24">
        <v>37</v>
      </c>
      <c r="B1118" s="102">
        <v>46085</v>
      </c>
      <c r="C1118" s="25" t="s">
        <v>356</v>
      </c>
      <c r="D1118" s="103" t="s">
        <v>118</v>
      </c>
      <c r="E1118" s="26">
        <v>4.4000000000000004</v>
      </c>
      <c r="F1118" s="26" t="s">
        <v>293</v>
      </c>
      <c r="K1118" s="24">
        <v>37</v>
      </c>
      <c r="L1118" s="102">
        <v>46085</v>
      </c>
      <c r="M1118" s="25" t="s">
        <v>357</v>
      </c>
      <c r="N1118" s="103" t="s">
        <v>118</v>
      </c>
      <c r="O1118" s="26">
        <v>9.3000000000000007</v>
      </c>
      <c r="P1118" s="26" t="s">
        <v>293</v>
      </c>
    </row>
    <row r="1119" spans="1:16" x14ac:dyDescent="0.3">
      <c r="A1119" s="24">
        <v>37</v>
      </c>
      <c r="B1119" s="102">
        <v>46085</v>
      </c>
      <c r="C1119" s="25" t="s">
        <v>356</v>
      </c>
      <c r="D1119" s="103" t="s">
        <v>130</v>
      </c>
      <c r="E1119" s="26">
        <v>3.73</v>
      </c>
      <c r="F1119" s="26" t="s">
        <v>293</v>
      </c>
      <c r="K1119" s="24">
        <v>37</v>
      </c>
      <c r="L1119" s="102">
        <v>46085</v>
      </c>
      <c r="M1119" s="25" t="s">
        <v>357</v>
      </c>
      <c r="N1119" s="103" t="s">
        <v>130</v>
      </c>
      <c r="O1119" s="26">
        <v>2.44</v>
      </c>
      <c r="P1119" s="26" t="s">
        <v>293</v>
      </c>
    </row>
    <row r="1120" spans="1:16" x14ac:dyDescent="0.3">
      <c r="A1120" s="24">
        <v>37</v>
      </c>
      <c r="B1120" s="102">
        <v>46085</v>
      </c>
      <c r="C1120" s="25" t="s">
        <v>356</v>
      </c>
      <c r="D1120" s="103" t="s">
        <v>341</v>
      </c>
      <c r="E1120" s="26">
        <v>0.3</v>
      </c>
      <c r="F1120" s="26" t="s">
        <v>293</v>
      </c>
      <c r="K1120" s="24">
        <v>37</v>
      </c>
      <c r="L1120" s="102">
        <v>46085</v>
      </c>
      <c r="M1120" s="25" t="s">
        <v>357</v>
      </c>
      <c r="N1120" s="103" t="s">
        <v>341</v>
      </c>
      <c r="O1120" s="26">
        <v>1.1000000000000001</v>
      </c>
      <c r="P1120" s="26" t="s">
        <v>293</v>
      </c>
    </row>
    <row r="1121" spans="1:16" x14ac:dyDescent="0.3">
      <c r="A1121" s="24">
        <v>37</v>
      </c>
      <c r="B1121" s="102">
        <v>46085</v>
      </c>
      <c r="C1121" s="25" t="s">
        <v>356</v>
      </c>
      <c r="D1121" s="103" t="s">
        <v>127</v>
      </c>
      <c r="E1121" s="26">
        <v>1.18</v>
      </c>
      <c r="F1121" s="26" t="s">
        <v>293</v>
      </c>
      <c r="K1121" s="24">
        <v>37</v>
      </c>
      <c r="L1121" s="102">
        <v>46085</v>
      </c>
      <c r="M1121" s="25" t="s">
        <v>357</v>
      </c>
      <c r="N1121" s="103" t="s">
        <v>127</v>
      </c>
      <c r="O1121" s="26">
        <v>4.59</v>
      </c>
      <c r="P1121" s="26" t="s">
        <v>293</v>
      </c>
    </row>
    <row r="1122" spans="1:16" x14ac:dyDescent="0.3">
      <c r="A1122" s="24">
        <v>37</v>
      </c>
      <c r="B1122" s="102">
        <v>46085</v>
      </c>
      <c r="C1122" s="25" t="s">
        <v>356</v>
      </c>
      <c r="D1122" s="103" t="s">
        <v>131</v>
      </c>
      <c r="E1122" s="26">
        <v>8.5</v>
      </c>
      <c r="F1122" s="26" t="s">
        <v>293</v>
      </c>
      <c r="K1122" s="24">
        <v>37</v>
      </c>
      <c r="L1122" s="102">
        <v>46085</v>
      </c>
      <c r="M1122" s="25" t="s">
        <v>357</v>
      </c>
      <c r="N1122" s="103" t="s">
        <v>131</v>
      </c>
      <c r="O1122" s="26">
        <v>11.7</v>
      </c>
      <c r="P1122" s="26" t="s">
        <v>293</v>
      </c>
    </row>
    <row r="1123" spans="1:16" x14ac:dyDescent="0.3">
      <c r="A1123" s="24">
        <v>37</v>
      </c>
      <c r="B1123" s="102">
        <v>46085</v>
      </c>
      <c r="C1123" s="25" t="s">
        <v>356</v>
      </c>
      <c r="D1123" s="103" t="s">
        <v>342</v>
      </c>
      <c r="E1123" s="26">
        <v>347</v>
      </c>
      <c r="F1123" s="26" t="s">
        <v>293</v>
      </c>
      <c r="K1123" s="24">
        <v>37</v>
      </c>
      <c r="L1123" s="102">
        <v>46085</v>
      </c>
      <c r="M1123" s="25" t="s">
        <v>357</v>
      </c>
      <c r="N1123" s="103" t="s">
        <v>342</v>
      </c>
      <c r="O1123" s="26">
        <v>200</v>
      </c>
      <c r="P1123" s="26" t="s">
        <v>293</v>
      </c>
    </row>
    <row r="1124" spans="1:16" x14ac:dyDescent="0.3">
      <c r="A1124" s="24">
        <v>37</v>
      </c>
      <c r="B1124" s="102">
        <v>46085</v>
      </c>
      <c r="C1124" s="25" t="s">
        <v>356</v>
      </c>
      <c r="D1124" s="103" t="s">
        <v>119</v>
      </c>
      <c r="E1124" s="26">
        <v>228</v>
      </c>
      <c r="F1124" s="26" t="s">
        <v>293</v>
      </c>
      <c r="K1124" s="24">
        <v>37</v>
      </c>
      <c r="L1124" s="102">
        <v>46085</v>
      </c>
      <c r="M1124" s="25" t="s">
        <v>357</v>
      </c>
      <c r="N1124" s="103" t="s">
        <v>119</v>
      </c>
      <c r="O1124" s="26">
        <v>82</v>
      </c>
      <c r="P1124" s="26" t="s">
        <v>293</v>
      </c>
    </row>
    <row r="1125" spans="1:16" x14ac:dyDescent="0.3">
      <c r="A1125" s="24">
        <v>37</v>
      </c>
      <c r="B1125" s="102">
        <v>46085</v>
      </c>
      <c r="C1125" s="25" t="s">
        <v>356</v>
      </c>
      <c r="D1125" s="103" t="s">
        <v>120</v>
      </c>
      <c r="E1125" s="26">
        <v>79</v>
      </c>
      <c r="F1125" s="26" t="s">
        <v>293</v>
      </c>
      <c r="K1125" s="24">
        <v>37</v>
      </c>
      <c r="L1125" s="102">
        <v>46085</v>
      </c>
      <c r="M1125" s="25" t="s">
        <v>357</v>
      </c>
      <c r="N1125" s="103" t="s">
        <v>120</v>
      </c>
      <c r="O1125" s="26">
        <v>27</v>
      </c>
      <c r="P1125" s="26" t="s">
        <v>293</v>
      </c>
    </row>
    <row r="1126" spans="1:16" x14ac:dyDescent="0.3">
      <c r="A1126" s="24">
        <v>37</v>
      </c>
      <c r="B1126" s="102">
        <v>46085</v>
      </c>
      <c r="C1126" s="25" t="s">
        <v>356</v>
      </c>
      <c r="D1126" s="103" t="s">
        <v>117</v>
      </c>
      <c r="E1126" s="26">
        <v>2.57</v>
      </c>
      <c r="F1126" s="26" t="s">
        <v>293</v>
      </c>
      <c r="K1126" s="24">
        <v>37</v>
      </c>
      <c r="L1126" s="102">
        <v>46085</v>
      </c>
      <c r="M1126" s="25" t="s">
        <v>357</v>
      </c>
      <c r="N1126" s="103" t="s">
        <v>117</v>
      </c>
      <c r="O1126" s="26">
        <v>6.18</v>
      </c>
      <c r="P1126" s="26" t="s">
        <v>293</v>
      </c>
    </row>
    <row r="1127" spans="1:16" x14ac:dyDescent="0.3">
      <c r="A1127" s="24">
        <v>37</v>
      </c>
      <c r="B1127" s="102">
        <v>46085</v>
      </c>
      <c r="C1127" s="25" t="s">
        <v>356</v>
      </c>
      <c r="D1127" s="103" t="s">
        <v>344</v>
      </c>
      <c r="E1127" s="26">
        <v>235</v>
      </c>
      <c r="F1127" s="26" t="s">
        <v>293</v>
      </c>
      <c r="K1127" s="24">
        <v>37</v>
      </c>
      <c r="L1127" s="102">
        <v>46085</v>
      </c>
      <c r="M1127" s="25" t="s">
        <v>357</v>
      </c>
      <c r="N1127" s="103" t="s">
        <v>344</v>
      </c>
      <c r="O1127" s="26">
        <v>68</v>
      </c>
      <c r="P1127" s="26" t="s">
        <v>293</v>
      </c>
    </row>
    <row r="1128" spans="1:16" x14ac:dyDescent="0.3">
      <c r="A1128" s="24">
        <v>37</v>
      </c>
      <c r="B1128" s="102">
        <v>46085</v>
      </c>
      <c r="C1128" s="25" t="s">
        <v>356</v>
      </c>
      <c r="D1128" s="103" t="s">
        <v>132</v>
      </c>
      <c r="E1128" s="26">
        <v>3.42</v>
      </c>
      <c r="F1128" s="26" t="s">
        <v>293</v>
      </c>
      <c r="K1128" s="24">
        <v>37</v>
      </c>
      <c r="L1128" s="102">
        <v>46085</v>
      </c>
      <c r="M1128" s="25" t="s">
        <v>357</v>
      </c>
      <c r="N1128" s="103" t="s">
        <v>132</v>
      </c>
      <c r="O1128" s="26">
        <v>7.14</v>
      </c>
      <c r="P1128" s="26" t="s">
        <v>293</v>
      </c>
    </row>
    <row r="1129" spans="1:16" x14ac:dyDescent="0.3">
      <c r="A1129" s="24">
        <v>37</v>
      </c>
      <c r="B1129" s="102">
        <v>46085</v>
      </c>
      <c r="C1129" s="25" t="s">
        <v>356</v>
      </c>
      <c r="D1129" s="103" t="s">
        <v>111</v>
      </c>
      <c r="E1129" s="26">
        <v>87</v>
      </c>
      <c r="F1129" s="26" t="s">
        <v>293</v>
      </c>
      <c r="K1129" s="24">
        <v>37</v>
      </c>
      <c r="L1129" s="102">
        <v>46085</v>
      </c>
      <c r="M1129" s="25" t="s">
        <v>357</v>
      </c>
      <c r="N1129" s="103" t="s">
        <v>111</v>
      </c>
      <c r="O1129" s="26">
        <v>280</v>
      </c>
      <c r="P1129" s="26" t="s">
        <v>293</v>
      </c>
    </row>
    <row r="1130" spans="1:16" x14ac:dyDescent="0.3">
      <c r="A1130" s="24">
        <v>37</v>
      </c>
      <c r="B1130" s="102">
        <v>46085</v>
      </c>
      <c r="C1130" s="25" t="s">
        <v>356</v>
      </c>
      <c r="D1130" s="103" t="s">
        <v>345</v>
      </c>
      <c r="E1130" s="26">
        <v>5.16</v>
      </c>
      <c r="F1130" s="26" t="s">
        <v>293</v>
      </c>
      <c r="K1130" s="24">
        <v>37</v>
      </c>
      <c r="L1130" s="102">
        <v>46085</v>
      </c>
      <c r="M1130" s="25" t="s">
        <v>357</v>
      </c>
      <c r="N1130" s="103" t="s">
        <v>345</v>
      </c>
      <c r="O1130" s="26">
        <v>9.99</v>
      </c>
      <c r="P1130" s="26" t="s">
        <v>293</v>
      </c>
    </row>
    <row r="1131" spans="1:16" x14ac:dyDescent="0.3">
      <c r="A1131" s="24">
        <v>37</v>
      </c>
      <c r="B1131" s="102">
        <v>46085</v>
      </c>
      <c r="C1131" s="25" t="s">
        <v>356</v>
      </c>
      <c r="D1131" s="103" t="s">
        <v>347</v>
      </c>
      <c r="E1131" s="26">
        <v>2.11</v>
      </c>
      <c r="F1131" s="26" t="s">
        <v>293</v>
      </c>
      <c r="K1131" s="24">
        <v>37</v>
      </c>
      <c r="L1131" s="102">
        <v>46085</v>
      </c>
      <c r="M1131" s="25" t="s">
        <v>357</v>
      </c>
      <c r="N1131" s="103" t="s">
        <v>347</v>
      </c>
      <c r="O1131" s="26">
        <v>4.7</v>
      </c>
      <c r="P1131" s="26" t="s">
        <v>293</v>
      </c>
    </row>
    <row r="1132" spans="1:16" x14ac:dyDescent="0.3">
      <c r="A1132" s="24">
        <v>37</v>
      </c>
      <c r="B1132" s="102">
        <v>46085</v>
      </c>
      <c r="C1132" s="25" t="s">
        <v>356</v>
      </c>
      <c r="D1132" s="103" t="s">
        <v>128</v>
      </c>
      <c r="E1132" s="26">
        <v>6.7</v>
      </c>
      <c r="F1132" s="26" t="s">
        <v>293</v>
      </c>
      <c r="K1132" s="24">
        <v>37</v>
      </c>
      <c r="L1132" s="102">
        <v>46085</v>
      </c>
      <c r="M1132" s="25" t="s">
        <v>357</v>
      </c>
      <c r="N1132" s="103" t="s">
        <v>128</v>
      </c>
      <c r="O1132" s="26">
        <v>4.3</v>
      </c>
      <c r="P1132" s="26" t="s">
        <v>293</v>
      </c>
    </row>
    <row r="1133" spans="1:16" x14ac:dyDescent="0.3">
      <c r="A1133" s="24">
        <v>37</v>
      </c>
      <c r="B1133" s="102">
        <v>46085</v>
      </c>
      <c r="C1133" s="25" t="s">
        <v>356</v>
      </c>
      <c r="D1133" s="103" t="s">
        <v>121</v>
      </c>
      <c r="E1133" s="26">
        <v>157</v>
      </c>
      <c r="F1133" s="26" t="s">
        <v>293</v>
      </c>
      <c r="K1133" s="24">
        <v>37</v>
      </c>
      <c r="L1133" s="102">
        <v>46085</v>
      </c>
      <c r="M1133" s="25" t="s">
        <v>357</v>
      </c>
      <c r="N1133" s="103" t="s">
        <v>121</v>
      </c>
      <c r="O1133" s="26">
        <v>77</v>
      </c>
      <c r="P1133" s="26" t="s">
        <v>293</v>
      </c>
    </row>
    <row r="1134" spans="1:16" x14ac:dyDescent="0.3">
      <c r="A1134" s="24">
        <v>37</v>
      </c>
      <c r="B1134" s="102">
        <v>46085</v>
      </c>
      <c r="C1134" s="25" t="s">
        <v>356</v>
      </c>
      <c r="D1134" s="103" t="s">
        <v>115</v>
      </c>
      <c r="E1134" s="26">
        <v>33</v>
      </c>
      <c r="F1134" s="26" t="s">
        <v>293</v>
      </c>
      <c r="K1134" s="24">
        <v>37</v>
      </c>
      <c r="L1134" s="102">
        <v>46085</v>
      </c>
      <c r="M1134" s="25" t="s">
        <v>357</v>
      </c>
      <c r="N1134" s="103" t="s">
        <v>115</v>
      </c>
      <c r="O1134" s="26">
        <v>97</v>
      </c>
      <c r="P1134" s="26" t="s">
        <v>293</v>
      </c>
    </row>
    <row r="1135" spans="1:16" x14ac:dyDescent="0.3">
      <c r="A1135" s="24">
        <v>37</v>
      </c>
      <c r="B1135" s="102">
        <v>46085</v>
      </c>
      <c r="C1135" s="25" t="s">
        <v>356</v>
      </c>
      <c r="D1135" s="103" t="s">
        <v>137</v>
      </c>
      <c r="E1135" s="26">
        <v>75</v>
      </c>
      <c r="F1135" s="26" t="s">
        <v>293</v>
      </c>
      <c r="K1135" s="24">
        <v>37</v>
      </c>
      <c r="L1135" s="102">
        <v>46085</v>
      </c>
      <c r="M1135" s="25" t="s">
        <v>357</v>
      </c>
      <c r="N1135" s="103" t="s">
        <v>137</v>
      </c>
      <c r="O1135" s="26">
        <v>480</v>
      </c>
      <c r="P1135" s="26" t="s">
        <v>293</v>
      </c>
    </row>
    <row r="1136" spans="1:16" x14ac:dyDescent="0.3">
      <c r="A1136" s="24">
        <v>37</v>
      </c>
      <c r="B1136" s="102">
        <v>46085</v>
      </c>
      <c r="C1136" s="25" t="s">
        <v>356</v>
      </c>
      <c r="D1136" s="103" t="s">
        <v>348</v>
      </c>
      <c r="E1136" s="26">
        <v>137</v>
      </c>
      <c r="F1136" s="26" t="s">
        <v>293</v>
      </c>
      <c r="K1136" s="24">
        <v>37</v>
      </c>
      <c r="L1136" s="102">
        <v>46085</v>
      </c>
      <c r="M1136" s="25" t="s">
        <v>357</v>
      </c>
      <c r="N1136" s="103" t="s">
        <v>348</v>
      </c>
      <c r="O1136" s="26">
        <v>425</v>
      </c>
      <c r="P1136" s="26" t="s">
        <v>293</v>
      </c>
    </row>
    <row r="1137" spans="1:16" x14ac:dyDescent="0.3">
      <c r="A1137" s="24">
        <v>37</v>
      </c>
      <c r="B1137" s="102">
        <v>46085</v>
      </c>
      <c r="C1137" s="25" t="s">
        <v>356</v>
      </c>
      <c r="D1137" s="103" t="s">
        <v>125</v>
      </c>
      <c r="E1137" s="26">
        <v>105</v>
      </c>
      <c r="F1137" s="26" t="s">
        <v>293</v>
      </c>
      <c r="K1137" s="24">
        <v>37</v>
      </c>
      <c r="L1137" s="102">
        <v>46085</v>
      </c>
      <c r="M1137" s="25" t="s">
        <v>357</v>
      </c>
      <c r="N1137" s="103" t="s">
        <v>125</v>
      </c>
      <c r="O1137" s="26">
        <v>407</v>
      </c>
      <c r="P1137" s="26" t="s">
        <v>293</v>
      </c>
    </row>
    <row r="1138" spans="1:16" x14ac:dyDescent="0.3">
      <c r="A1138" s="24">
        <v>37</v>
      </c>
      <c r="B1138" s="102">
        <v>46085</v>
      </c>
      <c r="C1138" s="25" t="s">
        <v>356</v>
      </c>
      <c r="D1138" s="103" t="s">
        <v>126</v>
      </c>
      <c r="E1138" s="26">
        <v>79</v>
      </c>
      <c r="F1138" s="26" t="s">
        <v>293</v>
      </c>
      <c r="K1138" s="24">
        <v>37</v>
      </c>
      <c r="L1138" s="102">
        <v>46085</v>
      </c>
      <c r="M1138" s="25" t="s">
        <v>357</v>
      </c>
      <c r="N1138" s="103" t="s">
        <v>126</v>
      </c>
      <c r="O1138" s="26">
        <v>153</v>
      </c>
      <c r="P1138" s="26" t="s">
        <v>293</v>
      </c>
    </row>
    <row r="1139" spans="1:16" x14ac:dyDescent="0.3">
      <c r="A1139" s="24">
        <v>37</v>
      </c>
      <c r="B1139" s="102">
        <v>46085</v>
      </c>
      <c r="C1139" s="25" t="s">
        <v>356</v>
      </c>
      <c r="D1139" s="103" t="s">
        <v>349</v>
      </c>
      <c r="E1139" s="26">
        <v>147</v>
      </c>
      <c r="F1139" s="26" t="s">
        <v>293</v>
      </c>
      <c r="K1139" s="24">
        <v>37</v>
      </c>
      <c r="L1139" s="102">
        <v>46085</v>
      </c>
      <c r="M1139" s="25" t="s">
        <v>357</v>
      </c>
      <c r="N1139" s="103" t="s">
        <v>349</v>
      </c>
      <c r="O1139" s="26">
        <v>361</v>
      </c>
      <c r="P1139" s="26" t="s">
        <v>293</v>
      </c>
    </row>
    <row r="1140" spans="1:16" x14ac:dyDescent="0.3">
      <c r="A1140" s="24">
        <v>37</v>
      </c>
      <c r="B1140" s="102">
        <v>46085</v>
      </c>
      <c r="C1140" s="25" t="s">
        <v>356</v>
      </c>
      <c r="D1140" s="103" t="s">
        <v>350</v>
      </c>
      <c r="E1140" s="26">
        <v>58</v>
      </c>
      <c r="F1140" s="26" t="s">
        <v>293</v>
      </c>
      <c r="K1140" s="24">
        <v>37</v>
      </c>
      <c r="L1140" s="102">
        <v>46085</v>
      </c>
      <c r="M1140" s="25" t="s">
        <v>357</v>
      </c>
      <c r="N1140" s="103" t="s">
        <v>350</v>
      </c>
      <c r="O1140" s="26">
        <v>84</v>
      </c>
      <c r="P1140" s="26" t="s">
        <v>293</v>
      </c>
    </row>
    <row r="1141" spans="1:16" x14ac:dyDescent="0.3">
      <c r="A1141" s="24">
        <v>37</v>
      </c>
      <c r="B1141" s="102">
        <v>46085</v>
      </c>
      <c r="C1141" s="25" t="s">
        <v>356</v>
      </c>
      <c r="D1141" s="103" t="s">
        <v>122</v>
      </c>
      <c r="E1141" s="26">
        <v>47</v>
      </c>
      <c r="F1141" s="26" t="s">
        <v>293</v>
      </c>
      <c r="K1141" s="24">
        <v>37</v>
      </c>
      <c r="L1141" s="102">
        <v>46085</v>
      </c>
      <c r="M1141" s="25" t="s">
        <v>357</v>
      </c>
      <c r="N1141" s="103" t="s">
        <v>122</v>
      </c>
      <c r="O1141" s="26">
        <v>215</v>
      </c>
      <c r="P1141" s="26" t="s">
        <v>293</v>
      </c>
    </row>
    <row r="1142" spans="1:16" x14ac:dyDescent="0.3">
      <c r="A1142" s="24">
        <v>37</v>
      </c>
      <c r="B1142" s="102">
        <v>46085</v>
      </c>
      <c r="C1142" s="25" t="s">
        <v>356</v>
      </c>
      <c r="D1142" s="103" t="s">
        <v>124</v>
      </c>
      <c r="E1142" s="26">
        <v>32</v>
      </c>
      <c r="F1142" s="26" t="s">
        <v>293</v>
      </c>
      <c r="K1142" s="24">
        <v>37</v>
      </c>
      <c r="L1142" s="102">
        <v>46085</v>
      </c>
      <c r="M1142" s="25" t="s">
        <v>357</v>
      </c>
      <c r="N1142" s="103" t="s">
        <v>124</v>
      </c>
      <c r="O1142" s="26">
        <v>107</v>
      </c>
      <c r="P1142" s="26" t="s">
        <v>293</v>
      </c>
    </row>
    <row r="1143" spans="1:16" x14ac:dyDescent="0.3">
      <c r="A1143" s="24">
        <v>37</v>
      </c>
      <c r="B1143" s="102">
        <v>46085</v>
      </c>
      <c r="C1143" s="25" t="s">
        <v>356</v>
      </c>
      <c r="D1143" s="103" t="s">
        <v>351</v>
      </c>
      <c r="E1143" s="26">
        <v>0.94</v>
      </c>
      <c r="F1143" s="26" t="s">
        <v>293</v>
      </c>
      <c r="K1143" s="24">
        <v>37</v>
      </c>
      <c r="L1143" s="102">
        <v>46085</v>
      </c>
      <c r="M1143" s="25" t="s">
        <v>357</v>
      </c>
      <c r="N1143" s="103" t="s">
        <v>351</v>
      </c>
      <c r="O1143" s="26">
        <v>3.52</v>
      </c>
      <c r="P1143" s="26" t="s">
        <v>293</v>
      </c>
    </row>
    <row r="1144" spans="1:16" x14ac:dyDescent="0.3">
      <c r="A1144" s="24">
        <v>37</v>
      </c>
      <c r="B1144" s="102">
        <v>46085</v>
      </c>
      <c r="C1144" s="25" t="s">
        <v>356</v>
      </c>
      <c r="D1144" s="103" t="s">
        <v>353</v>
      </c>
      <c r="E1144" s="26">
        <v>32.9</v>
      </c>
      <c r="F1144" s="26" t="s">
        <v>293</v>
      </c>
      <c r="K1144" s="24">
        <v>37</v>
      </c>
      <c r="L1144" s="102">
        <v>46085</v>
      </c>
      <c r="M1144" s="25" t="s">
        <v>357</v>
      </c>
      <c r="N1144" s="103" t="s">
        <v>353</v>
      </c>
      <c r="O1144" s="26">
        <v>17.7</v>
      </c>
      <c r="P1144" s="26" t="s">
        <v>293</v>
      </c>
    </row>
    <row r="1145" spans="1:16" x14ac:dyDescent="0.3">
      <c r="A1145" s="24">
        <v>37</v>
      </c>
      <c r="B1145" s="102">
        <v>46085</v>
      </c>
      <c r="C1145" s="25" t="s">
        <v>356</v>
      </c>
      <c r="D1145" s="103" t="s">
        <v>133</v>
      </c>
      <c r="E1145" s="26">
        <v>143</v>
      </c>
      <c r="F1145" s="26" t="s">
        <v>293</v>
      </c>
      <c r="K1145" s="24">
        <v>37</v>
      </c>
      <c r="L1145" s="102">
        <v>46085</v>
      </c>
      <c r="M1145" s="25" t="s">
        <v>357</v>
      </c>
      <c r="N1145" s="103" t="s">
        <v>133</v>
      </c>
      <c r="O1145" s="26">
        <v>125</v>
      </c>
      <c r="P1145" s="26" t="s">
        <v>293</v>
      </c>
    </row>
    <row r="1146" spans="1:16" x14ac:dyDescent="0.3">
      <c r="A1146" s="24">
        <v>37</v>
      </c>
      <c r="B1146" s="102">
        <v>46085</v>
      </c>
      <c r="C1146" s="25" t="s">
        <v>356</v>
      </c>
      <c r="D1146" s="103" t="s">
        <v>135</v>
      </c>
      <c r="E1146" s="26">
        <v>3.7</v>
      </c>
      <c r="F1146" s="26" t="s">
        <v>293</v>
      </c>
      <c r="K1146" s="24">
        <v>37</v>
      </c>
      <c r="L1146" s="102">
        <v>46085</v>
      </c>
      <c r="M1146" s="25" t="s">
        <v>357</v>
      </c>
      <c r="N1146" s="103" t="s">
        <v>135</v>
      </c>
      <c r="O1146" s="26">
        <v>6.4</v>
      </c>
      <c r="P1146" s="26" t="s">
        <v>293</v>
      </c>
    </row>
    <row r="1147" spans="1:16" x14ac:dyDescent="0.3">
      <c r="A1147" s="24">
        <v>37</v>
      </c>
      <c r="B1147" s="102">
        <v>46085</v>
      </c>
      <c r="C1147" s="25" t="s">
        <v>356</v>
      </c>
      <c r="D1147" s="103" t="s">
        <v>136</v>
      </c>
      <c r="E1147" s="26">
        <v>120</v>
      </c>
      <c r="F1147" s="26" t="s">
        <v>293</v>
      </c>
      <c r="K1147" s="24">
        <v>37</v>
      </c>
      <c r="L1147" s="102">
        <v>46085</v>
      </c>
      <c r="M1147" s="25" t="s">
        <v>357</v>
      </c>
      <c r="N1147" s="103" t="s">
        <v>136</v>
      </c>
      <c r="O1147" s="26">
        <v>97</v>
      </c>
      <c r="P1147" s="26" t="s">
        <v>293</v>
      </c>
    </row>
    <row r="1148" spans="1:16" x14ac:dyDescent="0.3">
      <c r="A1148" s="24">
        <v>38</v>
      </c>
      <c r="B1148" s="102">
        <v>46086</v>
      </c>
      <c r="C1148" s="25" t="s">
        <v>356</v>
      </c>
      <c r="D1148" s="103" t="s">
        <v>339</v>
      </c>
      <c r="E1148" s="26">
        <v>4.67</v>
      </c>
      <c r="F1148" s="26" t="s">
        <v>293</v>
      </c>
      <c r="K1148" s="24">
        <v>38</v>
      </c>
      <c r="L1148" s="102">
        <v>46086</v>
      </c>
      <c r="M1148" s="25" t="s">
        <v>357</v>
      </c>
      <c r="N1148" s="103" t="s">
        <v>339</v>
      </c>
      <c r="O1148" s="26">
        <v>1.1100000000000001</v>
      </c>
      <c r="P1148" s="26" t="s">
        <v>293</v>
      </c>
    </row>
    <row r="1149" spans="1:16" x14ac:dyDescent="0.3">
      <c r="A1149" s="24">
        <v>38</v>
      </c>
      <c r="B1149" s="102">
        <v>46086</v>
      </c>
      <c r="C1149" s="25" t="s">
        <v>356</v>
      </c>
      <c r="D1149" s="103" t="s">
        <v>118</v>
      </c>
      <c r="E1149" s="26">
        <v>4.5999999999999996</v>
      </c>
      <c r="F1149" s="26" t="s">
        <v>293</v>
      </c>
      <c r="K1149" s="24">
        <v>38</v>
      </c>
      <c r="L1149" s="102">
        <v>46086</v>
      </c>
      <c r="M1149" s="25" t="s">
        <v>357</v>
      </c>
      <c r="N1149" s="103" t="s">
        <v>118</v>
      </c>
      <c r="O1149" s="26">
        <v>9.5</v>
      </c>
      <c r="P1149" s="26" t="s">
        <v>293</v>
      </c>
    </row>
    <row r="1150" spans="1:16" x14ac:dyDescent="0.3">
      <c r="A1150" s="24">
        <v>38</v>
      </c>
      <c r="B1150" s="102">
        <v>46086</v>
      </c>
      <c r="C1150" s="25" t="s">
        <v>356</v>
      </c>
      <c r="D1150" s="103" t="s">
        <v>130</v>
      </c>
      <c r="E1150" s="26">
        <v>3.8</v>
      </c>
      <c r="F1150" s="26" t="s">
        <v>293</v>
      </c>
      <c r="K1150" s="24">
        <v>38</v>
      </c>
      <c r="L1150" s="102">
        <v>46086</v>
      </c>
      <c r="M1150" s="25" t="s">
        <v>357</v>
      </c>
      <c r="N1150" s="103" t="s">
        <v>130</v>
      </c>
      <c r="O1150" s="26">
        <v>2.42</v>
      </c>
      <c r="P1150" s="26" t="s">
        <v>293</v>
      </c>
    </row>
    <row r="1151" spans="1:16" x14ac:dyDescent="0.3">
      <c r="A1151" s="24">
        <v>38</v>
      </c>
      <c r="B1151" s="102">
        <v>46086</v>
      </c>
      <c r="C1151" s="25" t="s">
        <v>356</v>
      </c>
      <c r="D1151" s="103" t="s">
        <v>341</v>
      </c>
      <c r="E1151" s="26">
        <v>0.28999999999999998</v>
      </c>
      <c r="F1151" s="26" t="s">
        <v>293</v>
      </c>
      <c r="K1151" s="24">
        <v>38</v>
      </c>
      <c r="L1151" s="102">
        <v>46086</v>
      </c>
      <c r="M1151" s="25" t="s">
        <v>357</v>
      </c>
      <c r="N1151" s="103" t="s">
        <v>341</v>
      </c>
      <c r="O1151" s="26">
        <v>1.091</v>
      </c>
      <c r="P1151" s="26" t="s">
        <v>293</v>
      </c>
    </row>
    <row r="1152" spans="1:16" x14ac:dyDescent="0.3">
      <c r="A1152" s="24">
        <v>38</v>
      </c>
      <c r="B1152" s="102">
        <v>46086</v>
      </c>
      <c r="C1152" s="25" t="s">
        <v>356</v>
      </c>
      <c r="D1152" s="103" t="s">
        <v>127</v>
      </c>
      <c r="E1152" s="26">
        <v>1.1599999999999999</v>
      </c>
      <c r="F1152" s="26" t="s">
        <v>293</v>
      </c>
      <c r="K1152" s="24">
        <v>38</v>
      </c>
      <c r="L1152" s="102">
        <v>46086</v>
      </c>
      <c r="M1152" s="25" t="s">
        <v>357</v>
      </c>
      <c r="N1152" s="103" t="s">
        <v>127</v>
      </c>
      <c r="O1152" s="26">
        <v>4.5999999999999996</v>
      </c>
      <c r="P1152" s="26" t="s">
        <v>293</v>
      </c>
    </row>
    <row r="1153" spans="1:16" x14ac:dyDescent="0.3">
      <c r="A1153" s="24">
        <v>38</v>
      </c>
      <c r="B1153" s="102">
        <v>46086</v>
      </c>
      <c r="C1153" s="25" t="s">
        <v>356</v>
      </c>
      <c r="D1153" s="103" t="s">
        <v>131</v>
      </c>
      <c r="E1153" s="26">
        <v>8.5</v>
      </c>
      <c r="F1153" s="26" t="s">
        <v>293</v>
      </c>
      <c r="K1153" s="24">
        <v>38</v>
      </c>
      <c r="L1153" s="102">
        <v>46086</v>
      </c>
      <c r="M1153" s="25" t="s">
        <v>357</v>
      </c>
      <c r="N1153" s="103" t="s">
        <v>131</v>
      </c>
      <c r="O1153" s="26">
        <v>11.8</v>
      </c>
      <c r="P1153" s="26" t="s">
        <v>293</v>
      </c>
    </row>
    <row r="1154" spans="1:16" x14ac:dyDescent="0.3">
      <c r="A1154" s="24">
        <v>38</v>
      </c>
      <c r="B1154" s="102">
        <v>46086</v>
      </c>
      <c r="C1154" s="25" t="s">
        <v>356</v>
      </c>
      <c r="D1154" s="103" t="s">
        <v>342</v>
      </c>
      <c r="E1154" s="26">
        <v>350</v>
      </c>
      <c r="F1154" s="26" t="s">
        <v>293</v>
      </c>
      <c r="K1154" s="24">
        <v>38</v>
      </c>
      <c r="L1154" s="102">
        <v>46086</v>
      </c>
      <c r="M1154" s="25" t="s">
        <v>357</v>
      </c>
      <c r="N1154" s="103" t="s">
        <v>342</v>
      </c>
      <c r="O1154" s="26">
        <v>202</v>
      </c>
      <c r="P1154" s="26" t="s">
        <v>293</v>
      </c>
    </row>
    <row r="1155" spans="1:16" x14ac:dyDescent="0.3">
      <c r="A1155" s="24">
        <v>38</v>
      </c>
      <c r="B1155" s="102">
        <v>46086</v>
      </c>
      <c r="C1155" s="25" t="s">
        <v>356</v>
      </c>
      <c r="D1155" s="103" t="s">
        <v>119</v>
      </c>
      <c r="E1155" s="26">
        <v>227</v>
      </c>
      <c r="F1155" s="26" t="s">
        <v>293</v>
      </c>
      <c r="K1155" s="24">
        <v>38</v>
      </c>
      <c r="L1155" s="102">
        <v>46086</v>
      </c>
      <c r="M1155" s="25" t="s">
        <v>357</v>
      </c>
      <c r="N1155" s="103" t="s">
        <v>119</v>
      </c>
      <c r="O1155" s="26">
        <v>81</v>
      </c>
      <c r="P1155" s="26" t="s">
        <v>293</v>
      </c>
    </row>
    <row r="1156" spans="1:16" x14ac:dyDescent="0.3">
      <c r="A1156" s="24">
        <v>38</v>
      </c>
      <c r="B1156" s="102">
        <v>46086</v>
      </c>
      <c r="C1156" s="25" t="s">
        <v>356</v>
      </c>
      <c r="D1156" s="103" t="s">
        <v>120</v>
      </c>
      <c r="E1156" s="26">
        <v>78</v>
      </c>
      <c r="F1156" s="26" t="s">
        <v>293</v>
      </c>
      <c r="K1156" s="24">
        <v>38</v>
      </c>
      <c r="L1156" s="102">
        <v>46086</v>
      </c>
      <c r="M1156" s="25" t="s">
        <v>357</v>
      </c>
      <c r="N1156" s="103" t="s">
        <v>120</v>
      </c>
      <c r="O1156" s="26">
        <v>27</v>
      </c>
      <c r="P1156" s="26" t="s">
        <v>293</v>
      </c>
    </row>
    <row r="1157" spans="1:16" x14ac:dyDescent="0.3">
      <c r="A1157" s="24">
        <v>38</v>
      </c>
      <c r="B1157" s="102">
        <v>46086</v>
      </c>
      <c r="C1157" s="25" t="s">
        <v>356</v>
      </c>
      <c r="D1157" s="103" t="s">
        <v>117</v>
      </c>
      <c r="E1157" s="26">
        <v>2.68</v>
      </c>
      <c r="F1157" s="26" t="s">
        <v>293</v>
      </c>
      <c r="K1157" s="24">
        <v>38</v>
      </c>
      <c r="L1157" s="102">
        <v>46086</v>
      </c>
      <c r="M1157" s="25" t="s">
        <v>357</v>
      </c>
      <c r="N1157" s="103" t="s">
        <v>117</v>
      </c>
      <c r="O1157" s="26">
        <v>6.23</v>
      </c>
      <c r="P1157" s="26" t="s">
        <v>293</v>
      </c>
    </row>
    <row r="1158" spans="1:16" x14ac:dyDescent="0.3">
      <c r="A1158" s="24">
        <v>38</v>
      </c>
      <c r="B1158" s="102">
        <v>46086</v>
      </c>
      <c r="C1158" s="25" t="s">
        <v>356</v>
      </c>
      <c r="D1158" s="103" t="s">
        <v>344</v>
      </c>
      <c r="E1158" s="26">
        <v>231</v>
      </c>
      <c r="F1158" s="26" t="s">
        <v>293</v>
      </c>
      <c r="K1158" s="24">
        <v>38</v>
      </c>
      <c r="L1158" s="102">
        <v>46086</v>
      </c>
      <c r="M1158" s="25" t="s">
        <v>357</v>
      </c>
      <c r="N1158" s="103" t="s">
        <v>344</v>
      </c>
      <c r="O1158" s="26">
        <v>68</v>
      </c>
      <c r="P1158" s="26" t="s">
        <v>293</v>
      </c>
    </row>
    <row r="1159" spans="1:16" x14ac:dyDescent="0.3">
      <c r="A1159" s="24">
        <v>38</v>
      </c>
      <c r="B1159" s="102">
        <v>46086</v>
      </c>
      <c r="C1159" s="25" t="s">
        <v>356</v>
      </c>
      <c r="D1159" s="103" t="s">
        <v>132</v>
      </c>
      <c r="E1159" s="26">
        <v>3.57</v>
      </c>
      <c r="F1159" s="26" t="s">
        <v>293</v>
      </c>
      <c r="K1159" s="24">
        <v>38</v>
      </c>
      <c r="L1159" s="102">
        <v>46086</v>
      </c>
      <c r="M1159" s="25" t="s">
        <v>357</v>
      </c>
      <c r="N1159" s="103" t="s">
        <v>132</v>
      </c>
      <c r="O1159" s="26">
        <v>7.13</v>
      </c>
      <c r="P1159" s="26" t="s">
        <v>293</v>
      </c>
    </row>
    <row r="1160" spans="1:16" x14ac:dyDescent="0.3">
      <c r="A1160" s="24">
        <v>38</v>
      </c>
      <c r="B1160" s="102">
        <v>46086</v>
      </c>
      <c r="C1160" s="25" t="s">
        <v>356</v>
      </c>
      <c r="D1160" s="103" t="s">
        <v>111</v>
      </c>
      <c r="E1160" s="26">
        <v>88</v>
      </c>
      <c r="F1160" s="26" t="s">
        <v>293</v>
      </c>
      <c r="K1160" s="24">
        <v>38</v>
      </c>
      <c r="L1160" s="102">
        <v>46086</v>
      </c>
      <c r="M1160" s="25" t="s">
        <v>357</v>
      </c>
      <c r="N1160" s="103" t="s">
        <v>111</v>
      </c>
      <c r="O1160" s="26">
        <v>278</v>
      </c>
      <c r="P1160" s="26" t="s">
        <v>293</v>
      </c>
    </row>
    <row r="1161" spans="1:16" x14ac:dyDescent="0.3">
      <c r="A1161" s="24">
        <v>38</v>
      </c>
      <c r="B1161" s="102">
        <v>46086</v>
      </c>
      <c r="C1161" s="25" t="s">
        <v>356</v>
      </c>
      <c r="D1161" s="103" t="s">
        <v>345</v>
      </c>
      <c r="E1161" s="26">
        <v>5.0599999999999996</v>
      </c>
      <c r="F1161" s="26" t="s">
        <v>293</v>
      </c>
      <c r="K1161" s="24">
        <v>38</v>
      </c>
      <c r="L1161" s="102">
        <v>46086</v>
      </c>
      <c r="M1161" s="25" t="s">
        <v>357</v>
      </c>
      <c r="N1161" s="103" t="s">
        <v>345</v>
      </c>
      <c r="O1161" s="26">
        <v>9.89</v>
      </c>
      <c r="P1161" s="26" t="s">
        <v>293</v>
      </c>
    </row>
    <row r="1162" spans="1:16" x14ac:dyDescent="0.3">
      <c r="A1162" s="24">
        <v>38</v>
      </c>
      <c r="B1162" s="102">
        <v>46086</v>
      </c>
      <c r="C1162" s="25" t="s">
        <v>356</v>
      </c>
      <c r="D1162" s="103" t="s">
        <v>347</v>
      </c>
      <c r="E1162" s="26">
        <v>2.06</v>
      </c>
      <c r="F1162" s="26" t="s">
        <v>293</v>
      </c>
      <c r="K1162" s="24">
        <v>38</v>
      </c>
      <c r="L1162" s="102">
        <v>46086</v>
      </c>
      <c r="M1162" s="25" t="s">
        <v>357</v>
      </c>
      <c r="N1162" s="103" t="s">
        <v>347</v>
      </c>
      <c r="O1162" s="26">
        <v>4.34</v>
      </c>
      <c r="P1162" s="26" t="s">
        <v>293</v>
      </c>
    </row>
    <row r="1163" spans="1:16" x14ac:dyDescent="0.3">
      <c r="A1163" s="24">
        <v>38</v>
      </c>
      <c r="B1163" s="102">
        <v>46086</v>
      </c>
      <c r="C1163" s="25" t="s">
        <v>356</v>
      </c>
      <c r="D1163" s="103" t="s">
        <v>128</v>
      </c>
      <c r="E1163" s="26">
        <v>6.9</v>
      </c>
      <c r="F1163" s="26" t="s">
        <v>293</v>
      </c>
      <c r="K1163" s="24">
        <v>38</v>
      </c>
      <c r="L1163" s="102">
        <v>46086</v>
      </c>
      <c r="M1163" s="25" t="s">
        <v>357</v>
      </c>
      <c r="N1163" s="103" t="s">
        <v>128</v>
      </c>
      <c r="O1163" s="26">
        <v>4.4000000000000004</v>
      </c>
      <c r="P1163" s="26" t="s">
        <v>293</v>
      </c>
    </row>
    <row r="1164" spans="1:16" x14ac:dyDescent="0.3">
      <c r="A1164" s="24">
        <v>38</v>
      </c>
      <c r="B1164" s="102">
        <v>46086</v>
      </c>
      <c r="C1164" s="25" t="s">
        <v>356</v>
      </c>
      <c r="D1164" s="103" t="s">
        <v>121</v>
      </c>
      <c r="E1164" s="26">
        <v>157</v>
      </c>
      <c r="F1164" s="26" t="s">
        <v>293</v>
      </c>
      <c r="K1164" s="24">
        <v>38</v>
      </c>
      <c r="L1164" s="102">
        <v>46086</v>
      </c>
      <c r="M1164" s="25" t="s">
        <v>357</v>
      </c>
      <c r="N1164" s="103" t="s">
        <v>121</v>
      </c>
      <c r="O1164" s="26">
        <v>78</v>
      </c>
      <c r="P1164" s="26" t="s">
        <v>293</v>
      </c>
    </row>
    <row r="1165" spans="1:16" x14ac:dyDescent="0.3">
      <c r="A1165" s="24">
        <v>38</v>
      </c>
      <c r="B1165" s="102">
        <v>46086</v>
      </c>
      <c r="C1165" s="25" t="s">
        <v>356</v>
      </c>
      <c r="D1165" s="103" t="s">
        <v>115</v>
      </c>
      <c r="E1165" s="26">
        <v>34</v>
      </c>
      <c r="F1165" s="26" t="s">
        <v>293</v>
      </c>
      <c r="K1165" s="24">
        <v>38</v>
      </c>
      <c r="L1165" s="102">
        <v>46086</v>
      </c>
      <c r="M1165" s="25" t="s">
        <v>357</v>
      </c>
      <c r="N1165" s="103" t="s">
        <v>115</v>
      </c>
      <c r="O1165" s="26">
        <v>98</v>
      </c>
      <c r="P1165" s="26" t="s">
        <v>293</v>
      </c>
    </row>
    <row r="1166" spans="1:16" x14ac:dyDescent="0.3">
      <c r="A1166" s="24">
        <v>38</v>
      </c>
      <c r="B1166" s="102">
        <v>46086</v>
      </c>
      <c r="C1166" s="25" t="s">
        <v>356</v>
      </c>
      <c r="D1166" s="103" t="s">
        <v>137</v>
      </c>
      <c r="E1166" s="26">
        <v>74</v>
      </c>
      <c r="F1166" s="26" t="s">
        <v>293</v>
      </c>
      <c r="K1166" s="24">
        <v>38</v>
      </c>
      <c r="L1166" s="102">
        <v>46086</v>
      </c>
      <c r="M1166" s="25" t="s">
        <v>357</v>
      </c>
      <c r="N1166" s="103" t="s">
        <v>137</v>
      </c>
      <c r="O1166" s="26">
        <v>478</v>
      </c>
      <c r="P1166" s="26" t="s">
        <v>293</v>
      </c>
    </row>
    <row r="1167" spans="1:16" x14ac:dyDescent="0.3">
      <c r="A1167" s="24">
        <v>38</v>
      </c>
      <c r="B1167" s="102">
        <v>46086</v>
      </c>
      <c r="C1167" s="25" t="s">
        <v>356</v>
      </c>
      <c r="D1167" s="103" t="s">
        <v>348</v>
      </c>
      <c r="E1167" s="26">
        <v>138</v>
      </c>
      <c r="F1167" s="26" t="s">
        <v>293</v>
      </c>
      <c r="K1167" s="24">
        <v>38</v>
      </c>
      <c r="L1167" s="102">
        <v>46086</v>
      </c>
      <c r="M1167" s="25" t="s">
        <v>357</v>
      </c>
      <c r="N1167" s="103" t="s">
        <v>348</v>
      </c>
      <c r="O1167" s="26">
        <v>430</v>
      </c>
      <c r="P1167" s="26" t="s">
        <v>293</v>
      </c>
    </row>
    <row r="1168" spans="1:16" x14ac:dyDescent="0.3">
      <c r="A1168" s="24">
        <v>38</v>
      </c>
      <c r="B1168" s="102">
        <v>46086</v>
      </c>
      <c r="C1168" s="25" t="s">
        <v>356</v>
      </c>
      <c r="D1168" s="103" t="s">
        <v>125</v>
      </c>
      <c r="E1168" s="26">
        <v>113</v>
      </c>
      <c r="F1168" s="26" t="s">
        <v>293</v>
      </c>
      <c r="K1168" s="24">
        <v>38</v>
      </c>
      <c r="L1168" s="102">
        <v>46086</v>
      </c>
      <c r="M1168" s="25" t="s">
        <v>357</v>
      </c>
      <c r="N1168" s="103" t="s">
        <v>125</v>
      </c>
      <c r="O1168" s="26">
        <v>418</v>
      </c>
      <c r="P1168" s="26" t="s">
        <v>293</v>
      </c>
    </row>
    <row r="1169" spans="1:16" x14ac:dyDescent="0.3">
      <c r="A1169" s="24">
        <v>38</v>
      </c>
      <c r="B1169" s="102">
        <v>46086</v>
      </c>
      <c r="C1169" s="25" t="s">
        <v>356</v>
      </c>
      <c r="D1169" s="103" t="s">
        <v>126</v>
      </c>
      <c r="E1169" s="26">
        <v>79</v>
      </c>
      <c r="F1169" s="26" t="s">
        <v>293</v>
      </c>
      <c r="K1169" s="24">
        <v>38</v>
      </c>
      <c r="L1169" s="102">
        <v>46086</v>
      </c>
      <c r="M1169" s="25" t="s">
        <v>357</v>
      </c>
      <c r="N1169" s="103" t="s">
        <v>126</v>
      </c>
      <c r="O1169" s="26">
        <v>154</v>
      </c>
      <c r="P1169" s="26" t="s">
        <v>293</v>
      </c>
    </row>
    <row r="1170" spans="1:16" x14ac:dyDescent="0.3">
      <c r="A1170" s="24">
        <v>38</v>
      </c>
      <c r="B1170" s="102">
        <v>46086</v>
      </c>
      <c r="C1170" s="25" t="s">
        <v>356</v>
      </c>
      <c r="D1170" s="103" t="s">
        <v>349</v>
      </c>
      <c r="E1170" s="26">
        <v>156</v>
      </c>
      <c r="F1170" s="26" t="s">
        <v>293</v>
      </c>
      <c r="K1170" s="24">
        <v>38</v>
      </c>
      <c r="L1170" s="102">
        <v>46086</v>
      </c>
      <c r="M1170" s="25" t="s">
        <v>357</v>
      </c>
      <c r="N1170" s="103" t="s">
        <v>349</v>
      </c>
      <c r="O1170" s="26">
        <v>383</v>
      </c>
      <c r="P1170" s="26" t="s">
        <v>293</v>
      </c>
    </row>
    <row r="1171" spans="1:16" x14ac:dyDescent="0.3">
      <c r="A1171" s="24">
        <v>38</v>
      </c>
      <c r="B1171" s="102">
        <v>46086</v>
      </c>
      <c r="C1171" s="25" t="s">
        <v>356</v>
      </c>
      <c r="D1171" s="103" t="s">
        <v>350</v>
      </c>
      <c r="E1171" s="26">
        <v>60</v>
      </c>
      <c r="F1171" s="26" t="s">
        <v>293</v>
      </c>
      <c r="K1171" s="24">
        <v>38</v>
      </c>
      <c r="L1171" s="102">
        <v>46086</v>
      </c>
      <c r="M1171" s="25" t="s">
        <v>357</v>
      </c>
      <c r="N1171" s="103" t="s">
        <v>350</v>
      </c>
      <c r="O1171" s="26">
        <v>89</v>
      </c>
      <c r="P1171" s="26" t="s">
        <v>293</v>
      </c>
    </row>
    <row r="1172" spans="1:16" x14ac:dyDescent="0.3">
      <c r="A1172" s="24">
        <v>38</v>
      </c>
      <c r="B1172" s="102">
        <v>46086</v>
      </c>
      <c r="C1172" s="25" t="s">
        <v>356</v>
      </c>
      <c r="D1172" s="103" t="s">
        <v>122</v>
      </c>
      <c r="E1172" s="26">
        <v>46</v>
      </c>
      <c r="F1172" s="26" t="s">
        <v>293</v>
      </c>
      <c r="K1172" s="24">
        <v>38</v>
      </c>
      <c r="L1172" s="102">
        <v>46086</v>
      </c>
      <c r="M1172" s="25" t="s">
        <v>357</v>
      </c>
      <c r="N1172" s="103" t="s">
        <v>122</v>
      </c>
      <c r="O1172" s="26">
        <v>217</v>
      </c>
      <c r="P1172" s="26" t="s">
        <v>293</v>
      </c>
    </row>
    <row r="1173" spans="1:16" x14ac:dyDescent="0.3">
      <c r="A1173" s="24">
        <v>38</v>
      </c>
      <c r="B1173" s="102">
        <v>46086</v>
      </c>
      <c r="C1173" s="25" t="s">
        <v>356</v>
      </c>
      <c r="D1173" s="103" t="s">
        <v>124</v>
      </c>
      <c r="E1173" s="26">
        <v>31</v>
      </c>
      <c r="F1173" s="26" t="s">
        <v>293</v>
      </c>
      <c r="K1173" s="24">
        <v>38</v>
      </c>
      <c r="L1173" s="102">
        <v>46086</v>
      </c>
      <c r="M1173" s="25" t="s">
        <v>357</v>
      </c>
      <c r="N1173" s="103" t="s">
        <v>124</v>
      </c>
      <c r="O1173" s="26">
        <v>106</v>
      </c>
      <c r="P1173" s="26" t="s">
        <v>293</v>
      </c>
    </row>
    <row r="1174" spans="1:16" x14ac:dyDescent="0.3">
      <c r="A1174" s="24">
        <v>38</v>
      </c>
      <c r="B1174" s="102">
        <v>46086</v>
      </c>
      <c r="C1174" s="25" t="s">
        <v>356</v>
      </c>
      <c r="D1174" s="103" t="s">
        <v>351</v>
      </c>
      <c r="E1174" s="26">
        <v>0.99</v>
      </c>
      <c r="F1174" s="26" t="s">
        <v>293</v>
      </c>
      <c r="K1174" s="24">
        <v>38</v>
      </c>
      <c r="L1174" s="102">
        <v>46086</v>
      </c>
      <c r="M1174" s="25" t="s">
        <v>357</v>
      </c>
      <c r="N1174" s="103" t="s">
        <v>351</v>
      </c>
      <c r="O1174" s="26">
        <v>3.53</v>
      </c>
      <c r="P1174" s="26" t="s">
        <v>293</v>
      </c>
    </row>
    <row r="1175" spans="1:16" x14ac:dyDescent="0.3">
      <c r="A1175" s="24">
        <v>38</v>
      </c>
      <c r="B1175" s="102">
        <v>46086</v>
      </c>
      <c r="C1175" s="25" t="s">
        <v>356</v>
      </c>
      <c r="D1175" s="103" t="s">
        <v>353</v>
      </c>
      <c r="E1175" s="26">
        <v>26.1</v>
      </c>
      <c r="F1175" s="26" t="s">
        <v>293</v>
      </c>
      <c r="K1175" s="24">
        <v>38</v>
      </c>
      <c r="L1175" s="102">
        <v>46086</v>
      </c>
      <c r="M1175" s="25" t="s">
        <v>357</v>
      </c>
      <c r="N1175" s="103" t="s">
        <v>353</v>
      </c>
      <c r="O1175" s="26">
        <v>19.3</v>
      </c>
      <c r="P1175" s="26" t="s">
        <v>293</v>
      </c>
    </row>
    <row r="1176" spans="1:16" x14ac:dyDescent="0.3">
      <c r="A1176" s="24">
        <v>38</v>
      </c>
      <c r="B1176" s="102">
        <v>46086</v>
      </c>
      <c r="C1176" s="25" t="s">
        <v>356</v>
      </c>
      <c r="D1176" s="103" t="s">
        <v>133</v>
      </c>
      <c r="E1176" s="26">
        <v>143</v>
      </c>
      <c r="F1176" s="26" t="s">
        <v>293</v>
      </c>
      <c r="K1176" s="24">
        <v>38</v>
      </c>
      <c r="L1176" s="102">
        <v>46086</v>
      </c>
      <c r="M1176" s="25" t="s">
        <v>357</v>
      </c>
      <c r="N1176" s="103" t="s">
        <v>133</v>
      </c>
      <c r="O1176" s="26">
        <v>128</v>
      </c>
      <c r="P1176" s="26" t="s">
        <v>293</v>
      </c>
    </row>
    <row r="1177" spans="1:16" x14ac:dyDescent="0.3">
      <c r="A1177" s="24">
        <v>38</v>
      </c>
      <c r="B1177" s="102">
        <v>46086</v>
      </c>
      <c r="C1177" s="25" t="s">
        <v>356</v>
      </c>
      <c r="D1177" s="103" t="s">
        <v>135</v>
      </c>
      <c r="E1177" s="26">
        <v>3.7</v>
      </c>
      <c r="F1177" s="26" t="s">
        <v>293</v>
      </c>
      <c r="K1177" s="24">
        <v>38</v>
      </c>
      <c r="L1177" s="102">
        <v>46086</v>
      </c>
      <c r="M1177" s="25" t="s">
        <v>357</v>
      </c>
      <c r="N1177" s="103" t="s">
        <v>135</v>
      </c>
      <c r="O1177" s="26">
        <v>6.6</v>
      </c>
      <c r="P1177" s="26" t="s">
        <v>293</v>
      </c>
    </row>
    <row r="1178" spans="1:16" x14ac:dyDescent="0.3">
      <c r="A1178" s="24">
        <v>38</v>
      </c>
      <c r="B1178" s="102">
        <v>46086</v>
      </c>
      <c r="C1178" s="25" t="s">
        <v>356</v>
      </c>
      <c r="D1178" s="103" t="s">
        <v>136</v>
      </c>
      <c r="E1178" s="26">
        <v>117</v>
      </c>
      <c r="F1178" s="26" t="s">
        <v>293</v>
      </c>
      <c r="K1178" s="24">
        <v>38</v>
      </c>
      <c r="L1178" s="102">
        <v>46086</v>
      </c>
      <c r="M1178" s="25" t="s">
        <v>357</v>
      </c>
      <c r="N1178" s="103" t="s">
        <v>136</v>
      </c>
      <c r="O1178" s="26">
        <v>94</v>
      </c>
      <c r="P1178" s="26" t="s">
        <v>293</v>
      </c>
    </row>
    <row r="1179" spans="1:16" x14ac:dyDescent="0.3">
      <c r="A1179" s="24">
        <v>39</v>
      </c>
      <c r="B1179" s="102">
        <v>46087</v>
      </c>
      <c r="C1179" s="25" t="s">
        <v>356</v>
      </c>
      <c r="D1179" s="103" t="s">
        <v>339</v>
      </c>
      <c r="E1179" s="26">
        <v>4.62</v>
      </c>
      <c r="F1179" s="26" t="s">
        <v>293</v>
      </c>
      <c r="K1179" s="24">
        <v>39</v>
      </c>
      <c r="L1179" s="102">
        <v>46087</v>
      </c>
      <c r="M1179" s="25" t="s">
        <v>357</v>
      </c>
      <c r="N1179" s="103" t="s">
        <v>339</v>
      </c>
      <c r="O1179" s="26">
        <v>1.1599999999999999</v>
      </c>
      <c r="P1179" s="26" t="s">
        <v>293</v>
      </c>
    </row>
    <row r="1180" spans="1:16" x14ac:dyDescent="0.3">
      <c r="A1180" s="24">
        <v>39</v>
      </c>
      <c r="B1180" s="102">
        <v>46087</v>
      </c>
      <c r="C1180" s="25" t="s">
        <v>356</v>
      </c>
      <c r="D1180" s="103" t="s">
        <v>118</v>
      </c>
      <c r="E1180" s="26">
        <v>4.5999999999999996</v>
      </c>
      <c r="F1180" s="26" t="s">
        <v>293</v>
      </c>
      <c r="K1180" s="24">
        <v>39</v>
      </c>
      <c r="L1180" s="102">
        <v>46087</v>
      </c>
      <c r="M1180" s="25" t="s">
        <v>357</v>
      </c>
      <c r="N1180" s="103" t="s">
        <v>118</v>
      </c>
      <c r="O1180" s="26">
        <v>9.4</v>
      </c>
      <c r="P1180" s="26" t="s">
        <v>293</v>
      </c>
    </row>
    <row r="1181" spans="1:16" x14ac:dyDescent="0.3">
      <c r="A1181" s="24">
        <v>39</v>
      </c>
      <c r="B1181" s="102">
        <v>46087</v>
      </c>
      <c r="C1181" s="25" t="s">
        <v>356</v>
      </c>
      <c r="D1181" s="103" t="s">
        <v>130</v>
      </c>
      <c r="E1181" s="26">
        <v>3.77</v>
      </c>
      <c r="F1181" s="26" t="s">
        <v>293</v>
      </c>
      <c r="K1181" s="24">
        <v>39</v>
      </c>
      <c r="L1181" s="102">
        <v>46087</v>
      </c>
      <c r="M1181" s="25" t="s">
        <v>357</v>
      </c>
      <c r="N1181" s="103" t="s">
        <v>130</v>
      </c>
      <c r="O1181" s="26">
        <v>2.36</v>
      </c>
      <c r="P1181" s="26" t="s">
        <v>293</v>
      </c>
    </row>
    <row r="1182" spans="1:16" x14ac:dyDescent="0.3">
      <c r="A1182" s="24">
        <v>39</v>
      </c>
      <c r="B1182" s="102">
        <v>46087</v>
      </c>
      <c r="C1182" s="25" t="s">
        <v>356</v>
      </c>
      <c r="D1182" s="103" t="s">
        <v>341</v>
      </c>
      <c r="E1182" s="26">
        <v>0.27</v>
      </c>
      <c r="F1182" s="26" t="s">
        <v>293</v>
      </c>
      <c r="K1182" s="24">
        <v>39</v>
      </c>
      <c r="L1182" s="102">
        <v>46087</v>
      </c>
      <c r="M1182" s="25" t="s">
        <v>357</v>
      </c>
      <c r="N1182" s="103" t="s">
        <v>341</v>
      </c>
      <c r="O1182" s="26">
        <v>1.08</v>
      </c>
      <c r="P1182" s="26" t="s">
        <v>293</v>
      </c>
    </row>
    <row r="1183" spans="1:16" x14ac:dyDescent="0.3">
      <c r="A1183" s="24">
        <v>39</v>
      </c>
      <c r="B1183" s="102">
        <v>46087</v>
      </c>
      <c r="C1183" s="25" t="s">
        <v>356</v>
      </c>
      <c r="D1183" s="103" t="s">
        <v>127</v>
      </c>
      <c r="E1183" s="26">
        <v>1.1599999999999999</v>
      </c>
      <c r="F1183" s="26" t="s">
        <v>293</v>
      </c>
      <c r="K1183" s="24">
        <v>39</v>
      </c>
      <c r="L1183" s="102">
        <v>46087</v>
      </c>
      <c r="M1183" s="25" t="s">
        <v>357</v>
      </c>
      <c r="N1183" s="103" t="s">
        <v>127</v>
      </c>
      <c r="O1183" s="26">
        <v>4.5</v>
      </c>
      <c r="P1183" s="26" t="s">
        <v>293</v>
      </c>
    </row>
    <row r="1184" spans="1:16" x14ac:dyDescent="0.3">
      <c r="A1184" s="24">
        <v>39</v>
      </c>
      <c r="B1184" s="102">
        <v>46087</v>
      </c>
      <c r="C1184" s="25" t="s">
        <v>356</v>
      </c>
      <c r="D1184" s="103" t="s">
        <v>131</v>
      </c>
      <c r="E1184" s="26">
        <v>8.6</v>
      </c>
      <c r="F1184" s="26" t="s">
        <v>293</v>
      </c>
      <c r="K1184" s="24">
        <v>39</v>
      </c>
      <c r="L1184" s="102">
        <v>46087</v>
      </c>
      <c r="M1184" s="25" t="s">
        <v>357</v>
      </c>
      <c r="N1184" s="103" t="s">
        <v>131</v>
      </c>
      <c r="O1184" s="26">
        <v>11.8</v>
      </c>
      <c r="P1184" s="26" t="s">
        <v>293</v>
      </c>
    </row>
    <row r="1185" spans="1:16" x14ac:dyDescent="0.3">
      <c r="A1185" s="24">
        <v>39</v>
      </c>
      <c r="B1185" s="102">
        <v>46087</v>
      </c>
      <c r="C1185" s="25" t="s">
        <v>356</v>
      </c>
      <c r="D1185" s="103" t="s">
        <v>342</v>
      </c>
      <c r="E1185" s="26">
        <v>333</v>
      </c>
      <c r="F1185" s="26" t="s">
        <v>293</v>
      </c>
      <c r="K1185" s="24">
        <v>39</v>
      </c>
      <c r="L1185" s="102">
        <v>46087</v>
      </c>
      <c r="M1185" s="25" t="s">
        <v>357</v>
      </c>
      <c r="N1185" s="103" t="s">
        <v>342</v>
      </c>
      <c r="O1185" s="26">
        <v>196</v>
      </c>
      <c r="P1185" s="26" t="s">
        <v>293</v>
      </c>
    </row>
    <row r="1186" spans="1:16" x14ac:dyDescent="0.3">
      <c r="A1186" s="24">
        <v>39</v>
      </c>
      <c r="B1186" s="102">
        <v>46087</v>
      </c>
      <c r="C1186" s="25" t="s">
        <v>356</v>
      </c>
      <c r="D1186" s="103" t="s">
        <v>119</v>
      </c>
      <c r="E1186" s="26">
        <v>227</v>
      </c>
      <c r="F1186" s="26" t="s">
        <v>293</v>
      </c>
      <c r="K1186" s="24">
        <v>39</v>
      </c>
      <c r="L1186" s="102">
        <v>46087</v>
      </c>
      <c r="M1186" s="25" t="s">
        <v>357</v>
      </c>
      <c r="N1186" s="103" t="s">
        <v>119</v>
      </c>
      <c r="O1186" s="26">
        <v>83</v>
      </c>
      <c r="P1186" s="26" t="s">
        <v>293</v>
      </c>
    </row>
    <row r="1187" spans="1:16" x14ac:dyDescent="0.3">
      <c r="A1187" s="24">
        <v>39</v>
      </c>
      <c r="B1187" s="102">
        <v>46087</v>
      </c>
      <c r="C1187" s="25" t="s">
        <v>356</v>
      </c>
      <c r="D1187" s="103" t="s">
        <v>120</v>
      </c>
      <c r="E1187" s="26">
        <v>76</v>
      </c>
      <c r="F1187" s="26" t="s">
        <v>293</v>
      </c>
      <c r="K1187" s="24">
        <v>39</v>
      </c>
      <c r="L1187" s="102">
        <v>46087</v>
      </c>
      <c r="M1187" s="25" t="s">
        <v>357</v>
      </c>
      <c r="N1187" s="103" t="s">
        <v>120</v>
      </c>
      <c r="O1187" s="26">
        <v>27</v>
      </c>
      <c r="P1187" s="26" t="s">
        <v>293</v>
      </c>
    </row>
    <row r="1188" spans="1:16" x14ac:dyDescent="0.3">
      <c r="A1188" s="24">
        <v>39</v>
      </c>
      <c r="B1188" s="102">
        <v>46087</v>
      </c>
      <c r="C1188" s="25" t="s">
        <v>356</v>
      </c>
      <c r="D1188" s="103" t="s">
        <v>117</v>
      </c>
      <c r="E1188" s="26">
        <v>2.64</v>
      </c>
      <c r="F1188" s="26" t="s">
        <v>293</v>
      </c>
      <c r="K1188" s="24">
        <v>39</v>
      </c>
      <c r="L1188" s="102">
        <v>46087</v>
      </c>
      <c r="M1188" s="25" t="s">
        <v>357</v>
      </c>
      <c r="N1188" s="103" t="s">
        <v>117</v>
      </c>
      <c r="O1188" s="26">
        <v>6.2</v>
      </c>
      <c r="P1188" s="26" t="s">
        <v>293</v>
      </c>
    </row>
    <row r="1189" spans="1:16" x14ac:dyDescent="0.3">
      <c r="A1189" s="24">
        <v>39</v>
      </c>
      <c r="B1189" s="102">
        <v>46087</v>
      </c>
      <c r="C1189" s="25" t="s">
        <v>356</v>
      </c>
      <c r="D1189" s="103" t="s">
        <v>344</v>
      </c>
      <c r="E1189" s="26">
        <v>235</v>
      </c>
      <c r="F1189" s="26" t="s">
        <v>293</v>
      </c>
      <c r="K1189" s="24">
        <v>39</v>
      </c>
      <c r="L1189" s="102">
        <v>46087</v>
      </c>
      <c r="M1189" s="25" t="s">
        <v>357</v>
      </c>
      <c r="N1189" s="103" t="s">
        <v>344</v>
      </c>
      <c r="O1189" s="26">
        <v>69</v>
      </c>
      <c r="P1189" s="26" t="s">
        <v>293</v>
      </c>
    </row>
    <row r="1190" spans="1:16" x14ac:dyDescent="0.3">
      <c r="A1190" s="24">
        <v>39</v>
      </c>
      <c r="B1190" s="102">
        <v>46087</v>
      </c>
      <c r="C1190" s="25" t="s">
        <v>356</v>
      </c>
      <c r="D1190" s="103" t="s">
        <v>132</v>
      </c>
      <c r="E1190" s="26">
        <v>3.64</v>
      </c>
      <c r="F1190" s="26" t="s">
        <v>293</v>
      </c>
      <c r="K1190" s="24">
        <v>39</v>
      </c>
      <c r="L1190" s="102">
        <v>46087</v>
      </c>
      <c r="M1190" s="25" t="s">
        <v>357</v>
      </c>
      <c r="N1190" s="103" t="s">
        <v>132</v>
      </c>
      <c r="O1190" s="26">
        <v>7.16</v>
      </c>
      <c r="P1190" s="26" t="s">
        <v>293</v>
      </c>
    </row>
    <row r="1191" spans="1:16" x14ac:dyDescent="0.3">
      <c r="A1191" s="24">
        <v>39</v>
      </c>
      <c r="B1191" s="102">
        <v>46087</v>
      </c>
      <c r="C1191" s="25" t="s">
        <v>356</v>
      </c>
      <c r="D1191" s="103" t="s">
        <v>111</v>
      </c>
      <c r="E1191" s="26">
        <v>88</v>
      </c>
      <c r="F1191" s="26" t="s">
        <v>293</v>
      </c>
      <c r="K1191" s="24">
        <v>39</v>
      </c>
      <c r="L1191" s="102">
        <v>46087</v>
      </c>
      <c r="M1191" s="25" t="s">
        <v>357</v>
      </c>
      <c r="N1191" s="103" t="s">
        <v>111</v>
      </c>
      <c r="O1191" s="26">
        <v>283</v>
      </c>
      <c r="P1191" s="26" t="s">
        <v>293</v>
      </c>
    </row>
    <row r="1192" spans="1:16" x14ac:dyDescent="0.3">
      <c r="A1192" s="24">
        <v>39</v>
      </c>
      <c r="B1192" s="102">
        <v>46087</v>
      </c>
      <c r="C1192" s="25" t="s">
        <v>356</v>
      </c>
      <c r="D1192" s="103" t="s">
        <v>345</v>
      </c>
      <c r="E1192" s="26">
        <v>5.12</v>
      </c>
      <c r="F1192" s="26" t="s">
        <v>293</v>
      </c>
      <c r="K1192" s="24">
        <v>39</v>
      </c>
      <c r="L1192" s="102">
        <v>46087</v>
      </c>
      <c r="M1192" s="25" t="s">
        <v>357</v>
      </c>
      <c r="N1192" s="103" t="s">
        <v>345</v>
      </c>
      <c r="O1192" s="26">
        <v>10.119999999999999</v>
      </c>
      <c r="P1192" s="26" t="s">
        <v>293</v>
      </c>
    </row>
    <row r="1193" spans="1:16" x14ac:dyDescent="0.3">
      <c r="A1193" s="24">
        <v>39</v>
      </c>
      <c r="B1193" s="102">
        <v>46087</v>
      </c>
      <c r="C1193" s="25" t="s">
        <v>356</v>
      </c>
      <c r="D1193" s="103" t="s">
        <v>347</v>
      </c>
      <c r="E1193" s="26">
        <v>2.04</v>
      </c>
      <c r="F1193" s="26" t="s">
        <v>293</v>
      </c>
      <c r="K1193" s="24">
        <v>39</v>
      </c>
      <c r="L1193" s="102">
        <v>46087</v>
      </c>
      <c r="M1193" s="25" t="s">
        <v>357</v>
      </c>
      <c r="N1193" s="103" t="s">
        <v>347</v>
      </c>
      <c r="O1193" s="26">
        <v>4.45</v>
      </c>
      <c r="P1193" s="26" t="s">
        <v>293</v>
      </c>
    </row>
    <row r="1194" spans="1:16" x14ac:dyDescent="0.3">
      <c r="A1194" s="24">
        <v>39</v>
      </c>
      <c r="B1194" s="102">
        <v>46087</v>
      </c>
      <c r="C1194" s="25" t="s">
        <v>356</v>
      </c>
      <c r="D1194" s="103" t="s">
        <v>128</v>
      </c>
      <c r="E1194" s="26">
        <v>6.9</v>
      </c>
      <c r="F1194" s="26" t="s">
        <v>293</v>
      </c>
      <c r="K1194" s="24">
        <v>39</v>
      </c>
      <c r="L1194" s="102">
        <v>46087</v>
      </c>
      <c r="M1194" s="25" t="s">
        <v>357</v>
      </c>
      <c r="N1194" s="103" t="s">
        <v>128</v>
      </c>
      <c r="O1194" s="26">
        <v>4.3</v>
      </c>
      <c r="P1194" s="26" t="s">
        <v>293</v>
      </c>
    </row>
    <row r="1195" spans="1:16" x14ac:dyDescent="0.3">
      <c r="A1195" s="24">
        <v>39</v>
      </c>
      <c r="B1195" s="102">
        <v>46087</v>
      </c>
      <c r="C1195" s="25" t="s">
        <v>356</v>
      </c>
      <c r="D1195" s="103" t="s">
        <v>121</v>
      </c>
      <c r="E1195" s="26">
        <v>158</v>
      </c>
      <c r="F1195" s="26" t="s">
        <v>293</v>
      </c>
      <c r="K1195" s="24">
        <v>39</v>
      </c>
      <c r="L1195" s="102">
        <v>46087</v>
      </c>
      <c r="M1195" s="25" t="s">
        <v>357</v>
      </c>
      <c r="N1195" s="103" t="s">
        <v>121</v>
      </c>
      <c r="O1195" s="26">
        <v>77</v>
      </c>
      <c r="P1195" s="26" t="s">
        <v>293</v>
      </c>
    </row>
    <row r="1196" spans="1:16" x14ac:dyDescent="0.3">
      <c r="A1196" s="24">
        <v>39</v>
      </c>
      <c r="B1196" s="102">
        <v>46087</v>
      </c>
      <c r="C1196" s="25" t="s">
        <v>356</v>
      </c>
      <c r="D1196" s="103" t="s">
        <v>115</v>
      </c>
      <c r="E1196" s="26">
        <v>33</v>
      </c>
      <c r="F1196" s="26" t="s">
        <v>293</v>
      </c>
      <c r="K1196" s="24">
        <v>39</v>
      </c>
      <c r="L1196" s="102">
        <v>46087</v>
      </c>
      <c r="M1196" s="25" t="s">
        <v>357</v>
      </c>
      <c r="N1196" s="103" t="s">
        <v>115</v>
      </c>
      <c r="O1196" s="26">
        <v>97</v>
      </c>
      <c r="P1196" s="26" t="s">
        <v>293</v>
      </c>
    </row>
    <row r="1197" spans="1:16" x14ac:dyDescent="0.3">
      <c r="A1197" s="24">
        <v>39</v>
      </c>
      <c r="B1197" s="102">
        <v>46087</v>
      </c>
      <c r="C1197" s="25" t="s">
        <v>356</v>
      </c>
      <c r="D1197" s="103" t="s">
        <v>137</v>
      </c>
      <c r="E1197" s="26">
        <v>73</v>
      </c>
      <c r="F1197" s="26" t="s">
        <v>293</v>
      </c>
      <c r="K1197" s="24">
        <v>39</v>
      </c>
      <c r="L1197" s="102">
        <v>46087</v>
      </c>
      <c r="M1197" s="25" t="s">
        <v>357</v>
      </c>
      <c r="N1197" s="103" t="s">
        <v>137</v>
      </c>
      <c r="O1197" s="26">
        <v>481</v>
      </c>
      <c r="P1197" s="26" t="s">
        <v>293</v>
      </c>
    </row>
    <row r="1198" spans="1:16" x14ac:dyDescent="0.3">
      <c r="A1198" s="24">
        <v>39</v>
      </c>
      <c r="B1198" s="102">
        <v>46087</v>
      </c>
      <c r="C1198" s="25" t="s">
        <v>356</v>
      </c>
      <c r="D1198" s="103" t="s">
        <v>348</v>
      </c>
      <c r="E1198" s="26">
        <v>136</v>
      </c>
      <c r="F1198" s="26" t="s">
        <v>293</v>
      </c>
      <c r="K1198" s="24">
        <v>39</v>
      </c>
      <c r="L1198" s="102">
        <v>46087</v>
      </c>
      <c r="M1198" s="25" t="s">
        <v>357</v>
      </c>
      <c r="N1198" s="103" t="s">
        <v>348</v>
      </c>
      <c r="O1198" s="26">
        <v>425</v>
      </c>
      <c r="P1198" s="26" t="s">
        <v>293</v>
      </c>
    </row>
    <row r="1199" spans="1:16" x14ac:dyDescent="0.3">
      <c r="A1199" s="24">
        <v>39</v>
      </c>
      <c r="B1199" s="102">
        <v>46087</v>
      </c>
      <c r="C1199" s="25" t="s">
        <v>356</v>
      </c>
      <c r="D1199" s="103" t="s">
        <v>125</v>
      </c>
      <c r="E1199" s="26">
        <v>113</v>
      </c>
      <c r="F1199" s="26" t="s">
        <v>293</v>
      </c>
      <c r="K1199" s="24">
        <v>39</v>
      </c>
      <c r="L1199" s="102">
        <v>46087</v>
      </c>
      <c r="M1199" s="25" t="s">
        <v>357</v>
      </c>
      <c r="N1199" s="103" t="s">
        <v>125</v>
      </c>
      <c r="O1199" s="26">
        <v>418</v>
      </c>
      <c r="P1199" s="26" t="s">
        <v>293</v>
      </c>
    </row>
    <row r="1200" spans="1:16" x14ac:dyDescent="0.3">
      <c r="A1200" s="24">
        <v>39</v>
      </c>
      <c r="B1200" s="102">
        <v>46087</v>
      </c>
      <c r="C1200" s="25" t="s">
        <v>356</v>
      </c>
      <c r="D1200" s="103" t="s">
        <v>126</v>
      </c>
      <c r="E1200" s="26">
        <v>79</v>
      </c>
      <c r="F1200" s="26" t="s">
        <v>293</v>
      </c>
      <c r="K1200" s="24">
        <v>39</v>
      </c>
      <c r="L1200" s="102">
        <v>46087</v>
      </c>
      <c r="M1200" s="25" t="s">
        <v>357</v>
      </c>
      <c r="N1200" s="103" t="s">
        <v>126</v>
      </c>
      <c r="O1200" s="26">
        <v>154</v>
      </c>
      <c r="P1200" s="26" t="s">
        <v>293</v>
      </c>
    </row>
    <row r="1201" spans="1:16" x14ac:dyDescent="0.3">
      <c r="A1201" s="24">
        <v>39</v>
      </c>
      <c r="B1201" s="102">
        <v>46087</v>
      </c>
      <c r="C1201" s="25" t="s">
        <v>356</v>
      </c>
      <c r="D1201" s="103" t="s">
        <v>349</v>
      </c>
      <c r="E1201" s="26">
        <v>151</v>
      </c>
      <c r="F1201" s="26" t="s">
        <v>293</v>
      </c>
      <c r="K1201" s="24">
        <v>39</v>
      </c>
      <c r="L1201" s="102">
        <v>46087</v>
      </c>
      <c r="M1201" s="25" t="s">
        <v>357</v>
      </c>
      <c r="N1201" s="103" t="s">
        <v>349</v>
      </c>
      <c r="O1201" s="26">
        <v>370</v>
      </c>
      <c r="P1201" s="26" t="s">
        <v>293</v>
      </c>
    </row>
    <row r="1202" spans="1:16" x14ac:dyDescent="0.3">
      <c r="A1202" s="24">
        <v>39</v>
      </c>
      <c r="B1202" s="102">
        <v>46087</v>
      </c>
      <c r="C1202" s="25" t="s">
        <v>356</v>
      </c>
      <c r="D1202" s="103" t="s">
        <v>350</v>
      </c>
      <c r="E1202" s="26">
        <v>60</v>
      </c>
      <c r="F1202" s="26" t="s">
        <v>293</v>
      </c>
      <c r="K1202" s="24">
        <v>39</v>
      </c>
      <c r="L1202" s="102">
        <v>46087</v>
      </c>
      <c r="M1202" s="25" t="s">
        <v>357</v>
      </c>
      <c r="N1202" s="103" t="s">
        <v>350</v>
      </c>
      <c r="O1202" s="26">
        <v>87</v>
      </c>
      <c r="P1202" s="26" t="s">
        <v>293</v>
      </c>
    </row>
    <row r="1203" spans="1:16" x14ac:dyDescent="0.3">
      <c r="A1203" s="24">
        <v>39</v>
      </c>
      <c r="B1203" s="102">
        <v>46087</v>
      </c>
      <c r="C1203" s="25" t="s">
        <v>356</v>
      </c>
      <c r="D1203" s="103" t="s">
        <v>122</v>
      </c>
      <c r="E1203" s="26">
        <v>47</v>
      </c>
      <c r="F1203" s="26" t="s">
        <v>293</v>
      </c>
      <c r="K1203" s="24">
        <v>39</v>
      </c>
      <c r="L1203" s="102">
        <v>46087</v>
      </c>
      <c r="M1203" s="25" t="s">
        <v>357</v>
      </c>
      <c r="N1203" s="103" t="s">
        <v>122</v>
      </c>
      <c r="O1203" s="26">
        <v>220</v>
      </c>
      <c r="P1203" s="26" t="s">
        <v>293</v>
      </c>
    </row>
    <row r="1204" spans="1:16" x14ac:dyDescent="0.3">
      <c r="A1204" s="24">
        <v>39</v>
      </c>
      <c r="B1204" s="102">
        <v>46087</v>
      </c>
      <c r="C1204" s="25" t="s">
        <v>356</v>
      </c>
      <c r="D1204" s="103" t="s">
        <v>124</v>
      </c>
      <c r="E1204" s="26">
        <v>30</v>
      </c>
      <c r="F1204" s="26" t="s">
        <v>293</v>
      </c>
      <c r="K1204" s="24">
        <v>39</v>
      </c>
      <c r="L1204" s="102">
        <v>46087</v>
      </c>
      <c r="M1204" s="25" t="s">
        <v>357</v>
      </c>
      <c r="N1204" s="103" t="s">
        <v>124</v>
      </c>
      <c r="O1204" s="26">
        <v>104</v>
      </c>
      <c r="P1204" s="26" t="s">
        <v>293</v>
      </c>
    </row>
    <row r="1205" spans="1:16" x14ac:dyDescent="0.3">
      <c r="A1205" s="24">
        <v>39</v>
      </c>
      <c r="B1205" s="102">
        <v>46087</v>
      </c>
      <c r="C1205" s="25" t="s">
        <v>356</v>
      </c>
      <c r="D1205" s="103" t="s">
        <v>351</v>
      </c>
      <c r="E1205" s="26">
        <v>0.93</v>
      </c>
      <c r="F1205" s="26" t="s">
        <v>293</v>
      </c>
      <c r="K1205" s="24">
        <v>39</v>
      </c>
      <c r="L1205" s="102">
        <v>46087</v>
      </c>
      <c r="M1205" s="25" t="s">
        <v>357</v>
      </c>
      <c r="N1205" s="103" t="s">
        <v>351</v>
      </c>
      <c r="O1205" s="26">
        <v>3.57</v>
      </c>
      <c r="P1205" s="26" t="s">
        <v>293</v>
      </c>
    </row>
    <row r="1206" spans="1:16" x14ac:dyDescent="0.3">
      <c r="A1206" s="24">
        <v>39</v>
      </c>
      <c r="B1206" s="102">
        <v>46087</v>
      </c>
      <c r="C1206" s="25" t="s">
        <v>356</v>
      </c>
      <c r="D1206" s="103" t="s">
        <v>353</v>
      </c>
      <c r="E1206" s="26">
        <v>33.4</v>
      </c>
      <c r="F1206" s="26" t="s">
        <v>293</v>
      </c>
      <c r="K1206" s="24">
        <v>39</v>
      </c>
      <c r="L1206" s="102">
        <v>46087</v>
      </c>
      <c r="M1206" s="25" t="s">
        <v>357</v>
      </c>
      <c r="N1206" s="103" t="s">
        <v>353</v>
      </c>
      <c r="O1206" s="26">
        <v>19.3</v>
      </c>
      <c r="P1206" s="26" t="s">
        <v>293</v>
      </c>
    </row>
    <row r="1207" spans="1:16" x14ac:dyDescent="0.3">
      <c r="A1207" s="24">
        <v>39</v>
      </c>
      <c r="B1207" s="102">
        <v>46087</v>
      </c>
      <c r="C1207" s="25" t="s">
        <v>356</v>
      </c>
      <c r="D1207" s="103" t="s">
        <v>133</v>
      </c>
      <c r="E1207" s="26">
        <v>146</v>
      </c>
      <c r="F1207" s="26" t="s">
        <v>293</v>
      </c>
      <c r="K1207" s="24">
        <v>39</v>
      </c>
      <c r="L1207" s="102">
        <v>46087</v>
      </c>
      <c r="M1207" s="25" t="s">
        <v>357</v>
      </c>
      <c r="N1207" s="103" t="s">
        <v>133</v>
      </c>
      <c r="O1207" s="26">
        <v>128</v>
      </c>
      <c r="P1207" s="26" t="s">
        <v>293</v>
      </c>
    </row>
    <row r="1208" spans="1:16" x14ac:dyDescent="0.3">
      <c r="A1208" s="24">
        <v>39</v>
      </c>
      <c r="B1208" s="102">
        <v>46087</v>
      </c>
      <c r="C1208" s="25" t="s">
        <v>356</v>
      </c>
      <c r="D1208" s="103" t="s">
        <v>135</v>
      </c>
      <c r="E1208" s="26">
        <v>3.7</v>
      </c>
      <c r="F1208" s="26" t="s">
        <v>293</v>
      </c>
      <c r="K1208" s="24">
        <v>39</v>
      </c>
      <c r="L1208" s="102">
        <v>46087</v>
      </c>
      <c r="M1208" s="25" t="s">
        <v>357</v>
      </c>
      <c r="N1208" s="103" t="s">
        <v>135</v>
      </c>
      <c r="O1208" s="26">
        <v>6.4</v>
      </c>
      <c r="P1208" s="26" t="s">
        <v>293</v>
      </c>
    </row>
    <row r="1209" spans="1:16" x14ac:dyDescent="0.3">
      <c r="A1209" s="24">
        <v>39</v>
      </c>
      <c r="B1209" s="102">
        <v>46087</v>
      </c>
      <c r="C1209" s="25" t="s">
        <v>356</v>
      </c>
      <c r="D1209" s="103" t="s">
        <v>136</v>
      </c>
      <c r="E1209" s="26">
        <v>115</v>
      </c>
      <c r="F1209" s="26" t="s">
        <v>293</v>
      </c>
      <c r="K1209" s="24">
        <v>39</v>
      </c>
      <c r="L1209" s="102">
        <v>46087</v>
      </c>
      <c r="M1209" s="25" t="s">
        <v>357</v>
      </c>
      <c r="N1209" s="103" t="s">
        <v>136</v>
      </c>
      <c r="O1209" s="26">
        <v>95</v>
      </c>
      <c r="P1209" s="26" t="s">
        <v>293</v>
      </c>
    </row>
    <row r="1210" spans="1:16" x14ac:dyDescent="0.3">
      <c r="A1210" s="24">
        <v>40</v>
      </c>
      <c r="B1210" s="102">
        <v>46090.360694444447</v>
      </c>
      <c r="C1210" s="25" t="s">
        <v>356</v>
      </c>
      <c r="D1210" s="103" t="s">
        <v>339</v>
      </c>
      <c r="E1210" s="26">
        <v>4.7</v>
      </c>
      <c r="F1210" s="26" t="s">
        <v>293</v>
      </c>
      <c r="K1210" s="24">
        <v>40</v>
      </c>
      <c r="L1210" s="102">
        <v>46090.360694444447</v>
      </c>
      <c r="M1210" s="25" t="s">
        <v>357</v>
      </c>
      <c r="N1210" s="103" t="s">
        <v>339</v>
      </c>
      <c r="O1210" s="26">
        <v>1.19</v>
      </c>
      <c r="P1210" s="26" t="s">
        <v>293</v>
      </c>
    </row>
    <row r="1211" spans="1:16" x14ac:dyDescent="0.3">
      <c r="A1211" s="24">
        <v>40</v>
      </c>
      <c r="B1211" s="102">
        <v>46090.360694444447</v>
      </c>
      <c r="C1211" s="25" t="s">
        <v>356</v>
      </c>
      <c r="D1211" s="103" t="s">
        <v>118</v>
      </c>
      <c r="E1211" s="26">
        <v>4.5999999999999996</v>
      </c>
      <c r="F1211" s="26" t="s">
        <v>293</v>
      </c>
      <c r="K1211" s="24">
        <v>40</v>
      </c>
      <c r="L1211" s="102">
        <v>46090.360694444447</v>
      </c>
      <c r="M1211" s="25" t="s">
        <v>357</v>
      </c>
      <c r="N1211" s="103" t="s">
        <v>118</v>
      </c>
      <c r="O1211" s="26">
        <v>9.6</v>
      </c>
      <c r="P1211" s="26" t="s">
        <v>293</v>
      </c>
    </row>
    <row r="1212" spans="1:16" x14ac:dyDescent="0.3">
      <c r="A1212" s="24">
        <v>40</v>
      </c>
      <c r="B1212" s="102">
        <v>46090.360694444447</v>
      </c>
      <c r="C1212" s="25" t="s">
        <v>356</v>
      </c>
      <c r="D1212" s="103" t="s">
        <v>130</v>
      </c>
      <c r="E1212" s="26">
        <v>3.78</v>
      </c>
      <c r="F1212" s="26" t="s">
        <v>293</v>
      </c>
      <c r="K1212" s="24">
        <v>40</v>
      </c>
      <c r="L1212" s="102">
        <v>46090.360694444447</v>
      </c>
      <c r="M1212" s="25" t="s">
        <v>357</v>
      </c>
      <c r="N1212" s="103" t="s">
        <v>130</v>
      </c>
      <c r="O1212" s="26">
        <v>2.4</v>
      </c>
      <c r="P1212" s="26" t="s">
        <v>293</v>
      </c>
    </row>
    <row r="1213" spans="1:16" x14ac:dyDescent="0.3">
      <c r="A1213" s="24">
        <v>40</v>
      </c>
      <c r="B1213" s="102">
        <v>46090.360694444447</v>
      </c>
      <c r="C1213" s="25" t="s">
        <v>356</v>
      </c>
      <c r="D1213" s="103" t="s">
        <v>341</v>
      </c>
      <c r="E1213" s="26">
        <v>0.29399999999999998</v>
      </c>
      <c r="F1213" s="26" t="s">
        <v>293</v>
      </c>
      <c r="K1213" s="24">
        <v>40</v>
      </c>
      <c r="L1213" s="102">
        <v>46090.360694444447</v>
      </c>
      <c r="M1213" s="25" t="s">
        <v>357</v>
      </c>
      <c r="N1213" s="103" t="s">
        <v>341</v>
      </c>
      <c r="O1213" s="26">
        <v>1.099</v>
      </c>
      <c r="P1213" s="26" t="s">
        <v>293</v>
      </c>
    </row>
    <row r="1214" spans="1:16" x14ac:dyDescent="0.3">
      <c r="A1214" s="24">
        <v>40</v>
      </c>
      <c r="B1214" s="102">
        <v>46090.360694444447</v>
      </c>
      <c r="C1214" s="25" t="s">
        <v>356</v>
      </c>
      <c r="D1214" s="103" t="s">
        <v>127</v>
      </c>
      <c r="E1214" s="26">
        <v>1.1439999999999999</v>
      </c>
      <c r="F1214" s="26" t="s">
        <v>293</v>
      </c>
      <c r="K1214" s="24">
        <v>40</v>
      </c>
      <c r="L1214" s="102">
        <v>46090.360694444447</v>
      </c>
      <c r="M1214" s="25" t="s">
        <v>357</v>
      </c>
      <c r="N1214" s="103" t="s">
        <v>127</v>
      </c>
      <c r="O1214" s="26">
        <v>4.6660000000000004</v>
      </c>
      <c r="P1214" s="26" t="s">
        <v>293</v>
      </c>
    </row>
    <row r="1215" spans="1:16" x14ac:dyDescent="0.3">
      <c r="A1215" s="24">
        <v>40</v>
      </c>
      <c r="B1215" s="102">
        <v>46090.360694444447</v>
      </c>
      <c r="C1215" s="25" t="s">
        <v>356</v>
      </c>
      <c r="D1215" s="103" t="s">
        <v>131</v>
      </c>
      <c r="E1215" s="26">
        <v>8.6</v>
      </c>
      <c r="F1215" s="26" t="s">
        <v>293</v>
      </c>
      <c r="K1215" s="24">
        <v>40</v>
      </c>
      <c r="L1215" s="102">
        <v>46090.360694444447</v>
      </c>
      <c r="M1215" s="25" t="s">
        <v>357</v>
      </c>
      <c r="N1215" s="103" t="s">
        <v>131</v>
      </c>
      <c r="O1215" s="26">
        <v>11.8</v>
      </c>
      <c r="P1215" s="26" t="s">
        <v>293</v>
      </c>
    </row>
    <row r="1216" spans="1:16" x14ac:dyDescent="0.3">
      <c r="A1216" s="24">
        <v>40</v>
      </c>
      <c r="B1216" s="102">
        <v>46090.360694444447</v>
      </c>
      <c r="C1216" s="25" t="s">
        <v>356</v>
      </c>
      <c r="D1216" s="103" t="s">
        <v>342</v>
      </c>
      <c r="E1216" s="26">
        <v>348</v>
      </c>
      <c r="F1216" s="26" t="s">
        <v>293</v>
      </c>
      <c r="K1216" s="24">
        <v>40</v>
      </c>
      <c r="L1216" s="102">
        <v>46090.360694444447</v>
      </c>
      <c r="M1216" s="25" t="s">
        <v>357</v>
      </c>
      <c r="N1216" s="103" t="s">
        <v>342</v>
      </c>
      <c r="O1216" s="26">
        <v>200</v>
      </c>
      <c r="P1216" s="26" t="s">
        <v>293</v>
      </c>
    </row>
    <row r="1217" spans="1:16" x14ac:dyDescent="0.3">
      <c r="A1217" s="24">
        <v>40</v>
      </c>
      <c r="B1217" s="102">
        <v>46090.360694444447</v>
      </c>
      <c r="C1217" s="25" t="s">
        <v>356</v>
      </c>
      <c r="D1217" s="103" t="s">
        <v>119</v>
      </c>
      <c r="E1217" s="26">
        <v>238</v>
      </c>
      <c r="F1217" s="26" t="s">
        <v>293</v>
      </c>
      <c r="K1217" s="24">
        <v>40</v>
      </c>
      <c r="L1217" s="102">
        <v>46090.360694444447</v>
      </c>
      <c r="M1217" s="25" t="s">
        <v>357</v>
      </c>
      <c r="N1217" s="103" t="s">
        <v>119</v>
      </c>
      <c r="O1217" s="26">
        <v>84</v>
      </c>
      <c r="P1217" s="26" t="s">
        <v>293</v>
      </c>
    </row>
    <row r="1218" spans="1:16" x14ac:dyDescent="0.3">
      <c r="A1218" s="24">
        <v>40</v>
      </c>
      <c r="B1218" s="102">
        <v>46090.360694444447</v>
      </c>
      <c r="C1218" s="25" t="s">
        <v>356</v>
      </c>
      <c r="D1218" s="103" t="s">
        <v>120</v>
      </c>
      <c r="E1218" s="26">
        <v>77</v>
      </c>
      <c r="F1218" s="26" t="s">
        <v>293</v>
      </c>
      <c r="K1218" s="24">
        <v>40</v>
      </c>
      <c r="L1218" s="102">
        <v>46090.360694444447</v>
      </c>
      <c r="M1218" s="25" t="s">
        <v>357</v>
      </c>
      <c r="N1218" s="103" t="s">
        <v>120</v>
      </c>
      <c r="O1218" s="26">
        <v>27</v>
      </c>
      <c r="P1218" s="26" t="s">
        <v>293</v>
      </c>
    </row>
    <row r="1219" spans="1:16" x14ac:dyDescent="0.3">
      <c r="A1219" s="24">
        <v>40</v>
      </c>
      <c r="B1219" s="102">
        <v>46090.360694444447</v>
      </c>
      <c r="C1219" s="25" t="s">
        <v>356</v>
      </c>
      <c r="D1219" s="103" t="s">
        <v>117</v>
      </c>
      <c r="E1219" s="26">
        <v>2.64</v>
      </c>
      <c r="F1219" s="26" t="s">
        <v>293</v>
      </c>
      <c r="K1219" s="24">
        <v>40</v>
      </c>
      <c r="L1219" s="102">
        <v>46090.360694444447</v>
      </c>
      <c r="M1219" s="25" t="s">
        <v>357</v>
      </c>
      <c r="N1219" s="103" t="s">
        <v>117</v>
      </c>
      <c r="O1219" s="26">
        <v>6.33</v>
      </c>
      <c r="P1219" s="26" t="s">
        <v>293</v>
      </c>
    </row>
    <row r="1220" spans="1:16" x14ac:dyDescent="0.3">
      <c r="A1220" s="24">
        <v>40</v>
      </c>
      <c r="B1220" s="102">
        <v>46090.360694444447</v>
      </c>
      <c r="C1220" s="25" t="s">
        <v>356</v>
      </c>
      <c r="D1220" s="103" t="s">
        <v>344</v>
      </c>
      <c r="E1220" s="26">
        <v>231</v>
      </c>
      <c r="F1220" s="26" t="s">
        <v>293</v>
      </c>
      <c r="K1220" s="24">
        <v>40</v>
      </c>
      <c r="L1220" s="102">
        <v>46090.360694444447</v>
      </c>
      <c r="M1220" s="25" t="s">
        <v>357</v>
      </c>
      <c r="N1220" s="103" t="s">
        <v>344</v>
      </c>
      <c r="O1220" s="26">
        <v>68</v>
      </c>
      <c r="P1220" s="26" t="s">
        <v>293</v>
      </c>
    </row>
    <row r="1221" spans="1:16" x14ac:dyDescent="0.3">
      <c r="A1221" s="24">
        <v>40</v>
      </c>
      <c r="B1221" s="102">
        <v>46090.360694444447</v>
      </c>
      <c r="C1221" s="25" t="s">
        <v>356</v>
      </c>
      <c r="D1221" s="103" t="s">
        <v>132</v>
      </c>
      <c r="E1221" s="26">
        <v>3.6</v>
      </c>
      <c r="F1221" s="26" t="s">
        <v>293</v>
      </c>
      <c r="K1221" s="24">
        <v>40</v>
      </c>
      <c r="L1221" s="102">
        <v>46090.360694444447</v>
      </c>
      <c r="M1221" s="25" t="s">
        <v>357</v>
      </c>
      <c r="N1221" s="103" t="s">
        <v>132</v>
      </c>
      <c r="O1221" s="26">
        <v>7.45</v>
      </c>
      <c r="P1221" s="26" t="s">
        <v>293</v>
      </c>
    </row>
    <row r="1222" spans="1:16" x14ac:dyDescent="0.3">
      <c r="A1222" s="24">
        <v>40</v>
      </c>
      <c r="B1222" s="102">
        <v>46090.360694444447</v>
      </c>
      <c r="C1222" s="25" t="s">
        <v>356</v>
      </c>
      <c r="D1222" s="103" t="s">
        <v>111</v>
      </c>
      <c r="E1222" s="26">
        <v>87</v>
      </c>
      <c r="F1222" s="26" t="s">
        <v>293</v>
      </c>
      <c r="K1222" s="24">
        <v>40</v>
      </c>
      <c r="L1222" s="102">
        <v>46090.360694444447</v>
      </c>
      <c r="M1222" s="25" t="s">
        <v>357</v>
      </c>
      <c r="N1222" s="103" t="s">
        <v>111</v>
      </c>
      <c r="O1222" s="26">
        <v>287</v>
      </c>
      <c r="P1222" s="26" t="s">
        <v>293</v>
      </c>
    </row>
    <row r="1223" spans="1:16" x14ac:dyDescent="0.3">
      <c r="A1223" s="24">
        <v>40</v>
      </c>
      <c r="B1223" s="102">
        <v>46090.360694444447</v>
      </c>
      <c r="C1223" s="25" t="s">
        <v>356</v>
      </c>
      <c r="D1223" s="103" t="s">
        <v>345</v>
      </c>
      <c r="E1223" s="26">
        <v>5.27</v>
      </c>
      <c r="F1223" s="26" t="s">
        <v>293</v>
      </c>
      <c r="K1223" s="24">
        <v>40</v>
      </c>
      <c r="L1223" s="102">
        <v>46090.360694444447</v>
      </c>
      <c r="M1223" s="25" t="s">
        <v>357</v>
      </c>
      <c r="N1223" s="103" t="s">
        <v>345</v>
      </c>
      <c r="O1223" s="26">
        <v>9.94</v>
      </c>
      <c r="P1223" s="26" t="s">
        <v>293</v>
      </c>
    </row>
    <row r="1224" spans="1:16" x14ac:dyDescent="0.3">
      <c r="A1224" s="24">
        <v>40</v>
      </c>
      <c r="B1224" s="102">
        <v>46090.360694444447</v>
      </c>
      <c r="C1224" s="25" t="s">
        <v>356</v>
      </c>
      <c r="D1224" s="103" t="s">
        <v>347</v>
      </c>
      <c r="E1224" s="26">
        <v>2.0499999999999998</v>
      </c>
      <c r="F1224" s="26" t="s">
        <v>293</v>
      </c>
      <c r="K1224" s="24">
        <v>40</v>
      </c>
      <c r="L1224" s="102">
        <v>46090.360694444447</v>
      </c>
      <c r="M1224" s="25" t="s">
        <v>357</v>
      </c>
      <c r="N1224" s="103" t="s">
        <v>347</v>
      </c>
      <c r="O1224" s="26">
        <v>4.3499999999999996</v>
      </c>
      <c r="P1224" s="26" t="s">
        <v>293</v>
      </c>
    </row>
    <row r="1225" spans="1:16" x14ac:dyDescent="0.3">
      <c r="A1225" s="24">
        <v>40</v>
      </c>
      <c r="B1225" s="102">
        <v>46090.360694444447</v>
      </c>
      <c r="C1225" s="25" t="s">
        <v>356</v>
      </c>
      <c r="D1225" s="103" t="s">
        <v>128</v>
      </c>
      <c r="E1225" s="26">
        <v>6.8</v>
      </c>
      <c r="F1225" s="26" t="s">
        <v>293</v>
      </c>
      <c r="K1225" s="24">
        <v>40</v>
      </c>
      <c r="L1225" s="102">
        <v>46090.360694444447</v>
      </c>
      <c r="M1225" s="25" t="s">
        <v>357</v>
      </c>
      <c r="N1225" s="103" t="s">
        <v>128</v>
      </c>
      <c r="O1225" s="26">
        <v>4.3</v>
      </c>
      <c r="P1225" s="26" t="s">
        <v>293</v>
      </c>
    </row>
    <row r="1226" spans="1:16" x14ac:dyDescent="0.3">
      <c r="A1226" s="24">
        <v>40</v>
      </c>
      <c r="B1226" s="102">
        <v>46090.360694444447</v>
      </c>
      <c r="C1226" s="25" t="s">
        <v>356</v>
      </c>
      <c r="D1226" s="103" t="s">
        <v>121</v>
      </c>
      <c r="E1226" s="26">
        <v>160</v>
      </c>
      <c r="F1226" s="26" t="s">
        <v>293</v>
      </c>
      <c r="K1226" s="24">
        <v>40</v>
      </c>
      <c r="L1226" s="102">
        <v>46090.360694444447</v>
      </c>
      <c r="M1226" s="25" t="s">
        <v>357</v>
      </c>
      <c r="N1226" s="103" t="s">
        <v>121</v>
      </c>
      <c r="O1226" s="26">
        <v>78</v>
      </c>
      <c r="P1226" s="26" t="s">
        <v>293</v>
      </c>
    </row>
    <row r="1227" spans="1:16" x14ac:dyDescent="0.3">
      <c r="A1227" s="24">
        <v>40</v>
      </c>
      <c r="B1227" s="102">
        <v>46090.360694444447</v>
      </c>
      <c r="C1227" s="25" t="s">
        <v>356</v>
      </c>
      <c r="D1227" s="103" t="s">
        <v>115</v>
      </c>
      <c r="E1227" s="26">
        <v>34</v>
      </c>
      <c r="F1227" s="26" t="s">
        <v>293</v>
      </c>
      <c r="K1227" s="24">
        <v>40</v>
      </c>
      <c r="L1227" s="102">
        <v>46090.360694444447</v>
      </c>
      <c r="M1227" s="25" t="s">
        <v>357</v>
      </c>
      <c r="N1227" s="103" t="s">
        <v>115</v>
      </c>
      <c r="O1227" s="26">
        <v>98</v>
      </c>
      <c r="P1227" s="26" t="s">
        <v>293</v>
      </c>
    </row>
    <row r="1228" spans="1:16" x14ac:dyDescent="0.3">
      <c r="A1228" s="24">
        <v>40</v>
      </c>
      <c r="B1228" s="102">
        <v>46090.360694444447</v>
      </c>
      <c r="C1228" s="25" t="s">
        <v>356</v>
      </c>
      <c r="D1228" s="103" t="s">
        <v>137</v>
      </c>
      <c r="E1228" s="26">
        <v>75</v>
      </c>
      <c r="F1228" s="26" t="s">
        <v>293</v>
      </c>
      <c r="K1228" s="24">
        <v>40</v>
      </c>
      <c r="L1228" s="102">
        <v>46090.360694444447</v>
      </c>
      <c r="M1228" s="25" t="s">
        <v>357</v>
      </c>
      <c r="N1228" s="103" t="s">
        <v>137</v>
      </c>
      <c r="O1228" s="26">
        <v>494</v>
      </c>
      <c r="P1228" s="26" t="s">
        <v>293</v>
      </c>
    </row>
    <row r="1229" spans="1:16" x14ac:dyDescent="0.3">
      <c r="A1229" s="24">
        <v>40</v>
      </c>
      <c r="B1229" s="102">
        <v>46090.360694444447</v>
      </c>
      <c r="C1229" s="25" t="s">
        <v>356</v>
      </c>
      <c r="D1229" s="103" t="s">
        <v>348</v>
      </c>
      <c r="E1229" s="26">
        <v>138</v>
      </c>
      <c r="F1229" s="26" t="s">
        <v>293</v>
      </c>
      <c r="K1229" s="24">
        <v>40</v>
      </c>
      <c r="L1229" s="102">
        <v>46090.360694444447</v>
      </c>
      <c r="M1229" s="25" t="s">
        <v>357</v>
      </c>
      <c r="N1229" s="103" t="s">
        <v>348</v>
      </c>
      <c r="O1229" s="26">
        <v>433</v>
      </c>
      <c r="P1229" s="26" t="s">
        <v>293</v>
      </c>
    </row>
    <row r="1230" spans="1:16" x14ac:dyDescent="0.3">
      <c r="A1230" s="24">
        <v>40</v>
      </c>
      <c r="B1230" s="102">
        <v>46090.360694444447</v>
      </c>
      <c r="C1230" s="25" t="s">
        <v>356</v>
      </c>
      <c r="D1230" s="103" t="s">
        <v>125</v>
      </c>
      <c r="E1230" s="26">
        <v>113</v>
      </c>
      <c r="F1230" s="26" t="s">
        <v>293</v>
      </c>
      <c r="K1230" s="24">
        <v>40</v>
      </c>
      <c r="L1230" s="102">
        <v>46090.360694444447</v>
      </c>
      <c r="M1230" s="25" t="s">
        <v>357</v>
      </c>
      <c r="N1230" s="103" t="s">
        <v>125</v>
      </c>
      <c r="O1230" s="26">
        <v>422</v>
      </c>
      <c r="P1230" s="26" t="s">
        <v>293</v>
      </c>
    </row>
    <row r="1231" spans="1:16" x14ac:dyDescent="0.3">
      <c r="A1231" s="24">
        <v>40</v>
      </c>
      <c r="B1231" s="102">
        <v>46090.360694444447</v>
      </c>
      <c r="C1231" s="25" t="s">
        <v>356</v>
      </c>
      <c r="D1231" s="103" t="s">
        <v>126</v>
      </c>
      <c r="E1231" s="26">
        <v>79</v>
      </c>
      <c r="F1231" s="26" t="s">
        <v>293</v>
      </c>
      <c r="K1231" s="24">
        <v>40</v>
      </c>
      <c r="L1231" s="102">
        <v>46090.360694444447</v>
      </c>
      <c r="M1231" s="25" t="s">
        <v>357</v>
      </c>
      <c r="N1231" s="103" t="s">
        <v>126</v>
      </c>
      <c r="O1231" s="26">
        <v>151</v>
      </c>
      <c r="P1231" s="26" t="s">
        <v>293</v>
      </c>
    </row>
    <row r="1232" spans="1:16" x14ac:dyDescent="0.3">
      <c r="A1232" s="24">
        <v>40</v>
      </c>
      <c r="B1232" s="102">
        <v>46090.360694444447</v>
      </c>
      <c r="C1232" s="25" t="s">
        <v>356</v>
      </c>
      <c r="D1232" s="103" t="s">
        <v>349</v>
      </c>
      <c r="E1232" s="26">
        <v>159</v>
      </c>
      <c r="F1232" s="26" t="s">
        <v>293</v>
      </c>
      <c r="K1232" s="24">
        <v>40</v>
      </c>
      <c r="L1232" s="102">
        <v>46090.360694444447</v>
      </c>
      <c r="M1232" s="25" t="s">
        <v>357</v>
      </c>
      <c r="N1232" s="103" t="s">
        <v>349</v>
      </c>
      <c r="O1232" s="26">
        <v>389</v>
      </c>
      <c r="P1232" s="26" t="s">
        <v>293</v>
      </c>
    </row>
    <row r="1233" spans="1:16" x14ac:dyDescent="0.3">
      <c r="A1233" s="24">
        <v>40</v>
      </c>
      <c r="B1233" s="102">
        <v>46090.360694444447</v>
      </c>
      <c r="C1233" s="25" t="s">
        <v>356</v>
      </c>
      <c r="D1233" s="103" t="s">
        <v>350</v>
      </c>
      <c r="E1233" s="26">
        <v>58</v>
      </c>
      <c r="F1233" s="26" t="s">
        <v>293</v>
      </c>
      <c r="K1233" s="24">
        <v>40</v>
      </c>
      <c r="L1233" s="102">
        <v>46090.360694444447</v>
      </c>
      <c r="M1233" s="25" t="s">
        <v>357</v>
      </c>
      <c r="N1233" s="103" t="s">
        <v>350</v>
      </c>
      <c r="O1233" s="26">
        <v>84</v>
      </c>
      <c r="P1233" s="26" t="s">
        <v>293</v>
      </c>
    </row>
    <row r="1234" spans="1:16" x14ac:dyDescent="0.3">
      <c r="A1234" s="24">
        <v>40</v>
      </c>
      <c r="B1234" s="102">
        <v>46090.360694444447</v>
      </c>
      <c r="C1234" s="25" t="s">
        <v>356</v>
      </c>
      <c r="D1234" s="103" t="s">
        <v>122</v>
      </c>
      <c r="E1234" s="26">
        <v>47</v>
      </c>
      <c r="F1234" s="26" t="s">
        <v>293</v>
      </c>
      <c r="K1234" s="24">
        <v>40</v>
      </c>
      <c r="L1234" s="102">
        <v>46090.360694444447</v>
      </c>
      <c r="M1234" s="25" t="s">
        <v>357</v>
      </c>
      <c r="N1234" s="103" t="s">
        <v>122</v>
      </c>
      <c r="O1234" s="26">
        <v>222</v>
      </c>
      <c r="P1234" s="26" t="s">
        <v>293</v>
      </c>
    </row>
    <row r="1235" spans="1:16" x14ac:dyDescent="0.3">
      <c r="A1235" s="24">
        <v>40</v>
      </c>
      <c r="B1235" s="102">
        <v>46090.360694444447</v>
      </c>
      <c r="C1235" s="25" t="s">
        <v>356</v>
      </c>
      <c r="D1235" s="103" t="s">
        <v>124</v>
      </c>
      <c r="E1235" s="26">
        <v>32</v>
      </c>
      <c r="F1235" s="26" t="s">
        <v>293</v>
      </c>
      <c r="K1235" s="24">
        <v>40</v>
      </c>
      <c r="L1235" s="102">
        <v>46090.360694444447</v>
      </c>
      <c r="M1235" s="25" t="s">
        <v>357</v>
      </c>
      <c r="N1235" s="103" t="s">
        <v>124</v>
      </c>
      <c r="O1235" s="26">
        <v>105</v>
      </c>
      <c r="P1235" s="26" t="s">
        <v>293</v>
      </c>
    </row>
    <row r="1236" spans="1:16" x14ac:dyDescent="0.3">
      <c r="A1236" s="24">
        <v>40</v>
      </c>
      <c r="B1236" s="102">
        <v>46090.360694444447</v>
      </c>
      <c r="C1236" s="25" t="s">
        <v>356</v>
      </c>
      <c r="D1236" s="103" t="s">
        <v>351</v>
      </c>
      <c r="E1236" s="26">
        <v>0.95</v>
      </c>
      <c r="F1236" s="26" t="s">
        <v>293</v>
      </c>
      <c r="K1236" s="24">
        <v>40</v>
      </c>
      <c r="L1236" s="102">
        <v>46090.360694444447</v>
      </c>
      <c r="M1236" s="25" t="s">
        <v>357</v>
      </c>
      <c r="N1236" s="103" t="s">
        <v>351</v>
      </c>
      <c r="O1236" s="26">
        <v>3.49</v>
      </c>
      <c r="P1236" s="26" t="s">
        <v>293</v>
      </c>
    </row>
    <row r="1237" spans="1:16" x14ac:dyDescent="0.3">
      <c r="A1237" s="24">
        <v>40</v>
      </c>
      <c r="B1237" s="102">
        <v>46090.360694444447</v>
      </c>
      <c r="C1237" s="25" t="s">
        <v>356</v>
      </c>
      <c r="D1237" s="103" t="s">
        <v>353</v>
      </c>
      <c r="E1237" s="26">
        <v>32</v>
      </c>
      <c r="F1237" s="26" t="s">
        <v>293</v>
      </c>
      <c r="K1237" s="24">
        <v>40</v>
      </c>
      <c r="L1237" s="102">
        <v>46090.360694444447</v>
      </c>
      <c r="M1237" s="25" t="s">
        <v>357</v>
      </c>
      <c r="N1237" s="103" t="s">
        <v>353</v>
      </c>
      <c r="O1237" s="26">
        <v>16.8</v>
      </c>
      <c r="P1237" s="26" t="s">
        <v>293</v>
      </c>
    </row>
    <row r="1238" spans="1:16" x14ac:dyDescent="0.3">
      <c r="A1238" s="24">
        <v>40</v>
      </c>
      <c r="B1238" s="102">
        <v>46090.360694444447</v>
      </c>
      <c r="C1238" s="25" t="s">
        <v>356</v>
      </c>
      <c r="D1238" s="103" t="s">
        <v>133</v>
      </c>
      <c r="E1238" s="26">
        <v>147</v>
      </c>
      <c r="F1238" s="26" t="s">
        <v>293</v>
      </c>
      <c r="K1238" s="24">
        <v>40</v>
      </c>
      <c r="L1238" s="102">
        <v>46090.360694444447</v>
      </c>
      <c r="M1238" s="25" t="s">
        <v>357</v>
      </c>
      <c r="N1238" s="103" t="s">
        <v>133</v>
      </c>
      <c r="O1238" s="26">
        <v>129</v>
      </c>
      <c r="P1238" s="26" t="s">
        <v>293</v>
      </c>
    </row>
    <row r="1239" spans="1:16" x14ac:dyDescent="0.3">
      <c r="A1239" s="24">
        <v>40</v>
      </c>
      <c r="B1239" s="102">
        <v>46090.360694444447</v>
      </c>
      <c r="C1239" s="25" t="s">
        <v>356</v>
      </c>
      <c r="D1239" s="103" t="s">
        <v>135</v>
      </c>
      <c r="E1239" s="26">
        <v>3.8</v>
      </c>
      <c r="F1239" s="26" t="s">
        <v>293</v>
      </c>
      <c r="K1239" s="24">
        <v>40</v>
      </c>
      <c r="L1239" s="102">
        <v>46090.360694444447</v>
      </c>
      <c r="M1239" s="25" t="s">
        <v>357</v>
      </c>
      <c r="N1239" s="103" t="s">
        <v>135</v>
      </c>
      <c r="O1239" s="26">
        <v>6.6</v>
      </c>
      <c r="P1239" s="26" t="s">
        <v>293</v>
      </c>
    </row>
    <row r="1240" spans="1:16" x14ac:dyDescent="0.3">
      <c r="A1240" s="24">
        <v>40</v>
      </c>
      <c r="B1240" s="102">
        <v>46090.360694444447</v>
      </c>
      <c r="C1240" s="25" t="s">
        <v>356</v>
      </c>
      <c r="D1240" s="103" t="s">
        <v>136</v>
      </c>
      <c r="E1240" s="26">
        <v>117</v>
      </c>
      <c r="F1240" s="26" t="s">
        <v>293</v>
      </c>
      <c r="K1240" s="24">
        <v>40</v>
      </c>
      <c r="L1240" s="102">
        <v>46090.360694444447</v>
      </c>
      <c r="M1240" s="25" t="s">
        <v>357</v>
      </c>
      <c r="N1240" s="103" t="s">
        <v>136</v>
      </c>
      <c r="O1240" s="26">
        <v>96</v>
      </c>
      <c r="P1240" s="26" t="s">
        <v>293</v>
      </c>
    </row>
    <row r="1241" spans="1:16" x14ac:dyDescent="0.3">
      <c r="A1241" s="24">
        <v>41</v>
      </c>
      <c r="B1241" s="102">
        <v>46091.367372685185</v>
      </c>
      <c r="C1241" s="25" t="s">
        <v>356</v>
      </c>
      <c r="D1241" s="103" t="s">
        <v>339</v>
      </c>
      <c r="E1241" s="26">
        <v>4.6399999999999997</v>
      </c>
      <c r="F1241" s="26" t="s">
        <v>293</v>
      </c>
      <c r="K1241" s="24">
        <v>41</v>
      </c>
      <c r="L1241" s="102">
        <v>46091.367372685185</v>
      </c>
      <c r="M1241" s="25" t="s">
        <v>357</v>
      </c>
      <c r="N1241" s="103" t="s">
        <v>339</v>
      </c>
      <c r="O1241" s="26">
        <v>1.08</v>
      </c>
      <c r="P1241" s="26" t="s">
        <v>293</v>
      </c>
    </row>
    <row r="1242" spans="1:16" x14ac:dyDescent="0.3">
      <c r="A1242" s="24">
        <v>41</v>
      </c>
      <c r="B1242" s="102">
        <v>46091.367372685185</v>
      </c>
      <c r="C1242" s="25" t="s">
        <v>356</v>
      </c>
      <c r="D1242" s="103" t="s">
        <v>118</v>
      </c>
      <c r="E1242" s="26">
        <v>4.7</v>
      </c>
      <c r="F1242" s="26" t="s">
        <v>293</v>
      </c>
      <c r="K1242" s="24">
        <v>41</v>
      </c>
      <c r="L1242" s="102">
        <v>46091.367372685185</v>
      </c>
      <c r="M1242" s="25" t="s">
        <v>357</v>
      </c>
      <c r="N1242" s="103" t="s">
        <v>118</v>
      </c>
      <c r="O1242" s="26">
        <v>9.8000000000000007</v>
      </c>
      <c r="P1242" s="26" t="s">
        <v>293</v>
      </c>
    </row>
    <row r="1243" spans="1:16" x14ac:dyDescent="0.3">
      <c r="A1243" s="24">
        <v>41</v>
      </c>
      <c r="B1243" s="102">
        <v>46091.367372685185</v>
      </c>
      <c r="C1243" s="25" t="s">
        <v>356</v>
      </c>
      <c r="D1243" s="103" t="s">
        <v>130</v>
      </c>
      <c r="E1243" s="26">
        <v>3.76</v>
      </c>
      <c r="F1243" s="26" t="s">
        <v>293</v>
      </c>
      <c r="K1243" s="24">
        <v>41</v>
      </c>
      <c r="L1243" s="102">
        <v>46091.367372685185</v>
      </c>
      <c r="M1243" s="25" t="s">
        <v>357</v>
      </c>
      <c r="N1243" s="103" t="s">
        <v>130</v>
      </c>
      <c r="O1243" s="26">
        <v>2.41</v>
      </c>
      <c r="P1243" s="26" t="s">
        <v>293</v>
      </c>
    </row>
    <row r="1244" spans="1:16" x14ac:dyDescent="0.3">
      <c r="A1244" s="24">
        <v>41</v>
      </c>
      <c r="B1244" s="102">
        <v>46091.367372685185</v>
      </c>
      <c r="C1244" s="25" t="s">
        <v>356</v>
      </c>
      <c r="D1244" s="103" t="s">
        <v>341</v>
      </c>
      <c r="E1244" s="26">
        <v>0.29699999999999999</v>
      </c>
      <c r="F1244" s="26" t="s">
        <v>293</v>
      </c>
      <c r="K1244" s="24">
        <v>41</v>
      </c>
      <c r="L1244" s="102">
        <v>46091.367372685185</v>
      </c>
      <c r="M1244" s="25" t="s">
        <v>357</v>
      </c>
      <c r="N1244" s="103" t="s">
        <v>341</v>
      </c>
      <c r="O1244" s="26">
        <v>1.079</v>
      </c>
      <c r="P1244" s="26" t="s">
        <v>293</v>
      </c>
    </row>
    <row r="1245" spans="1:16" x14ac:dyDescent="0.3">
      <c r="A1245" s="24">
        <v>41</v>
      </c>
      <c r="B1245" s="102">
        <v>46091.367372685185</v>
      </c>
      <c r="C1245" s="25" t="s">
        <v>356</v>
      </c>
      <c r="D1245" s="103" t="s">
        <v>127</v>
      </c>
      <c r="E1245" s="26">
        <v>1.1859999999999999</v>
      </c>
      <c r="F1245" s="26" t="s">
        <v>293</v>
      </c>
      <c r="K1245" s="24">
        <v>41</v>
      </c>
      <c r="L1245" s="102">
        <v>46091.367372685185</v>
      </c>
      <c r="M1245" s="25" t="s">
        <v>357</v>
      </c>
      <c r="N1245" s="103" t="s">
        <v>127</v>
      </c>
      <c r="O1245" s="26">
        <v>4.5449999999999999</v>
      </c>
      <c r="P1245" s="26" t="s">
        <v>293</v>
      </c>
    </row>
    <row r="1246" spans="1:16" x14ac:dyDescent="0.3">
      <c r="A1246" s="24">
        <v>41</v>
      </c>
      <c r="B1246" s="102">
        <v>46091.367372685185</v>
      </c>
      <c r="C1246" s="25" t="s">
        <v>356</v>
      </c>
      <c r="D1246" s="103" t="s">
        <v>131</v>
      </c>
      <c r="E1246" s="26">
        <v>8.6</v>
      </c>
      <c r="F1246" s="26" t="s">
        <v>293</v>
      </c>
      <c r="K1246" s="24">
        <v>41</v>
      </c>
      <c r="L1246" s="102">
        <v>46091.367372685185</v>
      </c>
      <c r="M1246" s="25" t="s">
        <v>357</v>
      </c>
      <c r="N1246" s="103" t="s">
        <v>131</v>
      </c>
      <c r="O1246" s="26">
        <v>11.7</v>
      </c>
      <c r="P1246" s="26" t="s">
        <v>293</v>
      </c>
    </row>
    <row r="1247" spans="1:16" x14ac:dyDescent="0.3">
      <c r="A1247" s="24">
        <v>41</v>
      </c>
      <c r="B1247" s="102">
        <v>46091.367372685185</v>
      </c>
      <c r="C1247" s="25" t="s">
        <v>356</v>
      </c>
      <c r="D1247" s="103" t="s">
        <v>342</v>
      </c>
      <c r="E1247" s="26">
        <v>341</v>
      </c>
      <c r="F1247" s="26" t="s">
        <v>293</v>
      </c>
      <c r="K1247" s="24">
        <v>41</v>
      </c>
      <c r="L1247" s="102">
        <v>46091.367372685185</v>
      </c>
      <c r="M1247" s="25" t="s">
        <v>357</v>
      </c>
      <c r="N1247" s="103" t="s">
        <v>342</v>
      </c>
      <c r="O1247" s="26">
        <v>203</v>
      </c>
      <c r="P1247" s="26" t="s">
        <v>293</v>
      </c>
    </row>
    <row r="1248" spans="1:16" x14ac:dyDescent="0.3">
      <c r="A1248" s="24">
        <v>41</v>
      </c>
      <c r="B1248" s="102">
        <v>46091.367372685185</v>
      </c>
      <c r="C1248" s="25" t="s">
        <v>356</v>
      </c>
      <c r="D1248" s="103" t="s">
        <v>119</v>
      </c>
      <c r="E1248" s="26">
        <v>234</v>
      </c>
      <c r="F1248" s="26" t="s">
        <v>293</v>
      </c>
      <c r="K1248" s="24">
        <v>41</v>
      </c>
      <c r="L1248" s="102">
        <v>46091.367372685185</v>
      </c>
      <c r="M1248" s="25" t="s">
        <v>357</v>
      </c>
      <c r="N1248" s="103" t="s">
        <v>119</v>
      </c>
      <c r="O1248" s="26">
        <v>87</v>
      </c>
      <c r="P1248" s="26" t="s">
        <v>293</v>
      </c>
    </row>
    <row r="1249" spans="1:16" x14ac:dyDescent="0.3">
      <c r="A1249" s="24">
        <v>41</v>
      </c>
      <c r="B1249" s="102">
        <v>46091.367372685185</v>
      </c>
      <c r="C1249" s="25" t="s">
        <v>356</v>
      </c>
      <c r="D1249" s="103" t="s">
        <v>120</v>
      </c>
      <c r="E1249" s="26">
        <v>75</v>
      </c>
      <c r="F1249" s="26" t="s">
        <v>293</v>
      </c>
      <c r="K1249" s="24">
        <v>41</v>
      </c>
      <c r="L1249" s="102">
        <v>46091.367372685185</v>
      </c>
      <c r="M1249" s="25" t="s">
        <v>357</v>
      </c>
      <c r="N1249" s="103" t="s">
        <v>120</v>
      </c>
      <c r="O1249" s="26">
        <v>27</v>
      </c>
      <c r="P1249" s="26" t="s">
        <v>293</v>
      </c>
    </row>
    <row r="1250" spans="1:16" x14ac:dyDescent="0.3">
      <c r="A1250" s="24">
        <v>41</v>
      </c>
      <c r="B1250" s="102">
        <v>46091.367372685185</v>
      </c>
      <c r="C1250" s="25" t="s">
        <v>356</v>
      </c>
      <c r="D1250" s="103" t="s">
        <v>117</v>
      </c>
      <c r="E1250" s="26">
        <v>2.59</v>
      </c>
      <c r="F1250" s="26" t="s">
        <v>293</v>
      </c>
      <c r="K1250" s="24">
        <v>41</v>
      </c>
      <c r="L1250" s="102">
        <v>46091.367372685185</v>
      </c>
      <c r="M1250" s="25" t="s">
        <v>357</v>
      </c>
      <c r="N1250" s="103" t="s">
        <v>117</v>
      </c>
      <c r="O1250" s="26">
        <v>6.3</v>
      </c>
      <c r="P1250" s="26" t="s">
        <v>293</v>
      </c>
    </row>
    <row r="1251" spans="1:16" x14ac:dyDescent="0.3">
      <c r="A1251" s="24">
        <v>41</v>
      </c>
      <c r="B1251" s="102">
        <v>46091.367372685185</v>
      </c>
      <c r="C1251" s="25" t="s">
        <v>356</v>
      </c>
      <c r="D1251" s="103" t="s">
        <v>344</v>
      </c>
      <c r="E1251" s="26">
        <v>232</v>
      </c>
      <c r="F1251" s="26" t="s">
        <v>293</v>
      </c>
      <c r="K1251" s="24">
        <v>41</v>
      </c>
      <c r="L1251" s="102">
        <v>46091.367372685185</v>
      </c>
      <c r="M1251" s="25" t="s">
        <v>357</v>
      </c>
      <c r="N1251" s="103" t="s">
        <v>344</v>
      </c>
      <c r="O1251" s="26">
        <v>69</v>
      </c>
      <c r="P1251" s="26" t="s">
        <v>293</v>
      </c>
    </row>
    <row r="1252" spans="1:16" x14ac:dyDescent="0.3">
      <c r="A1252" s="24">
        <v>41</v>
      </c>
      <c r="B1252" s="102">
        <v>46091.367372685185</v>
      </c>
      <c r="C1252" s="25" t="s">
        <v>356</v>
      </c>
      <c r="D1252" s="103" t="s">
        <v>132</v>
      </c>
      <c r="E1252" s="26">
        <v>3.63</v>
      </c>
      <c r="F1252" s="26" t="s">
        <v>293</v>
      </c>
      <c r="K1252" s="24">
        <v>41</v>
      </c>
      <c r="L1252" s="102">
        <v>46091.367372685185</v>
      </c>
      <c r="M1252" s="25" t="s">
        <v>357</v>
      </c>
      <c r="N1252" s="103" t="s">
        <v>132</v>
      </c>
      <c r="O1252" s="26">
        <v>7.39</v>
      </c>
      <c r="P1252" s="26" t="s">
        <v>293</v>
      </c>
    </row>
    <row r="1253" spans="1:16" x14ac:dyDescent="0.3">
      <c r="A1253" s="24">
        <v>41</v>
      </c>
      <c r="B1253" s="102">
        <v>46091.367372685185</v>
      </c>
      <c r="C1253" s="25" t="s">
        <v>356</v>
      </c>
      <c r="D1253" s="103" t="s">
        <v>111</v>
      </c>
      <c r="E1253" s="26">
        <v>89</v>
      </c>
      <c r="F1253" s="26" t="s">
        <v>293</v>
      </c>
      <c r="K1253" s="24">
        <v>41</v>
      </c>
      <c r="L1253" s="102">
        <v>46091.367372685185</v>
      </c>
      <c r="M1253" s="25" t="s">
        <v>357</v>
      </c>
      <c r="N1253" s="103" t="s">
        <v>111</v>
      </c>
      <c r="O1253" s="26">
        <v>287</v>
      </c>
      <c r="P1253" s="26" t="s">
        <v>293</v>
      </c>
    </row>
    <row r="1254" spans="1:16" x14ac:dyDescent="0.3">
      <c r="A1254" s="24">
        <v>41</v>
      </c>
      <c r="B1254" s="102">
        <v>46091.367372685185</v>
      </c>
      <c r="C1254" s="25" t="s">
        <v>356</v>
      </c>
      <c r="D1254" s="103" t="s">
        <v>345</v>
      </c>
      <c r="E1254" s="26">
        <v>5.05</v>
      </c>
      <c r="F1254" s="26" t="s">
        <v>293</v>
      </c>
      <c r="K1254" s="24">
        <v>41</v>
      </c>
      <c r="L1254" s="102">
        <v>46091.367372685185</v>
      </c>
      <c r="M1254" s="25" t="s">
        <v>357</v>
      </c>
      <c r="N1254" s="103" t="s">
        <v>345</v>
      </c>
      <c r="O1254" s="26">
        <v>9.99</v>
      </c>
      <c r="P1254" s="26" t="s">
        <v>293</v>
      </c>
    </row>
    <row r="1255" spans="1:16" x14ac:dyDescent="0.3">
      <c r="A1255" s="24">
        <v>41</v>
      </c>
      <c r="B1255" s="102">
        <v>46091.367372685185</v>
      </c>
      <c r="C1255" s="25" t="s">
        <v>356</v>
      </c>
      <c r="D1255" s="103" t="s">
        <v>347</v>
      </c>
      <c r="E1255" s="26">
        <v>1.9</v>
      </c>
      <c r="F1255" s="26" t="s">
        <v>293</v>
      </c>
      <c r="K1255" s="24">
        <v>41</v>
      </c>
      <c r="L1255" s="102">
        <v>46091.367372685185</v>
      </c>
      <c r="M1255" s="25" t="s">
        <v>357</v>
      </c>
      <c r="N1255" s="103" t="s">
        <v>347</v>
      </c>
      <c r="O1255" s="26">
        <v>4.1500000000000004</v>
      </c>
      <c r="P1255" s="26" t="s">
        <v>293</v>
      </c>
    </row>
    <row r="1256" spans="1:16" x14ac:dyDescent="0.3">
      <c r="A1256" s="24">
        <v>41</v>
      </c>
      <c r="B1256" s="102">
        <v>46091.367372685185</v>
      </c>
      <c r="C1256" s="25" t="s">
        <v>356</v>
      </c>
      <c r="D1256" s="103" t="s">
        <v>128</v>
      </c>
      <c r="E1256" s="26">
        <v>6.7</v>
      </c>
      <c r="F1256" s="26" t="s">
        <v>293</v>
      </c>
      <c r="K1256" s="24">
        <v>41</v>
      </c>
      <c r="L1256" s="102">
        <v>46091.367372685185</v>
      </c>
      <c r="M1256" s="25" t="s">
        <v>357</v>
      </c>
      <c r="N1256" s="103" t="s">
        <v>128</v>
      </c>
      <c r="O1256" s="26">
        <v>4.2</v>
      </c>
      <c r="P1256" s="26" t="s">
        <v>293</v>
      </c>
    </row>
    <row r="1257" spans="1:16" x14ac:dyDescent="0.3">
      <c r="A1257" s="24">
        <v>41</v>
      </c>
      <c r="B1257" s="102">
        <v>46091.367372685185</v>
      </c>
      <c r="C1257" s="25" t="s">
        <v>356</v>
      </c>
      <c r="D1257" s="103" t="s">
        <v>121</v>
      </c>
      <c r="E1257" s="26">
        <v>159</v>
      </c>
      <c r="F1257" s="26" t="s">
        <v>293</v>
      </c>
      <c r="K1257" s="24">
        <v>41</v>
      </c>
      <c r="L1257" s="102">
        <v>46091.367372685185</v>
      </c>
      <c r="M1257" s="25" t="s">
        <v>357</v>
      </c>
      <c r="N1257" s="103" t="s">
        <v>121</v>
      </c>
      <c r="O1257" s="26">
        <v>80</v>
      </c>
      <c r="P1257" s="26" t="s">
        <v>293</v>
      </c>
    </row>
    <row r="1258" spans="1:16" x14ac:dyDescent="0.3">
      <c r="A1258" s="24">
        <v>41</v>
      </c>
      <c r="B1258" s="102">
        <v>46091.367372685185</v>
      </c>
      <c r="C1258" s="25" t="s">
        <v>356</v>
      </c>
      <c r="D1258" s="103" t="s">
        <v>115</v>
      </c>
      <c r="E1258" s="26">
        <v>32</v>
      </c>
      <c r="F1258" s="26" t="s">
        <v>293</v>
      </c>
      <c r="K1258" s="24">
        <v>41</v>
      </c>
      <c r="L1258" s="102">
        <v>46091.367372685185</v>
      </c>
      <c r="M1258" s="25" t="s">
        <v>357</v>
      </c>
      <c r="N1258" s="103" t="s">
        <v>115</v>
      </c>
      <c r="O1258" s="26">
        <v>96</v>
      </c>
      <c r="P1258" s="26" t="s">
        <v>293</v>
      </c>
    </row>
    <row r="1259" spans="1:16" x14ac:dyDescent="0.3">
      <c r="A1259" s="24">
        <v>41</v>
      </c>
      <c r="B1259" s="102">
        <v>46091.367372685185</v>
      </c>
      <c r="C1259" s="25" t="s">
        <v>356</v>
      </c>
      <c r="D1259" s="103" t="s">
        <v>137</v>
      </c>
      <c r="E1259" s="26">
        <v>76</v>
      </c>
      <c r="F1259" s="26" t="s">
        <v>293</v>
      </c>
      <c r="K1259" s="24">
        <v>41</v>
      </c>
      <c r="L1259" s="102">
        <v>46091.367372685185</v>
      </c>
      <c r="M1259" s="25" t="s">
        <v>357</v>
      </c>
      <c r="N1259" s="103" t="s">
        <v>137</v>
      </c>
      <c r="O1259" s="26">
        <v>491</v>
      </c>
      <c r="P1259" s="26" t="s">
        <v>293</v>
      </c>
    </row>
    <row r="1260" spans="1:16" x14ac:dyDescent="0.3">
      <c r="A1260" s="24">
        <v>41</v>
      </c>
      <c r="B1260" s="102">
        <v>46091.367372685185</v>
      </c>
      <c r="C1260" s="25" t="s">
        <v>356</v>
      </c>
      <c r="D1260" s="103" t="s">
        <v>348</v>
      </c>
      <c r="E1260" s="26">
        <v>136</v>
      </c>
      <c r="F1260" s="26" t="s">
        <v>293</v>
      </c>
      <c r="K1260" s="24">
        <v>41</v>
      </c>
      <c r="L1260" s="102">
        <v>46091.367372685185</v>
      </c>
      <c r="M1260" s="25" t="s">
        <v>357</v>
      </c>
      <c r="N1260" s="103" t="s">
        <v>348</v>
      </c>
      <c r="O1260" s="26">
        <v>432</v>
      </c>
      <c r="P1260" s="26" t="s">
        <v>293</v>
      </c>
    </row>
    <row r="1261" spans="1:16" x14ac:dyDescent="0.3">
      <c r="A1261" s="24">
        <v>41</v>
      </c>
      <c r="B1261" s="102">
        <v>46091.367372685185</v>
      </c>
      <c r="C1261" s="25" t="s">
        <v>356</v>
      </c>
      <c r="D1261" s="103" t="s">
        <v>125</v>
      </c>
      <c r="E1261" s="26">
        <v>115</v>
      </c>
      <c r="F1261" s="26" t="s">
        <v>293</v>
      </c>
      <c r="K1261" s="24">
        <v>41</v>
      </c>
      <c r="L1261" s="102">
        <v>46091.367372685185</v>
      </c>
      <c r="M1261" s="25" t="s">
        <v>357</v>
      </c>
      <c r="N1261" s="103" t="s">
        <v>125</v>
      </c>
      <c r="O1261" s="26">
        <v>426</v>
      </c>
      <c r="P1261" s="26" t="s">
        <v>293</v>
      </c>
    </row>
    <row r="1262" spans="1:16" x14ac:dyDescent="0.3">
      <c r="A1262" s="24">
        <v>41</v>
      </c>
      <c r="B1262" s="102">
        <v>46091.367372685185</v>
      </c>
      <c r="C1262" s="25" t="s">
        <v>356</v>
      </c>
      <c r="D1262" s="103" t="s">
        <v>126</v>
      </c>
      <c r="E1262" s="26">
        <v>79</v>
      </c>
      <c r="F1262" s="26" t="s">
        <v>293</v>
      </c>
      <c r="K1262" s="24">
        <v>41</v>
      </c>
      <c r="L1262" s="102">
        <v>46091.367372685185</v>
      </c>
      <c r="M1262" s="25" t="s">
        <v>357</v>
      </c>
      <c r="N1262" s="103" t="s">
        <v>126</v>
      </c>
      <c r="O1262" s="26">
        <v>149</v>
      </c>
      <c r="P1262" s="26" t="s">
        <v>293</v>
      </c>
    </row>
    <row r="1263" spans="1:16" x14ac:dyDescent="0.3">
      <c r="A1263" s="24">
        <v>41</v>
      </c>
      <c r="B1263" s="102">
        <v>46091.367372685185</v>
      </c>
      <c r="C1263" s="25" t="s">
        <v>356</v>
      </c>
      <c r="D1263" s="103" t="s">
        <v>349</v>
      </c>
      <c r="E1263" s="26">
        <v>153</v>
      </c>
      <c r="F1263" s="26" t="s">
        <v>293</v>
      </c>
      <c r="K1263" s="24">
        <v>41</v>
      </c>
      <c r="L1263" s="102">
        <v>46091.367372685185</v>
      </c>
      <c r="M1263" s="25" t="s">
        <v>357</v>
      </c>
      <c r="N1263" s="103" t="s">
        <v>349</v>
      </c>
      <c r="O1263" s="26">
        <v>392</v>
      </c>
      <c r="P1263" s="26" t="s">
        <v>293</v>
      </c>
    </row>
    <row r="1264" spans="1:16" x14ac:dyDescent="0.3">
      <c r="A1264" s="24">
        <v>41</v>
      </c>
      <c r="B1264" s="102">
        <v>46091.367372685185</v>
      </c>
      <c r="C1264" s="25" t="s">
        <v>356</v>
      </c>
      <c r="D1264" s="103" t="s">
        <v>350</v>
      </c>
      <c r="E1264" s="26">
        <v>61</v>
      </c>
      <c r="F1264" s="26" t="s">
        <v>293</v>
      </c>
      <c r="K1264" s="24">
        <v>41</v>
      </c>
      <c r="L1264" s="102">
        <v>46091.367372685185</v>
      </c>
      <c r="M1264" s="25" t="s">
        <v>357</v>
      </c>
      <c r="N1264" s="103" t="s">
        <v>350</v>
      </c>
      <c r="O1264" s="26">
        <v>87</v>
      </c>
      <c r="P1264" s="26" t="s">
        <v>293</v>
      </c>
    </row>
    <row r="1265" spans="1:16" x14ac:dyDescent="0.3">
      <c r="A1265" s="24">
        <v>41</v>
      </c>
      <c r="B1265" s="102">
        <v>46091.367372685185</v>
      </c>
      <c r="C1265" s="25" t="s">
        <v>356</v>
      </c>
      <c r="D1265" s="103" t="s">
        <v>122</v>
      </c>
      <c r="E1265" s="26">
        <v>47</v>
      </c>
      <c r="F1265" s="26" t="s">
        <v>293</v>
      </c>
      <c r="K1265" s="24">
        <v>41</v>
      </c>
      <c r="L1265" s="102">
        <v>46091.367372685185</v>
      </c>
      <c r="M1265" s="25" t="s">
        <v>357</v>
      </c>
      <c r="N1265" s="103" t="s">
        <v>122</v>
      </c>
      <c r="O1265" s="26">
        <v>224</v>
      </c>
      <c r="P1265" s="26" t="s">
        <v>293</v>
      </c>
    </row>
    <row r="1266" spans="1:16" x14ac:dyDescent="0.3">
      <c r="A1266" s="24">
        <v>41</v>
      </c>
      <c r="B1266" s="102">
        <v>46091.367372685185</v>
      </c>
      <c r="C1266" s="25" t="s">
        <v>356</v>
      </c>
      <c r="D1266" s="103" t="s">
        <v>124</v>
      </c>
      <c r="E1266" s="26">
        <v>31</v>
      </c>
      <c r="F1266" s="26" t="s">
        <v>293</v>
      </c>
      <c r="K1266" s="24">
        <v>41</v>
      </c>
      <c r="L1266" s="102">
        <v>46091.367372685185</v>
      </c>
      <c r="M1266" s="25" t="s">
        <v>357</v>
      </c>
      <c r="N1266" s="103" t="s">
        <v>124</v>
      </c>
      <c r="O1266" s="26">
        <v>103</v>
      </c>
      <c r="P1266" s="26" t="s">
        <v>293</v>
      </c>
    </row>
    <row r="1267" spans="1:16" x14ac:dyDescent="0.3">
      <c r="A1267" s="24">
        <v>41</v>
      </c>
      <c r="B1267" s="102">
        <v>46091.367372685185</v>
      </c>
      <c r="C1267" s="25" t="s">
        <v>356</v>
      </c>
      <c r="D1267" s="103" t="s">
        <v>351</v>
      </c>
      <c r="E1267" s="26">
        <v>0.93</v>
      </c>
      <c r="F1267" s="26" t="s">
        <v>293</v>
      </c>
      <c r="K1267" s="24">
        <v>41</v>
      </c>
      <c r="L1267" s="102">
        <v>46091.367372685185</v>
      </c>
      <c r="M1267" s="25" t="s">
        <v>357</v>
      </c>
      <c r="N1267" s="103" t="s">
        <v>351</v>
      </c>
      <c r="O1267" s="26">
        <v>3.6</v>
      </c>
      <c r="P1267" s="26" t="s">
        <v>293</v>
      </c>
    </row>
    <row r="1268" spans="1:16" x14ac:dyDescent="0.3">
      <c r="A1268" s="24">
        <v>41</v>
      </c>
      <c r="B1268" s="102">
        <v>46091.367372685185</v>
      </c>
      <c r="C1268" s="25" t="s">
        <v>356</v>
      </c>
      <c r="D1268" s="103" t="s">
        <v>353</v>
      </c>
      <c r="E1268" s="26">
        <v>35.5</v>
      </c>
      <c r="F1268" s="26" t="s">
        <v>293</v>
      </c>
      <c r="K1268" s="24">
        <v>41</v>
      </c>
      <c r="L1268" s="102">
        <v>46091.367372685185</v>
      </c>
      <c r="M1268" s="25" t="s">
        <v>357</v>
      </c>
      <c r="N1268" s="103" t="s">
        <v>353</v>
      </c>
      <c r="O1268" s="26">
        <v>20.7</v>
      </c>
      <c r="P1268" s="26" t="s">
        <v>293</v>
      </c>
    </row>
    <row r="1269" spans="1:16" x14ac:dyDescent="0.3">
      <c r="A1269" s="24">
        <v>41</v>
      </c>
      <c r="B1269" s="102">
        <v>46091.367372685185</v>
      </c>
      <c r="C1269" s="25" t="s">
        <v>356</v>
      </c>
      <c r="D1269" s="103" t="s">
        <v>133</v>
      </c>
      <c r="E1269" s="26">
        <v>145</v>
      </c>
      <c r="F1269" s="26" t="s">
        <v>293</v>
      </c>
      <c r="K1269" s="24">
        <v>41</v>
      </c>
      <c r="L1269" s="102">
        <v>46091.367372685185</v>
      </c>
      <c r="M1269" s="25" t="s">
        <v>357</v>
      </c>
      <c r="N1269" s="103" t="s">
        <v>133</v>
      </c>
      <c r="O1269" s="26">
        <v>127</v>
      </c>
      <c r="P1269" s="26" t="s">
        <v>293</v>
      </c>
    </row>
    <row r="1270" spans="1:16" x14ac:dyDescent="0.3">
      <c r="A1270" s="24">
        <v>41</v>
      </c>
      <c r="B1270" s="102">
        <v>46091.367372685185</v>
      </c>
      <c r="C1270" s="25" t="s">
        <v>356</v>
      </c>
      <c r="D1270" s="103" t="s">
        <v>135</v>
      </c>
      <c r="E1270" s="26">
        <v>3.8</v>
      </c>
      <c r="F1270" s="26" t="s">
        <v>293</v>
      </c>
      <c r="K1270" s="24">
        <v>41</v>
      </c>
      <c r="L1270" s="102">
        <v>46091.367372685185</v>
      </c>
      <c r="M1270" s="25" t="s">
        <v>357</v>
      </c>
      <c r="N1270" s="103" t="s">
        <v>135</v>
      </c>
      <c r="O1270" s="26">
        <v>6.5</v>
      </c>
      <c r="P1270" s="26" t="s">
        <v>293</v>
      </c>
    </row>
    <row r="1271" spans="1:16" x14ac:dyDescent="0.3">
      <c r="A1271" s="24">
        <v>41</v>
      </c>
      <c r="B1271" s="102">
        <v>46091.367372685185</v>
      </c>
      <c r="C1271" s="25" t="s">
        <v>356</v>
      </c>
      <c r="D1271" s="103" t="s">
        <v>136</v>
      </c>
      <c r="E1271" s="26">
        <v>118</v>
      </c>
      <c r="F1271" s="26" t="s">
        <v>293</v>
      </c>
      <c r="K1271" s="24">
        <v>41</v>
      </c>
      <c r="L1271" s="102">
        <v>46091.367372685185</v>
      </c>
      <c r="M1271" s="25" t="s">
        <v>357</v>
      </c>
      <c r="N1271" s="103" t="s">
        <v>136</v>
      </c>
      <c r="O1271" s="26">
        <v>97</v>
      </c>
      <c r="P1271" s="26" t="s">
        <v>293</v>
      </c>
    </row>
    <row r="1272" spans="1:16" x14ac:dyDescent="0.3">
      <c r="A1272" s="24">
        <v>42</v>
      </c>
      <c r="B1272" s="102">
        <v>46092.34003472222</v>
      </c>
      <c r="C1272" s="25" t="s">
        <v>356</v>
      </c>
      <c r="D1272" s="103" t="s">
        <v>339</v>
      </c>
      <c r="E1272" s="26">
        <v>4.62</v>
      </c>
      <c r="F1272" s="26" t="s">
        <v>293</v>
      </c>
      <c r="K1272" s="24">
        <v>42</v>
      </c>
      <c r="L1272" s="102">
        <v>46092.34003472222</v>
      </c>
      <c r="M1272" s="25" t="s">
        <v>357</v>
      </c>
      <c r="N1272" s="103" t="s">
        <v>339</v>
      </c>
      <c r="O1272" s="26">
        <v>1.19</v>
      </c>
      <c r="P1272" s="26" t="s">
        <v>293</v>
      </c>
    </row>
    <row r="1273" spans="1:16" x14ac:dyDescent="0.3">
      <c r="A1273" s="24">
        <v>42</v>
      </c>
      <c r="B1273" s="102">
        <v>46092.34003472222</v>
      </c>
      <c r="C1273" s="25" t="s">
        <v>356</v>
      </c>
      <c r="D1273" s="103" t="s">
        <v>118</v>
      </c>
      <c r="E1273" s="26">
        <v>4.5</v>
      </c>
      <c r="F1273" s="26" t="s">
        <v>293</v>
      </c>
      <c r="K1273" s="24">
        <v>42</v>
      </c>
      <c r="L1273" s="102">
        <v>46092.34003472222</v>
      </c>
      <c r="M1273" s="25" t="s">
        <v>357</v>
      </c>
      <c r="N1273" s="103" t="s">
        <v>118</v>
      </c>
      <c r="O1273" s="26">
        <v>9.5</v>
      </c>
      <c r="P1273" s="26" t="s">
        <v>293</v>
      </c>
    </row>
    <row r="1274" spans="1:16" x14ac:dyDescent="0.3">
      <c r="A1274" s="24">
        <v>42</v>
      </c>
      <c r="B1274" s="102">
        <v>46092.34003472222</v>
      </c>
      <c r="C1274" s="25" t="s">
        <v>356</v>
      </c>
      <c r="D1274" s="103" t="s">
        <v>130</v>
      </c>
      <c r="E1274" s="26">
        <v>3.85</v>
      </c>
      <c r="F1274" s="26" t="s">
        <v>293</v>
      </c>
      <c r="K1274" s="24">
        <v>42</v>
      </c>
      <c r="L1274" s="102">
        <v>46092.34003472222</v>
      </c>
      <c r="M1274" s="25" t="s">
        <v>357</v>
      </c>
      <c r="N1274" s="103" t="s">
        <v>130</v>
      </c>
      <c r="O1274" s="26">
        <v>2.4900000000000002</v>
      </c>
      <c r="P1274" s="26" t="s">
        <v>293</v>
      </c>
    </row>
    <row r="1275" spans="1:16" x14ac:dyDescent="0.3">
      <c r="A1275" s="24">
        <v>42</v>
      </c>
      <c r="B1275" s="102">
        <v>46092.34003472222</v>
      </c>
      <c r="C1275" s="25" t="s">
        <v>356</v>
      </c>
      <c r="D1275" s="103" t="s">
        <v>341</v>
      </c>
      <c r="E1275" s="26">
        <v>0.29399999999999998</v>
      </c>
      <c r="F1275" s="26" t="s">
        <v>293</v>
      </c>
      <c r="K1275" s="24">
        <v>42</v>
      </c>
      <c r="L1275" s="102">
        <v>46092.34003472222</v>
      </c>
      <c r="M1275" s="25" t="s">
        <v>357</v>
      </c>
      <c r="N1275" s="103" t="s">
        <v>341</v>
      </c>
      <c r="O1275" s="26">
        <v>1.08</v>
      </c>
      <c r="P1275" s="26" t="s">
        <v>293</v>
      </c>
    </row>
    <row r="1276" spans="1:16" x14ac:dyDescent="0.3">
      <c r="A1276" s="24">
        <v>42</v>
      </c>
      <c r="B1276" s="102">
        <v>46092.34003472222</v>
      </c>
      <c r="C1276" s="25" t="s">
        <v>356</v>
      </c>
      <c r="D1276" s="103" t="s">
        <v>127</v>
      </c>
      <c r="E1276" s="26">
        <v>1.173</v>
      </c>
      <c r="F1276" s="26" t="s">
        <v>293</v>
      </c>
      <c r="K1276" s="24">
        <v>42</v>
      </c>
      <c r="L1276" s="102">
        <v>46092.34003472222</v>
      </c>
      <c r="M1276" s="25" t="s">
        <v>357</v>
      </c>
      <c r="N1276" s="103" t="s">
        <v>127</v>
      </c>
      <c r="O1276" s="26">
        <v>4.5410000000000004</v>
      </c>
      <c r="P1276" s="26" t="s">
        <v>293</v>
      </c>
    </row>
    <row r="1277" spans="1:16" x14ac:dyDescent="0.3">
      <c r="A1277" s="24">
        <v>42</v>
      </c>
      <c r="B1277" s="102">
        <v>46092.34003472222</v>
      </c>
      <c r="C1277" s="25" t="s">
        <v>356</v>
      </c>
      <c r="D1277" s="103" t="s">
        <v>131</v>
      </c>
      <c r="E1277" s="26">
        <v>8.5</v>
      </c>
      <c r="F1277" s="26" t="s">
        <v>293</v>
      </c>
      <c r="K1277" s="24">
        <v>42</v>
      </c>
      <c r="L1277" s="102">
        <v>46092.34003472222</v>
      </c>
      <c r="M1277" s="25" t="s">
        <v>357</v>
      </c>
      <c r="N1277" s="103" t="s">
        <v>131</v>
      </c>
      <c r="O1277" s="26">
        <v>11.7</v>
      </c>
      <c r="P1277" s="26" t="s">
        <v>293</v>
      </c>
    </row>
    <row r="1278" spans="1:16" x14ac:dyDescent="0.3">
      <c r="A1278" s="24">
        <v>42</v>
      </c>
      <c r="B1278" s="102">
        <v>46092.34003472222</v>
      </c>
      <c r="C1278" s="25" t="s">
        <v>356</v>
      </c>
      <c r="D1278" s="103" t="s">
        <v>342</v>
      </c>
      <c r="E1278" s="26">
        <v>347</v>
      </c>
      <c r="F1278" s="26" t="s">
        <v>293</v>
      </c>
      <c r="K1278" s="24">
        <v>42</v>
      </c>
      <c r="L1278" s="102">
        <v>46092.34003472222</v>
      </c>
      <c r="M1278" s="25" t="s">
        <v>357</v>
      </c>
      <c r="N1278" s="103" t="s">
        <v>342</v>
      </c>
      <c r="O1278" s="26">
        <v>200</v>
      </c>
      <c r="P1278" s="26" t="s">
        <v>293</v>
      </c>
    </row>
    <row r="1279" spans="1:16" x14ac:dyDescent="0.3">
      <c r="A1279" s="24">
        <v>42</v>
      </c>
      <c r="B1279" s="102">
        <v>46092.34003472222</v>
      </c>
      <c r="C1279" s="25" t="s">
        <v>356</v>
      </c>
      <c r="D1279" s="103" t="s">
        <v>119</v>
      </c>
      <c r="E1279" s="26">
        <v>237</v>
      </c>
      <c r="F1279" s="26" t="s">
        <v>293</v>
      </c>
      <c r="K1279" s="24">
        <v>42</v>
      </c>
      <c r="L1279" s="102">
        <v>46092.34003472222</v>
      </c>
      <c r="M1279" s="25" t="s">
        <v>357</v>
      </c>
      <c r="N1279" s="103" t="s">
        <v>119</v>
      </c>
      <c r="O1279" s="26">
        <v>87</v>
      </c>
      <c r="P1279" s="26" t="s">
        <v>293</v>
      </c>
    </row>
    <row r="1280" spans="1:16" x14ac:dyDescent="0.3">
      <c r="A1280" s="24">
        <v>42</v>
      </c>
      <c r="B1280" s="102">
        <v>46092.34003472222</v>
      </c>
      <c r="C1280" s="25" t="s">
        <v>356</v>
      </c>
      <c r="D1280" s="103" t="s">
        <v>120</v>
      </c>
      <c r="E1280" s="26">
        <v>78</v>
      </c>
      <c r="F1280" s="26" t="s">
        <v>293</v>
      </c>
      <c r="K1280" s="24">
        <v>42</v>
      </c>
      <c r="L1280" s="102">
        <v>46092.34003472222</v>
      </c>
      <c r="M1280" s="25" t="s">
        <v>357</v>
      </c>
      <c r="N1280" s="103" t="s">
        <v>120</v>
      </c>
      <c r="O1280" s="26">
        <v>27</v>
      </c>
      <c r="P1280" s="26" t="s">
        <v>293</v>
      </c>
    </row>
    <row r="1281" spans="1:16" x14ac:dyDescent="0.3">
      <c r="A1281" s="24">
        <v>42</v>
      </c>
      <c r="B1281" s="102">
        <v>46092.34003472222</v>
      </c>
      <c r="C1281" s="25" t="s">
        <v>356</v>
      </c>
      <c r="D1281" s="103" t="s">
        <v>117</v>
      </c>
      <c r="E1281" s="26">
        <v>2.71</v>
      </c>
      <c r="F1281" s="26" t="s">
        <v>293</v>
      </c>
      <c r="K1281" s="24">
        <v>42</v>
      </c>
      <c r="L1281" s="102">
        <v>46092.34003472222</v>
      </c>
      <c r="M1281" s="25" t="s">
        <v>357</v>
      </c>
      <c r="N1281" s="103" t="s">
        <v>117</v>
      </c>
      <c r="O1281" s="26">
        <v>6.41</v>
      </c>
      <c r="P1281" s="26" t="s">
        <v>293</v>
      </c>
    </row>
    <row r="1282" spans="1:16" x14ac:dyDescent="0.3">
      <c r="A1282" s="24">
        <v>42</v>
      </c>
      <c r="B1282" s="102">
        <v>46092.34003472222</v>
      </c>
      <c r="C1282" s="25" t="s">
        <v>356</v>
      </c>
      <c r="D1282" s="103" t="s">
        <v>344</v>
      </c>
      <c r="E1282" s="26">
        <v>235</v>
      </c>
      <c r="F1282" s="26" t="s">
        <v>293</v>
      </c>
      <c r="K1282" s="24">
        <v>42</v>
      </c>
      <c r="L1282" s="102">
        <v>46092.34003472222</v>
      </c>
      <c r="M1282" s="25" t="s">
        <v>357</v>
      </c>
      <c r="N1282" s="103" t="s">
        <v>344</v>
      </c>
      <c r="O1282" s="26">
        <v>70</v>
      </c>
      <c r="P1282" s="26" t="s">
        <v>293</v>
      </c>
    </row>
    <row r="1283" spans="1:16" x14ac:dyDescent="0.3">
      <c r="A1283" s="24">
        <v>42</v>
      </c>
      <c r="B1283" s="102">
        <v>46092.34003472222</v>
      </c>
      <c r="C1283" s="25" t="s">
        <v>356</v>
      </c>
      <c r="D1283" s="103" t="s">
        <v>132</v>
      </c>
      <c r="E1283" s="26">
        <v>3.43</v>
      </c>
      <c r="F1283" s="26" t="s">
        <v>293</v>
      </c>
      <c r="K1283" s="24">
        <v>42</v>
      </c>
      <c r="L1283" s="102">
        <v>46092.34003472222</v>
      </c>
      <c r="M1283" s="25" t="s">
        <v>357</v>
      </c>
      <c r="N1283" s="103" t="s">
        <v>132</v>
      </c>
      <c r="O1283" s="26">
        <v>7.23</v>
      </c>
      <c r="P1283" s="26" t="s">
        <v>293</v>
      </c>
    </row>
    <row r="1284" spans="1:16" x14ac:dyDescent="0.3">
      <c r="A1284" s="24">
        <v>42</v>
      </c>
      <c r="B1284" s="102">
        <v>46092.34003472222</v>
      </c>
      <c r="C1284" s="25" t="s">
        <v>356</v>
      </c>
      <c r="D1284" s="103" t="s">
        <v>111</v>
      </c>
      <c r="E1284" s="26">
        <v>89</v>
      </c>
      <c r="F1284" s="26" t="s">
        <v>293</v>
      </c>
      <c r="K1284" s="24">
        <v>42</v>
      </c>
      <c r="L1284" s="102">
        <v>46092.34003472222</v>
      </c>
      <c r="M1284" s="25" t="s">
        <v>357</v>
      </c>
      <c r="N1284" s="103" t="s">
        <v>111</v>
      </c>
      <c r="O1284" s="26">
        <v>288</v>
      </c>
      <c r="P1284" s="26" t="s">
        <v>293</v>
      </c>
    </row>
    <row r="1285" spans="1:16" x14ac:dyDescent="0.3">
      <c r="A1285" s="24">
        <v>42</v>
      </c>
      <c r="B1285" s="102">
        <v>46092.34003472222</v>
      </c>
      <c r="C1285" s="25" t="s">
        <v>356</v>
      </c>
      <c r="D1285" s="103" t="s">
        <v>345</v>
      </c>
      <c r="E1285" s="26">
        <v>5</v>
      </c>
      <c r="F1285" s="26" t="s">
        <v>293</v>
      </c>
      <c r="K1285" s="24">
        <v>42</v>
      </c>
      <c r="L1285" s="102">
        <v>46092.34003472222</v>
      </c>
      <c r="M1285" s="25" t="s">
        <v>357</v>
      </c>
      <c r="N1285" s="103" t="s">
        <v>345</v>
      </c>
      <c r="O1285" s="26">
        <v>10.119999999999999</v>
      </c>
      <c r="P1285" s="26" t="s">
        <v>293</v>
      </c>
    </row>
    <row r="1286" spans="1:16" x14ac:dyDescent="0.3">
      <c r="A1286" s="24">
        <v>42</v>
      </c>
      <c r="B1286" s="102">
        <v>46092.34003472222</v>
      </c>
      <c r="C1286" s="25" t="s">
        <v>356</v>
      </c>
      <c r="D1286" s="103" t="s">
        <v>347</v>
      </c>
      <c r="E1286" s="26">
        <v>1.89</v>
      </c>
      <c r="F1286" s="26" t="s">
        <v>293</v>
      </c>
      <c r="K1286" s="24">
        <v>42</v>
      </c>
      <c r="L1286" s="102">
        <v>46092.34003472222</v>
      </c>
      <c r="M1286" s="25" t="s">
        <v>357</v>
      </c>
      <c r="N1286" s="103" t="s">
        <v>347</v>
      </c>
      <c r="O1286" s="26">
        <v>4.3099999999999996</v>
      </c>
      <c r="P1286" s="26" t="s">
        <v>293</v>
      </c>
    </row>
    <row r="1287" spans="1:16" x14ac:dyDescent="0.3">
      <c r="A1287" s="24">
        <v>42</v>
      </c>
      <c r="B1287" s="102">
        <v>46092.34003472222</v>
      </c>
      <c r="C1287" s="25" t="s">
        <v>356</v>
      </c>
      <c r="D1287" s="103" t="s">
        <v>128</v>
      </c>
      <c r="E1287" s="26">
        <v>6.9</v>
      </c>
      <c r="F1287" s="26" t="s">
        <v>293</v>
      </c>
      <c r="K1287" s="24">
        <v>42</v>
      </c>
      <c r="L1287" s="102">
        <v>46092.34003472222</v>
      </c>
      <c r="M1287" s="25" t="s">
        <v>357</v>
      </c>
      <c r="N1287" s="103" t="s">
        <v>128</v>
      </c>
      <c r="O1287" s="26">
        <v>4.3</v>
      </c>
      <c r="P1287" s="26" t="s">
        <v>293</v>
      </c>
    </row>
    <row r="1288" spans="1:16" x14ac:dyDescent="0.3">
      <c r="A1288" s="24">
        <v>42</v>
      </c>
      <c r="B1288" s="102">
        <v>46092.34003472222</v>
      </c>
      <c r="C1288" s="25" t="s">
        <v>356</v>
      </c>
      <c r="D1288" s="103" t="s">
        <v>121</v>
      </c>
      <c r="E1288" s="26">
        <v>159</v>
      </c>
      <c r="F1288" s="26" t="s">
        <v>293</v>
      </c>
      <c r="K1288" s="24">
        <v>42</v>
      </c>
      <c r="L1288" s="102">
        <v>46092.34003472222</v>
      </c>
      <c r="M1288" s="25" t="s">
        <v>357</v>
      </c>
      <c r="N1288" s="103" t="s">
        <v>121</v>
      </c>
      <c r="O1288" s="26">
        <v>76</v>
      </c>
      <c r="P1288" s="26" t="s">
        <v>293</v>
      </c>
    </row>
    <row r="1289" spans="1:16" x14ac:dyDescent="0.3">
      <c r="A1289" s="24">
        <v>42</v>
      </c>
      <c r="B1289" s="102">
        <v>46092.34003472222</v>
      </c>
      <c r="C1289" s="25" t="s">
        <v>356</v>
      </c>
      <c r="D1289" s="103" t="s">
        <v>115</v>
      </c>
      <c r="E1289" s="26">
        <v>33</v>
      </c>
      <c r="F1289" s="26" t="s">
        <v>293</v>
      </c>
      <c r="K1289" s="24">
        <v>42</v>
      </c>
      <c r="L1289" s="102">
        <v>46092.34003472222</v>
      </c>
      <c r="M1289" s="25" t="s">
        <v>357</v>
      </c>
      <c r="N1289" s="103" t="s">
        <v>115</v>
      </c>
      <c r="O1289" s="26">
        <v>97</v>
      </c>
      <c r="P1289" s="26" t="s">
        <v>293</v>
      </c>
    </row>
    <row r="1290" spans="1:16" x14ac:dyDescent="0.3">
      <c r="A1290" s="24">
        <v>42</v>
      </c>
      <c r="B1290" s="102">
        <v>46092.34003472222</v>
      </c>
      <c r="C1290" s="25" t="s">
        <v>356</v>
      </c>
      <c r="D1290" s="103" t="s">
        <v>137</v>
      </c>
      <c r="E1290" s="26">
        <v>74</v>
      </c>
      <c r="F1290" s="26" t="s">
        <v>293</v>
      </c>
      <c r="K1290" s="24">
        <v>42</v>
      </c>
      <c r="L1290" s="102">
        <v>46092.34003472222</v>
      </c>
      <c r="M1290" s="25" t="s">
        <v>357</v>
      </c>
      <c r="N1290" s="103" t="s">
        <v>137</v>
      </c>
      <c r="O1290" s="26">
        <v>484</v>
      </c>
      <c r="P1290" s="26" t="s">
        <v>293</v>
      </c>
    </row>
    <row r="1291" spans="1:16" x14ac:dyDescent="0.3">
      <c r="A1291" s="24">
        <v>42</v>
      </c>
      <c r="B1291" s="102">
        <v>46092.34003472222</v>
      </c>
      <c r="C1291" s="25" t="s">
        <v>356</v>
      </c>
      <c r="D1291" s="103" t="s">
        <v>348</v>
      </c>
      <c r="E1291" s="26">
        <v>137</v>
      </c>
      <c r="F1291" s="26" t="s">
        <v>293</v>
      </c>
      <c r="K1291" s="24">
        <v>42</v>
      </c>
      <c r="L1291" s="102">
        <v>46092.34003472222</v>
      </c>
      <c r="M1291" s="25" t="s">
        <v>357</v>
      </c>
      <c r="N1291" s="103" t="s">
        <v>348</v>
      </c>
      <c r="O1291" s="26">
        <v>430</v>
      </c>
      <c r="P1291" s="26" t="s">
        <v>293</v>
      </c>
    </row>
    <row r="1292" spans="1:16" x14ac:dyDescent="0.3">
      <c r="A1292" s="24">
        <v>42</v>
      </c>
      <c r="B1292" s="102">
        <v>46092.34003472222</v>
      </c>
      <c r="C1292" s="25" t="s">
        <v>356</v>
      </c>
      <c r="D1292" s="103" t="s">
        <v>125</v>
      </c>
      <c r="E1292" s="26">
        <v>117</v>
      </c>
      <c r="F1292" s="26" t="s">
        <v>293</v>
      </c>
      <c r="K1292" s="24">
        <v>42</v>
      </c>
      <c r="L1292" s="102">
        <v>46092.34003472222</v>
      </c>
      <c r="M1292" s="25" t="s">
        <v>357</v>
      </c>
      <c r="N1292" s="103" t="s">
        <v>125</v>
      </c>
      <c r="O1292" s="26">
        <v>429</v>
      </c>
      <c r="P1292" s="26" t="s">
        <v>293</v>
      </c>
    </row>
    <row r="1293" spans="1:16" x14ac:dyDescent="0.3">
      <c r="A1293" s="24">
        <v>42</v>
      </c>
      <c r="B1293" s="102">
        <v>46092.34003472222</v>
      </c>
      <c r="C1293" s="25" t="s">
        <v>356</v>
      </c>
      <c r="D1293" s="103" t="s">
        <v>126</v>
      </c>
      <c r="E1293" s="26">
        <v>80</v>
      </c>
      <c r="F1293" s="26" t="s">
        <v>293</v>
      </c>
      <c r="K1293" s="24">
        <v>42</v>
      </c>
      <c r="L1293" s="102">
        <v>46092.34003472222</v>
      </c>
      <c r="M1293" s="25" t="s">
        <v>357</v>
      </c>
      <c r="N1293" s="103" t="s">
        <v>126</v>
      </c>
      <c r="O1293" s="26">
        <v>149</v>
      </c>
      <c r="P1293" s="26" t="s">
        <v>293</v>
      </c>
    </row>
    <row r="1294" spans="1:16" x14ac:dyDescent="0.3">
      <c r="A1294" s="24">
        <v>42</v>
      </c>
      <c r="B1294" s="102">
        <v>46092.34003472222</v>
      </c>
      <c r="C1294" s="25" t="s">
        <v>356</v>
      </c>
      <c r="D1294" s="103" t="s">
        <v>349</v>
      </c>
      <c r="E1294" s="26">
        <v>155</v>
      </c>
      <c r="F1294" s="26" t="s">
        <v>293</v>
      </c>
      <c r="K1294" s="24">
        <v>42</v>
      </c>
      <c r="L1294" s="102">
        <v>46092.34003472222</v>
      </c>
      <c r="M1294" s="25" t="s">
        <v>357</v>
      </c>
      <c r="N1294" s="103" t="s">
        <v>349</v>
      </c>
      <c r="O1294" s="26">
        <v>370</v>
      </c>
      <c r="P1294" s="26" t="s">
        <v>293</v>
      </c>
    </row>
    <row r="1295" spans="1:16" x14ac:dyDescent="0.3">
      <c r="A1295" s="24">
        <v>42</v>
      </c>
      <c r="B1295" s="102">
        <v>46092.34003472222</v>
      </c>
      <c r="C1295" s="25" t="s">
        <v>356</v>
      </c>
      <c r="D1295" s="103" t="s">
        <v>350</v>
      </c>
      <c r="E1295" s="26">
        <v>59</v>
      </c>
      <c r="F1295" s="26" t="s">
        <v>293</v>
      </c>
      <c r="K1295" s="24">
        <v>42</v>
      </c>
      <c r="L1295" s="102">
        <v>46092.34003472222</v>
      </c>
      <c r="M1295" s="25" t="s">
        <v>357</v>
      </c>
      <c r="N1295" s="103" t="s">
        <v>350</v>
      </c>
      <c r="O1295" s="26">
        <v>86</v>
      </c>
      <c r="P1295" s="26" t="s">
        <v>293</v>
      </c>
    </row>
    <row r="1296" spans="1:16" x14ac:dyDescent="0.3">
      <c r="A1296" s="24">
        <v>42</v>
      </c>
      <c r="B1296" s="102">
        <v>46092.34003472222</v>
      </c>
      <c r="C1296" s="25" t="s">
        <v>356</v>
      </c>
      <c r="D1296" s="103" t="s">
        <v>122</v>
      </c>
      <c r="E1296" s="26">
        <v>47</v>
      </c>
      <c r="F1296" s="26" t="s">
        <v>293</v>
      </c>
      <c r="K1296" s="24">
        <v>42</v>
      </c>
      <c r="L1296" s="102">
        <v>46092.34003472222</v>
      </c>
      <c r="M1296" s="25" t="s">
        <v>357</v>
      </c>
      <c r="N1296" s="103" t="s">
        <v>122</v>
      </c>
      <c r="O1296" s="26">
        <v>217</v>
      </c>
      <c r="P1296" s="26" t="s">
        <v>293</v>
      </c>
    </row>
    <row r="1297" spans="1:16" x14ac:dyDescent="0.3">
      <c r="A1297" s="24">
        <v>42</v>
      </c>
      <c r="B1297" s="102">
        <v>46092.34003472222</v>
      </c>
      <c r="C1297" s="25" t="s">
        <v>356</v>
      </c>
      <c r="D1297" s="103" t="s">
        <v>124</v>
      </c>
      <c r="E1297" s="26">
        <v>30</v>
      </c>
      <c r="F1297" s="26" t="s">
        <v>293</v>
      </c>
      <c r="K1297" s="24">
        <v>42</v>
      </c>
      <c r="L1297" s="102">
        <v>46092.34003472222</v>
      </c>
      <c r="M1297" s="25" t="s">
        <v>357</v>
      </c>
      <c r="N1297" s="103" t="s">
        <v>124</v>
      </c>
      <c r="O1297" s="26">
        <v>102</v>
      </c>
      <c r="P1297" s="26" t="s">
        <v>293</v>
      </c>
    </row>
    <row r="1298" spans="1:16" x14ac:dyDescent="0.3">
      <c r="A1298" s="24">
        <v>42</v>
      </c>
      <c r="B1298" s="102">
        <v>46092.34003472222</v>
      </c>
      <c r="C1298" s="25" t="s">
        <v>356</v>
      </c>
      <c r="D1298" s="103" t="s">
        <v>351</v>
      </c>
      <c r="E1298" s="26">
        <v>0.94</v>
      </c>
      <c r="F1298" s="26" t="s">
        <v>293</v>
      </c>
      <c r="K1298" s="24">
        <v>42</v>
      </c>
      <c r="L1298" s="102">
        <v>46092.34003472222</v>
      </c>
      <c r="M1298" s="25" t="s">
        <v>357</v>
      </c>
      <c r="N1298" s="103" t="s">
        <v>351</v>
      </c>
      <c r="O1298" s="26">
        <v>3.6</v>
      </c>
      <c r="P1298" s="26" t="s">
        <v>293</v>
      </c>
    </row>
    <row r="1299" spans="1:16" x14ac:dyDescent="0.3">
      <c r="A1299" s="24">
        <v>42</v>
      </c>
      <c r="B1299" s="102">
        <v>46092.34003472222</v>
      </c>
      <c r="C1299" s="25" t="s">
        <v>356</v>
      </c>
      <c r="D1299" s="103" t="s">
        <v>353</v>
      </c>
      <c r="E1299" s="26">
        <v>33.5</v>
      </c>
      <c r="F1299" s="26" t="s">
        <v>293</v>
      </c>
      <c r="K1299" s="24">
        <v>42</v>
      </c>
      <c r="L1299" s="102">
        <v>46092.34003472222</v>
      </c>
      <c r="M1299" s="25" t="s">
        <v>357</v>
      </c>
      <c r="N1299" s="103" t="s">
        <v>353</v>
      </c>
      <c r="O1299" s="26">
        <v>22.3</v>
      </c>
      <c r="P1299" s="26" t="s">
        <v>293</v>
      </c>
    </row>
    <row r="1300" spans="1:16" x14ac:dyDescent="0.3">
      <c r="A1300" s="24">
        <v>42</v>
      </c>
      <c r="B1300" s="102">
        <v>46092.34003472222</v>
      </c>
      <c r="C1300" s="25" t="s">
        <v>356</v>
      </c>
      <c r="D1300" s="103" t="s">
        <v>133</v>
      </c>
      <c r="E1300" s="26">
        <v>147</v>
      </c>
      <c r="F1300" s="26" t="s">
        <v>293</v>
      </c>
      <c r="K1300" s="24">
        <v>42</v>
      </c>
      <c r="L1300" s="102">
        <v>46092.34003472222</v>
      </c>
      <c r="M1300" s="25" t="s">
        <v>357</v>
      </c>
      <c r="N1300" s="103" t="s">
        <v>133</v>
      </c>
      <c r="O1300" s="26">
        <v>126</v>
      </c>
      <c r="P1300" s="26" t="s">
        <v>293</v>
      </c>
    </row>
    <row r="1301" spans="1:16" x14ac:dyDescent="0.3">
      <c r="A1301" s="24">
        <v>42</v>
      </c>
      <c r="B1301" s="102">
        <v>46092.34003472222</v>
      </c>
      <c r="C1301" s="25" t="s">
        <v>356</v>
      </c>
      <c r="D1301" s="103" t="s">
        <v>135</v>
      </c>
      <c r="E1301" s="26">
        <v>3.9</v>
      </c>
      <c r="F1301" s="26" t="s">
        <v>293</v>
      </c>
      <c r="K1301" s="24">
        <v>42</v>
      </c>
      <c r="L1301" s="102">
        <v>46092.34003472222</v>
      </c>
      <c r="M1301" s="25" t="s">
        <v>357</v>
      </c>
      <c r="N1301" s="103" t="s">
        <v>135</v>
      </c>
      <c r="O1301" s="26">
        <v>6.6</v>
      </c>
      <c r="P1301" s="26" t="s">
        <v>293</v>
      </c>
    </row>
    <row r="1302" spans="1:16" x14ac:dyDescent="0.3">
      <c r="A1302" s="24">
        <v>42</v>
      </c>
      <c r="B1302" s="102">
        <v>46092.34003472222</v>
      </c>
      <c r="C1302" s="25" t="s">
        <v>356</v>
      </c>
      <c r="D1302" s="103" t="s">
        <v>136</v>
      </c>
      <c r="E1302" s="26">
        <v>117</v>
      </c>
      <c r="F1302" s="26" t="s">
        <v>293</v>
      </c>
      <c r="K1302" s="24">
        <v>42</v>
      </c>
      <c r="L1302" s="102">
        <v>46092.34003472222</v>
      </c>
      <c r="M1302" s="25" t="s">
        <v>357</v>
      </c>
      <c r="N1302" s="103" t="s">
        <v>136</v>
      </c>
      <c r="O1302" s="26">
        <v>95</v>
      </c>
      <c r="P1302" s="26" t="s">
        <v>293</v>
      </c>
    </row>
    <row r="1303" spans="1:16" x14ac:dyDescent="0.3">
      <c r="A1303" s="24">
        <v>43</v>
      </c>
      <c r="B1303" s="102">
        <v>46093.278101851851</v>
      </c>
      <c r="C1303" s="25" t="s">
        <v>356</v>
      </c>
      <c r="D1303" s="103" t="s">
        <v>339</v>
      </c>
      <c r="E1303" s="26">
        <v>4.71</v>
      </c>
      <c r="F1303" s="26" t="s">
        <v>293</v>
      </c>
      <c r="K1303" s="24">
        <v>43</v>
      </c>
      <c r="L1303" s="102">
        <v>46093.278101851851</v>
      </c>
      <c r="M1303" s="25" t="s">
        <v>357</v>
      </c>
      <c r="N1303" s="103" t="s">
        <v>339</v>
      </c>
      <c r="O1303" s="26">
        <v>1.2</v>
      </c>
      <c r="P1303" s="26" t="s">
        <v>293</v>
      </c>
    </row>
    <row r="1304" spans="1:16" x14ac:dyDescent="0.3">
      <c r="A1304" s="24">
        <v>43</v>
      </c>
      <c r="B1304" s="102">
        <v>46093.278101851851</v>
      </c>
      <c r="C1304" s="25" t="s">
        <v>356</v>
      </c>
      <c r="D1304" s="103" t="s">
        <v>118</v>
      </c>
      <c r="E1304" s="26">
        <v>4.5999999999999996</v>
      </c>
      <c r="F1304" s="26" t="s">
        <v>293</v>
      </c>
      <c r="K1304" s="24">
        <v>43</v>
      </c>
      <c r="L1304" s="102">
        <v>46093.278101851851</v>
      </c>
      <c r="M1304" s="25" t="s">
        <v>357</v>
      </c>
      <c r="N1304" s="103" t="s">
        <v>118</v>
      </c>
      <c r="O1304" s="26">
        <v>9.6</v>
      </c>
      <c r="P1304" s="26" t="s">
        <v>293</v>
      </c>
    </row>
    <row r="1305" spans="1:16" x14ac:dyDescent="0.3">
      <c r="A1305" s="24">
        <v>43</v>
      </c>
      <c r="B1305" s="102">
        <v>46093.278101851851</v>
      </c>
      <c r="C1305" s="25" t="s">
        <v>356</v>
      </c>
      <c r="D1305" s="103" t="s">
        <v>130</v>
      </c>
      <c r="E1305" s="26">
        <v>3.84</v>
      </c>
      <c r="F1305" s="26" t="s">
        <v>293</v>
      </c>
      <c r="K1305" s="24">
        <v>43</v>
      </c>
      <c r="L1305" s="102">
        <v>46093.278101851851</v>
      </c>
      <c r="M1305" s="25" t="s">
        <v>357</v>
      </c>
      <c r="N1305" s="103" t="s">
        <v>130</v>
      </c>
      <c r="O1305" s="26">
        <v>2.39</v>
      </c>
      <c r="P1305" s="26" t="s">
        <v>293</v>
      </c>
    </row>
    <row r="1306" spans="1:16" x14ac:dyDescent="0.3">
      <c r="A1306" s="24">
        <v>43</v>
      </c>
      <c r="B1306" s="102">
        <v>46093.278101851851</v>
      </c>
      <c r="C1306" s="25" t="s">
        <v>356</v>
      </c>
      <c r="D1306" s="103" t="s">
        <v>341</v>
      </c>
      <c r="E1306" s="26">
        <v>0.29699999999999999</v>
      </c>
      <c r="F1306" s="26" t="s">
        <v>293</v>
      </c>
      <c r="K1306" s="24">
        <v>43</v>
      </c>
      <c r="L1306" s="102">
        <v>46093.278101851851</v>
      </c>
      <c r="M1306" s="25" t="s">
        <v>357</v>
      </c>
      <c r="N1306" s="103" t="s">
        <v>341</v>
      </c>
      <c r="O1306" s="26">
        <v>1.1040000000000001</v>
      </c>
      <c r="P1306" s="26" t="s">
        <v>293</v>
      </c>
    </row>
    <row r="1307" spans="1:16" x14ac:dyDescent="0.3">
      <c r="A1307" s="24">
        <v>43</v>
      </c>
      <c r="B1307" s="102">
        <v>46093.278101851851</v>
      </c>
      <c r="C1307" s="25" t="s">
        <v>356</v>
      </c>
      <c r="D1307" s="103" t="s">
        <v>127</v>
      </c>
      <c r="E1307" s="26">
        <v>1.1419999999999999</v>
      </c>
      <c r="F1307" s="26" t="s">
        <v>293</v>
      </c>
      <c r="K1307" s="24">
        <v>43</v>
      </c>
      <c r="L1307" s="102">
        <v>46093.278101851851</v>
      </c>
      <c r="M1307" s="25" t="s">
        <v>357</v>
      </c>
      <c r="N1307" s="103" t="s">
        <v>127</v>
      </c>
      <c r="O1307" s="26">
        <v>4.58</v>
      </c>
      <c r="P1307" s="26" t="s">
        <v>293</v>
      </c>
    </row>
    <row r="1308" spans="1:16" x14ac:dyDescent="0.3">
      <c r="A1308" s="24">
        <v>43</v>
      </c>
      <c r="B1308" s="102">
        <v>46093.278101851851</v>
      </c>
      <c r="C1308" s="25" t="s">
        <v>356</v>
      </c>
      <c r="D1308" s="103" t="s">
        <v>131</v>
      </c>
      <c r="E1308" s="26">
        <v>8.8000000000000007</v>
      </c>
      <c r="F1308" s="26" t="s">
        <v>293</v>
      </c>
      <c r="K1308" s="24">
        <v>43</v>
      </c>
      <c r="L1308" s="102">
        <v>46093.278101851851</v>
      </c>
      <c r="M1308" s="25" t="s">
        <v>357</v>
      </c>
      <c r="N1308" s="103" t="s">
        <v>131</v>
      </c>
      <c r="O1308" s="26">
        <v>12.1</v>
      </c>
      <c r="P1308" s="26" t="s">
        <v>293</v>
      </c>
    </row>
    <row r="1309" spans="1:16" x14ac:dyDescent="0.3">
      <c r="A1309" s="24">
        <v>43</v>
      </c>
      <c r="B1309" s="102">
        <v>46093.278101851851</v>
      </c>
      <c r="C1309" s="25" t="s">
        <v>356</v>
      </c>
      <c r="D1309" s="103" t="s">
        <v>342</v>
      </c>
      <c r="E1309" s="26">
        <v>330</v>
      </c>
      <c r="F1309" s="26" t="s">
        <v>293</v>
      </c>
      <c r="K1309" s="24">
        <v>43</v>
      </c>
      <c r="L1309" s="102">
        <v>46093.278101851851</v>
      </c>
      <c r="M1309" s="25" t="s">
        <v>357</v>
      </c>
      <c r="N1309" s="103" t="s">
        <v>342</v>
      </c>
      <c r="O1309" s="26">
        <v>202</v>
      </c>
      <c r="P1309" s="26" t="s">
        <v>293</v>
      </c>
    </row>
    <row r="1310" spans="1:16" x14ac:dyDescent="0.3">
      <c r="A1310" s="24">
        <v>43</v>
      </c>
      <c r="B1310" s="102">
        <v>46093.278101851851</v>
      </c>
      <c r="C1310" s="25" t="s">
        <v>356</v>
      </c>
      <c r="D1310" s="103" t="s">
        <v>119</v>
      </c>
      <c r="E1310" s="26">
        <v>237</v>
      </c>
      <c r="F1310" s="26" t="s">
        <v>293</v>
      </c>
      <c r="K1310" s="24">
        <v>43</v>
      </c>
      <c r="L1310" s="102">
        <v>46093.278101851851</v>
      </c>
      <c r="M1310" s="25" t="s">
        <v>357</v>
      </c>
      <c r="N1310" s="103" t="s">
        <v>119</v>
      </c>
      <c r="O1310" s="26">
        <v>89</v>
      </c>
      <c r="P1310" s="26" t="s">
        <v>293</v>
      </c>
    </row>
    <row r="1311" spans="1:16" x14ac:dyDescent="0.3">
      <c r="A1311" s="24">
        <v>43</v>
      </c>
      <c r="B1311" s="102">
        <v>46093.278101851851</v>
      </c>
      <c r="C1311" s="25" t="s">
        <v>356</v>
      </c>
      <c r="D1311" s="103" t="s">
        <v>120</v>
      </c>
      <c r="E1311" s="26">
        <v>77</v>
      </c>
      <c r="F1311" s="26" t="s">
        <v>293</v>
      </c>
      <c r="K1311" s="24">
        <v>43</v>
      </c>
      <c r="L1311" s="102">
        <v>46093.278101851851</v>
      </c>
      <c r="M1311" s="25" t="s">
        <v>357</v>
      </c>
      <c r="N1311" s="103" t="s">
        <v>120</v>
      </c>
      <c r="O1311" s="26">
        <v>27</v>
      </c>
      <c r="P1311" s="26" t="s">
        <v>293</v>
      </c>
    </row>
    <row r="1312" spans="1:16" x14ac:dyDescent="0.3">
      <c r="A1312" s="24">
        <v>43</v>
      </c>
      <c r="B1312" s="102">
        <v>46093.278101851851</v>
      </c>
      <c r="C1312" s="25" t="s">
        <v>356</v>
      </c>
      <c r="D1312" s="103" t="s">
        <v>117</v>
      </c>
      <c r="E1312" s="26">
        <v>2.67</v>
      </c>
      <c r="F1312" s="26" t="s">
        <v>293</v>
      </c>
      <c r="K1312" s="24">
        <v>43</v>
      </c>
      <c r="L1312" s="102">
        <v>46093.278101851851</v>
      </c>
      <c r="M1312" s="25" t="s">
        <v>357</v>
      </c>
      <c r="N1312" s="103" t="s">
        <v>117</v>
      </c>
      <c r="O1312" s="26">
        <v>6.22</v>
      </c>
      <c r="P1312" s="26" t="s">
        <v>293</v>
      </c>
    </row>
    <row r="1313" spans="1:16" x14ac:dyDescent="0.3">
      <c r="A1313" s="24">
        <v>43</v>
      </c>
      <c r="B1313" s="102">
        <v>46093.278101851851</v>
      </c>
      <c r="C1313" s="25" t="s">
        <v>356</v>
      </c>
      <c r="D1313" s="103" t="s">
        <v>344</v>
      </c>
      <c r="E1313" s="26">
        <v>231</v>
      </c>
      <c r="F1313" s="26" t="s">
        <v>293</v>
      </c>
      <c r="K1313" s="24">
        <v>43</v>
      </c>
      <c r="L1313" s="102">
        <v>46093.278101851851</v>
      </c>
      <c r="M1313" s="25" t="s">
        <v>357</v>
      </c>
      <c r="N1313" s="103" t="s">
        <v>344</v>
      </c>
      <c r="O1313" s="26">
        <v>68</v>
      </c>
      <c r="P1313" s="26" t="s">
        <v>293</v>
      </c>
    </row>
    <row r="1314" spans="1:16" x14ac:dyDescent="0.3">
      <c r="A1314" s="24">
        <v>43</v>
      </c>
      <c r="B1314" s="102">
        <v>46093.278101851851</v>
      </c>
      <c r="C1314" s="25" t="s">
        <v>356</v>
      </c>
      <c r="D1314" s="103" t="s">
        <v>132</v>
      </c>
      <c r="E1314" s="26">
        <v>3.49</v>
      </c>
      <c r="F1314" s="26" t="s">
        <v>293</v>
      </c>
      <c r="K1314" s="24">
        <v>43</v>
      </c>
      <c r="L1314" s="102">
        <v>46093.278101851851</v>
      </c>
      <c r="M1314" s="25" t="s">
        <v>357</v>
      </c>
      <c r="N1314" s="103" t="s">
        <v>132</v>
      </c>
      <c r="O1314" s="26">
        <v>7.21</v>
      </c>
      <c r="P1314" s="26" t="s">
        <v>293</v>
      </c>
    </row>
    <row r="1315" spans="1:16" x14ac:dyDescent="0.3">
      <c r="A1315" s="24">
        <v>43</v>
      </c>
      <c r="B1315" s="102">
        <v>46093.278101851851</v>
      </c>
      <c r="C1315" s="25" t="s">
        <v>356</v>
      </c>
      <c r="D1315" s="103" t="s">
        <v>111</v>
      </c>
      <c r="E1315" s="26">
        <v>88</v>
      </c>
      <c r="F1315" s="26" t="s">
        <v>293</v>
      </c>
      <c r="K1315" s="24">
        <v>43</v>
      </c>
      <c r="L1315" s="102">
        <v>46093.278101851851</v>
      </c>
      <c r="M1315" s="25" t="s">
        <v>357</v>
      </c>
      <c r="N1315" s="103" t="s">
        <v>111</v>
      </c>
      <c r="O1315" s="26">
        <v>284</v>
      </c>
      <c r="P1315" s="26" t="s">
        <v>293</v>
      </c>
    </row>
    <row r="1316" spans="1:16" x14ac:dyDescent="0.3">
      <c r="A1316" s="24">
        <v>43</v>
      </c>
      <c r="B1316" s="102">
        <v>46093.278101851851</v>
      </c>
      <c r="C1316" s="25" t="s">
        <v>356</v>
      </c>
      <c r="D1316" s="103" t="s">
        <v>345</v>
      </c>
      <c r="E1316" s="26">
        <v>5.27</v>
      </c>
      <c r="F1316" s="26" t="s">
        <v>293</v>
      </c>
      <c r="K1316" s="24">
        <v>43</v>
      </c>
      <c r="L1316" s="102">
        <v>46093.278101851851</v>
      </c>
      <c r="M1316" s="25" t="s">
        <v>357</v>
      </c>
      <c r="N1316" s="103" t="s">
        <v>345</v>
      </c>
      <c r="O1316" s="26">
        <v>10.039999999999999</v>
      </c>
      <c r="P1316" s="26" t="s">
        <v>293</v>
      </c>
    </row>
    <row r="1317" spans="1:16" x14ac:dyDescent="0.3">
      <c r="A1317" s="24">
        <v>43</v>
      </c>
      <c r="B1317" s="102">
        <v>46093.278101851851</v>
      </c>
      <c r="C1317" s="25" t="s">
        <v>356</v>
      </c>
      <c r="D1317" s="103" t="s">
        <v>347</v>
      </c>
      <c r="E1317" s="26">
        <v>1.99</v>
      </c>
      <c r="F1317" s="26" t="s">
        <v>293</v>
      </c>
      <c r="K1317" s="24">
        <v>43</v>
      </c>
      <c r="L1317" s="102">
        <v>46093.278101851851</v>
      </c>
      <c r="M1317" s="25" t="s">
        <v>357</v>
      </c>
      <c r="N1317" s="103" t="s">
        <v>347</v>
      </c>
      <c r="O1317" s="26">
        <v>4.24</v>
      </c>
      <c r="P1317" s="26" t="s">
        <v>293</v>
      </c>
    </row>
    <row r="1318" spans="1:16" x14ac:dyDescent="0.3">
      <c r="A1318" s="24">
        <v>43</v>
      </c>
      <c r="B1318" s="102">
        <v>46093.278101851851</v>
      </c>
      <c r="C1318" s="25" t="s">
        <v>356</v>
      </c>
      <c r="D1318" s="103" t="s">
        <v>128</v>
      </c>
      <c r="E1318" s="26">
        <v>6.7</v>
      </c>
      <c r="F1318" s="26" t="s">
        <v>293</v>
      </c>
      <c r="K1318" s="24">
        <v>43</v>
      </c>
      <c r="L1318" s="102">
        <v>46093.278101851851</v>
      </c>
      <c r="M1318" s="25" t="s">
        <v>357</v>
      </c>
      <c r="N1318" s="103" t="s">
        <v>128</v>
      </c>
      <c r="O1318" s="26">
        <v>4.3</v>
      </c>
      <c r="P1318" s="26" t="s">
        <v>293</v>
      </c>
    </row>
    <row r="1319" spans="1:16" x14ac:dyDescent="0.3">
      <c r="A1319" s="24">
        <v>43</v>
      </c>
      <c r="B1319" s="102">
        <v>46093.278101851851</v>
      </c>
      <c r="C1319" s="25" t="s">
        <v>356</v>
      </c>
      <c r="D1319" s="103" t="s">
        <v>121</v>
      </c>
      <c r="E1319" s="26">
        <v>161</v>
      </c>
      <c r="F1319" s="26" t="s">
        <v>293</v>
      </c>
      <c r="K1319" s="24">
        <v>43</v>
      </c>
      <c r="L1319" s="102">
        <v>46093.278101851851</v>
      </c>
      <c r="M1319" s="25" t="s">
        <v>357</v>
      </c>
      <c r="N1319" s="103" t="s">
        <v>121</v>
      </c>
      <c r="O1319" s="26">
        <v>78</v>
      </c>
      <c r="P1319" s="26" t="s">
        <v>293</v>
      </c>
    </row>
    <row r="1320" spans="1:16" x14ac:dyDescent="0.3">
      <c r="A1320" s="24">
        <v>43</v>
      </c>
      <c r="B1320" s="102">
        <v>46093.278101851851</v>
      </c>
      <c r="C1320" s="25" t="s">
        <v>356</v>
      </c>
      <c r="D1320" s="103" t="s">
        <v>115</v>
      </c>
      <c r="E1320" s="26">
        <v>35</v>
      </c>
      <c r="F1320" s="26" t="s">
        <v>293</v>
      </c>
      <c r="K1320" s="24">
        <v>43</v>
      </c>
      <c r="L1320" s="102">
        <v>46093.278101851851</v>
      </c>
      <c r="M1320" s="25" t="s">
        <v>357</v>
      </c>
      <c r="N1320" s="103" t="s">
        <v>115</v>
      </c>
      <c r="O1320" s="26">
        <v>98</v>
      </c>
      <c r="P1320" s="26" t="s">
        <v>293</v>
      </c>
    </row>
    <row r="1321" spans="1:16" x14ac:dyDescent="0.3">
      <c r="A1321" s="24">
        <v>43</v>
      </c>
      <c r="B1321" s="102">
        <v>46093.278101851851</v>
      </c>
      <c r="C1321" s="25" t="s">
        <v>356</v>
      </c>
      <c r="D1321" s="103" t="s">
        <v>137</v>
      </c>
      <c r="E1321" s="26">
        <v>75</v>
      </c>
      <c r="F1321" s="26" t="s">
        <v>293</v>
      </c>
      <c r="K1321" s="24">
        <v>43</v>
      </c>
      <c r="L1321" s="102">
        <v>46093.278101851851</v>
      </c>
      <c r="M1321" s="25" t="s">
        <v>357</v>
      </c>
      <c r="N1321" s="103" t="s">
        <v>137</v>
      </c>
      <c r="O1321" s="26">
        <v>481</v>
      </c>
      <c r="P1321" s="26" t="s">
        <v>293</v>
      </c>
    </row>
    <row r="1322" spans="1:16" x14ac:dyDescent="0.3">
      <c r="A1322" s="24">
        <v>43</v>
      </c>
      <c r="B1322" s="102">
        <v>46093.278101851851</v>
      </c>
      <c r="C1322" s="25" t="s">
        <v>356</v>
      </c>
      <c r="D1322" s="103" t="s">
        <v>348</v>
      </c>
      <c r="E1322" s="26">
        <v>140</v>
      </c>
      <c r="F1322" s="26" t="s">
        <v>293</v>
      </c>
      <c r="K1322" s="24">
        <v>43</v>
      </c>
      <c r="L1322" s="102">
        <v>46093.278101851851</v>
      </c>
      <c r="M1322" s="25" t="s">
        <v>357</v>
      </c>
      <c r="N1322" s="103" t="s">
        <v>348</v>
      </c>
      <c r="O1322" s="26">
        <v>430</v>
      </c>
      <c r="P1322" s="26" t="s">
        <v>293</v>
      </c>
    </row>
    <row r="1323" spans="1:16" x14ac:dyDescent="0.3">
      <c r="A1323" s="24">
        <v>43</v>
      </c>
      <c r="B1323" s="102">
        <v>46093.278101851851</v>
      </c>
      <c r="C1323" s="25" t="s">
        <v>356</v>
      </c>
      <c r="D1323" s="103" t="s">
        <v>125</v>
      </c>
      <c r="E1323" s="26">
        <v>110</v>
      </c>
      <c r="F1323" s="26" t="s">
        <v>293</v>
      </c>
      <c r="K1323" s="24">
        <v>43</v>
      </c>
      <c r="L1323" s="102">
        <v>46093.278101851851</v>
      </c>
      <c r="M1323" s="25" t="s">
        <v>357</v>
      </c>
      <c r="N1323" s="103" t="s">
        <v>125</v>
      </c>
      <c r="O1323" s="26">
        <v>412</v>
      </c>
      <c r="P1323" s="26" t="s">
        <v>293</v>
      </c>
    </row>
    <row r="1324" spans="1:16" x14ac:dyDescent="0.3">
      <c r="A1324" s="24">
        <v>43</v>
      </c>
      <c r="B1324" s="102">
        <v>46093.278101851851</v>
      </c>
      <c r="C1324" s="25" t="s">
        <v>356</v>
      </c>
      <c r="D1324" s="103" t="s">
        <v>126</v>
      </c>
      <c r="E1324" s="26">
        <v>79</v>
      </c>
      <c r="F1324" s="26" t="s">
        <v>293</v>
      </c>
      <c r="K1324" s="24">
        <v>43</v>
      </c>
      <c r="L1324" s="102">
        <v>46093.278101851851</v>
      </c>
      <c r="M1324" s="25" t="s">
        <v>357</v>
      </c>
      <c r="N1324" s="103" t="s">
        <v>126</v>
      </c>
      <c r="O1324" s="26">
        <v>153</v>
      </c>
      <c r="P1324" s="26" t="s">
        <v>293</v>
      </c>
    </row>
    <row r="1325" spans="1:16" x14ac:dyDescent="0.3">
      <c r="A1325" s="24">
        <v>43</v>
      </c>
      <c r="B1325" s="102">
        <v>46093.278101851851</v>
      </c>
      <c r="C1325" s="25" t="s">
        <v>356</v>
      </c>
      <c r="D1325" s="103" t="s">
        <v>349</v>
      </c>
      <c r="E1325" s="26">
        <v>166</v>
      </c>
      <c r="F1325" s="26" t="s">
        <v>293</v>
      </c>
      <c r="K1325" s="24">
        <v>43</v>
      </c>
      <c r="L1325" s="102">
        <v>46093.278101851851</v>
      </c>
      <c r="M1325" s="25" t="s">
        <v>357</v>
      </c>
      <c r="N1325" s="103" t="s">
        <v>349</v>
      </c>
      <c r="O1325" s="26">
        <v>386</v>
      </c>
      <c r="P1325" s="26" t="s">
        <v>293</v>
      </c>
    </row>
    <row r="1326" spans="1:16" x14ac:dyDescent="0.3">
      <c r="A1326" s="24">
        <v>43</v>
      </c>
      <c r="B1326" s="102">
        <v>46093.278101851851</v>
      </c>
      <c r="C1326" s="25" t="s">
        <v>356</v>
      </c>
      <c r="D1326" s="103" t="s">
        <v>350</v>
      </c>
      <c r="E1326" s="26">
        <v>61</v>
      </c>
      <c r="F1326" s="26" t="s">
        <v>293</v>
      </c>
      <c r="K1326" s="24">
        <v>43</v>
      </c>
      <c r="L1326" s="102">
        <v>46093.278101851851</v>
      </c>
      <c r="M1326" s="25" t="s">
        <v>357</v>
      </c>
      <c r="N1326" s="103" t="s">
        <v>350</v>
      </c>
      <c r="O1326" s="26">
        <v>85</v>
      </c>
      <c r="P1326" s="26" t="s">
        <v>293</v>
      </c>
    </row>
    <row r="1327" spans="1:16" x14ac:dyDescent="0.3">
      <c r="A1327" s="24">
        <v>43</v>
      </c>
      <c r="B1327" s="102">
        <v>46093.278101851851</v>
      </c>
      <c r="C1327" s="25" t="s">
        <v>356</v>
      </c>
      <c r="D1327" s="103" t="s">
        <v>122</v>
      </c>
      <c r="E1327" s="26">
        <v>45</v>
      </c>
      <c r="F1327" s="26" t="s">
        <v>293</v>
      </c>
      <c r="K1327" s="24">
        <v>43</v>
      </c>
      <c r="L1327" s="102">
        <v>46093.278101851851</v>
      </c>
      <c r="M1327" s="25" t="s">
        <v>357</v>
      </c>
      <c r="N1327" s="103" t="s">
        <v>122</v>
      </c>
      <c r="O1327" s="26">
        <v>218</v>
      </c>
      <c r="P1327" s="26" t="s">
        <v>293</v>
      </c>
    </row>
    <row r="1328" spans="1:16" x14ac:dyDescent="0.3">
      <c r="A1328" s="24">
        <v>43</v>
      </c>
      <c r="B1328" s="102">
        <v>46093.278101851851</v>
      </c>
      <c r="C1328" s="25" t="s">
        <v>356</v>
      </c>
      <c r="D1328" s="103" t="s">
        <v>124</v>
      </c>
      <c r="E1328" s="26">
        <v>31</v>
      </c>
      <c r="F1328" s="26" t="s">
        <v>293</v>
      </c>
      <c r="K1328" s="24">
        <v>43</v>
      </c>
      <c r="L1328" s="102">
        <v>46093.278101851851</v>
      </c>
      <c r="M1328" s="25" t="s">
        <v>357</v>
      </c>
      <c r="N1328" s="103" t="s">
        <v>124</v>
      </c>
      <c r="O1328" s="26">
        <v>108</v>
      </c>
      <c r="P1328" s="26" t="s">
        <v>293</v>
      </c>
    </row>
    <row r="1329" spans="1:16" x14ac:dyDescent="0.3">
      <c r="A1329" s="24">
        <v>43</v>
      </c>
      <c r="B1329" s="102">
        <v>46093.278101851851</v>
      </c>
      <c r="C1329" s="25" t="s">
        <v>356</v>
      </c>
      <c r="D1329" s="103" t="s">
        <v>351</v>
      </c>
      <c r="E1329" s="26">
        <v>0.99</v>
      </c>
      <c r="F1329" s="26" t="s">
        <v>293</v>
      </c>
      <c r="K1329" s="24">
        <v>43</v>
      </c>
      <c r="L1329" s="102">
        <v>46093.278101851851</v>
      </c>
      <c r="M1329" s="25" t="s">
        <v>357</v>
      </c>
      <c r="N1329" s="103" t="s">
        <v>351</v>
      </c>
      <c r="O1329" s="26">
        <v>3.52</v>
      </c>
      <c r="P1329" s="26" t="s">
        <v>293</v>
      </c>
    </row>
    <row r="1330" spans="1:16" x14ac:dyDescent="0.3">
      <c r="A1330" s="24">
        <v>43</v>
      </c>
      <c r="B1330" s="102">
        <v>46093.278101851851</v>
      </c>
      <c r="C1330" s="25" t="s">
        <v>356</v>
      </c>
      <c r="D1330" s="103" t="s">
        <v>353</v>
      </c>
      <c r="E1330" s="26">
        <v>36.1</v>
      </c>
      <c r="F1330" s="26" t="s">
        <v>293</v>
      </c>
      <c r="K1330" s="24">
        <v>43</v>
      </c>
      <c r="L1330" s="102">
        <v>46093.278101851851</v>
      </c>
      <c r="M1330" s="25" t="s">
        <v>357</v>
      </c>
      <c r="N1330" s="103" t="s">
        <v>353</v>
      </c>
      <c r="O1330" s="26">
        <v>20.2</v>
      </c>
      <c r="P1330" s="26" t="s">
        <v>293</v>
      </c>
    </row>
    <row r="1331" spans="1:16" x14ac:dyDescent="0.3">
      <c r="A1331" s="24">
        <v>43</v>
      </c>
      <c r="B1331" s="102">
        <v>46093.278101851851</v>
      </c>
      <c r="C1331" s="25" t="s">
        <v>356</v>
      </c>
      <c r="D1331" s="103" t="s">
        <v>133</v>
      </c>
      <c r="E1331" s="26">
        <v>148</v>
      </c>
      <c r="F1331" s="26" t="s">
        <v>293</v>
      </c>
      <c r="K1331" s="24">
        <v>43</v>
      </c>
      <c r="L1331" s="102">
        <v>46093.278101851851</v>
      </c>
      <c r="M1331" s="25" t="s">
        <v>357</v>
      </c>
      <c r="N1331" s="103" t="s">
        <v>133</v>
      </c>
      <c r="O1331" s="26">
        <v>128</v>
      </c>
      <c r="P1331" s="26" t="s">
        <v>293</v>
      </c>
    </row>
    <row r="1332" spans="1:16" x14ac:dyDescent="0.3">
      <c r="A1332" s="24">
        <v>43</v>
      </c>
      <c r="B1332" s="102">
        <v>46093.278101851851</v>
      </c>
      <c r="C1332" s="25" t="s">
        <v>356</v>
      </c>
      <c r="D1332" s="103" t="s">
        <v>135</v>
      </c>
      <c r="E1332" s="26">
        <v>3.8</v>
      </c>
      <c r="F1332" s="26" t="s">
        <v>293</v>
      </c>
      <c r="K1332" s="24">
        <v>43</v>
      </c>
      <c r="L1332" s="102">
        <v>46093.278101851851</v>
      </c>
      <c r="M1332" s="25" t="s">
        <v>357</v>
      </c>
      <c r="N1332" s="103" t="s">
        <v>135</v>
      </c>
      <c r="O1332" s="26">
        <v>6.5</v>
      </c>
      <c r="P1332" s="26" t="s">
        <v>293</v>
      </c>
    </row>
    <row r="1333" spans="1:16" x14ac:dyDescent="0.3">
      <c r="A1333" s="24">
        <v>43</v>
      </c>
      <c r="B1333" s="102">
        <v>46093.278101851851</v>
      </c>
      <c r="C1333" s="25" t="s">
        <v>356</v>
      </c>
      <c r="D1333" s="103" t="s">
        <v>136</v>
      </c>
      <c r="E1333" s="26">
        <v>116</v>
      </c>
      <c r="F1333" s="26" t="s">
        <v>293</v>
      </c>
      <c r="K1333" s="24">
        <v>43</v>
      </c>
      <c r="L1333" s="102">
        <v>46093.278101851851</v>
      </c>
      <c r="M1333" s="25" t="s">
        <v>357</v>
      </c>
      <c r="N1333" s="103" t="s">
        <v>136</v>
      </c>
      <c r="O1333" s="26">
        <v>96</v>
      </c>
      <c r="P1333" s="26" t="s">
        <v>293</v>
      </c>
    </row>
    <row r="1334" spans="1:16" x14ac:dyDescent="0.3">
      <c r="A1334" s="24">
        <v>44</v>
      </c>
      <c r="B1334" s="102">
        <v>46094.351365740738</v>
      </c>
      <c r="C1334" s="25" t="s">
        <v>356</v>
      </c>
      <c r="D1334" s="103" t="s">
        <v>339</v>
      </c>
      <c r="E1334" s="26">
        <v>4.72</v>
      </c>
      <c r="F1334" s="26" t="s">
        <v>293</v>
      </c>
      <c r="K1334" s="24">
        <v>44</v>
      </c>
      <c r="L1334" s="102">
        <v>46094.351365740738</v>
      </c>
      <c r="M1334" s="25" t="s">
        <v>357</v>
      </c>
      <c r="N1334" s="103" t="s">
        <v>339</v>
      </c>
      <c r="O1334" s="26">
        <v>1.1499999999999999</v>
      </c>
      <c r="P1334" s="26" t="s">
        <v>293</v>
      </c>
    </row>
    <row r="1335" spans="1:16" x14ac:dyDescent="0.3">
      <c r="A1335" s="24">
        <v>44</v>
      </c>
      <c r="B1335" s="102">
        <v>46094.351365740738</v>
      </c>
      <c r="C1335" s="25" t="s">
        <v>356</v>
      </c>
      <c r="D1335" s="103" t="s">
        <v>118</v>
      </c>
      <c r="E1335" s="26">
        <v>4.5</v>
      </c>
      <c r="F1335" s="26" t="s">
        <v>293</v>
      </c>
      <c r="K1335" s="24">
        <v>44</v>
      </c>
      <c r="L1335" s="102">
        <v>46094.351365740738</v>
      </c>
      <c r="M1335" s="25" t="s">
        <v>357</v>
      </c>
      <c r="N1335" s="103" t="s">
        <v>118</v>
      </c>
      <c r="O1335" s="26">
        <v>9.6</v>
      </c>
      <c r="P1335" s="26" t="s">
        <v>293</v>
      </c>
    </row>
    <row r="1336" spans="1:16" x14ac:dyDescent="0.3">
      <c r="A1336" s="24">
        <v>44</v>
      </c>
      <c r="B1336" s="102">
        <v>46094.351365740738</v>
      </c>
      <c r="C1336" s="25" t="s">
        <v>356</v>
      </c>
      <c r="D1336" s="103" t="s">
        <v>130</v>
      </c>
      <c r="E1336" s="26">
        <v>3.9</v>
      </c>
      <c r="F1336" s="26" t="s">
        <v>293</v>
      </c>
      <c r="K1336" s="24">
        <v>44</v>
      </c>
      <c r="L1336" s="102">
        <v>46094.351365740738</v>
      </c>
      <c r="M1336" s="25" t="s">
        <v>357</v>
      </c>
      <c r="N1336" s="103" t="s">
        <v>130</v>
      </c>
      <c r="O1336" s="26">
        <v>2.46</v>
      </c>
      <c r="P1336" s="26" t="s">
        <v>293</v>
      </c>
    </row>
    <row r="1337" spans="1:16" x14ac:dyDescent="0.3">
      <c r="A1337" s="24">
        <v>44</v>
      </c>
      <c r="B1337" s="102">
        <v>46094.351365740738</v>
      </c>
      <c r="C1337" s="25" t="s">
        <v>356</v>
      </c>
      <c r="D1337" s="103" t="s">
        <v>341</v>
      </c>
      <c r="E1337" s="26">
        <v>0.29499999999999998</v>
      </c>
      <c r="F1337" s="26" t="s">
        <v>293</v>
      </c>
      <c r="K1337" s="24">
        <v>44</v>
      </c>
      <c r="L1337" s="102">
        <v>46094.351365740738</v>
      </c>
      <c r="M1337" s="25" t="s">
        <v>357</v>
      </c>
      <c r="N1337" s="103" t="s">
        <v>341</v>
      </c>
      <c r="O1337" s="26">
        <v>1.0780000000000001</v>
      </c>
      <c r="P1337" s="26" t="s">
        <v>293</v>
      </c>
    </row>
    <row r="1338" spans="1:16" x14ac:dyDescent="0.3">
      <c r="A1338" s="24">
        <v>44</v>
      </c>
      <c r="B1338" s="102">
        <v>46094.351365740738</v>
      </c>
      <c r="C1338" s="25" t="s">
        <v>356</v>
      </c>
      <c r="D1338" s="103" t="s">
        <v>127</v>
      </c>
      <c r="E1338" s="26">
        <v>1.1639999999999999</v>
      </c>
      <c r="F1338" s="26" t="s">
        <v>293</v>
      </c>
      <c r="K1338" s="24">
        <v>44</v>
      </c>
      <c r="L1338" s="102">
        <v>46094.351365740738</v>
      </c>
      <c r="M1338" s="25" t="s">
        <v>357</v>
      </c>
      <c r="N1338" s="103" t="s">
        <v>127</v>
      </c>
      <c r="O1338" s="26">
        <v>4.5830000000000002</v>
      </c>
      <c r="P1338" s="26" t="s">
        <v>293</v>
      </c>
    </row>
    <row r="1339" spans="1:16" x14ac:dyDescent="0.3">
      <c r="A1339" s="24">
        <v>44</v>
      </c>
      <c r="B1339" s="102">
        <v>46094.351365740738</v>
      </c>
      <c r="C1339" s="25" t="s">
        <v>356</v>
      </c>
      <c r="D1339" s="103" t="s">
        <v>131</v>
      </c>
      <c r="E1339" s="26">
        <v>8.5</v>
      </c>
      <c r="F1339" s="26" t="s">
        <v>293</v>
      </c>
      <c r="K1339" s="24">
        <v>44</v>
      </c>
      <c r="L1339" s="102">
        <v>46094.351365740738</v>
      </c>
      <c r="M1339" s="25" t="s">
        <v>357</v>
      </c>
      <c r="N1339" s="103" t="s">
        <v>131</v>
      </c>
      <c r="O1339" s="26">
        <v>11.9</v>
      </c>
      <c r="P1339" s="26" t="s">
        <v>293</v>
      </c>
    </row>
    <row r="1340" spans="1:16" x14ac:dyDescent="0.3">
      <c r="A1340" s="24">
        <v>44</v>
      </c>
      <c r="B1340" s="102">
        <v>46094.351365740738</v>
      </c>
      <c r="C1340" s="25" t="s">
        <v>356</v>
      </c>
      <c r="D1340" s="103" t="s">
        <v>342</v>
      </c>
      <c r="E1340" s="26">
        <v>332</v>
      </c>
      <c r="F1340" s="26" t="s">
        <v>293</v>
      </c>
      <c r="K1340" s="24">
        <v>44</v>
      </c>
      <c r="L1340" s="102">
        <v>46094.351365740738</v>
      </c>
      <c r="M1340" s="25" t="s">
        <v>357</v>
      </c>
      <c r="N1340" s="103" t="s">
        <v>342</v>
      </c>
      <c r="O1340" s="26">
        <v>198</v>
      </c>
      <c r="P1340" s="26" t="s">
        <v>293</v>
      </c>
    </row>
    <row r="1341" spans="1:16" x14ac:dyDescent="0.3">
      <c r="A1341" s="24">
        <v>44</v>
      </c>
      <c r="B1341" s="102">
        <v>46094.351365740738</v>
      </c>
      <c r="C1341" s="25" t="s">
        <v>356</v>
      </c>
      <c r="D1341" s="103" t="s">
        <v>119</v>
      </c>
      <c r="E1341" s="26">
        <v>240</v>
      </c>
      <c r="F1341" s="26" t="s">
        <v>293</v>
      </c>
      <c r="K1341" s="24">
        <v>44</v>
      </c>
      <c r="L1341" s="102">
        <v>46094.351365740738</v>
      </c>
      <c r="M1341" s="25" t="s">
        <v>357</v>
      </c>
      <c r="N1341" s="103" t="s">
        <v>119</v>
      </c>
      <c r="O1341" s="26">
        <v>90</v>
      </c>
      <c r="P1341" s="26" t="s">
        <v>293</v>
      </c>
    </row>
    <row r="1342" spans="1:16" x14ac:dyDescent="0.3">
      <c r="A1342" s="24">
        <v>44</v>
      </c>
      <c r="B1342" s="102">
        <v>46094.351365740738</v>
      </c>
      <c r="C1342" s="25" t="s">
        <v>356</v>
      </c>
      <c r="D1342" s="103" t="s">
        <v>120</v>
      </c>
      <c r="E1342" s="26">
        <v>76</v>
      </c>
      <c r="F1342" s="26" t="s">
        <v>293</v>
      </c>
      <c r="K1342" s="24">
        <v>44</v>
      </c>
      <c r="L1342" s="102">
        <v>46094.351365740738</v>
      </c>
      <c r="M1342" s="25" t="s">
        <v>357</v>
      </c>
      <c r="N1342" s="103" t="s">
        <v>120</v>
      </c>
      <c r="O1342" s="26">
        <v>27</v>
      </c>
      <c r="P1342" s="26" t="s">
        <v>293</v>
      </c>
    </row>
    <row r="1343" spans="1:16" x14ac:dyDescent="0.3">
      <c r="A1343" s="24">
        <v>44</v>
      </c>
      <c r="B1343" s="102">
        <v>46094.351365740738</v>
      </c>
      <c r="C1343" s="25" t="s">
        <v>356</v>
      </c>
      <c r="D1343" s="103" t="s">
        <v>117</v>
      </c>
      <c r="E1343" s="26">
        <v>2.83</v>
      </c>
      <c r="F1343" s="26" t="s">
        <v>293</v>
      </c>
      <c r="K1343" s="24">
        <v>44</v>
      </c>
      <c r="L1343" s="102">
        <v>46094.351365740738</v>
      </c>
      <c r="M1343" s="25" t="s">
        <v>357</v>
      </c>
      <c r="N1343" s="103" t="s">
        <v>117</v>
      </c>
      <c r="O1343" s="26">
        <v>6.39</v>
      </c>
      <c r="P1343" s="26" t="s">
        <v>293</v>
      </c>
    </row>
    <row r="1344" spans="1:16" x14ac:dyDescent="0.3">
      <c r="A1344" s="24">
        <v>44</v>
      </c>
      <c r="B1344" s="102">
        <v>46094.351365740738</v>
      </c>
      <c r="C1344" s="25" t="s">
        <v>356</v>
      </c>
      <c r="D1344" s="103" t="s">
        <v>344</v>
      </c>
      <c r="E1344" s="26">
        <v>233</v>
      </c>
      <c r="F1344" s="26" t="s">
        <v>293</v>
      </c>
      <c r="K1344" s="24">
        <v>44</v>
      </c>
      <c r="L1344" s="102">
        <v>46094.351365740738</v>
      </c>
      <c r="M1344" s="25" t="s">
        <v>357</v>
      </c>
      <c r="N1344" s="103" t="s">
        <v>344</v>
      </c>
      <c r="O1344" s="26">
        <v>68</v>
      </c>
      <c r="P1344" s="26" t="s">
        <v>293</v>
      </c>
    </row>
    <row r="1345" spans="1:16" x14ac:dyDescent="0.3">
      <c r="A1345" s="24">
        <v>44</v>
      </c>
      <c r="B1345" s="102">
        <v>46094.351365740738</v>
      </c>
      <c r="C1345" s="25" t="s">
        <v>356</v>
      </c>
      <c r="D1345" s="103" t="s">
        <v>132</v>
      </c>
      <c r="E1345" s="26">
        <v>3.61</v>
      </c>
      <c r="F1345" s="26" t="s">
        <v>293</v>
      </c>
      <c r="K1345" s="24">
        <v>44</v>
      </c>
      <c r="L1345" s="102">
        <v>46094.351365740738</v>
      </c>
      <c r="M1345" s="25" t="s">
        <v>357</v>
      </c>
      <c r="N1345" s="103" t="s">
        <v>132</v>
      </c>
      <c r="O1345" s="26">
        <v>7.34</v>
      </c>
      <c r="P1345" s="26" t="s">
        <v>293</v>
      </c>
    </row>
    <row r="1346" spans="1:16" x14ac:dyDescent="0.3">
      <c r="A1346" s="24">
        <v>44</v>
      </c>
      <c r="B1346" s="102">
        <v>46094.351365740738</v>
      </c>
      <c r="C1346" s="25" t="s">
        <v>356</v>
      </c>
      <c r="D1346" s="103" t="s">
        <v>111</v>
      </c>
      <c r="E1346" s="26">
        <v>90</v>
      </c>
      <c r="F1346" s="26" t="s">
        <v>293</v>
      </c>
      <c r="K1346" s="24">
        <v>44</v>
      </c>
      <c r="L1346" s="102">
        <v>46094.351365740738</v>
      </c>
      <c r="M1346" s="25" t="s">
        <v>357</v>
      </c>
      <c r="N1346" s="103" t="s">
        <v>111</v>
      </c>
      <c r="O1346" s="26">
        <v>284</v>
      </c>
      <c r="P1346" s="26" t="s">
        <v>293</v>
      </c>
    </row>
    <row r="1347" spans="1:16" x14ac:dyDescent="0.3">
      <c r="A1347" s="24">
        <v>44</v>
      </c>
      <c r="B1347" s="102">
        <v>46094.351365740738</v>
      </c>
      <c r="C1347" s="25" t="s">
        <v>356</v>
      </c>
      <c r="D1347" s="103" t="s">
        <v>345</v>
      </c>
      <c r="E1347" s="26">
        <v>5.19</v>
      </c>
      <c r="F1347" s="26" t="s">
        <v>293</v>
      </c>
      <c r="K1347" s="24">
        <v>44</v>
      </c>
      <c r="L1347" s="102">
        <v>46094.351365740738</v>
      </c>
      <c r="M1347" s="25" t="s">
        <v>357</v>
      </c>
      <c r="N1347" s="103" t="s">
        <v>345</v>
      </c>
      <c r="O1347" s="26">
        <v>9.92</v>
      </c>
      <c r="P1347" s="26" t="s">
        <v>293</v>
      </c>
    </row>
    <row r="1348" spans="1:16" x14ac:dyDescent="0.3">
      <c r="A1348" s="24">
        <v>44</v>
      </c>
      <c r="B1348" s="102">
        <v>46094.351365740738</v>
      </c>
      <c r="C1348" s="25" t="s">
        <v>356</v>
      </c>
      <c r="D1348" s="103" t="s">
        <v>347</v>
      </c>
      <c r="E1348" s="26">
        <v>1.93</v>
      </c>
      <c r="F1348" s="26" t="s">
        <v>293</v>
      </c>
      <c r="K1348" s="24">
        <v>44</v>
      </c>
      <c r="L1348" s="102">
        <v>46094.351365740738</v>
      </c>
      <c r="M1348" s="25" t="s">
        <v>357</v>
      </c>
      <c r="N1348" s="103" t="s">
        <v>347</v>
      </c>
      <c r="O1348" s="26">
        <v>4.54</v>
      </c>
      <c r="P1348" s="26" t="s">
        <v>293</v>
      </c>
    </row>
    <row r="1349" spans="1:16" x14ac:dyDescent="0.3">
      <c r="A1349" s="24">
        <v>44</v>
      </c>
      <c r="B1349" s="102">
        <v>46094.351365740738</v>
      </c>
      <c r="C1349" s="25" t="s">
        <v>356</v>
      </c>
      <c r="D1349" s="103" t="s">
        <v>128</v>
      </c>
      <c r="E1349" s="26">
        <v>7</v>
      </c>
      <c r="F1349" s="26" t="s">
        <v>293</v>
      </c>
      <c r="K1349" s="24">
        <v>44</v>
      </c>
      <c r="L1349" s="102">
        <v>46094.351365740738</v>
      </c>
      <c r="M1349" s="25" t="s">
        <v>357</v>
      </c>
      <c r="N1349" s="103" t="s">
        <v>128</v>
      </c>
      <c r="O1349" s="26">
        <v>4.5</v>
      </c>
      <c r="P1349" s="26" t="s">
        <v>293</v>
      </c>
    </row>
    <row r="1350" spans="1:16" x14ac:dyDescent="0.3">
      <c r="A1350" s="24">
        <v>44</v>
      </c>
      <c r="B1350" s="102">
        <v>46094.351365740738</v>
      </c>
      <c r="C1350" s="25" t="s">
        <v>356</v>
      </c>
      <c r="D1350" s="103" t="s">
        <v>121</v>
      </c>
      <c r="E1350" s="26">
        <v>165</v>
      </c>
      <c r="F1350" s="26" t="s">
        <v>293</v>
      </c>
      <c r="K1350" s="24">
        <v>44</v>
      </c>
      <c r="L1350" s="102">
        <v>46094.351365740738</v>
      </c>
      <c r="M1350" s="25" t="s">
        <v>357</v>
      </c>
      <c r="N1350" s="103" t="s">
        <v>121</v>
      </c>
      <c r="O1350" s="26">
        <v>81</v>
      </c>
      <c r="P1350" s="26" t="s">
        <v>293</v>
      </c>
    </row>
    <row r="1351" spans="1:16" x14ac:dyDescent="0.3">
      <c r="A1351" s="24">
        <v>44</v>
      </c>
      <c r="B1351" s="102">
        <v>46094.351365740738</v>
      </c>
      <c r="C1351" s="25" t="s">
        <v>356</v>
      </c>
      <c r="D1351" s="103" t="s">
        <v>115</v>
      </c>
      <c r="E1351" s="26">
        <v>36</v>
      </c>
      <c r="F1351" s="26" t="s">
        <v>293</v>
      </c>
      <c r="K1351" s="24">
        <v>44</v>
      </c>
      <c r="L1351" s="102">
        <v>46094.351365740738</v>
      </c>
      <c r="M1351" s="25" t="s">
        <v>357</v>
      </c>
      <c r="N1351" s="103" t="s">
        <v>115</v>
      </c>
      <c r="O1351" s="26">
        <v>100</v>
      </c>
      <c r="P1351" s="26" t="s">
        <v>293</v>
      </c>
    </row>
    <row r="1352" spans="1:16" x14ac:dyDescent="0.3">
      <c r="A1352" s="24">
        <v>44</v>
      </c>
      <c r="B1352" s="102">
        <v>46094.351365740738</v>
      </c>
      <c r="C1352" s="25" t="s">
        <v>356</v>
      </c>
      <c r="D1352" s="103" t="s">
        <v>137</v>
      </c>
      <c r="E1352" s="26">
        <v>75</v>
      </c>
      <c r="F1352" s="26" t="s">
        <v>293</v>
      </c>
      <c r="K1352" s="24">
        <v>44</v>
      </c>
      <c r="L1352" s="102">
        <v>46094.351365740738</v>
      </c>
      <c r="M1352" s="25" t="s">
        <v>357</v>
      </c>
      <c r="N1352" s="103" t="s">
        <v>137</v>
      </c>
      <c r="O1352" s="26">
        <v>487</v>
      </c>
      <c r="P1352" s="26" t="s">
        <v>293</v>
      </c>
    </row>
    <row r="1353" spans="1:16" x14ac:dyDescent="0.3">
      <c r="A1353" s="24">
        <v>44</v>
      </c>
      <c r="B1353" s="102">
        <v>46094.351365740738</v>
      </c>
      <c r="C1353" s="25" t="s">
        <v>356</v>
      </c>
      <c r="D1353" s="103" t="s">
        <v>348</v>
      </c>
      <c r="E1353" s="26">
        <v>139</v>
      </c>
      <c r="F1353" s="26" t="s">
        <v>293</v>
      </c>
      <c r="K1353" s="24">
        <v>44</v>
      </c>
      <c r="L1353" s="102">
        <v>46094.351365740738</v>
      </c>
      <c r="M1353" s="25" t="s">
        <v>357</v>
      </c>
      <c r="N1353" s="103" t="s">
        <v>348</v>
      </c>
      <c r="O1353" s="26">
        <v>430</v>
      </c>
      <c r="P1353" s="26" t="s">
        <v>293</v>
      </c>
    </row>
    <row r="1354" spans="1:16" x14ac:dyDescent="0.3">
      <c r="A1354" s="24">
        <v>44</v>
      </c>
      <c r="B1354" s="102">
        <v>46094.351365740738</v>
      </c>
      <c r="C1354" s="25" t="s">
        <v>356</v>
      </c>
      <c r="D1354" s="103" t="s">
        <v>125</v>
      </c>
      <c r="E1354" s="26">
        <v>112</v>
      </c>
      <c r="F1354" s="26" t="s">
        <v>293</v>
      </c>
      <c r="K1354" s="24">
        <v>44</v>
      </c>
      <c r="L1354" s="102">
        <v>46094.351365740738</v>
      </c>
      <c r="M1354" s="25" t="s">
        <v>357</v>
      </c>
      <c r="N1354" s="103" t="s">
        <v>125</v>
      </c>
      <c r="O1354" s="26">
        <v>416</v>
      </c>
      <c r="P1354" s="26" t="s">
        <v>293</v>
      </c>
    </row>
    <row r="1355" spans="1:16" x14ac:dyDescent="0.3">
      <c r="A1355" s="24">
        <v>44</v>
      </c>
      <c r="B1355" s="102">
        <v>46094.351365740738</v>
      </c>
      <c r="C1355" s="25" t="s">
        <v>356</v>
      </c>
      <c r="D1355" s="103" t="s">
        <v>126</v>
      </c>
      <c r="E1355" s="26">
        <v>80</v>
      </c>
      <c r="F1355" s="26" t="s">
        <v>293</v>
      </c>
      <c r="K1355" s="24">
        <v>44</v>
      </c>
      <c r="L1355" s="102">
        <v>46094.351365740738</v>
      </c>
      <c r="M1355" s="25" t="s">
        <v>357</v>
      </c>
      <c r="N1355" s="103" t="s">
        <v>126</v>
      </c>
      <c r="O1355" s="26">
        <v>154</v>
      </c>
      <c r="P1355" s="26" t="s">
        <v>293</v>
      </c>
    </row>
    <row r="1356" spans="1:16" x14ac:dyDescent="0.3">
      <c r="A1356" s="24">
        <v>44</v>
      </c>
      <c r="B1356" s="102">
        <v>46094.351365740738</v>
      </c>
      <c r="C1356" s="25" t="s">
        <v>356</v>
      </c>
      <c r="D1356" s="103" t="s">
        <v>349</v>
      </c>
      <c r="E1356" s="26">
        <v>148</v>
      </c>
      <c r="F1356" s="26" t="s">
        <v>293</v>
      </c>
      <c r="K1356" s="24">
        <v>44</v>
      </c>
      <c r="L1356" s="102">
        <v>46094.351365740738</v>
      </c>
      <c r="M1356" s="25" t="s">
        <v>357</v>
      </c>
      <c r="N1356" s="103" t="s">
        <v>349</v>
      </c>
      <c r="O1356" s="26">
        <v>382</v>
      </c>
      <c r="P1356" s="26" t="s">
        <v>293</v>
      </c>
    </row>
    <row r="1357" spans="1:16" x14ac:dyDescent="0.3">
      <c r="A1357" s="24">
        <v>44</v>
      </c>
      <c r="B1357" s="102">
        <v>46094.351365740738</v>
      </c>
      <c r="C1357" s="25" t="s">
        <v>356</v>
      </c>
      <c r="D1357" s="103" t="s">
        <v>350</v>
      </c>
      <c r="E1357" s="26">
        <v>61</v>
      </c>
      <c r="F1357" s="26" t="s">
        <v>293</v>
      </c>
      <c r="K1357" s="24">
        <v>44</v>
      </c>
      <c r="L1357" s="102">
        <v>46094.351365740738</v>
      </c>
      <c r="M1357" s="25" t="s">
        <v>357</v>
      </c>
      <c r="N1357" s="103" t="s">
        <v>350</v>
      </c>
      <c r="O1357" s="26">
        <v>88</v>
      </c>
      <c r="P1357" s="26" t="s">
        <v>293</v>
      </c>
    </row>
    <row r="1358" spans="1:16" x14ac:dyDescent="0.3">
      <c r="A1358" s="24">
        <v>44</v>
      </c>
      <c r="B1358" s="102">
        <v>46094.351365740738</v>
      </c>
      <c r="C1358" s="25" t="s">
        <v>356</v>
      </c>
      <c r="D1358" s="103" t="s">
        <v>122</v>
      </c>
      <c r="E1358" s="26">
        <v>46</v>
      </c>
      <c r="F1358" s="26" t="s">
        <v>293</v>
      </c>
      <c r="K1358" s="24">
        <v>44</v>
      </c>
      <c r="L1358" s="102">
        <v>46094.351365740738</v>
      </c>
      <c r="M1358" s="25" t="s">
        <v>357</v>
      </c>
      <c r="N1358" s="103" t="s">
        <v>122</v>
      </c>
      <c r="O1358" s="26">
        <v>222</v>
      </c>
      <c r="P1358" s="26" t="s">
        <v>293</v>
      </c>
    </row>
    <row r="1359" spans="1:16" x14ac:dyDescent="0.3">
      <c r="A1359" s="24">
        <v>44</v>
      </c>
      <c r="B1359" s="102">
        <v>46094.351365740738</v>
      </c>
      <c r="C1359" s="25" t="s">
        <v>356</v>
      </c>
      <c r="D1359" s="103" t="s">
        <v>124</v>
      </c>
      <c r="E1359" s="26">
        <v>31</v>
      </c>
      <c r="F1359" s="26" t="s">
        <v>293</v>
      </c>
      <c r="K1359" s="24">
        <v>44</v>
      </c>
      <c r="L1359" s="102">
        <v>46094.351365740738</v>
      </c>
      <c r="M1359" s="25" t="s">
        <v>357</v>
      </c>
      <c r="N1359" s="103" t="s">
        <v>124</v>
      </c>
      <c r="O1359" s="26">
        <v>106</v>
      </c>
      <c r="P1359" s="26" t="s">
        <v>293</v>
      </c>
    </row>
    <row r="1360" spans="1:16" x14ac:dyDescent="0.3">
      <c r="A1360" s="24">
        <v>44</v>
      </c>
      <c r="B1360" s="102">
        <v>46094.351365740738</v>
      </c>
      <c r="C1360" s="25" t="s">
        <v>356</v>
      </c>
      <c r="D1360" s="103" t="s">
        <v>351</v>
      </c>
      <c r="E1360" s="26">
        <v>0.95</v>
      </c>
      <c r="F1360" s="26" t="s">
        <v>293</v>
      </c>
      <c r="K1360" s="24">
        <v>44</v>
      </c>
      <c r="L1360" s="102">
        <v>46094.351365740738</v>
      </c>
      <c r="M1360" s="25" t="s">
        <v>357</v>
      </c>
      <c r="N1360" s="103" t="s">
        <v>351</v>
      </c>
      <c r="O1360" s="26">
        <v>3.53</v>
      </c>
      <c r="P1360" s="26" t="s">
        <v>293</v>
      </c>
    </row>
    <row r="1361" spans="1:16" x14ac:dyDescent="0.3">
      <c r="A1361" s="24">
        <v>44</v>
      </c>
      <c r="B1361" s="102">
        <v>46094.351365740738</v>
      </c>
      <c r="C1361" s="25" t="s">
        <v>356</v>
      </c>
      <c r="D1361" s="103" t="s">
        <v>353</v>
      </c>
      <c r="E1361" s="26">
        <v>34.700000000000003</v>
      </c>
      <c r="F1361" s="26" t="s">
        <v>293</v>
      </c>
      <c r="K1361" s="24">
        <v>44</v>
      </c>
      <c r="L1361" s="102">
        <v>46094.351365740738</v>
      </c>
      <c r="M1361" s="25" t="s">
        <v>357</v>
      </c>
      <c r="N1361" s="103" t="s">
        <v>353</v>
      </c>
      <c r="O1361" s="26">
        <v>19.600000000000001</v>
      </c>
      <c r="P1361" s="26" t="s">
        <v>293</v>
      </c>
    </row>
    <row r="1362" spans="1:16" x14ac:dyDescent="0.3">
      <c r="A1362" s="24">
        <v>44</v>
      </c>
      <c r="B1362" s="102">
        <v>46094.351365740738</v>
      </c>
      <c r="C1362" s="25" t="s">
        <v>356</v>
      </c>
      <c r="D1362" s="103" t="s">
        <v>133</v>
      </c>
      <c r="E1362" s="26">
        <v>148</v>
      </c>
      <c r="F1362" s="26" t="s">
        <v>293</v>
      </c>
      <c r="K1362" s="24">
        <v>44</v>
      </c>
      <c r="L1362" s="102">
        <v>46094.351365740738</v>
      </c>
      <c r="M1362" s="25" t="s">
        <v>357</v>
      </c>
      <c r="N1362" s="103" t="s">
        <v>133</v>
      </c>
      <c r="O1362" s="26">
        <v>128</v>
      </c>
      <c r="P1362" s="26" t="s">
        <v>293</v>
      </c>
    </row>
    <row r="1363" spans="1:16" x14ac:dyDescent="0.3">
      <c r="A1363" s="24">
        <v>44</v>
      </c>
      <c r="B1363" s="102">
        <v>46094.351365740738</v>
      </c>
      <c r="C1363" s="25" t="s">
        <v>356</v>
      </c>
      <c r="D1363" s="103" t="s">
        <v>135</v>
      </c>
      <c r="E1363" s="26">
        <v>3.8</v>
      </c>
      <c r="F1363" s="26" t="s">
        <v>293</v>
      </c>
      <c r="K1363" s="24">
        <v>44</v>
      </c>
      <c r="L1363" s="102">
        <v>46094.351365740738</v>
      </c>
      <c r="M1363" s="25" t="s">
        <v>357</v>
      </c>
      <c r="N1363" s="103" t="s">
        <v>135</v>
      </c>
      <c r="O1363" s="26">
        <v>6.5</v>
      </c>
      <c r="P1363" s="26" t="s">
        <v>293</v>
      </c>
    </row>
    <row r="1364" spans="1:16" x14ac:dyDescent="0.3">
      <c r="A1364" s="24">
        <v>44</v>
      </c>
      <c r="B1364" s="102">
        <v>46094.351365740738</v>
      </c>
      <c r="C1364" s="25" t="s">
        <v>356</v>
      </c>
      <c r="D1364" s="103" t="s">
        <v>136</v>
      </c>
      <c r="E1364" s="26">
        <v>116</v>
      </c>
      <c r="F1364" s="26" t="s">
        <v>293</v>
      </c>
      <c r="K1364" s="24">
        <v>44</v>
      </c>
      <c r="L1364" s="102">
        <v>46094.351365740738</v>
      </c>
      <c r="M1364" s="25" t="s">
        <v>357</v>
      </c>
      <c r="N1364" s="103" t="s">
        <v>136</v>
      </c>
      <c r="O1364" s="26">
        <v>94</v>
      </c>
      <c r="P1364" s="26" t="s">
        <v>293</v>
      </c>
    </row>
    <row r="1365" spans="1:16" x14ac:dyDescent="0.3">
      <c r="A1365" s="24">
        <v>45</v>
      </c>
      <c r="B1365" s="102">
        <v>46097</v>
      </c>
      <c r="C1365" s="25" t="s">
        <v>356</v>
      </c>
      <c r="D1365" s="103" t="s">
        <v>339</v>
      </c>
      <c r="E1365" s="26">
        <v>4.6900000000000004</v>
      </c>
      <c r="F1365" s="26" t="s">
        <v>293</v>
      </c>
      <c r="K1365" s="24">
        <v>45</v>
      </c>
      <c r="L1365" s="102">
        <v>46097</v>
      </c>
      <c r="M1365" s="25" t="s">
        <v>357</v>
      </c>
      <c r="N1365" s="103" t="s">
        <v>339</v>
      </c>
      <c r="O1365" s="26">
        <v>1.1499999999999999</v>
      </c>
      <c r="P1365" s="26" t="s">
        <v>293</v>
      </c>
    </row>
    <row r="1366" spans="1:16" x14ac:dyDescent="0.3">
      <c r="A1366" s="24">
        <v>45</v>
      </c>
      <c r="B1366" s="102">
        <v>46097</v>
      </c>
      <c r="C1366" s="25" t="s">
        <v>356</v>
      </c>
      <c r="D1366" s="103" t="s">
        <v>118</v>
      </c>
      <c r="E1366" s="26">
        <v>4.4000000000000004</v>
      </c>
      <c r="F1366" s="26" t="s">
        <v>293</v>
      </c>
      <c r="K1366" s="24">
        <v>45</v>
      </c>
      <c r="L1366" s="102">
        <v>46097</v>
      </c>
      <c r="M1366" s="25" t="s">
        <v>357</v>
      </c>
      <c r="N1366" s="103" t="s">
        <v>118</v>
      </c>
      <c r="O1366" s="26">
        <v>9.5</v>
      </c>
      <c r="P1366" s="26" t="s">
        <v>293</v>
      </c>
    </row>
    <row r="1367" spans="1:16" x14ac:dyDescent="0.3">
      <c r="A1367" s="24">
        <v>45</v>
      </c>
      <c r="B1367" s="102">
        <v>46097</v>
      </c>
      <c r="C1367" s="25" t="s">
        <v>356</v>
      </c>
      <c r="D1367" s="103" t="s">
        <v>130</v>
      </c>
      <c r="E1367" s="26">
        <v>3.86</v>
      </c>
      <c r="F1367" s="26" t="s">
        <v>293</v>
      </c>
      <c r="K1367" s="24">
        <v>45</v>
      </c>
      <c r="L1367" s="102">
        <v>46097</v>
      </c>
      <c r="M1367" s="25" t="s">
        <v>357</v>
      </c>
      <c r="N1367" s="103" t="s">
        <v>130</v>
      </c>
      <c r="O1367" s="26">
        <v>2.42</v>
      </c>
      <c r="P1367" s="26" t="s">
        <v>293</v>
      </c>
    </row>
    <row r="1368" spans="1:16" x14ac:dyDescent="0.3">
      <c r="A1368" s="24">
        <v>45</v>
      </c>
      <c r="B1368" s="102">
        <v>46097</v>
      </c>
      <c r="C1368" s="25" t="s">
        <v>356</v>
      </c>
      <c r="D1368" s="103" t="s">
        <v>341</v>
      </c>
      <c r="E1368" s="26">
        <v>0.28999999999999998</v>
      </c>
      <c r="F1368" s="26" t="s">
        <v>293</v>
      </c>
      <c r="K1368" s="24">
        <v>45</v>
      </c>
      <c r="L1368" s="102">
        <v>46097</v>
      </c>
      <c r="M1368" s="25" t="s">
        <v>357</v>
      </c>
      <c r="N1368" s="103" t="s">
        <v>341</v>
      </c>
      <c r="O1368" s="26">
        <v>1.07</v>
      </c>
      <c r="P1368" s="26" t="s">
        <v>293</v>
      </c>
    </row>
    <row r="1369" spans="1:16" x14ac:dyDescent="0.3">
      <c r="A1369" s="24">
        <v>45</v>
      </c>
      <c r="B1369" s="102">
        <v>46097</v>
      </c>
      <c r="C1369" s="25" t="s">
        <v>356</v>
      </c>
      <c r="D1369" s="103" t="s">
        <v>127</v>
      </c>
      <c r="E1369" s="26">
        <v>1.19</v>
      </c>
      <c r="F1369" s="26" t="s">
        <v>293</v>
      </c>
      <c r="K1369" s="24">
        <v>45</v>
      </c>
      <c r="L1369" s="102">
        <v>46097</v>
      </c>
      <c r="M1369" s="25" t="s">
        <v>357</v>
      </c>
      <c r="N1369" s="103" t="s">
        <v>127</v>
      </c>
      <c r="O1369" s="26">
        <v>4.5599999999999996</v>
      </c>
      <c r="P1369" s="26" t="s">
        <v>293</v>
      </c>
    </row>
    <row r="1370" spans="1:16" x14ac:dyDescent="0.3">
      <c r="A1370" s="24">
        <v>45</v>
      </c>
      <c r="B1370" s="102">
        <v>46097</v>
      </c>
      <c r="C1370" s="25" t="s">
        <v>356</v>
      </c>
      <c r="D1370" s="103" t="s">
        <v>131</v>
      </c>
      <c r="E1370" s="26">
        <v>8.6</v>
      </c>
      <c r="F1370" s="26" t="s">
        <v>293</v>
      </c>
      <c r="K1370" s="24">
        <v>45</v>
      </c>
      <c r="L1370" s="102">
        <v>46097</v>
      </c>
      <c r="M1370" s="25" t="s">
        <v>357</v>
      </c>
      <c r="N1370" s="103" t="s">
        <v>131</v>
      </c>
      <c r="O1370" s="26">
        <v>11.8</v>
      </c>
      <c r="P1370" s="26" t="s">
        <v>293</v>
      </c>
    </row>
    <row r="1371" spans="1:16" x14ac:dyDescent="0.3">
      <c r="A1371" s="24">
        <v>45</v>
      </c>
      <c r="B1371" s="102">
        <v>46097</v>
      </c>
      <c r="C1371" s="25" t="s">
        <v>356</v>
      </c>
      <c r="D1371" s="103" t="s">
        <v>342</v>
      </c>
      <c r="E1371" s="26">
        <v>339</v>
      </c>
      <c r="F1371" s="26" t="s">
        <v>293</v>
      </c>
      <c r="K1371" s="24">
        <v>45</v>
      </c>
      <c r="L1371" s="102">
        <v>46097</v>
      </c>
      <c r="M1371" s="25" t="s">
        <v>357</v>
      </c>
      <c r="N1371" s="103" t="s">
        <v>342</v>
      </c>
      <c r="O1371" s="26">
        <v>201</v>
      </c>
      <c r="P1371" s="26" t="s">
        <v>293</v>
      </c>
    </row>
    <row r="1372" spans="1:16" x14ac:dyDescent="0.3">
      <c r="A1372" s="24">
        <v>45</v>
      </c>
      <c r="B1372" s="102">
        <v>46097</v>
      </c>
      <c r="C1372" s="25" t="s">
        <v>356</v>
      </c>
      <c r="D1372" s="103" t="s">
        <v>119</v>
      </c>
      <c r="E1372" s="26">
        <v>239</v>
      </c>
      <c r="F1372" s="26" t="s">
        <v>293</v>
      </c>
      <c r="K1372" s="24">
        <v>45</v>
      </c>
      <c r="L1372" s="102">
        <v>46097</v>
      </c>
      <c r="M1372" s="25" t="s">
        <v>357</v>
      </c>
      <c r="N1372" s="103" t="s">
        <v>119</v>
      </c>
      <c r="O1372" s="26">
        <v>90</v>
      </c>
      <c r="P1372" s="26" t="s">
        <v>293</v>
      </c>
    </row>
    <row r="1373" spans="1:16" x14ac:dyDescent="0.3">
      <c r="A1373" s="24">
        <v>45</v>
      </c>
      <c r="B1373" s="102">
        <v>46097</v>
      </c>
      <c r="C1373" s="25" t="s">
        <v>356</v>
      </c>
      <c r="D1373" s="103" t="s">
        <v>120</v>
      </c>
      <c r="E1373" s="26">
        <v>76</v>
      </c>
      <c r="F1373" s="26" t="s">
        <v>293</v>
      </c>
      <c r="K1373" s="24">
        <v>45</v>
      </c>
      <c r="L1373" s="102">
        <v>46097</v>
      </c>
      <c r="M1373" s="25" t="s">
        <v>357</v>
      </c>
      <c r="N1373" s="103" t="s">
        <v>120</v>
      </c>
      <c r="O1373" s="26">
        <v>26</v>
      </c>
      <c r="P1373" s="26" t="s">
        <v>293</v>
      </c>
    </row>
    <row r="1374" spans="1:16" x14ac:dyDescent="0.3">
      <c r="A1374" s="24">
        <v>45</v>
      </c>
      <c r="B1374" s="102">
        <v>46097</v>
      </c>
      <c r="C1374" s="25" t="s">
        <v>356</v>
      </c>
      <c r="D1374" s="103" t="s">
        <v>117</v>
      </c>
      <c r="E1374" s="26">
        <v>2.81</v>
      </c>
      <c r="F1374" s="26" t="s">
        <v>293</v>
      </c>
      <c r="K1374" s="24">
        <v>45</v>
      </c>
      <c r="L1374" s="102">
        <v>46097</v>
      </c>
      <c r="M1374" s="25" t="s">
        <v>357</v>
      </c>
      <c r="N1374" s="103" t="s">
        <v>117</v>
      </c>
      <c r="O1374" s="26">
        <v>6.56</v>
      </c>
      <c r="P1374" s="26" t="s">
        <v>293</v>
      </c>
    </row>
    <row r="1375" spans="1:16" x14ac:dyDescent="0.3">
      <c r="A1375" s="24">
        <v>45</v>
      </c>
      <c r="B1375" s="102">
        <v>46097</v>
      </c>
      <c r="C1375" s="25" t="s">
        <v>356</v>
      </c>
      <c r="D1375" s="103" t="s">
        <v>344</v>
      </c>
      <c r="E1375" s="26">
        <v>231</v>
      </c>
      <c r="F1375" s="26" t="s">
        <v>293</v>
      </c>
      <c r="K1375" s="24">
        <v>45</v>
      </c>
      <c r="L1375" s="102">
        <v>46097</v>
      </c>
      <c r="M1375" s="25" t="s">
        <v>357</v>
      </c>
      <c r="N1375" s="103" t="s">
        <v>344</v>
      </c>
      <c r="O1375" s="26">
        <v>68</v>
      </c>
      <c r="P1375" s="26" t="s">
        <v>293</v>
      </c>
    </row>
    <row r="1376" spans="1:16" x14ac:dyDescent="0.3">
      <c r="A1376" s="24">
        <v>45</v>
      </c>
      <c r="B1376" s="102">
        <v>46097</v>
      </c>
      <c r="C1376" s="25" t="s">
        <v>356</v>
      </c>
      <c r="D1376" s="103" t="s">
        <v>132</v>
      </c>
      <c r="E1376" s="26">
        <v>3.58</v>
      </c>
      <c r="F1376" s="26" t="s">
        <v>293</v>
      </c>
      <c r="K1376" s="24">
        <v>45</v>
      </c>
      <c r="L1376" s="102">
        <v>46097</v>
      </c>
      <c r="M1376" s="25" t="s">
        <v>357</v>
      </c>
      <c r="N1376" s="103" t="s">
        <v>132</v>
      </c>
      <c r="O1376" s="26">
        <v>7.38</v>
      </c>
      <c r="P1376" s="26" t="s">
        <v>293</v>
      </c>
    </row>
    <row r="1377" spans="1:16" x14ac:dyDescent="0.3">
      <c r="A1377" s="24">
        <v>45</v>
      </c>
      <c r="B1377" s="102">
        <v>46097</v>
      </c>
      <c r="C1377" s="25" t="s">
        <v>356</v>
      </c>
      <c r="D1377" s="103" t="s">
        <v>111</v>
      </c>
      <c r="E1377" s="26">
        <v>88</v>
      </c>
      <c r="F1377" s="26" t="s">
        <v>293</v>
      </c>
      <c r="K1377" s="24">
        <v>45</v>
      </c>
      <c r="L1377" s="102">
        <v>46097</v>
      </c>
      <c r="M1377" s="25" t="s">
        <v>357</v>
      </c>
      <c r="N1377" s="103" t="s">
        <v>111</v>
      </c>
      <c r="O1377" s="26">
        <v>281</v>
      </c>
      <c r="P1377" s="26" t="s">
        <v>293</v>
      </c>
    </row>
    <row r="1378" spans="1:16" x14ac:dyDescent="0.3">
      <c r="A1378" s="24">
        <v>45</v>
      </c>
      <c r="B1378" s="102">
        <v>46097</v>
      </c>
      <c r="C1378" s="25" t="s">
        <v>356</v>
      </c>
      <c r="D1378" s="103" t="s">
        <v>345</v>
      </c>
      <c r="E1378" s="26">
        <v>5.09</v>
      </c>
      <c r="F1378" s="26" t="s">
        <v>293</v>
      </c>
      <c r="K1378" s="24">
        <v>45</v>
      </c>
      <c r="L1378" s="102">
        <v>46097</v>
      </c>
      <c r="M1378" s="25" t="s">
        <v>357</v>
      </c>
      <c r="N1378" s="103" t="s">
        <v>345</v>
      </c>
      <c r="O1378" s="26">
        <v>9.98</v>
      </c>
      <c r="P1378" s="26" t="s">
        <v>293</v>
      </c>
    </row>
    <row r="1379" spans="1:16" x14ac:dyDescent="0.3">
      <c r="A1379" s="24">
        <v>45</v>
      </c>
      <c r="B1379" s="102">
        <v>46097</v>
      </c>
      <c r="C1379" s="25" t="s">
        <v>356</v>
      </c>
      <c r="D1379" s="103" t="s">
        <v>347</v>
      </c>
      <c r="E1379" s="26">
        <v>1.95</v>
      </c>
      <c r="F1379" s="26" t="s">
        <v>293</v>
      </c>
      <c r="K1379" s="24">
        <v>45</v>
      </c>
      <c r="L1379" s="102">
        <v>46097</v>
      </c>
      <c r="M1379" s="25" t="s">
        <v>357</v>
      </c>
      <c r="N1379" s="103" t="s">
        <v>347</v>
      </c>
      <c r="O1379" s="26">
        <v>4.38</v>
      </c>
      <c r="P1379" s="26" t="s">
        <v>293</v>
      </c>
    </row>
    <row r="1380" spans="1:16" x14ac:dyDescent="0.3">
      <c r="A1380" s="24">
        <v>45</v>
      </c>
      <c r="B1380" s="102">
        <v>46097</v>
      </c>
      <c r="C1380" s="25" t="s">
        <v>356</v>
      </c>
      <c r="D1380" s="103" t="s">
        <v>128</v>
      </c>
      <c r="E1380" s="26">
        <v>6.7</v>
      </c>
      <c r="F1380" s="26" t="s">
        <v>293</v>
      </c>
      <c r="K1380" s="24">
        <v>45</v>
      </c>
      <c r="L1380" s="102">
        <v>46097</v>
      </c>
      <c r="M1380" s="25" t="s">
        <v>357</v>
      </c>
      <c r="N1380" s="103" t="s">
        <v>128</v>
      </c>
      <c r="O1380" s="26">
        <v>4.3</v>
      </c>
      <c r="P1380" s="26" t="s">
        <v>293</v>
      </c>
    </row>
    <row r="1381" spans="1:16" x14ac:dyDescent="0.3">
      <c r="A1381" s="24">
        <v>45</v>
      </c>
      <c r="B1381" s="102">
        <v>46097</v>
      </c>
      <c r="C1381" s="25" t="s">
        <v>356</v>
      </c>
      <c r="D1381" s="103" t="s">
        <v>121</v>
      </c>
      <c r="E1381" s="26">
        <v>166</v>
      </c>
      <c r="F1381" s="26" t="s">
        <v>293</v>
      </c>
      <c r="K1381" s="24">
        <v>45</v>
      </c>
      <c r="L1381" s="102">
        <v>46097</v>
      </c>
      <c r="M1381" s="25" t="s">
        <v>357</v>
      </c>
      <c r="N1381" s="103" t="s">
        <v>121</v>
      </c>
      <c r="O1381" s="26">
        <v>80</v>
      </c>
      <c r="P1381" s="26" t="s">
        <v>293</v>
      </c>
    </row>
    <row r="1382" spans="1:16" x14ac:dyDescent="0.3">
      <c r="A1382" s="24">
        <v>45</v>
      </c>
      <c r="B1382" s="102">
        <v>46097</v>
      </c>
      <c r="C1382" s="25" t="s">
        <v>356</v>
      </c>
      <c r="D1382" s="103" t="s">
        <v>115</v>
      </c>
      <c r="E1382" s="26">
        <v>35</v>
      </c>
      <c r="F1382" s="26" t="s">
        <v>293</v>
      </c>
      <c r="K1382" s="24">
        <v>45</v>
      </c>
      <c r="L1382" s="102">
        <v>46097</v>
      </c>
      <c r="M1382" s="25" t="s">
        <v>357</v>
      </c>
      <c r="N1382" s="103" t="s">
        <v>115</v>
      </c>
      <c r="O1382" s="26">
        <v>100</v>
      </c>
      <c r="P1382" s="26" t="s">
        <v>293</v>
      </c>
    </row>
    <row r="1383" spans="1:16" x14ac:dyDescent="0.3">
      <c r="A1383" s="24">
        <v>45</v>
      </c>
      <c r="B1383" s="102">
        <v>46097</v>
      </c>
      <c r="C1383" s="25" t="s">
        <v>356</v>
      </c>
      <c r="D1383" s="103" t="s">
        <v>137</v>
      </c>
      <c r="E1383" s="26">
        <v>74</v>
      </c>
      <c r="F1383" s="26" t="s">
        <v>293</v>
      </c>
      <c r="K1383" s="24">
        <v>45</v>
      </c>
      <c r="L1383" s="102">
        <v>46097</v>
      </c>
      <c r="M1383" s="25" t="s">
        <v>357</v>
      </c>
      <c r="N1383" s="103" t="s">
        <v>137</v>
      </c>
      <c r="O1383" s="26">
        <v>481</v>
      </c>
      <c r="P1383" s="26" t="s">
        <v>293</v>
      </c>
    </row>
    <row r="1384" spans="1:16" x14ac:dyDescent="0.3">
      <c r="A1384" s="24">
        <v>45</v>
      </c>
      <c r="B1384" s="102">
        <v>46097</v>
      </c>
      <c r="C1384" s="25" t="s">
        <v>356</v>
      </c>
      <c r="D1384" s="103" t="s">
        <v>348</v>
      </c>
      <c r="E1384" s="26">
        <v>140</v>
      </c>
      <c r="F1384" s="26" t="s">
        <v>293</v>
      </c>
      <c r="K1384" s="24">
        <v>45</v>
      </c>
      <c r="L1384" s="102">
        <v>46097</v>
      </c>
      <c r="M1384" s="25" t="s">
        <v>357</v>
      </c>
      <c r="N1384" s="103" t="s">
        <v>348</v>
      </c>
      <c r="O1384" s="26">
        <v>430</v>
      </c>
      <c r="P1384" s="26" t="s">
        <v>293</v>
      </c>
    </row>
    <row r="1385" spans="1:16" x14ac:dyDescent="0.3">
      <c r="A1385" s="24">
        <v>45</v>
      </c>
      <c r="B1385" s="102">
        <v>46097</v>
      </c>
      <c r="C1385" s="25" t="s">
        <v>356</v>
      </c>
      <c r="D1385" s="103" t="s">
        <v>125</v>
      </c>
      <c r="E1385" s="26">
        <v>112</v>
      </c>
      <c r="F1385" s="26" t="s">
        <v>293</v>
      </c>
      <c r="K1385" s="24">
        <v>45</v>
      </c>
      <c r="L1385" s="102">
        <v>46097</v>
      </c>
      <c r="M1385" s="25" t="s">
        <v>357</v>
      </c>
      <c r="N1385" s="103" t="s">
        <v>125</v>
      </c>
      <c r="O1385" s="26">
        <v>415</v>
      </c>
      <c r="P1385" s="26" t="s">
        <v>293</v>
      </c>
    </row>
    <row r="1386" spans="1:16" x14ac:dyDescent="0.3">
      <c r="A1386" s="24">
        <v>45</v>
      </c>
      <c r="B1386" s="102">
        <v>46097</v>
      </c>
      <c r="C1386" s="25" t="s">
        <v>356</v>
      </c>
      <c r="D1386" s="103" t="s">
        <v>126</v>
      </c>
      <c r="E1386" s="26">
        <v>78</v>
      </c>
      <c r="F1386" s="26" t="s">
        <v>293</v>
      </c>
      <c r="K1386" s="24">
        <v>45</v>
      </c>
      <c r="L1386" s="102">
        <v>46097</v>
      </c>
      <c r="M1386" s="25" t="s">
        <v>357</v>
      </c>
      <c r="N1386" s="103" t="s">
        <v>126</v>
      </c>
      <c r="O1386" s="26">
        <v>150</v>
      </c>
      <c r="P1386" s="26" t="s">
        <v>293</v>
      </c>
    </row>
    <row r="1387" spans="1:16" x14ac:dyDescent="0.3">
      <c r="A1387" s="24">
        <v>45</v>
      </c>
      <c r="B1387" s="102">
        <v>46097</v>
      </c>
      <c r="C1387" s="25" t="s">
        <v>356</v>
      </c>
      <c r="D1387" s="103" t="s">
        <v>349</v>
      </c>
      <c r="E1387" s="26">
        <v>165</v>
      </c>
      <c r="F1387" s="26" t="s">
        <v>293</v>
      </c>
      <c r="K1387" s="24">
        <v>45</v>
      </c>
      <c r="L1387" s="102">
        <v>46097</v>
      </c>
      <c r="M1387" s="25" t="s">
        <v>357</v>
      </c>
      <c r="N1387" s="103" t="s">
        <v>349</v>
      </c>
      <c r="O1387" s="26">
        <v>385</v>
      </c>
      <c r="P1387" s="26" t="s">
        <v>293</v>
      </c>
    </row>
    <row r="1388" spans="1:16" x14ac:dyDescent="0.3">
      <c r="A1388" s="24">
        <v>45</v>
      </c>
      <c r="B1388" s="102">
        <v>46097</v>
      </c>
      <c r="C1388" s="25" t="s">
        <v>356</v>
      </c>
      <c r="D1388" s="103" t="s">
        <v>350</v>
      </c>
      <c r="E1388" s="26">
        <v>59</v>
      </c>
      <c r="F1388" s="26" t="s">
        <v>293</v>
      </c>
      <c r="K1388" s="24">
        <v>45</v>
      </c>
      <c r="L1388" s="102">
        <v>46097</v>
      </c>
      <c r="M1388" s="25" t="s">
        <v>357</v>
      </c>
      <c r="N1388" s="103" t="s">
        <v>350</v>
      </c>
      <c r="O1388" s="26">
        <v>85</v>
      </c>
      <c r="P1388" s="26" t="s">
        <v>293</v>
      </c>
    </row>
    <row r="1389" spans="1:16" x14ac:dyDescent="0.3">
      <c r="A1389" s="24">
        <v>45</v>
      </c>
      <c r="B1389" s="102">
        <v>46097</v>
      </c>
      <c r="C1389" s="25" t="s">
        <v>356</v>
      </c>
      <c r="D1389" s="103" t="s">
        <v>122</v>
      </c>
      <c r="E1389" s="26">
        <v>46</v>
      </c>
      <c r="F1389" s="26" t="s">
        <v>293</v>
      </c>
      <c r="K1389" s="24">
        <v>45</v>
      </c>
      <c r="L1389" s="102">
        <v>46097</v>
      </c>
      <c r="M1389" s="25" t="s">
        <v>357</v>
      </c>
      <c r="N1389" s="103" t="s">
        <v>122</v>
      </c>
      <c r="O1389" s="26">
        <v>225</v>
      </c>
      <c r="P1389" s="26" t="s">
        <v>293</v>
      </c>
    </row>
    <row r="1390" spans="1:16" x14ac:dyDescent="0.3">
      <c r="A1390" s="24">
        <v>45</v>
      </c>
      <c r="B1390" s="102">
        <v>46097</v>
      </c>
      <c r="C1390" s="25" t="s">
        <v>356</v>
      </c>
      <c r="D1390" s="103" t="s">
        <v>124</v>
      </c>
      <c r="E1390" s="26">
        <v>30</v>
      </c>
      <c r="F1390" s="26" t="s">
        <v>293</v>
      </c>
      <c r="K1390" s="24">
        <v>45</v>
      </c>
      <c r="L1390" s="102">
        <v>46097</v>
      </c>
      <c r="M1390" s="25" t="s">
        <v>357</v>
      </c>
      <c r="N1390" s="103" t="s">
        <v>124</v>
      </c>
      <c r="O1390" s="26">
        <v>104</v>
      </c>
      <c r="P1390" s="26" t="s">
        <v>293</v>
      </c>
    </row>
    <row r="1391" spans="1:16" x14ac:dyDescent="0.3">
      <c r="A1391" s="24">
        <v>45</v>
      </c>
      <c r="B1391" s="102">
        <v>46097</v>
      </c>
      <c r="C1391" s="25" t="s">
        <v>356</v>
      </c>
      <c r="D1391" s="103" t="s">
        <v>351</v>
      </c>
      <c r="E1391" s="26">
        <v>0.96</v>
      </c>
      <c r="F1391" s="26" t="s">
        <v>293</v>
      </c>
      <c r="K1391" s="24">
        <v>45</v>
      </c>
      <c r="L1391" s="102">
        <v>46097</v>
      </c>
      <c r="M1391" s="25" t="s">
        <v>357</v>
      </c>
      <c r="N1391" s="103" t="s">
        <v>351</v>
      </c>
      <c r="O1391" s="26">
        <v>3.57</v>
      </c>
      <c r="P1391" s="26" t="s">
        <v>293</v>
      </c>
    </row>
    <row r="1392" spans="1:16" x14ac:dyDescent="0.3">
      <c r="A1392" s="24">
        <v>45</v>
      </c>
      <c r="B1392" s="102">
        <v>46097</v>
      </c>
      <c r="C1392" s="25" t="s">
        <v>356</v>
      </c>
      <c r="D1392" s="103" t="s">
        <v>353</v>
      </c>
      <c r="E1392" s="26">
        <v>29</v>
      </c>
      <c r="F1392" s="26" t="s">
        <v>293</v>
      </c>
      <c r="K1392" s="24">
        <v>45</v>
      </c>
      <c r="L1392" s="102">
        <v>46097</v>
      </c>
      <c r="M1392" s="25" t="s">
        <v>357</v>
      </c>
      <c r="N1392" s="103" t="s">
        <v>353</v>
      </c>
      <c r="O1392" s="26">
        <v>16.8</v>
      </c>
      <c r="P1392" s="26" t="s">
        <v>293</v>
      </c>
    </row>
    <row r="1393" spans="1:16" x14ac:dyDescent="0.3">
      <c r="A1393" s="24">
        <v>45</v>
      </c>
      <c r="B1393" s="102">
        <v>46097</v>
      </c>
      <c r="C1393" s="25" t="s">
        <v>356</v>
      </c>
      <c r="D1393" s="103" t="s">
        <v>133</v>
      </c>
      <c r="E1393" s="26">
        <v>146</v>
      </c>
      <c r="F1393" s="26" t="s">
        <v>293</v>
      </c>
      <c r="K1393" s="24">
        <v>45</v>
      </c>
      <c r="L1393" s="102">
        <v>46097</v>
      </c>
      <c r="M1393" s="25" t="s">
        <v>357</v>
      </c>
      <c r="N1393" s="103" t="s">
        <v>133</v>
      </c>
      <c r="O1393" s="26">
        <v>128</v>
      </c>
      <c r="P1393" s="26" t="s">
        <v>293</v>
      </c>
    </row>
    <row r="1394" spans="1:16" x14ac:dyDescent="0.3">
      <c r="A1394" s="24">
        <v>45</v>
      </c>
      <c r="B1394" s="102">
        <v>46097</v>
      </c>
      <c r="C1394" s="25" t="s">
        <v>356</v>
      </c>
      <c r="D1394" s="103" t="s">
        <v>135</v>
      </c>
      <c r="E1394" s="26">
        <v>3.9</v>
      </c>
      <c r="F1394" s="26" t="s">
        <v>293</v>
      </c>
      <c r="K1394" s="24">
        <v>45</v>
      </c>
      <c r="L1394" s="102">
        <v>46097</v>
      </c>
      <c r="M1394" s="25" t="s">
        <v>357</v>
      </c>
      <c r="N1394" s="103" t="s">
        <v>135</v>
      </c>
      <c r="O1394" s="26">
        <v>6.5</v>
      </c>
      <c r="P1394" s="26" t="s">
        <v>293</v>
      </c>
    </row>
    <row r="1395" spans="1:16" x14ac:dyDescent="0.3">
      <c r="A1395" s="24">
        <v>45</v>
      </c>
      <c r="B1395" s="102">
        <v>46097</v>
      </c>
      <c r="C1395" s="25" t="s">
        <v>356</v>
      </c>
      <c r="D1395" s="103" t="s">
        <v>136</v>
      </c>
      <c r="E1395" s="26">
        <v>120</v>
      </c>
      <c r="F1395" s="26" t="s">
        <v>293</v>
      </c>
      <c r="K1395" s="24">
        <v>45</v>
      </c>
      <c r="L1395" s="102">
        <v>46097</v>
      </c>
      <c r="M1395" s="25" t="s">
        <v>357</v>
      </c>
      <c r="N1395" s="103" t="s">
        <v>136</v>
      </c>
      <c r="O1395" s="26">
        <v>94</v>
      </c>
      <c r="P1395" s="26" t="s">
        <v>293</v>
      </c>
    </row>
    <row r="1396" spans="1:16" x14ac:dyDescent="0.3">
      <c r="A1396" s="24">
        <v>46</v>
      </c>
      <c r="B1396" s="102">
        <v>46104</v>
      </c>
      <c r="C1396" s="25" t="s">
        <v>356</v>
      </c>
      <c r="D1396" s="103" t="s">
        <v>339</v>
      </c>
      <c r="E1396" s="26">
        <v>4.59</v>
      </c>
      <c r="F1396" s="26" t="s">
        <v>293</v>
      </c>
      <c r="K1396" s="24">
        <v>46</v>
      </c>
      <c r="L1396" s="102">
        <v>46104</v>
      </c>
      <c r="M1396" s="25" t="s">
        <v>357</v>
      </c>
      <c r="N1396" s="103" t="s">
        <v>339</v>
      </c>
      <c r="O1396" s="26">
        <v>1.26</v>
      </c>
      <c r="P1396" s="26" t="s">
        <v>293</v>
      </c>
    </row>
    <row r="1397" spans="1:16" x14ac:dyDescent="0.3">
      <c r="A1397" s="24">
        <v>46</v>
      </c>
      <c r="B1397" s="102">
        <v>46104</v>
      </c>
      <c r="C1397" s="25" t="s">
        <v>356</v>
      </c>
      <c r="D1397" s="103" t="s">
        <v>118</v>
      </c>
      <c r="E1397" s="26">
        <v>4.4000000000000004</v>
      </c>
      <c r="F1397" s="26" t="s">
        <v>293</v>
      </c>
      <c r="K1397" s="24">
        <v>46</v>
      </c>
      <c r="L1397" s="102">
        <v>46104</v>
      </c>
      <c r="M1397" s="25" t="s">
        <v>357</v>
      </c>
      <c r="N1397" s="103" t="s">
        <v>118</v>
      </c>
      <c r="O1397" s="26">
        <v>9.5</v>
      </c>
      <c r="P1397" s="26" t="s">
        <v>293</v>
      </c>
    </row>
    <row r="1398" spans="1:16" x14ac:dyDescent="0.3">
      <c r="A1398" s="24">
        <v>46</v>
      </c>
      <c r="B1398" s="102">
        <v>46104</v>
      </c>
      <c r="C1398" s="25" t="s">
        <v>356</v>
      </c>
      <c r="D1398" s="103" t="s">
        <v>130</v>
      </c>
      <c r="E1398" s="26">
        <v>3.76</v>
      </c>
      <c r="F1398" s="26" t="s">
        <v>293</v>
      </c>
      <c r="K1398" s="24">
        <v>46</v>
      </c>
      <c r="L1398" s="102">
        <v>46104</v>
      </c>
      <c r="M1398" s="25" t="s">
        <v>357</v>
      </c>
      <c r="N1398" s="103" t="s">
        <v>130</v>
      </c>
      <c r="O1398" s="26">
        <v>2.41</v>
      </c>
      <c r="P1398" s="26" t="s">
        <v>293</v>
      </c>
    </row>
    <row r="1399" spans="1:16" x14ac:dyDescent="0.3">
      <c r="A1399" s="24">
        <v>46</v>
      </c>
      <c r="B1399" s="102">
        <v>46104</v>
      </c>
      <c r="C1399" s="25" t="s">
        <v>356</v>
      </c>
      <c r="D1399" s="103" t="s">
        <v>341</v>
      </c>
      <c r="E1399" s="26">
        <v>0.28999999999999998</v>
      </c>
      <c r="F1399" s="26" t="s">
        <v>293</v>
      </c>
      <c r="K1399" s="24">
        <v>46</v>
      </c>
      <c r="L1399" s="102">
        <v>46104</v>
      </c>
      <c r="M1399" s="25" t="s">
        <v>357</v>
      </c>
      <c r="N1399" s="103" t="s">
        <v>341</v>
      </c>
      <c r="O1399" s="26">
        <v>1.07</v>
      </c>
      <c r="P1399" s="26" t="s">
        <v>293</v>
      </c>
    </row>
    <row r="1400" spans="1:16" x14ac:dyDescent="0.3">
      <c r="A1400" s="24">
        <v>46</v>
      </c>
      <c r="B1400" s="102">
        <v>46104</v>
      </c>
      <c r="C1400" s="25" t="s">
        <v>356</v>
      </c>
      <c r="D1400" s="103" t="s">
        <v>127</v>
      </c>
      <c r="E1400" s="26">
        <v>1.2</v>
      </c>
      <c r="F1400" s="26" t="s">
        <v>293</v>
      </c>
      <c r="K1400" s="24">
        <v>46</v>
      </c>
      <c r="L1400" s="102">
        <v>46104</v>
      </c>
      <c r="M1400" s="25" t="s">
        <v>357</v>
      </c>
      <c r="N1400" s="103" t="s">
        <v>127</v>
      </c>
      <c r="O1400" s="26">
        <v>4.57</v>
      </c>
      <c r="P1400" s="26" t="s">
        <v>293</v>
      </c>
    </row>
    <row r="1401" spans="1:16" x14ac:dyDescent="0.3">
      <c r="A1401" s="24">
        <v>46</v>
      </c>
      <c r="B1401" s="102">
        <v>46104</v>
      </c>
      <c r="C1401" s="25" t="s">
        <v>356</v>
      </c>
      <c r="D1401" s="103" t="s">
        <v>131</v>
      </c>
      <c r="E1401" s="26">
        <v>8.6</v>
      </c>
      <c r="F1401" s="26" t="s">
        <v>293</v>
      </c>
      <c r="K1401" s="24">
        <v>46</v>
      </c>
      <c r="L1401" s="102">
        <v>46104</v>
      </c>
      <c r="M1401" s="25" t="s">
        <v>357</v>
      </c>
      <c r="N1401" s="103" t="s">
        <v>131</v>
      </c>
      <c r="O1401" s="26">
        <v>12</v>
      </c>
      <c r="P1401" s="26" t="s">
        <v>293</v>
      </c>
    </row>
    <row r="1402" spans="1:16" x14ac:dyDescent="0.3">
      <c r="A1402" s="24">
        <v>46</v>
      </c>
      <c r="B1402" s="102">
        <v>46104</v>
      </c>
      <c r="C1402" s="25" t="s">
        <v>356</v>
      </c>
      <c r="D1402" s="103" t="s">
        <v>342</v>
      </c>
      <c r="E1402" s="26">
        <v>336</v>
      </c>
      <c r="F1402" s="26" t="s">
        <v>293</v>
      </c>
      <c r="K1402" s="24">
        <v>46</v>
      </c>
      <c r="L1402" s="102">
        <v>46104</v>
      </c>
      <c r="M1402" s="25" t="s">
        <v>357</v>
      </c>
      <c r="N1402" s="103" t="s">
        <v>342</v>
      </c>
      <c r="O1402" s="26">
        <v>201</v>
      </c>
      <c r="P1402" s="26" t="s">
        <v>293</v>
      </c>
    </row>
    <row r="1403" spans="1:16" x14ac:dyDescent="0.3">
      <c r="A1403" s="24">
        <v>46</v>
      </c>
      <c r="B1403" s="102">
        <v>46104</v>
      </c>
      <c r="C1403" s="25" t="s">
        <v>356</v>
      </c>
      <c r="D1403" s="103" t="s">
        <v>119</v>
      </c>
      <c r="E1403" s="26">
        <v>236</v>
      </c>
      <c r="F1403" s="26" t="s">
        <v>293</v>
      </c>
      <c r="K1403" s="24">
        <v>46</v>
      </c>
      <c r="L1403" s="102">
        <v>46104</v>
      </c>
      <c r="M1403" s="25" t="s">
        <v>357</v>
      </c>
      <c r="N1403" s="103" t="s">
        <v>119</v>
      </c>
      <c r="O1403" s="26">
        <v>89</v>
      </c>
      <c r="P1403" s="26" t="s">
        <v>293</v>
      </c>
    </row>
    <row r="1404" spans="1:16" x14ac:dyDescent="0.3">
      <c r="A1404" s="24">
        <v>46</v>
      </c>
      <c r="B1404" s="102">
        <v>46104</v>
      </c>
      <c r="C1404" s="25" t="s">
        <v>356</v>
      </c>
      <c r="D1404" s="103" t="s">
        <v>120</v>
      </c>
      <c r="E1404" s="26">
        <v>77</v>
      </c>
      <c r="F1404" s="26" t="s">
        <v>293</v>
      </c>
      <c r="K1404" s="24">
        <v>46</v>
      </c>
      <c r="L1404" s="102">
        <v>46104</v>
      </c>
      <c r="M1404" s="25" t="s">
        <v>357</v>
      </c>
      <c r="N1404" s="103" t="s">
        <v>120</v>
      </c>
      <c r="O1404" s="26">
        <v>27</v>
      </c>
      <c r="P1404" s="26" t="s">
        <v>293</v>
      </c>
    </row>
    <row r="1405" spans="1:16" x14ac:dyDescent="0.3">
      <c r="A1405" s="24">
        <v>46</v>
      </c>
      <c r="B1405" s="102">
        <v>46104</v>
      </c>
      <c r="C1405" s="25" t="s">
        <v>356</v>
      </c>
      <c r="D1405" s="103" t="s">
        <v>117</v>
      </c>
      <c r="E1405" s="26">
        <v>2.84</v>
      </c>
      <c r="F1405" s="26" t="s">
        <v>293</v>
      </c>
      <c r="K1405" s="24">
        <v>46</v>
      </c>
      <c r="L1405" s="102">
        <v>46104</v>
      </c>
      <c r="M1405" s="25" t="s">
        <v>357</v>
      </c>
      <c r="N1405" s="103" t="s">
        <v>117</v>
      </c>
      <c r="O1405" s="26">
        <v>6.39</v>
      </c>
      <c r="P1405" s="26" t="s">
        <v>293</v>
      </c>
    </row>
    <row r="1406" spans="1:16" x14ac:dyDescent="0.3">
      <c r="A1406" s="24">
        <v>46</v>
      </c>
      <c r="B1406" s="102">
        <v>46104</v>
      </c>
      <c r="C1406" s="25" t="s">
        <v>356</v>
      </c>
      <c r="D1406" s="103" t="s">
        <v>344</v>
      </c>
      <c r="E1406" s="26">
        <v>232</v>
      </c>
      <c r="F1406" s="26" t="s">
        <v>293</v>
      </c>
      <c r="K1406" s="24">
        <v>46</v>
      </c>
      <c r="L1406" s="102">
        <v>46104</v>
      </c>
      <c r="M1406" s="25" t="s">
        <v>357</v>
      </c>
      <c r="N1406" s="103" t="s">
        <v>344</v>
      </c>
      <c r="O1406" s="26">
        <v>69</v>
      </c>
      <c r="P1406" s="26" t="s">
        <v>293</v>
      </c>
    </row>
    <row r="1407" spans="1:16" x14ac:dyDescent="0.3">
      <c r="A1407" s="24">
        <v>46</v>
      </c>
      <c r="B1407" s="102">
        <v>46104</v>
      </c>
      <c r="C1407" s="25" t="s">
        <v>356</v>
      </c>
      <c r="D1407" s="103" t="s">
        <v>132</v>
      </c>
      <c r="E1407" s="26">
        <v>3.76</v>
      </c>
      <c r="F1407" s="26" t="s">
        <v>293</v>
      </c>
      <c r="K1407" s="24">
        <v>46</v>
      </c>
      <c r="L1407" s="102">
        <v>46104</v>
      </c>
      <c r="M1407" s="25" t="s">
        <v>357</v>
      </c>
      <c r="N1407" s="103" t="s">
        <v>132</v>
      </c>
      <c r="O1407" s="26">
        <v>7.46</v>
      </c>
      <c r="P1407" s="26" t="s">
        <v>293</v>
      </c>
    </row>
    <row r="1408" spans="1:16" x14ac:dyDescent="0.3">
      <c r="A1408" s="24">
        <v>46</v>
      </c>
      <c r="B1408" s="102">
        <v>46104</v>
      </c>
      <c r="C1408" s="25" t="s">
        <v>356</v>
      </c>
      <c r="D1408" s="103" t="s">
        <v>111</v>
      </c>
      <c r="E1408" s="26">
        <v>89</v>
      </c>
      <c r="F1408" s="26" t="s">
        <v>293</v>
      </c>
      <c r="K1408" s="24">
        <v>46</v>
      </c>
      <c r="L1408" s="102">
        <v>46104</v>
      </c>
      <c r="M1408" s="25" t="s">
        <v>357</v>
      </c>
      <c r="N1408" s="103" t="s">
        <v>111</v>
      </c>
      <c r="O1408" s="26">
        <v>286</v>
      </c>
      <c r="P1408" s="26" t="s">
        <v>293</v>
      </c>
    </row>
    <row r="1409" spans="1:16" x14ac:dyDescent="0.3">
      <c r="A1409" s="24">
        <v>46</v>
      </c>
      <c r="B1409" s="102">
        <v>46104</v>
      </c>
      <c r="C1409" s="25" t="s">
        <v>356</v>
      </c>
      <c r="D1409" s="103" t="s">
        <v>345</v>
      </c>
      <c r="E1409" s="26">
        <v>5.04</v>
      </c>
      <c r="F1409" s="26" t="s">
        <v>293</v>
      </c>
      <c r="K1409" s="24">
        <v>46</v>
      </c>
      <c r="L1409" s="102">
        <v>46104</v>
      </c>
      <c r="M1409" s="25" t="s">
        <v>357</v>
      </c>
      <c r="N1409" s="103" t="s">
        <v>345</v>
      </c>
      <c r="O1409" s="26">
        <v>9.92</v>
      </c>
      <c r="P1409" s="26" t="s">
        <v>293</v>
      </c>
    </row>
    <row r="1410" spans="1:16" x14ac:dyDescent="0.3">
      <c r="A1410" s="24">
        <v>46</v>
      </c>
      <c r="B1410" s="102">
        <v>46104</v>
      </c>
      <c r="C1410" s="25" t="s">
        <v>356</v>
      </c>
      <c r="D1410" s="103" t="s">
        <v>347</v>
      </c>
      <c r="E1410" s="26">
        <v>2.11</v>
      </c>
      <c r="F1410" s="26" t="s">
        <v>293</v>
      </c>
      <c r="K1410" s="24">
        <v>46</v>
      </c>
      <c r="L1410" s="102">
        <v>46104</v>
      </c>
      <c r="M1410" s="25" t="s">
        <v>357</v>
      </c>
      <c r="N1410" s="103" t="s">
        <v>347</v>
      </c>
      <c r="O1410" s="26">
        <v>4.5599999999999996</v>
      </c>
      <c r="P1410" s="26" t="s">
        <v>293</v>
      </c>
    </row>
    <row r="1411" spans="1:16" x14ac:dyDescent="0.3">
      <c r="A1411" s="24">
        <v>46</v>
      </c>
      <c r="B1411" s="102">
        <v>46104</v>
      </c>
      <c r="C1411" s="25" t="s">
        <v>356</v>
      </c>
      <c r="D1411" s="103" t="s">
        <v>128</v>
      </c>
      <c r="E1411" s="26">
        <v>6.9</v>
      </c>
      <c r="F1411" s="26" t="s">
        <v>293</v>
      </c>
      <c r="K1411" s="24">
        <v>46</v>
      </c>
      <c r="L1411" s="102">
        <v>46104</v>
      </c>
      <c r="M1411" s="25" t="s">
        <v>357</v>
      </c>
      <c r="N1411" s="103" t="s">
        <v>128</v>
      </c>
      <c r="O1411" s="26">
        <v>4.4000000000000004</v>
      </c>
      <c r="P1411" s="26" t="s">
        <v>293</v>
      </c>
    </row>
    <row r="1412" spans="1:16" x14ac:dyDescent="0.3">
      <c r="A1412" s="24">
        <v>46</v>
      </c>
      <c r="B1412" s="102">
        <v>46104</v>
      </c>
      <c r="C1412" s="25" t="s">
        <v>356</v>
      </c>
      <c r="D1412" s="103" t="s">
        <v>121</v>
      </c>
      <c r="E1412" s="26">
        <v>163</v>
      </c>
      <c r="F1412" s="26" t="s">
        <v>293</v>
      </c>
      <c r="K1412" s="24">
        <v>46</v>
      </c>
      <c r="L1412" s="102">
        <v>46104</v>
      </c>
      <c r="M1412" s="25" t="s">
        <v>357</v>
      </c>
      <c r="N1412" s="103" t="s">
        <v>121</v>
      </c>
      <c r="O1412" s="26">
        <v>81</v>
      </c>
      <c r="P1412" s="26" t="s">
        <v>293</v>
      </c>
    </row>
    <row r="1413" spans="1:16" x14ac:dyDescent="0.3">
      <c r="A1413" s="24">
        <v>46</v>
      </c>
      <c r="B1413" s="102">
        <v>46104</v>
      </c>
      <c r="C1413" s="25" t="s">
        <v>356</v>
      </c>
      <c r="D1413" s="103" t="s">
        <v>115</v>
      </c>
      <c r="E1413" s="26">
        <v>35</v>
      </c>
      <c r="F1413" s="26" t="s">
        <v>293</v>
      </c>
      <c r="K1413" s="24">
        <v>46</v>
      </c>
      <c r="L1413" s="102">
        <v>46104</v>
      </c>
      <c r="M1413" s="25" t="s">
        <v>357</v>
      </c>
      <c r="N1413" s="103" t="s">
        <v>115</v>
      </c>
      <c r="O1413" s="26">
        <v>99</v>
      </c>
      <c r="P1413" s="26" t="s">
        <v>293</v>
      </c>
    </row>
    <row r="1414" spans="1:16" x14ac:dyDescent="0.3">
      <c r="A1414" s="24">
        <v>46</v>
      </c>
      <c r="B1414" s="102">
        <v>46104</v>
      </c>
      <c r="C1414" s="25" t="s">
        <v>356</v>
      </c>
      <c r="D1414" s="103" t="s">
        <v>137</v>
      </c>
      <c r="E1414" s="26">
        <v>75</v>
      </c>
      <c r="F1414" s="26" t="s">
        <v>293</v>
      </c>
      <c r="K1414" s="24">
        <v>46</v>
      </c>
      <c r="L1414" s="102">
        <v>46104</v>
      </c>
      <c r="M1414" s="25" t="s">
        <v>357</v>
      </c>
      <c r="N1414" s="103" t="s">
        <v>137</v>
      </c>
      <c r="O1414" s="26">
        <v>492</v>
      </c>
      <c r="P1414" s="26" t="s">
        <v>293</v>
      </c>
    </row>
    <row r="1415" spans="1:16" x14ac:dyDescent="0.3">
      <c r="A1415" s="24">
        <v>46</v>
      </c>
      <c r="B1415" s="102">
        <v>46104</v>
      </c>
      <c r="C1415" s="25" t="s">
        <v>356</v>
      </c>
      <c r="D1415" s="103" t="s">
        <v>348</v>
      </c>
      <c r="E1415" s="26">
        <v>141</v>
      </c>
      <c r="F1415" s="26" t="s">
        <v>293</v>
      </c>
      <c r="K1415" s="24">
        <v>46</v>
      </c>
      <c r="L1415" s="102">
        <v>46104</v>
      </c>
      <c r="M1415" s="25" t="s">
        <v>357</v>
      </c>
      <c r="N1415" s="103" t="s">
        <v>348</v>
      </c>
      <c r="O1415" s="26">
        <v>434</v>
      </c>
      <c r="P1415" s="26" t="s">
        <v>293</v>
      </c>
    </row>
    <row r="1416" spans="1:16" x14ac:dyDescent="0.3">
      <c r="A1416" s="24">
        <v>46</v>
      </c>
      <c r="B1416" s="102">
        <v>46104</v>
      </c>
      <c r="C1416" s="25" t="s">
        <v>356</v>
      </c>
      <c r="D1416" s="103" t="s">
        <v>125</v>
      </c>
      <c r="E1416" s="26">
        <v>115</v>
      </c>
      <c r="F1416" s="26" t="s">
        <v>293</v>
      </c>
      <c r="K1416" s="24">
        <v>46</v>
      </c>
      <c r="L1416" s="102">
        <v>46104</v>
      </c>
      <c r="M1416" s="25" t="s">
        <v>357</v>
      </c>
      <c r="N1416" s="103" t="s">
        <v>125</v>
      </c>
      <c r="O1416" s="26">
        <v>425</v>
      </c>
      <c r="P1416" s="26" t="s">
        <v>293</v>
      </c>
    </row>
    <row r="1417" spans="1:16" x14ac:dyDescent="0.3">
      <c r="A1417" s="24">
        <v>46</v>
      </c>
      <c r="B1417" s="102">
        <v>46104</v>
      </c>
      <c r="C1417" s="25" t="s">
        <v>356</v>
      </c>
      <c r="D1417" s="103" t="s">
        <v>126</v>
      </c>
      <c r="E1417" s="26">
        <v>79</v>
      </c>
      <c r="F1417" s="26" t="s">
        <v>293</v>
      </c>
      <c r="K1417" s="24">
        <v>46</v>
      </c>
      <c r="L1417" s="102">
        <v>46104</v>
      </c>
      <c r="M1417" s="25" t="s">
        <v>357</v>
      </c>
      <c r="N1417" s="103" t="s">
        <v>126</v>
      </c>
      <c r="O1417" s="26">
        <v>155</v>
      </c>
      <c r="P1417" s="26" t="s">
        <v>293</v>
      </c>
    </row>
    <row r="1418" spans="1:16" x14ac:dyDescent="0.3">
      <c r="A1418" s="24">
        <v>46</v>
      </c>
      <c r="B1418" s="102">
        <v>46104</v>
      </c>
      <c r="C1418" s="25" t="s">
        <v>356</v>
      </c>
      <c r="D1418" s="103" t="s">
        <v>349</v>
      </c>
      <c r="E1418" s="26">
        <v>165</v>
      </c>
      <c r="F1418" s="26" t="s">
        <v>293</v>
      </c>
      <c r="K1418" s="24">
        <v>46</v>
      </c>
      <c r="L1418" s="102">
        <v>46104</v>
      </c>
      <c r="M1418" s="25" t="s">
        <v>357</v>
      </c>
      <c r="N1418" s="103" t="s">
        <v>349</v>
      </c>
      <c r="O1418" s="26">
        <v>391</v>
      </c>
      <c r="P1418" s="26" t="s">
        <v>293</v>
      </c>
    </row>
    <row r="1419" spans="1:16" x14ac:dyDescent="0.3">
      <c r="A1419" s="24">
        <v>46</v>
      </c>
      <c r="B1419" s="102">
        <v>46104</v>
      </c>
      <c r="C1419" s="25" t="s">
        <v>356</v>
      </c>
      <c r="D1419" s="103" t="s">
        <v>350</v>
      </c>
      <c r="E1419" s="26">
        <v>60</v>
      </c>
      <c r="F1419" s="26" t="s">
        <v>293</v>
      </c>
      <c r="K1419" s="24">
        <v>46</v>
      </c>
      <c r="L1419" s="102">
        <v>46104</v>
      </c>
      <c r="M1419" s="25" t="s">
        <v>357</v>
      </c>
      <c r="N1419" s="103" t="s">
        <v>350</v>
      </c>
      <c r="O1419" s="26">
        <v>86</v>
      </c>
      <c r="P1419" s="26" t="s">
        <v>293</v>
      </c>
    </row>
    <row r="1420" spans="1:16" x14ac:dyDescent="0.3">
      <c r="A1420" s="24">
        <v>46</v>
      </c>
      <c r="B1420" s="102">
        <v>46104</v>
      </c>
      <c r="C1420" s="25" t="s">
        <v>356</v>
      </c>
      <c r="D1420" s="103" t="s">
        <v>122</v>
      </c>
      <c r="E1420" s="26">
        <v>46</v>
      </c>
      <c r="F1420" s="26" t="s">
        <v>293</v>
      </c>
      <c r="K1420" s="24">
        <v>46</v>
      </c>
      <c r="L1420" s="102">
        <v>46104</v>
      </c>
      <c r="M1420" s="25" t="s">
        <v>357</v>
      </c>
      <c r="N1420" s="103" t="s">
        <v>122</v>
      </c>
      <c r="O1420" s="26">
        <v>228</v>
      </c>
      <c r="P1420" s="26" t="s">
        <v>293</v>
      </c>
    </row>
    <row r="1421" spans="1:16" x14ac:dyDescent="0.3">
      <c r="A1421" s="24">
        <v>46</v>
      </c>
      <c r="B1421" s="102">
        <v>46104</v>
      </c>
      <c r="C1421" s="25" t="s">
        <v>356</v>
      </c>
      <c r="D1421" s="103" t="s">
        <v>124</v>
      </c>
      <c r="E1421" s="26">
        <v>31</v>
      </c>
      <c r="F1421" s="26" t="s">
        <v>293</v>
      </c>
      <c r="K1421" s="24">
        <v>46</v>
      </c>
      <c r="L1421" s="102">
        <v>46104</v>
      </c>
      <c r="M1421" s="25" t="s">
        <v>357</v>
      </c>
      <c r="N1421" s="103" t="s">
        <v>124</v>
      </c>
      <c r="O1421" s="26">
        <v>107</v>
      </c>
      <c r="P1421" s="26" t="s">
        <v>293</v>
      </c>
    </row>
    <row r="1422" spans="1:16" x14ac:dyDescent="0.3">
      <c r="A1422" s="24">
        <v>46</v>
      </c>
      <c r="B1422" s="102">
        <v>46104</v>
      </c>
      <c r="C1422" s="25" t="s">
        <v>356</v>
      </c>
      <c r="D1422" s="103" t="s">
        <v>351</v>
      </c>
      <c r="E1422" s="26">
        <v>0.95</v>
      </c>
      <c r="F1422" s="26" t="s">
        <v>293</v>
      </c>
      <c r="K1422" s="24">
        <v>46</v>
      </c>
      <c r="L1422" s="102">
        <v>46104</v>
      </c>
      <c r="M1422" s="25" t="s">
        <v>357</v>
      </c>
      <c r="N1422" s="103" t="s">
        <v>351</v>
      </c>
      <c r="O1422" s="26">
        <v>3.57</v>
      </c>
      <c r="P1422" s="26" t="s">
        <v>293</v>
      </c>
    </row>
    <row r="1423" spans="1:16" x14ac:dyDescent="0.3">
      <c r="A1423" s="24">
        <v>46</v>
      </c>
      <c r="B1423" s="102">
        <v>46104</v>
      </c>
      <c r="C1423" s="25" t="s">
        <v>356</v>
      </c>
      <c r="D1423" s="103" t="s">
        <v>353</v>
      </c>
      <c r="E1423" s="26">
        <v>33</v>
      </c>
      <c r="F1423" s="26" t="s">
        <v>293</v>
      </c>
      <c r="K1423" s="24">
        <v>46</v>
      </c>
      <c r="L1423" s="102">
        <v>46104</v>
      </c>
      <c r="M1423" s="25" t="s">
        <v>357</v>
      </c>
      <c r="N1423" s="103" t="s">
        <v>353</v>
      </c>
      <c r="O1423" s="26">
        <v>16.600000000000001</v>
      </c>
      <c r="P1423" s="26" t="s">
        <v>293</v>
      </c>
    </row>
    <row r="1424" spans="1:16" x14ac:dyDescent="0.3">
      <c r="A1424" s="24">
        <v>46</v>
      </c>
      <c r="B1424" s="102">
        <v>46104</v>
      </c>
      <c r="C1424" s="25" t="s">
        <v>356</v>
      </c>
      <c r="D1424" s="103" t="s">
        <v>133</v>
      </c>
      <c r="E1424" s="26">
        <v>143</v>
      </c>
      <c r="F1424" s="26" t="s">
        <v>293</v>
      </c>
      <c r="K1424" s="24">
        <v>46</v>
      </c>
      <c r="L1424" s="102">
        <v>46104</v>
      </c>
      <c r="M1424" s="25" t="s">
        <v>357</v>
      </c>
      <c r="N1424" s="103" t="s">
        <v>133</v>
      </c>
      <c r="O1424" s="26">
        <v>126</v>
      </c>
      <c r="P1424" s="26" t="s">
        <v>293</v>
      </c>
    </row>
    <row r="1425" spans="1:16" x14ac:dyDescent="0.3">
      <c r="A1425" s="24">
        <v>46</v>
      </c>
      <c r="B1425" s="102">
        <v>46104</v>
      </c>
      <c r="C1425" s="25" t="s">
        <v>356</v>
      </c>
      <c r="D1425" s="103" t="s">
        <v>135</v>
      </c>
      <c r="E1425" s="26">
        <v>3.8</v>
      </c>
      <c r="F1425" s="26" t="s">
        <v>293</v>
      </c>
      <c r="K1425" s="24">
        <v>46</v>
      </c>
      <c r="L1425" s="102">
        <v>46104</v>
      </c>
      <c r="M1425" s="25" t="s">
        <v>357</v>
      </c>
      <c r="N1425" s="103" t="s">
        <v>135</v>
      </c>
      <c r="O1425" s="26">
        <v>6.5</v>
      </c>
      <c r="P1425" s="26" t="s">
        <v>293</v>
      </c>
    </row>
    <row r="1426" spans="1:16" x14ac:dyDescent="0.3">
      <c r="A1426" s="24">
        <v>46</v>
      </c>
      <c r="B1426" s="102">
        <v>46104</v>
      </c>
      <c r="C1426" s="25" t="s">
        <v>356</v>
      </c>
      <c r="D1426" s="103" t="s">
        <v>136</v>
      </c>
      <c r="E1426" s="26">
        <v>118</v>
      </c>
      <c r="F1426" s="26" t="s">
        <v>293</v>
      </c>
      <c r="K1426" s="24">
        <v>46</v>
      </c>
      <c r="L1426" s="102">
        <v>46104</v>
      </c>
      <c r="M1426" s="25" t="s">
        <v>357</v>
      </c>
      <c r="N1426" s="103" t="s">
        <v>136</v>
      </c>
      <c r="O1426" s="26">
        <v>94</v>
      </c>
      <c r="P1426" s="26" t="s">
        <v>293</v>
      </c>
    </row>
    <row r="1427" spans="1:16" x14ac:dyDescent="0.3">
      <c r="A1427" s="24">
        <v>47</v>
      </c>
      <c r="B1427" s="102">
        <v>46105</v>
      </c>
      <c r="C1427" s="25" t="s">
        <v>356</v>
      </c>
      <c r="D1427" s="103" t="s">
        <v>339</v>
      </c>
      <c r="E1427" s="26">
        <v>4.68</v>
      </c>
      <c r="F1427" s="26" t="s">
        <v>293</v>
      </c>
      <c r="K1427" s="24">
        <v>47</v>
      </c>
      <c r="L1427" s="102">
        <v>46105</v>
      </c>
      <c r="M1427" s="25" t="s">
        <v>357</v>
      </c>
      <c r="N1427" s="103" t="s">
        <v>339</v>
      </c>
      <c r="O1427" s="26">
        <v>1.1599999999999999</v>
      </c>
      <c r="P1427" s="26" t="s">
        <v>293</v>
      </c>
    </row>
    <row r="1428" spans="1:16" x14ac:dyDescent="0.3">
      <c r="A1428" s="24">
        <v>47</v>
      </c>
      <c r="B1428" s="102">
        <v>46105</v>
      </c>
      <c r="C1428" s="25" t="s">
        <v>356</v>
      </c>
      <c r="D1428" s="103" t="s">
        <v>118</v>
      </c>
      <c r="E1428" s="26">
        <v>4.5</v>
      </c>
      <c r="F1428" s="26" t="s">
        <v>293</v>
      </c>
      <c r="K1428" s="24">
        <v>47</v>
      </c>
      <c r="L1428" s="102">
        <v>46105</v>
      </c>
      <c r="M1428" s="25" t="s">
        <v>357</v>
      </c>
      <c r="N1428" s="103" t="s">
        <v>118</v>
      </c>
      <c r="O1428" s="26">
        <v>9.4</v>
      </c>
      <c r="P1428" s="26" t="s">
        <v>293</v>
      </c>
    </row>
    <row r="1429" spans="1:16" x14ac:dyDescent="0.3">
      <c r="A1429" s="24">
        <v>47</v>
      </c>
      <c r="B1429" s="102">
        <v>46105</v>
      </c>
      <c r="C1429" s="25" t="s">
        <v>356</v>
      </c>
      <c r="D1429" s="103" t="s">
        <v>130</v>
      </c>
      <c r="E1429" s="26">
        <v>3.69</v>
      </c>
      <c r="F1429" s="26" t="s">
        <v>293</v>
      </c>
      <c r="K1429" s="24">
        <v>47</v>
      </c>
      <c r="L1429" s="102">
        <v>46105</v>
      </c>
      <c r="M1429" s="25" t="s">
        <v>357</v>
      </c>
      <c r="N1429" s="103" t="s">
        <v>130</v>
      </c>
      <c r="O1429" s="26">
        <v>2.35</v>
      </c>
      <c r="P1429" s="26" t="s">
        <v>293</v>
      </c>
    </row>
    <row r="1430" spans="1:16" x14ac:dyDescent="0.3">
      <c r="A1430" s="24">
        <v>47</v>
      </c>
      <c r="B1430" s="102">
        <v>46105</v>
      </c>
      <c r="C1430" s="25" t="s">
        <v>356</v>
      </c>
      <c r="D1430" s="103" t="s">
        <v>341</v>
      </c>
      <c r="E1430" s="26">
        <v>0.28000000000000003</v>
      </c>
      <c r="F1430" s="26" t="s">
        <v>293</v>
      </c>
      <c r="K1430" s="24">
        <v>47</v>
      </c>
      <c r="L1430" s="102">
        <v>46105</v>
      </c>
      <c r="M1430" s="25" t="s">
        <v>357</v>
      </c>
      <c r="N1430" s="103" t="s">
        <v>341</v>
      </c>
      <c r="O1430" s="26">
        <v>1.03</v>
      </c>
      <c r="P1430" s="26" t="s">
        <v>293</v>
      </c>
    </row>
    <row r="1431" spans="1:16" x14ac:dyDescent="0.3">
      <c r="A1431" s="24">
        <v>47</v>
      </c>
      <c r="B1431" s="102">
        <v>46105</v>
      </c>
      <c r="C1431" s="25" t="s">
        <v>356</v>
      </c>
      <c r="D1431" s="103" t="s">
        <v>127</v>
      </c>
      <c r="E1431" s="26">
        <v>1.1200000000000001</v>
      </c>
      <c r="F1431" s="26" t="s">
        <v>293</v>
      </c>
      <c r="K1431" s="24">
        <v>47</v>
      </c>
      <c r="L1431" s="102">
        <v>46105</v>
      </c>
      <c r="M1431" s="25" t="s">
        <v>357</v>
      </c>
      <c r="N1431" s="103" t="s">
        <v>127</v>
      </c>
      <c r="O1431" s="26">
        <v>4.4400000000000004</v>
      </c>
      <c r="P1431" s="26" t="s">
        <v>293</v>
      </c>
    </row>
    <row r="1432" spans="1:16" x14ac:dyDescent="0.3">
      <c r="A1432" s="24">
        <v>47</v>
      </c>
      <c r="B1432" s="102">
        <v>46105</v>
      </c>
      <c r="C1432" s="25" t="s">
        <v>356</v>
      </c>
      <c r="D1432" s="103" t="s">
        <v>131</v>
      </c>
      <c r="E1432" s="26">
        <v>8.6</v>
      </c>
      <c r="F1432" s="26" t="s">
        <v>293</v>
      </c>
      <c r="K1432" s="24">
        <v>47</v>
      </c>
      <c r="L1432" s="102">
        <v>46105</v>
      </c>
      <c r="M1432" s="25" t="s">
        <v>357</v>
      </c>
      <c r="N1432" s="103" t="s">
        <v>131</v>
      </c>
      <c r="O1432" s="26">
        <v>12</v>
      </c>
      <c r="P1432" s="26" t="s">
        <v>293</v>
      </c>
    </row>
    <row r="1433" spans="1:16" x14ac:dyDescent="0.3">
      <c r="A1433" s="24">
        <v>47</v>
      </c>
      <c r="B1433" s="102">
        <v>46105</v>
      </c>
      <c r="C1433" s="25" t="s">
        <v>356</v>
      </c>
      <c r="D1433" s="103" t="s">
        <v>342</v>
      </c>
      <c r="E1433" s="26">
        <v>333</v>
      </c>
      <c r="F1433" s="26" t="s">
        <v>293</v>
      </c>
      <c r="K1433" s="24">
        <v>47</v>
      </c>
      <c r="L1433" s="102">
        <v>46105</v>
      </c>
      <c r="M1433" s="25" t="s">
        <v>357</v>
      </c>
      <c r="N1433" s="103" t="s">
        <v>342</v>
      </c>
      <c r="O1433" s="26">
        <v>203</v>
      </c>
      <c r="P1433" s="26" t="s">
        <v>293</v>
      </c>
    </row>
    <row r="1434" spans="1:16" x14ac:dyDescent="0.3">
      <c r="A1434" s="24">
        <v>47</v>
      </c>
      <c r="B1434" s="102">
        <v>46105</v>
      </c>
      <c r="C1434" s="25" t="s">
        <v>356</v>
      </c>
      <c r="D1434" s="103" t="s">
        <v>119</v>
      </c>
      <c r="E1434" s="26">
        <v>247</v>
      </c>
      <c r="F1434" s="26" t="s">
        <v>293</v>
      </c>
      <c r="K1434" s="24">
        <v>47</v>
      </c>
      <c r="L1434" s="102">
        <v>46105</v>
      </c>
      <c r="M1434" s="25" t="s">
        <v>357</v>
      </c>
      <c r="N1434" s="103" t="s">
        <v>119</v>
      </c>
      <c r="O1434" s="26">
        <v>90</v>
      </c>
      <c r="P1434" s="26" t="s">
        <v>293</v>
      </c>
    </row>
    <row r="1435" spans="1:16" x14ac:dyDescent="0.3">
      <c r="A1435" s="24">
        <v>47</v>
      </c>
      <c r="B1435" s="102">
        <v>46105</v>
      </c>
      <c r="C1435" s="25" t="s">
        <v>356</v>
      </c>
      <c r="D1435" s="103" t="s">
        <v>120</v>
      </c>
      <c r="E1435" s="26">
        <v>78</v>
      </c>
      <c r="F1435" s="26" t="s">
        <v>293</v>
      </c>
      <c r="K1435" s="24">
        <v>47</v>
      </c>
      <c r="L1435" s="102">
        <v>46105</v>
      </c>
      <c r="M1435" s="25" t="s">
        <v>357</v>
      </c>
      <c r="N1435" s="103" t="s">
        <v>120</v>
      </c>
      <c r="O1435" s="26">
        <v>27</v>
      </c>
      <c r="P1435" s="26" t="s">
        <v>293</v>
      </c>
    </row>
    <row r="1436" spans="1:16" x14ac:dyDescent="0.3">
      <c r="A1436" s="24">
        <v>47</v>
      </c>
      <c r="B1436" s="102">
        <v>46105</v>
      </c>
      <c r="C1436" s="25" t="s">
        <v>356</v>
      </c>
      <c r="D1436" s="103" t="s">
        <v>117</v>
      </c>
      <c r="E1436" s="26">
        <v>2.71</v>
      </c>
      <c r="F1436" s="26" t="s">
        <v>293</v>
      </c>
      <c r="K1436" s="24">
        <v>47</v>
      </c>
      <c r="L1436" s="102">
        <v>46105</v>
      </c>
      <c r="M1436" s="25" t="s">
        <v>357</v>
      </c>
      <c r="N1436" s="103" t="s">
        <v>117</v>
      </c>
      <c r="O1436" s="26">
        <v>6.34</v>
      </c>
      <c r="P1436" s="26" t="s">
        <v>293</v>
      </c>
    </row>
    <row r="1437" spans="1:16" x14ac:dyDescent="0.3">
      <c r="A1437" s="24">
        <v>47</v>
      </c>
      <c r="B1437" s="102">
        <v>46105</v>
      </c>
      <c r="C1437" s="25" t="s">
        <v>356</v>
      </c>
      <c r="D1437" s="103" t="s">
        <v>344</v>
      </c>
      <c r="E1437" s="26">
        <v>232</v>
      </c>
      <c r="F1437" s="26" t="s">
        <v>293</v>
      </c>
      <c r="K1437" s="24">
        <v>47</v>
      </c>
      <c r="L1437" s="102">
        <v>46105</v>
      </c>
      <c r="M1437" s="25" t="s">
        <v>357</v>
      </c>
      <c r="N1437" s="103" t="s">
        <v>344</v>
      </c>
      <c r="O1437" s="26">
        <v>68</v>
      </c>
      <c r="P1437" s="26" t="s">
        <v>293</v>
      </c>
    </row>
    <row r="1438" spans="1:16" x14ac:dyDescent="0.3">
      <c r="A1438" s="24">
        <v>47</v>
      </c>
      <c r="B1438" s="102">
        <v>46105</v>
      </c>
      <c r="C1438" s="25" t="s">
        <v>356</v>
      </c>
      <c r="D1438" s="103" t="s">
        <v>132</v>
      </c>
      <c r="E1438" s="26">
        <v>3.6</v>
      </c>
      <c r="F1438" s="26" t="s">
        <v>293</v>
      </c>
      <c r="K1438" s="24">
        <v>47</v>
      </c>
      <c r="L1438" s="102">
        <v>46105</v>
      </c>
      <c r="M1438" s="25" t="s">
        <v>357</v>
      </c>
      <c r="N1438" s="103" t="s">
        <v>132</v>
      </c>
      <c r="O1438" s="26">
        <v>7.28</v>
      </c>
      <c r="P1438" s="26" t="s">
        <v>293</v>
      </c>
    </row>
    <row r="1439" spans="1:16" x14ac:dyDescent="0.3">
      <c r="A1439" s="24">
        <v>47</v>
      </c>
      <c r="B1439" s="102">
        <v>46105</v>
      </c>
      <c r="C1439" s="25" t="s">
        <v>356</v>
      </c>
      <c r="D1439" s="103" t="s">
        <v>111</v>
      </c>
      <c r="E1439" s="26">
        <v>88</v>
      </c>
      <c r="F1439" s="26" t="s">
        <v>293</v>
      </c>
      <c r="K1439" s="24">
        <v>47</v>
      </c>
      <c r="L1439" s="102">
        <v>46105</v>
      </c>
      <c r="M1439" s="25" t="s">
        <v>357</v>
      </c>
      <c r="N1439" s="103" t="s">
        <v>111</v>
      </c>
      <c r="O1439" s="26">
        <v>283</v>
      </c>
      <c r="P1439" s="26" t="s">
        <v>293</v>
      </c>
    </row>
    <row r="1440" spans="1:16" x14ac:dyDescent="0.3">
      <c r="A1440" s="24">
        <v>47</v>
      </c>
      <c r="B1440" s="102">
        <v>46105</v>
      </c>
      <c r="C1440" s="25" t="s">
        <v>356</v>
      </c>
      <c r="D1440" s="103" t="s">
        <v>345</v>
      </c>
      <c r="E1440" s="26">
        <v>5.0999999999999996</v>
      </c>
      <c r="F1440" s="26" t="s">
        <v>293</v>
      </c>
      <c r="K1440" s="24">
        <v>47</v>
      </c>
      <c r="L1440" s="102">
        <v>46105</v>
      </c>
      <c r="M1440" s="25" t="s">
        <v>357</v>
      </c>
      <c r="N1440" s="103" t="s">
        <v>345</v>
      </c>
      <c r="O1440" s="26">
        <v>9.98</v>
      </c>
      <c r="P1440" s="26" t="s">
        <v>293</v>
      </c>
    </row>
    <row r="1441" spans="1:16" x14ac:dyDescent="0.3">
      <c r="A1441" s="24">
        <v>47</v>
      </c>
      <c r="B1441" s="102">
        <v>46105</v>
      </c>
      <c r="C1441" s="25" t="s">
        <v>356</v>
      </c>
      <c r="D1441" s="103" t="s">
        <v>347</v>
      </c>
      <c r="E1441" s="26">
        <v>2.0699999999999998</v>
      </c>
      <c r="F1441" s="26" t="s">
        <v>293</v>
      </c>
      <c r="K1441" s="24">
        <v>47</v>
      </c>
      <c r="L1441" s="102">
        <v>46105</v>
      </c>
      <c r="M1441" s="25" t="s">
        <v>357</v>
      </c>
      <c r="N1441" s="103" t="s">
        <v>347</v>
      </c>
      <c r="O1441" s="26">
        <v>4.5599999999999996</v>
      </c>
      <c r="P1441" s="26" t="s">
        <v>293</v>
      </c>
    </row>
    <row r="1442" spans="1:16" x14ac:dyDescent="0.3">
      <c r="A1442" s="24">
        <v>47</v>
      </c>
      <c r="B1442" s="102">
        <v>46105</v>
      </c>
      <c r="C1442" s="25" t="s">
        <v>356</v>
      </c>
      <c r="D1442" s="103" t="s">
        <v>128</v>
      </c>
      <c r="E1442" s="26">
        <v>6.9</v>
      </c>
      <c r="F1442" s="26" t="s">
        <v>293</v>
      </c>
      <c r="K1442" s="24">
        <v>47</v>
      </c>
      <c r="L1442" s="102">
        <v>46105</v>
      </c>
      <c r="M1442" s="25" t="s">
        <v>357</v>
      </c>
      <c r="N1442" s="103" t="s">
        <v>128</v>
      </c>
      <c r="O1442" s="26">
        <v>4.3</v>
      </c>
      <c r="P1442" s="26" t="s">
        <v>293</v>
      </c>
    </row>
    <row r="1443" spans="1:16" x14ac:dyDescent="0.3">
      <c r="A1443" s="24">
        <v>47</v>
      </c>
      <c r="B1443" s="102">
        <v>46105</v>
      </c>
      <c r="C1443" s="25" t="s">
        <v>356</v>
      </c>
      <c r="D1443" s="103" t="s">
        <v>121</v>
      </c>
      <c r="E1443" s="26">
        <v>159</v>
      </c>
      <c r="F1443" s="26" t="s">
        <v>293</v>
      </c>
      <c r="K1443" s="24">
        <v>47</v>
      </c>
      <c r="L1443" s="102">
        <v>46105</v>
      </c>
      <c r="M1443" s="25" t="s">
        <v>357</v>
      </c>
      <c r="N1443" s="103" t="s">
        <v>121</v>
      </c>
      <c r="O1443" s="26">
        <v>80</v>
      </c>
      <c r="P1443" s="26" t="s">
        <v>293</v>
      </c>
    </row>
    <row r="1444" spans="1:16" x14ac:dyDescent="0.3">
      <c r="A1444" s="24">
        <v>47</v>
      </c>
      <c r="B1444" s="102">
        <v>46105</v>
      </c>
      <c r="C1444" s="25" t="s">
        <v>356</v>
      </c>
      <c r="D1444" s="103" t="s">
        <v>115</v>
      </c>
      <c r="E1444" s="26">
        <v>34</v>
      </c>
      <c r="F1444" s="26" t="s">
        <v>293</v>
      </c>
      <c r="K1444" s="24">
        <v>47</v>
      </c>
      <c r="L1444" s="102">
        <v>46105</v>
      </c>
      <c r="M1444" s="25" t="s">
        <v>357</v>
      </c>
      <c r="N1444" s="103" t="s">
        <v>115</v>
      </c>
      <c r="O1444" s="26">
        <v>98</v>
      </c>
      <c r="P1444" s="26" t="s">
        <v>293</v>
      </c>
    </row>
    <row r="1445" spans="1:16" x14ac:dyDescent="0.3">
      <c r="A1445" s="24">
        <v>47</v>
      </c>
      <c r="B1445" s="102">
        <v>46105</v>
      </c>
      <c r="C1445" s="25" t="s">
        <v>356</v>
      </c>
      <c r="D1445" s="103" t="s">
        <v>137</v>
      </c>
      <c r="E1445" s="26">
        <v>74</v>
      </c>
      <c r="F1445" s="26" t="s">
        <v>293</v>
      </c>
      <c r="K1445" s="24">
        <v>47</v>
      </c>
      <c r="L1445" s="102">
        <v>46105</v>
      </c>
      <c r="M1445" s="25" t="s">
        <v>357</v>
      </c>
      <c r="N1445" s="103" t="s">
        <v>137</v>
      </c>
      <c r="O1445" s="26">
        <v>485</v>
      </c>
      <c r="P1445" s="26" t="s">
        <v>293</v>
      </c>
    </row>
    <row r="1446" spans="1:16" x14ac:dyDescent="0.3">
      <c r="A1446" s="24">
        <v>47</v>
      </c>
      <c r="B1446" s="102">
        <v>46105</v>
      </c>
      <c r="C1446" s="25" t="s">
        <v>356</v>
      </c>
      <c r="D1446" s="103" t="s">
        <v>348</v>
      </c>
      <c r="E1446" s="26">
        <v>141</v>
      </c>
      <c r="F1446" s="26" t="s">
        <v>293</v>
      </c>
      <c r="K1446" s="24">
        <v>47</v>
      </c>
      <c r="L1446" s="102">
        <v>46105</v>
      </c>
      <c r="M1446" s="25" t="s">
        <v>357</v>
      </c>
      <c r="N1446" s="103" t="s">
        <v>348</v>
      </c>
      <c r="O1446" s="26">
        <v>431</v>
      </c>
      <c r="P1446" s="26" t="s">
        <v>293</v>
      </c>
    </row>
    <row r="1447" spans="1:16" x14ac:dyDescent="0.3">
      <c r="A1447" s="24">
        <v>47</v>
      </c>
      <c r="B1447" s="102">
        <v>46105</v>
      </c>
      <c r="C1447" s="25" t="s">
        <v>356</v>
      </c>
      <c r="D1447" s="103" t="s">
        <v>125</v>
      </c>
      <c r="E1447" s="26">
        <v>115</v>
      </c>
      <c r="F1447" s="26" t="s">
        <v>293</v>
      </c>
      <c r="K1447" s="24">
        <v>47</v>
      </c>
      <c r="L1447" s="102">
        <v>46105</v>
      </c>
      <c r="M1447" s="25" t="s">
        <v>357</v>
      </c>
      <c r="N1447" s="103" t="s">
        <v>125</v>
      </c>
      <c r="O1447" s="26">
        <v>428</v>
      </c>
      <c r="P1447" s="26" t="s">
        <v>293</v>
      </c>
    </row>
    <row r="1448" spans="1:16" x14ac:dyDescent="0.3">
      <c r="A1448" s="24">
        <v>47</v>
      </c>
      <c r="B1448" s="102">
        <v>46105</v>
      </c>
      <c r="C1448" s="25" t="s">
        <v>356</v>
      </c>
      <c r="D1448" s="103" t="s">
        <v>126</v>
      </c>
      <c r="E1448" s="26">
        <v>81</v>
      </c>
      <c r="F1448" s="26" t="s">
        <v>293</v>
      </c>
      <c r="K1448" s="24">
        <v>47</v>
      </c>
      <c r="L1448" s="102">
        <v>46105</v>
      </c>
      <c r="M1448" s="25" t="s">
        <v>357</v>
      </c>
      <c r="N1448" s="103" t="s">
        <v>126</v>
      </c>
      <c r="O1448" s="26">
        <v>153</v>
      </c>
      <c r="P1448" s="26" t="s">
        <v>293</v>
      </c>
    </row>
    <row r="1449" spans="1:16" x14ac:dyDescent="0.3">
      <c r="A1449" s="24">
        <v>47</v>
      </c>
      <c r="B1449" s="102">
        <v>46105</v>
      </c>
      <c r="C1449" s="25" t="s">
        <v>356</v>
      </c>
      <c r="D1449" s="103" t="s">
        <v>349</v>
      </c>
      <c r="E1449" s="26">
        <v>165</v>
      </c>
      <c r="F1449" s="26" t="s">
        <v>293</v>
      </c>
      <c r="K1449" s="24">
        <v>47</v>
      </c>
      <c r="L1449" s="102">
        <v>46105</v>
      </c>
      <c r="M1449" s="25" t="s">
        <v>357</v>
      </c>
      <c r="N1449" s="103" t="s">
        <v>349</v>
      </c>
      <c r="O1449" s="26">
        <v>379</v>
      </c>
      <c r="P1449" s="26" t="s">
        <v>293</v>
      </c>
    </row>
    <row r="1450" spans="1:16" x14ac:dyDescent="0.3">
      <c r="A1450" s="24">
        <v>47</v>
      </c>
      <c r="B1450" s="102">
        <v>46105</v>
      </c>
      <c r="C1450" s="25" t="s">
        <v>356</v>
      </c>
      <c r="D1450" s="103" t="s">
        <v>350</v>
      </c>
      <c r="E1450" s="26">
        <v>60</v>
      </c>
      <c r="F1450" s="26" t="s">
        <v>293</v>
      </c>
      <c r="K1450" s="24">
        <v>47</v>
      </c>
      <c r="L1450" s="102">
        <v>46105</v>
      </c>
      <c r="M1450" s="25" t="s">
        <v>357</v>
      </c>
      <c r="N1450" s="103" t="s">
        <v>350</v>
      </c>
      <c r="O1450" s="26">
        <v>86</v>
      </c>
      <c r="P1450" s="26" t="s">
        <v>293</v>
      </c>
    </row>
    <row r="1451" spans="1:16" x14ac:dyDescent="0.3">
      <c r="A1451" s="24">
        <v>47</v>
      </c>
      <c r="B1451" s="102">
        <v>46105</v>
      </c>
      <c r="C1451" s="25" t="s">
        <v>356</v>
      </c>
      <c r="D1451" s="103" t="s">
        <v>122</v>
      </c>
      <c r="E1451" s="26">
        <v>47</v>
      </c>
      <c r="F1451" s="26" t="s">
        <v>293</v>
      </c>
      <c r="K1451" s="24">
        <v>47</v>
      </c>
      <c r="L1451" s="102">
        <v>46105</v>
      </c>
      <c r="M1451" s="25" t="s">
        <v>357</v>
      </c>
      <c r="N1451" s="103" t="s">
        <v>122</v>
      </c>
      <c r="O1451" s="26">
        <v>213</v>
      </c>
      <c r="P1451" s="26" t="s">
        <v>293</v>
      </c>
    </row>
    <row r="1452" spans="1:16" x14ac:dyDescent="0.3">
      <c r="A1452" s="24">
        <v>47</v>
      </c>
      <c r="B1452" s="102">
        <v>46105</v>
      </c>
      <c r="C1452" s="25" t="s">
        <v>356</v>
      </c>
      <c r="D1452" s="103" t="s">
        <v>124</v>
      </c>
      <c r="E1452" s="26">
        <v>30</v>
      </c>
      <c r="F1452" s="26" t="s">
        <v>293</v>
      </c>
      <c r="K1452" s="24">
        <v>47</v>
      </c>
      <c r="L1452" s="102">
        <v>46105</v>
      </c>
      <c r="M1452" s="25" t="s">
        <v>357</v>
      </c>
      <c r="N1452" s="103" t="s">
        <v>124</v>
      </c>
      <c r="O1452" s="26">
        <v>102</v>
      </c>
      <c r="P1452" s="26" t="s">
        <v>293</v>
      </c>
    </row>
    <row r="1453" spans="1:16" x14ac:dyDescent="0.3">
      <c r="A1453" s="24">
        <v>47</v>
      </c>
      <c r="B1453" s="102">
        <v>46105</v>
      </c>
      <c r="C1453" s="25" t="s">
        <v>356</v>
      </c>
      <c r="D1453" s="103" t="s">
        <v>351</v>
      </c>
      <c r="E1453" s="26">
        <v>0.98</v>
      </c>
      <c r="F1453" s="26" t="s">
        <v>293</v>
      </c>
      <c r="K1453" s="24">
        <v>47</v>
      </c>
      <c r="L1453" s="102">
        <v>46105</v>
      </c>
      <c r="M1453" s="25" t="s">
        <v>357</v>
      </c>
      <c r="N1453" s="103" t="s">
        <v>351</v>
      </c>
      <c r="O1453" s="26">
        <v>3.59</v>
      </c>
      <c r="P1453" s="26" t="s">
        <v>293</v>
      </c>
    </row>
    <row r="1454" spans="1:16" x14ac:dyDescent="0.3">
      <c r="A1454" s="24">
        <v>47</v>
      </c>
      <c r="B1454" s="102">
        <v>46105</v>
      </c>
      <c r="C1454" s="25" t="s">
        <v>356</v>
      </c>
      <c r="D1454" s="103" t="s">
        <v>353</v>
      </c>
      <c r="E1454" s="26">
        <v>35.4</v>
      </c>
      <c r="F1454" s="26" t="s">
        <v>293</v>
      </c>
      <c r="K1454" s="24">
        <v>47</v>
      </c>
      <c r="L1454" s="102">
        <v>46105</v>
      </c>
      <c r="M1454" s="25" t="s">
        <v>357</v>
      </c>
      <c r="N1454" s="103" t="s">
        <v>353</v>
      </c>
      <c r="O1454" s="26">
        <v>19.2</v>
      </c>
      <c r="P1454" s="26" t="s">
        <v>293</v>
      </c>
    </row>
    <row r="1455" spans="1:16" x14ac:dyDescent="0.3">
      <c r="A1455" s="24">
        <v>47</v>
      </c>
      <c r="B1455" s="102">
        <v>46105</v>
      </c>
      <c r="C1455" s="25" t="s">
        <v>356</v>
      </c>
      <c r="D1455" s="103" t="s">
        <v>133</v>
      </c>
      <c r="E1455" s="26">
        <v>143</v>
      </c>
      <c r="F1455" s="26" t="s">
        <v>293</v>
      </c>
      <c r="K1455" s="24">
        <v>47</v>
      </c>
      <c r="L1455" s="102">
        <v>46105</v>
      </c>
      <c r="M1455" s="25" t="s">
        <v>357</v>
      </c>
      <c r="N1455" s="103" t="s">
        <v>133</v>
      </c>
      <c r="O1455" s="26">
        <v>124</v>
      </c>
      <c r="P1455" s="26" t="s">
        <v>293</v>
      </c>
    </row>
    <row r="1456" spans="1:16" x14ac:dyDescent="0.3">
      <c r="A1456" s="24">
        <v>47</v>
      </c>
      <c r="B1456" s="102">
        <v>46105</v>
      </c>
      <c r="C1456" s="25" t="s">
        <v>356</v>
      </c>
      <c r="D1456" s="103" t="s">
        <v>135</v>
      </c>
      <c r="E1456" s="26">
        <v>3.7</v>
      </c>
      <c r="F1456" s="26" t="s">
        <v>293</v>
      </c>
      <c r="K1456" s="24">
        <v>47</v>
      </c>
      <c r="L1456" s="102">
        <v>46105</v>
      </c>
      <c r="M1456" s="25" t="s">
        <v>357</v>
      </c>
      <c r="N1456" s="103" t="s">
        <v>135</v>
      </c>
      <c r="O1456" s="26">
        <v>6.4</v>
      </c>
      <c r="P1456" s="26" t="s">
        <v>293</v>
      </c>
    </row>
    <row r="1457" spans="1:16" x14ac:dyDescent="0.3">
      <c r="A1457" s="24">
        <v>47</v>
      </c>
      <c r="B1457" s="102">
        <v>46105</v>
      </c>
      <c r="C1457" s="25" t="s">
        <v>356</v>
      </c>
      <c r="D1457" s="103" t="s">
        <v>136</v>
      </c>
      <c r="E1457" s="26">
        <v>118</v>
      </c>
      <c r="F1457" s="26" t="s">
        <v>293</v>
      </c>
      <c r="K1457" s="24">
        <v>47</v>
      </c>
      <c r="L1457" s="102">
        <v>46105</v>
      </c>
      <c r="M1457" s="25" t="s">
        <v>357</v>
      </c>
      <c r="N1457" s="103" t="s">
        <v>136</v>
      </c>
      <c r="O1457" s="26">
        <v>96</v>
      </c>
      <c r="P1457" s="26" t="s">
        <v>293</v>
      </c>
    </row>
    <row r="1458" spans="1:16" x14ac:dyDescent="0.3">
      <c r="A1458" s="24">
        <v>48</v>
      </c>
      <c r="B1458" s="102">
        <v>46106.328020833331</v>
      </c>
      <c r="C1458" s="25" t="s">
        <v>356</v>
      </c>
      <c r="D1458" s="103" t="s">
        <v>339</v>
      </c>
      <c r="E1458" s="26">
        <v>4.66</v>
      </c>
      <c r="F1458" s="26" t="s">
        <v>293</v>
      </c>
      <c r="K1458" s="24">
        <v>48</v>
      </c>
      <c r="L1458" s="102">
        <v>46106.328020833331</v>
      </c>
      <c r="M1458" s="25" t="s">
        <v>357</v>
      </c>
      <c r="N1458" s="103" t="s">
        <v>339</v>
      </c>
      <c r="O1458" s="26">
        <v>1.08</v>
      </c>
      <c r="P1458" s="26" t="s">
        <v>293</v>
      </c>
    </row>
    <row r="1459" spans="1:16" x14ac:dyDescent="0.3">
      <c r="A1459" s="24">
        <v>48</v>
      </c>
      <c r="B1459" s="102">
        <v>46106.328020833331</v>
      </c>
      <c r="C1459" s="25" t="s">
        <v>356</v>
      </c>
      <c r="D1459" s="103" t="s">
        <v>118</v>
      </c>
      <c r="E1459" s="26">
        <v>4.5</v>
      </c>
      <c r="F1459" s="26" t="s">
        <v>293</v>
      </c>
      <c r="K1459" s="24">
        <v>48</v>
      </c>
      <c r="L1459" s="102">
        <v>46106.328020833331</v>
      </c>
      <c r="M1459" s="25" t="s">
        <v>357</v>
      </c>
      <c r="N1459" s="103" t="s">
        <v>118</v>
      </c>
      <c r="O1459" s="26">
        <v>9.6</v>
      </c>
      <c r="P1459" s="26" t="s">
        <v>293</v>
      </c>
    </row>
    <row r="1460" spans="1:16" x14ac:dyDescent="0.3">
      <c r="A1460" s="24">
        <v>48</v>
      </c>
      <c r="B1460" s="102">
        <v>46106.328020833331</v>
      </c>
      <c r="C1460" s="25" t="s">
        <v>356</v>
      </c>
      <c r="D1460" s="103" t="s">
        <v>130</v>
      </c>
      <c r="E1460" s="26">
        <v>3.79</v>
      </c>
      <c r="F1460" s="26" t="s">
        <v>293</v>
      </c>
      <c r="K1460" s="24">
        <v>48</v>
      </c>
      <c r="L1460" s="102">
        <v>46106.328020833331</v>
      </c>
      <c r="M1460" s="25" t="s">
        <v>357</v>
      </c>
      <c r="N1460" s="103" t="s">
        <v>130</v>
      </c>
      <c r="O1460" s="26">
        <v>2.42</v>
      </c>
      <c r="P1460" s="26" t="s">
        <v>293</v>
      </c>
    </row>
    <row r="1461" spans="1:16" x14ac:dyDescent="0.3">
      <c r="A1461" s="24">
        <v>48</v>
      </c>
      <c r="B1461" s="102">
        <v>46106.328020833331</v>
      </c>
      <c r="C1461" s="25" t="s">
        <v>356</v>
      </c>
      <c r="D1461" s="103" t="s">
        <v>341</v>
      </c>
      <c r="E1461" s="26">
        <v>0.29399999999999998</v>
      </c>
      <c r="F1461" s="26" t="s">
        <v>293</v>
      </c>
      <c r="K1461" s="24">
        <v>48</v>
      </c>
      <c r="L1461" s="102">
        <v>46106.328020833331</v>
      </c>
      <c r="M1461" s="25" t="s">
        <v>357</v>
      </c>
      <c r="N1461" s="103" t="s">
        <v>341</v>
      </c>
      <c r="O1461" s="26">
        <v>1.05</v>
      </c>
      <c r="P1461" s="26" t="s">
        <v>293</v>
      </c>
    </row>
    <row r="1462" spans="1:16" x14ac:dyDescent="0.3">
      <c r="A1462" s="24">
        <v>48</v>
      </c>
      <c r="B1462" s="102">
        <v>46106.328020833331</v>
      </c>
      <c r="C1462" s="25" t="s">
        <v>356</v>
      </c>
      <c r="D1462" s="103" t="s">
        <v>127</v>
      </c>
      <c r="E1462" s="26">
        <v>1.1399999999999999</v>
      </c>
      <c r="F1462" s="26" t="s">
        <v>293</v>
      </c>
      <c r="K1462" s="24">
        <v>48</v>
      </c>
      <c r="L1462" s="102">
        <v>46106.328020833331</v>
      </c>
      <c r="M1462" s="25" t="s">
        <v>357</v>
      </c>
      <c r="N1462" s="103" t="s">
        <v>127</v>
      </c>
      <c r="O1462" s="26">
        <v>4.41</v>
      </c>
      <c r="P1462" s="26" t="s">
        <v>293</v>
      </c>
    </row>
    <row r="1463" spans="1:16" x14ac:dyDescent="0.3">
      <c r="A1463" s="24">
        <v>48</v>
      </c>
      <c r="B1463" s="102">
        <v>46106.328020833331</v>
      </c>
      <c r="C1463" s="25" t="s">
        <v>356</v>
      </c>
      <c r="D1463" s="103" t="s">
        <v>131</v>
      </c>
      <c r="E1463" s="26">
        <v>8.6</v>
      </c>
      <c r="F1463" s="26" t="s">
        <v>293</v>
      </c>
      <c r="K1463" s="24">
        <v>48</v>
      </c>
      <c r="L1463" s="102">
        <v>46106.328020833331</v>
      </c>
      <c r="M1463" s="25" t="s">
        <v>357</v>
      </c>
      <c r="N1463" s="103" t="s">
        <v>131</v>
      </c>
      <c r="O1463" s="26">
        <v>11.7</v>
      </c>
      <c r="P1463" s="26" t="s">
        <v>293</v>
      </c>
    </row>
    <row r="1464" spans="1:16" x14ac:dyDescent="0.3">
      <c r="A1464" s="24">
        <v>48</v>
      </c>
      <c r="B1464" s="102">
        <v>46106.328020833331</v>
      </c>
      <c r="C1464" s="25" t="s">
        <v>356</v>
      </c>
      <c r="D1464" s="103" t="s">
        <v>342</v>
      </c>
      <c r="E1464" s="26">
        <v>347</v>
      </c>
      <c r="F1464" s="26" t="s">
        <v>293</v>
      </c>
      <c r="K1464" s="24">
        <v>48</v>
      </c>
      <c r="L1464" s="102">
        <v>46106.328020833331</v>
      </c>
      <c r="M1464" s="25" t="s">
        <v>357</v>
      </c>
      <c r="N1464" s="103" t="s">
        <v>342</v>
      </c>
      <c r="O1464" s="26">
        <v>203</v>
      </c>
      <c r="P1464" s="26" t="s">
        <v>293</v>
      </c>
    </row>
    <row r="1465" spans="1:16" x14ac:dyDescent="0.3">
      <c r="A1465" s="24">
        <v>48</v>
      </c>
      <c r="B1465" s="102">
        <v>46106.328020833331</v>
      </c>
      <c r="C1465" s="25" t="s">
        <v>356</v>
      </c>
      <c r="D1465" s="103" t="s">
        <v>119</v>
      </c>
      <c r="E1465" s="26">
        <v>239</v>
      </c>
      <c r="F1465" s="26" t="s">
        <v>293</v>
      </c>
      <c r="K1465" s="24">
        <v>48</v>
      </c>
      <c r="L1465" s="102">
        <v>46106.328020833331</v>
      </c>
      <c r="M1465" s="25" t="s">
        <v>357</v>
      </c>
      <c r="N1465" s="103" t="s">
        <v>119</v>
      </c>
      <c r="O1465" s="26">
        <v>89</v>
      </c>
      <c r="P1465" s="26" t="s">
        <v>293</v>
      </c>
    </row>
    <row r="1466" spans="1:16" x14ac:dyDescent="0.3">
      <c r="A1466" s="24">
        <v>48</v>
      </c>
      <c r="B1466" s="102">
        <v>46106.328020833331</v>
      </c>
      <c r="C1466" s="25" t="s">
        <v>356</v>
      </c>
      <c r="D1466" s="103" t="s">
        <v>120</v>
      </c>
      <c r="E1466" s="26">
        <v>77</v>
      </c>
      <c r="F1466" s="26" t="s">
        <v>293</v>
      </c>
      <c r="K1466" s="24">
        <v>48</v>
      </c>
      <c r="L1466" s="102">
        <v>46106.328020833331</v>
      </c>
      <c r="M1466" s="25" t="s">
        <v>357</v>
      </c>
      <c r="N1466" s="103" t="s">
        <v>120</v>
      </c>
      <c r="O1466" s="26">
        <v>27</v>
      </c>
      <c r="P1466" s="26" t="s">
        <v>293</v>
      </c>
    </row>
    <row r="1467" spans="1:16" x14ac:dyDescent="0.3">
      <c r="A1467" s="24">
        <v>48</v>
      </c>
      <c r="B1467" s="102">
        <v>46106.328020833331</v>
      </c>
      <c r="C1467" s="25" t="s">
        <v>356</v>
      </c>
      <c r="D1467" s="103" t="s">
        <v>117</v>
      </c>
      <c r="E1467" s="26">
        <v>2.75</v>
      </c>
      <c r="F1467" s="26" t="s">
        <v>293</v>
      </c>
      <c r="K1467" s="24">
        <v>48</v>
      </c>
      <c r="L1467" s="102">
        <v>46106.328020833331</v>
      </c>
      <c r="M1467" s="25" t="s">
        <v>357</v>
      </c>
      <c r="N1467" s="103" t="s">
        <v>117</v>
      </c>
      <c r="O1467" s="26">
        <v>6.35</v>
      </c>
      <c r="P1467" s="26" t="s">
        <v>293</v>
      </c>
    </row>
    <row r="1468" spans="1:16" x14ac:dyDescent="0.3">
      <c r="A1468" s="24">
        <v>48</v>
      </c>
      <c r="B1468" s="102">
        <v>46106.328020833331</v>
      </c>
      <c r="C1468" s="25" t="s">
        <v>356</v>
      </c>
      <c r="D1468" s="103" t="s">
        <v>344</v>
      </c>
      <c r="E1468" s="26">
        <v>234</v>
      </c>
      <c r="F1468" s="26" t="s">
        <v>293</v>
      </c>
      <c r="K1468" s="24">
        <v>48</v>
      </c>
      <c r="L1468" s="102">
        <v>46106.328020833331</v>
      </c>
      <c r="M1468" s="25" t="s">
        <v>357</v>
      </c>
      <c r="N1468" s="103" t="s">
        <v>344</v>
      </c>
      <c r="O1468" s="26">
        <v>68</v>
      </c>
      <c r="P1468" s="26" t="s">
        <v>293</v>
      </c>
    </row>
    <row r="1469" spans="1:16" x14ac:dyDescent="0.3">
      <c r="A1469" s="24">
        <v>48</v>
      </c>
      <c r="B1469" s="102">
        <v>46106.328020833331</v>
      </c>
      <c r="C1469" s="25" t="s">
        <v>356</v>
      </c>
      <c r="D1469" s="103" t="s">
        <v>132</v>
      </c>
      <c r="E1469" s="26">
        <v>3.65</v>
      </c>
      <c r="F1469" s="26" t="s">
        <v>293</v>
      </c>
      <c r="K1469" s="24">
        <v>48</v>
      </c>
      <c r="L1469" s="102">
        <v>46106.328020833331</v>
      </c>
      <c r="M1469" s="25" t="s">
        <v>357</v>
      </c>
      <c r="N1469" s="103" t="s">
        <v>132</v>
      </c>
      <c r="O1469" s="26">
        <v>7.38</v>
      </c>
      <c r="P1469" s="26" t="s">
        <v>293</v>
      </c>
    </row>
    <row r="1470" spans="1:16" x14ac:dyDescent="0.3">
      <c r="A1470" s="24">
        <v>48</v>
      </c>
      <c r="B1470" s="102">
        <v>46106.328020833331</v>
      </c>
      <c r="C1470" s="25" t="s">
        <v>356</v>
      </c>
      <c r="D1470" s="103" t="s">
        <v>111</v>
      </c>
      <c r="E1470" s="26">
        <v>89</v>
      </c>
      <c r="F1470" s="26" t="s">
        <v>293</v>
      </c>
      <c r="K1470" s="24">
        <v>48</v>
      </c>
      <c r="L1470" s="102">
        <v>46106.328020833331</v>
      </c>
      <c r="M1470" s="25" t="s">
        <v>357</v>
      </c>
      <c r="N1470" s="103" t="s">
        <v>111</v>
      </c>
      <c r="O1470" s="26">
        <v>283</v>
      </c>
      <c r="P1470" s="26" t="s">
        <v>293</v>
      </c>
    </row>
    <row r="1471" spans="1:16" x14ac:dyDescent="0.3">
      <c r="A1471" s="24">
        <v>48</v>
      </c>
      <c r="B1471" s="102">
        <v>46106.328020833331</v>
      </c>
      <c r="C1471" s="25" t="s">
        <v>356</v>
      </c>
      <c r="D1471" s="103" t="s">
        <v>345</v>
      </c>
      <c r="E1471" s="26">
        <v>5.1100000000000003</v>
      </c>
      <c r="F1471" s="26" t="s">
        <v>293</v>
      </c>
      <c r="K1471" s="24">
        <v>48</v>
      </c>
      <c r="L1471" s="102">
        <v>46106.328020833331</v>
      </c>
      <c r="M1471" s="25" t="s">
        <v>357</v>
      </c>
      <c r="N1471" s="103" t="s">
        <v>345</v>
      </c>
      <c r="O1471" s="26">
        <v>9.7799999999999994</v>
      </c>
      <c r="P1471" s="26" t="s">
        <v>293</v>
      </c>
    </row>
    <row r="1472" spans="1:16" x14ac:dyDescent="0.3">
      <c r="A1472" s="24">
        <v>48</v>
      </c>
      <c r="B1472" s="102">
        <v>46106.328020833331</v>
      </c>
      <c r="C1472" s="25" t="s">
        <v>356</v>
      </c>
      <c r="D1472" s="103" t="s">
        <v>347</v>
      </c>
      <c r="E1472" s="26">
        <v>1.96</v>
      </c>
      <c r="F1472" s="26" t="s">
        <v>293</v>
      </c>
      <c r="K1472" s="24">
        <v>48</v>
      </c>
      <c r="L1472" s="102">
        <v>46106.328020833331</v>
      </c>
      <c r="M1472" s="25" t="s">
        <v>357</v>
      </c>
      <c r="N1472" s="103" t="s">
        <v>347</v>
      </c>
      <c r="O1472" s="26">
        <v>4.51</v>
      </c>
      <c r="P1472" s="26" t="s">
        <v>293</v>
      </c>
    </row>
    <row r="1473" spans="1:16" x14ac:dyDescent="0.3">
      <c r="A1473" s="24">
        <v>48</v>
      </c>
      <c r="B1473" s="102">
        <v>46106.328020833331</v>
      </c>
      <c r="C1473" s="25" t="s">
        <v>356</v>
      </c>
      <c r="D1473" s="103" t="s">
        <v>128</v>
      </c>
      <c r="E1473" s="26">
        <v>6.9</v>
      </c>
      <c r="F1473" s="26" t="s">
        <v>293</v>
      </c>
      <c r="K1473" s="24">
        <v>48</v>
      </c>
      <c r="L1473" s="102">
        <v>46106.328020833331</v>
      </c>
      <c r="M1473" s="25" t="s">
        <v>357</v>
      </c>
      <c r="N1473" s="103" t="s">
        <v>128</v>
      </c>
      <c r="O1473" s="26">
        <v>4.4000000000000004</v>
      </c>
      <c r="P1473" s="26" t="s">
        <v>293</v>
      </c>
    </row>
    <row r="1474" spans="1:16" x14ac:dyDescent="0.3">
      <c r="A1474" s="24">
        <v>48</v>
      </c>
      <c r="B1474" s="102">
        <v>46106.328020833331</v>
      </c>
      <c r="C1474" s="25" t="s">
        <v>356</v>
      </c>
      <c r="D1474" s="103" t="s">
        <v>121</v>
      </c>
      <c r="E1474" s="26">
        <v>161</v>
      </c>
      <c r="F1474" s="26" t="s">
        <v>293</v>
      </c>
      <c r="K1474" s="24">
        <v>48</v>
      </c>
      <c r="L1474" s="102">
        <v>46106.328020833331</v>
      </c>
      <c r="M1474" s="25" t="s">
        <v>357</v>
      </c>
      <c r="N1474" s="103" t="s">
        <v>121</v>
      </c>
      <c r="O1474" s="26">
        <v>81</v>
      </c>
      <c r="P1474" s="26" t="s">
        <v>293</v>
      </c>
    </row>
    <row r="1475" spans="1:16" x14ac:dyDescent="0.3">
      <c r="A1475" s="24">
        <v>48</v>
      </c>
      <c r="B1475" s="102">
        <v>46106.328020833331</v>
      </c>
      <c r="C1475" s="25" t="s">
        <v>356</v>
      </c>
      <c r="D1475" s="103" t="s">
        <v>115</v>
      </c>
      <c r="E1475" s="26">
        <v>33</v>
      </c>
      <c r="F1475" s="26" t="s">
        <v>293</v>
      </c>
      <c r="K1475" s="24">
        <v>48</v>
      </c>
      <c r="L1475" s="102">
        <v>46106.328020833331</v>
      </c>
      <c r="M1475" s="25" t="s">
        <v>357</v>
      </c>
      <c r="N1475" s="103" t="s">
        <v>115</v>
      </c>
      <c r="O1475" s="26">
        <v>96</v>
      </c>
      <c r="P1475" s="26" t="s">
        <v>293</v>
      </c>
    </row>
    <row r="1476" spans="1:16" x14ac:dyDescent="0.3">
      <c r="A1476" s="24">
        <v>48</v>
      </c>
      <c r="B1476" s="102">
        <v>46106.328020833331</v>
      </c>
      <c r="C1476" s="25" t="s">
        <v>356</v>
      </c>
      <c r="D1476" s="103" t="s">
        <v>137</v>
      </c>
      <c r="E1476" s="26">
        <v>75</v>
      </c>
      <c r="F1476" s="26" t="s">
        <v>293</v>
      </c>
      <c r="K1476" s="24">
        <v>48</v>
      </c>
      <c r="L1476" s="102">
        <v>46106.328020833331</v>
      </c>
      <c r="M1476" s="25" t="s">
        <v>357</v>
      </c>
      <c r="N1476" s="103" t="s">
        <v>137</v>
      </c>
      <c r="O1476" s="26">
        <v>480</v>
      </c>
      <c r="P1476" s="26" t="s">
        <v>293</v>
      </c>
    </row>
    <row r="1477" spans="1:16" x14ac:dyDescent="0.3">
      <c r="A1477" s="24">
        <v>48</v>
      </c>
      <c r="B1477" s="102">
        <v>46106.328020833331</v>
      </c>
      <c r="C1477" s="25" t="s">
        <v>356</v>
      </c>
      <c r="D1477" s="103" t="s">
        <v>348</v>
      </c>
      <c r="E1477" s="26">
        <v>140</v>
      </c>
      <c r="F1477" s="26" t="s">
        <v>293</v>
      </c>
      <c r="K1477" s="24">
        <v>48</v>
      </c>
      <c r="L1477" s="102">
        <v>46106.328020833331</v>
      </c>
      <c r="M1477" s="25" t="s">
        <v>357</v>
      </c>
      <c r="N1477" s="103" t="s">
        <v>348</v>
      </c>
      <c r="O1477" s="26">
        <v>430</v>
      </c>
      <c r="P1477" s="26" t="s">
        <v>293</v>
      </c>
    </row>
    <row r="1478" spans="1:16" x14ac:dyDescent="0.3">
      <c r="A1478" s="24">
        <v>48</v>
      </c>
      <c r="B1478" s="102">
        <v>46106.328020833331</v>
      </c>
      <c r="C1478" s="25" t="s">
        <v>356</v>
      </c>
      <c r="D1478" s="103" t="s">
        <v>125</v>
      </c>
      <c r="E1478" s="26">
        <v>123</v>
      </c>
      <c r="F1478" s="26" t="s">
        <v>293</v>
      </c>
      <c r="K1478" s="24">
        <v>48</v>
      </c>
      <c r="L1478" s="102">
        <v>46106.328020833331</v>
      </c>
      <c r="M1478" s="25" t="s">
        <v>357</v>
      </c>
      <c r="N1478" s="103" t="s">
        <v>125</v>
      </c>
      <c r="O1478" s="26">
        <v>434</v>
      </c>
      <c r="P1478" s="26" t="s">
        <v>293</v>
      </c>
    </row>
    <row r="1479" spans="1:16" x14ac:dyDescent="0.3">
      <c r="A1479" s="24">
        <v>48</v>
      </c>
      <c r="B1479" s="102">
        <v>46106.328020833331</v>
      </c>
      <c r="C1479" s="25" t="s">
        <v>356</v>
      </c>
      <c r="D1479" s="103" t="s">
        <v>126</v>
      </c>
      <c r="E1479" s="26">
        <v>80</v>
      </c>
      <c r="F1479" s="26" t="s">
        <v>293</v>
      </c>
      <c r="K1479" s="24">
        <v>48</v>
      </c>
      <c r="L1479" s="102">
        <v>46106.328020833331</v>
      </c>
      <c r="M1479" s="25" t="s">
        <v>357</v>
      </c>
      <c r="N1479" s="103" t="s">
        <v>126</v>
      </c>
      <c r="O1479" s="26">
        <v>156</v>
      </c>
      <c r="P1479" s="26" t="s">
        <v>293</v>
      </c>
    </row>
    <row r="1480" spans="1:16" x14ac:dyDescent="0.3">
      <c r="A1480" s="24">
        <v>48</v>
      </c>
      <c r="B1480" s="102">
        <v>46106.328020833331</v>
      </c>
      <c r="C1480" s="25" t="s">
        <v>356</v>
      </c>
      <c r="D1480" s="103" t="s">
        <v>349</v>
      </c>
      <c r="E1480" s="26">
        <v>159</v>
      </c>
      <c r="F1480" s="26" t="s">
        <v>293</v>
      </c>
      <c r="K1480" s="24">
        <v>48</v>
      </c>
      <c r="L1480" s="102">
        <v>46106.328020833331</v>
      </c>
      <c r="M1480" s="25" t="s">
        <v>357</v>
      </c>
      <c r="N1480" s="103" t="s">
        <v>349</v>
      </c>
      <c r="O1480" s="26">
        <v>374</v>
      </c>
      <c r="P1480" s="26" t="s">
        <v>293</v>
      </c>
    </row>
    <row r="1481" spans="1:16" x14ac:dyDescent="0.3">
      <c r="A1481" s="24">
        <v>48</v>
      </c>
      <c r="B1481" s="102">
        <v>46106.328020833331</v>
      </c>
      <c r="C1481" s="25" t="s">
        <v>356</v>
      </c>
      <c r="D1481" s="103" t="s">
        <v>350</v>
      </c>
      <c r="E1481" s="26">
        <v>60</v>
      </c>
      <c r="F1481" s="26" t="s">
        <v>293</v>
      </c>
      <c r="K1481" s="24">
        <v>48</v>
      </c>
      <c r="L1481" s="102">
        <v>46106.328020833331</v>
      </c>
      <c r="M1481" s="25" t="s">
        <v>357</v>
      </c>
      <c r="N1481" s="103" t="s">
        <v>350</v>
      </c>
      <c r="O1481" s="26">
        <v>88</v>
      </c>
      <c r="P1481" s="26" t="s">
        <v>293</v>
      </c>
    </row>
    <row r="1482" spans="1:16" x14ac:dyDescent="0.3">
      <c r="A1482" s="24">
        <v>48</v>
      </c>
      <c r="B1482" s="102">
        <v>46106.328020833331</v>
      </c>
      <c r="C1482" s="25" t="s">
        <v>356</v>
      </c>
      <c r="D1482" s="103" t="s">
        <v>122</v>
      </c>
      <c r="E1482" s="26">
        <v>45</v>
      </c>
      <c r="F1482" s="26" t="s">
        <v>293</v>
      </c>
      <c r="K1482" s="24">
        <v>48</v>
      </c>
      <c r="L1482" s="102">
        <v>46106.328020833331</v>
      </c>
      <c r="M1482" s="25" t="s">
        <v>357</v>
      </c>
      <c r="N1482" s="103" t="s">
        <v>122</v>
      </c>
      <c r="O1482" s="26">
        <v>216</v>
      </c>
      <c r="P1482" s="26" t="s">
        <v>293</v>
      </c>
    </row>
    <row r="1483" spans="1:16" x14ac:dyDescent="0.3">
      <c r="A1483" s="24">
        <v>48</v>
      </c>
      <c r="B1483" s="102">
        <v>46106.328020833331</v>
      </c>
      <c r="C1483" s="25" t="s">
        <v>356</v>
      </c>
      <c r="D1483" s="103" t="s">
        <v>124</v>
      </c>
      <c r="E1483" s="26">
        <v>29</v>
      </c>
      <c r="F1483" s="26" t="s">
        <v>293</v>
      </c>
      <c r="K1483" s="24">
        <v>48</v>
      </c>
      <c r="L1483" s="102">
        <v>46106.328020833331</v>
      </c>
      <c r="M1483" s="25" t="s">
        <v>357</v>
      </c>
      <c r="N1483" s="103" t="s">
        <v>124</v>
      </c>
      <c r="O1483" s="26">
        <v>103</v>
      </c>
      <c r="P1483" s="26" t="s">
        <v>293</v>
      </c>
    </row>
    <row r="1484" spans="1:16" x14ac:dyDescent="0.3">
      <c r="A1484" s="24">
        <v>48</v>
      </c>
      <c r="B1484" s="102">
        <v>46106.328020833331</v>
      </c>
      <c r="C1484" s="25" t="s">
        <v>356</v>
      </c>
      <c r="D1484" s="103" t="s">
        <v>351</v>
      </c>
      <c r="E1484" s="26">
        <v>0.95</v>
      </c>
      <c r="F1484" s="26" t="s">
        <v>293</v>
      </c>
      <c r="K1484" s="24">
        <v>48</v>
      </c>
      <c r="L1484" s="102">
        <v>46106.328020833331</v>
      </c>
      <c r="M1484" s="25" t="s">
        <v>357</v>
      </c>
      <c r="N1484" s="103" t="s">
        <v>351</v>
      </c>
      <c r="O1484" s="26">
        <v>3.63</v>
      </c>
      <c r="P1484" s="26" t="s">
        <v>293</v>
      </c>
    </row>
    <row r="1485" spans="1:16" x14ac:dyDescent="0.3">
      <c r="A1485" s="24">
        <v>48</v>
      </c>
      <c r="B1485" s="102">
        <v>46106.328020833331</v>
      </c>
      <c r="C1485" s="25" t="s">
        <v>356</v>
      </c>
      <c r="D1485" s="103" t="s">
        <v>353</v>
      </c>
      <c r="E1485" s="26">
        <v>32.4</v>
      </c>
      <c r="F1485" s="26" t="s">
        <v>293</v>
      </c>
      <c r="K1485" s="24">
        <v>48</v>
      </c>
      <c r="L1485" s="102">
        <v>46106.328020833331</v>
      </c>
      <c r="M1485" s="25" t="s">
        <v>357</v>
      </c>
      <c r="N1485" s="103" t="s">
        <v>353</v>
      </c>
      <c r="O1485" s="26">
        <v>16.3</v>
      </c>
      <c r="P1485" s="26" t="s">
        <v>293</v>
      </c>
    </row>
    <row r="1486" spans="1:16" x14ac:dyDescent="0.3">
      <c r="A1486" s="24">
        <v>48</v>
      </c>
      <c r="B1486" s="102">
        <v>46106.328020833331</v>
      </c>
      <c r="C1486" s="25" t="s">
        <v>356</v>
      </c>
      <c r="D1486" s="103" t="s">
        <v>133</v>
      </c>
      <c r="E1486" s="26">
        <v>143</v>
      </c>
      <c r="F1486" s="26" t="s">
        <v>293</v>
      </c>
      <c r="K1486" s="24">
        <v>48</v>
      </c>
      <c r="L1486" s="102">
        <v>46106.328020833331</v>
      </c>
      <c r="M1486" s="25" t="s">
        <v>357</v>
      </c>
      <c r="N1486" s="103" t="s">
        <v>133</v>
      </c>
      <c r="O1486" s="26">
        <v>125</v>
      </c>
      <c r="P1486" s="26" t="s">
        <v>293</v>
      </c>
    </row>
    <row r="1487" spans="1:16" x14ac:dyDescent="0.3">
      <c r="A1487" s="24">
        <v>48</v>
      </c>
      <c r="B1487" s="102">
        <v>46106.328020833331</v>
      </c>
      <c r="C1487" s="25" t="s">
        <v>356</v>
      </c>
      <c r="D1487" s="103" t="s">
        <v>135</v>
      </c>
      <c r="E1487" s="26">
        <v>3.7</v>
      </c>
      <c r="F1487" s="26" t="s">
        <v>293</v>
      </c>
      <c r="K1487" s="24">
        <v>48</v>
      </c>
      <c r="L1487" s="102">
        <v>46106.328020833331</v>
      </c>
      <c r="M1487" s="25" t="s">
        <v>357</v>
      </c>
      <c r="N1487" s="103" t="s">
        <v>135</v>
      </c>
      <c r="O1487" s="26">
        <v>6.4</v>
      </c>
      <c r="P1487" s="26" t="s">
        <v>293</v>
      </c>
    </row>
    <row r="1488" spans="1:16" x14ac:dyDescent="0.3">
      <c r="A1488" s="24">
        <v>48</v>
      </c>
      <c r="B1488" s="102">
        <v>46106.328020833331</v>
      </c>
      <c r="C1488" s="25" t="s">
        <v>356</v>
      </c>
      <c r="D1488" s="103" t="s">
        <v>136</v>
      </c>
      <c r="E1488" s="26">
        <v>116</v>
      </c>
      <c r="F1488" s="26" t="s">
        <v>293</v>
      </c>
      <c r="K1488" s="24">
        <v>48</v>
      </c>
      <c r="L1488" s="102">
        <v>46106.328020833331</v>
      </c>
      <c r="M1488" s="25" t="s">
        <v>357</v>
      </c>
      <c r="N1488" s="103" t="s">
        <v>136</v>
      </c>
      <c r="O1488" s="26">
        <v>97</v>
      </c>
      <c r="P1488" s="26" t="s">
        <v>293</v>
      </c>
    </row>
    <row r="1489" spans="1:16" x14ac:dyDescent="0.3">
      <c r="A1489" s="24">
        <v>49</v>
      </c>
      <c r="B1489" s="102">
        <v>46107</v>
      </c>
      <c r="C1489" s="25" t="s">
        <v>356</v>
      </c>
      <c r="D1489" s="103" t="s">
        <v>339</v>
      </c>
      <c r="E1489" s="26">
        <v>4.62</v>
      </c>
      <c r="F1489" s="26" t="s">
        <v>293</v>
      </c>
      <c r="K1489" s="24">
        <v>49</v>
      </c>
      <c r="L1489" s="102">
        <v>46107</v>
      </c>
      <c r="M1489" s="25" t="s">
        <v>357</v>
      </c>
      <c r="N1489" s="103" t="s">
        <v>339</v>
      </c>
      <c r="O1489" s="26">
        <v>1.03</v>
      </c>
      <c r="P1489" s="26" t="s">
        <v>293</v>
      </c>
    </row>
    <row r="1490" spans="1:16" x14ac:dyDescent="0.3">
      <c r="A1490" s="24">
        <v>49</v>
      </c>
      <c r="B1490" s="102">
        <v>46107</v>
      </c>
      <c r="C1490" s="25" t="s">
        <v>356</v>
      </c>
      <c r="D1490" s="103" t="s">
        <v>118</v>
      </c>
      <c r="E1490" s="26">
        <v>4.4000000000000004</v>
      </c>
      <c r="F1490" s="26" t="s">
        <v>293</v>
      </c>
      <c r="K1490" s="24">
        <v>49</v>
      </c>
      <c r="L1490" s="102">
        <v>46107</v>
      </c>
      <c r="M1490" s="25" t="s">
        <v>357</v>
      </c>
      <c r="N1490" s="103" t="s">
        <v>118</v>
      </c>
      <c r="O1490" s="26">
        <v>9.6</v>
      </c>
      <c r="P1490" s="26" t="s">
        <v>293</v>
      </c>
    </row>
    <row r="1491" spans="1:16" x14ac:dyDescent="0.3">
      <c r="A1491" s="24">
        <v>49</v>
      </c>
      <c r="B1491" s="102">
        <v>46107</v>
      </c>
      <c r="C1491" s="25" t="s">
        <v>356</v>
      </c>
      <c r="D1491" s="103" t="s">
        <v>130</v>
      </c>
      <c r="E1491" s="26">
        <v>3.74</v>
      </c>
      <c r="F1491" s="26" t="s">
        <v>293</v>
      </c>
      <c r="K1491" s="24">
        <v>49</v>
      </c>
      <c r="L1491" s="102">
        <v>46107</v>
      </c>
      <c r="M1491" s="25" t="s">
        <v>357</v>
      </c>
      <c r="N1491" s="103" t="s">
        <v>130</v>
      </c>
      <c r="O1491" s="26">
        <v>2.4</v>
      </c>
      <c r="P1491" s="26" t="s">
        <v>293</v>
      </c>
    </row>
    <row r="1492" spans="1:16" x14ac:dyDescent="0.3">
      <c r="A1492" s="24">
        <v>49</v>
      </c>
      <c r="B1492" s="102">
        <v>46107</v>
      </c>
      <c r="C1492" s="25" t="s">
        <v>356</v>
      </c>
      <c r="D1492" s="103" t="s">
        <v>341</v>
      </c>
      <c r="E1492" s="26">
        <v>0.3</v>
      </c>
      <c r="F1492" s="26" t="s">
        <v>293</v>
      </c>
      <c r="K1492" s="24">
        <v>49</v>
      </c>
      <c r="L1492" s="102">
        <v>46107</v>
      </c>
      <c r="M1492" s="25" t="s">
        <v>357</v>
      </c>
      <c r="N1492" s="103" t="s">
        <v>341</v>
      </c>
      <c r="O1492" s="26">
        <v>1.1100000000000001</v>
      </c>
      <c r="P1492" s="26" t="s">
        <v>293</v>
      </c>
    </row>
    <row r="1493" spans="1:16" x14ac:dyDescent="0.3">
      <c r="A1493" s="24">
        <v>49</v>
      </c>
      <c r="B1493" s="102">
        <v>46107</v>
      </c>
      <c r="C1493" s="25" t="s">
        <v>356</v>
      </c>
      <c r="D1493" s="103" t="s">
        <v>127</v>
      </c>
      <c r="E1493" s="26">
        <v>1.17</v>
      </c>
      <c r="F1493" s="26" t="s">
        <v>293</v>
      </c>
      <c r="K1493" s="24">
        <v>49</v>
      </c>
      <c r="L1493" s="102">
        <v>46107</v>
      </c>
      <c r="M1493" s="25" t="s">
        <v>357</v>
      </c>
      <c r="N1493" s="103" t="s">
        <v>127</v>
      </c>
      <c r="O1493" s="26">
        <v>4.58</v>
      </c>
      <c r="P1493" s="26" t="s">
        <v>293</v>
      </c>
    </row>
    <row r="1494" spans="1:16" x14ac:dyDescent="0.3">
      <c r="A1494" s="24">
        <v>49</v>
      </c>
      <c r="B1494" s="102">
        <v>46107</v>
      </c>
      <c r="C1494" s="25" t="s">
        <v>356</v>
      </c>
      <c r="D1494" s="103" t="s">
        <v>131</v>
      </c>
      <c r="E1494" s="26">
        <v>8.6</v>
      </c>
      <c r="F1494" s="26" t="s">
        <v>293</v>
      </c>
      <c r="K1494" s="24">
        <v>49</v>
      </c>
      <c r="L1494" s="102">
        <v>46107</v>
      </c>
      <c r="M1494" s="25" t="s">
        <v>357</v>
      </c>
      <c r="N1494" s="103" t="s">
        <v>131</v>
      </c>
      <c r="O1494" s="26">
        <v>11.7</v>
      </c>
      <c r="P1494" s="26" t="s">
        <v>293</v>
      </c>
    </row>
    <row r="1495" spans="1:16" x14ac:dyDescent="0.3">
      <c r="A1495" s="24">
        <v>49</v>
      </c>
      <c r="B1495" s="102">
        <v>46107</v>
      </c>
      <c r="C1495" s="25" t="s">
        <v>356</v>
      </c>
      <c r="D1495" s="103" t="s">
        <v>342</v>
      </c>
      <c r="E1495" s="26">
        <v>347</v>
      </c>
      <c r="F1495" s="26" t="s">
        <v>293</v>
      </c>
      <c r="K1495" s="24">
        <v>49</v>
      </c>
      <c r="L1495" s="102">
        <v>46107</v>
      </c>
      <c r="M1495" s="25" t="s">
        <v>357</v>
      </c>
      <c r="N1495" s="103" t="s">
        <v>342</v>
      </c>
      <c r="O1495" s="26">
        <v>208</v>
      </c>
      <c r="P1495" s="26" t="s">
        <v>293</v>
      </c>
    </row>
    <row r="1496" spans="1:16" x14ac:dyDescent="0.3">
      <c r="A1496" s="24">
        <v>49</v>
      </c>
      <c r="B1496" s="102">
        <v>46107</v>
      </c>
      <c r="C1496" s="25" t="s">
        <v>356</v>
      </c>
      <c r="D1496" s="103" t="s">
        <v>119</v>
      </c>
      <c r="E1496" s="26">
        <v>241</v>
      </c>
      <c r="F1496" s="26" t="s">
        <v>293</v>
      </c>
      <c r="K1496" s="24">
        <v>49</v>
      </c>
      <c r="L1496" s="102">
        <v>46107</v>
      </c>
      <c r="M1496" s="25" t="s">
        <v>357</v>
      </c>
      <c r="N1496" s="103" t="s">
        <v>119</v>
      </c>
      <c r="O1496" s="26">
        <v>90</v>
      </c>
      <c r="P1496" s="26" t="s">
        <v>293</v>
      </c>
    </row>
    <row r="1497" spans="1:16" x14ac:dyDescent="0.3">
      <c r="A1497" s="24">
        <v>49</v>
      </c>
      <c r="B1497" s="102">
        <v>46107</v>
      </c>
      <c r="C1497" s="25" t="s">
        <v>356</v>
      </c>
      <c r="D1497" s="103" t="s">
        <v>120</v>
      </c>
      <c r="E1497" s="26">
        <v>80</v>
      </c>
      <c r="F1497" s="26" t="s">
        <v>293</v>
      </c>
      <c r="K1497" s="24">
        <v>49</v>
      </c>
      <c r="L1497" s="102">
        <v>46107</v>
      </c>
      <c r="M1497" s="25" t="s">
        <v>357</v>
      </c>
      <c r="N1497" s="103" t="s">
        <v>120</v>
      </c>
      <c r="O1497" s="26">
        <v>27</v>
      </c>
      <c r="P1497" s="26" t="s">
        <v>293</v>
      </c>
    </row>
    <row r="1498" spans="1:16" x14ac:dyDescent="0.3">
      <c r="A1498" s="24">
        <v>49</v>
      </c>
      <c r="B1498" s="102">
        <v>46107</v>
      </c>
      <c r="C1498" s="25" t="s">
        <v>356</v>
      </c>
      <c r="D1498" s="103" t="s">
        <v>117</v>
      </c>
      <c r="E1498" s="26">
        <v>2.76</v>
      </c>
      <c r="F1498" s="26" t="s">
        <v>293</v>
      </c>
      <c r="K1498" s="24">
        <v>49</v>
      </c>
      <c r="L1498" s="102">
        <v>46107</v>
      </c>
      <c r="M1498" s="25" t="s">
        <v>357</v>
      </c>
      <c r="N1498" s="103" t="s">
        <v>117</v>
      </c>
      <c r="O1498" s="26">
        <v>6.19</v>
      </c>
      <c r="P1498" s="26" t="s">
        <v>293</v>
      </c>
    </row>
    <row r="1499" spans="1:16" x14ac:dyDescent="0.3">
      <c r="A1499" s="24">
        <v>49</v>
      </c>
      <c r="B1499" s="102">
        <v>46107</v>
      </c>
      <c r="C1499" s="25" t="s">
        <v>356</v>
      </c>
      <c r="D1499" s="103" t="s">
        <v>344</v>
      </c>
      <c r="E1499" s="26">
        <v>229</v>
      </c>
      <c r="F1499" s="26" t="s">
        <v>293</v>
      </c>
      <c r="K1499" s="24">
        <v>49</v>
      </c>
      <c r="L1499" s="102">
        <v>46107</v>
      </c>
      <c r="M1499" s="25" t="s">
        <v>357</v>
      </c>
      <c r="N1499" s="103" t="s">
        <v>344</v>
      </c>
      <c r="O1499" s="26">
        <v>67</v>
      </c>
      <c r="P1499" s="26" t="s">
        <v>293</v>
      </c>
    </row>
    <row r="1500" spans="1:16" x14ac:dyDescent="0.3">
      <c r="A1500" s="24">
        <v>49</v>
      </c>
      <c r="B1500" s="102">
        <v>46107</v>
      </c>
      <c r="C1500" s="25" t="s">
        <v>356</v>
      </c>
      <c r="D1500" s="103" t="s">
        <v>132</v>
      </c>
      <c r="E1500" s="26">
        <v>3.58</v>
      </c>
      <c r="F1500" s="26" t="s">
        <v>293</v>
      </c>
      <c r="K1500" s="24">
        <v>49</v>
      </c>
      <c r="L1500" s="102">
        <v>46107</v>
      </c>
      <c r="M1500" s="25" t="s">
        <v>357</v>
      </c>
      <c r="N1500" s="103" t="s">
        <v>132</v>
      </c>
      <c r="O1500" s="26">
        <v>7.3</v>
      </c>
      <c r="P1500" s="26" t="s">
        <v>293</v>
      </c>
    </row>
    <row r="1501" spans="1:16" x14ac:dyDescent="0.3">
      <c r="A1501" s="24">
        <v>49</v>
      </c>
      <c r="B1501" s="102">
        <v>46107</v>
      </c>
      <c r="C1501" s="25" t="s">
        <v>356</v>
      </c>
      <c r="D1501" s="103" t="s">
        <v>111</v>
      </c>
      <c r="E1501" s="26">
        <v>86</v>
      </c>
      <c r="F1501" s="26" t="s">
        <v>293</v>
      </c>
      <c r="K1501" s="24">
        <v>49</v>
      </c>
      <c r="L1501" s="102">
        <v>46107</v>
      </c>
      <c r="M1501" s="25" t="s">
        <v>357</v>
      </c>
      <c r="N1501" s="103" t="s">
        <v>111</v>
      </c>
      <c r="O1501" s="26">
        <v>276</v>
      </c>
      <c r="P1501" s="26" t="s">
        <v>293</v>
      </c>
    </row>
    <row r="1502" spans="1:16" x14ac:dyDescent="0.3">
      <c r="A1502" s="24">
        <v>49</v>
      </c>
      <c r="B1502" s="102">
        <v>46107</v>
      </c>
      <c r="C1502" s="25" t="s">
        <v>356</v>
      </c>
      <c r="D1502" s="103" t="s">
        <v>345</v>
      </c>
      <c r="E1502" s="26">
        <v>5.0599999999999996</v>
      </c>
      <c r="F1502" s="26" t="s">
        <v>293</v>
      </c>
      <c r="K1502" s="24">
        <v>49</v>
      </c>
      <c r="L1502" s="102">
        <v>46107</v>
      </c>
      <c r="M1502" s="25" t="s">
        <v>357</v>
      </c>
      <c r="N1502" s="103" t="s">
        <v>345</v>
      </c>
      <c r="O1502" s="26">
        <v>9.9</v>
      </c>
      <c r="P1502" s="26" t="s">
        <v>293</v>
      </c>
    </row>
    <row r="1503" spans="1:16" x14ac:dyDescent="0.3">
      <c r="A1503" s="24">
        <v>49</v>
      </c>
      <c r="B1503" s="102">
        <v>46107</v>
      </c>
      <c r="C1503" s="25" t="s">
        <v>356</v>
      </c>
      <c r="D1503" s="103" t="s">
        <v>347</v>
      </c>
      <c r="E1503" s="26">
        <v>2.0699999999999998</v>
      </c>
      <c r="F1503" s="26" t="s">
        <v>293</v>
      </c>
      <c r="K1503" s="24">
        <v>49</v>
      </c>
      <c r="L1503" s="102">
        <v>46107</v>
      </c>
      <c r="M1503" s="25" t="s">
        <v>357</v>
      </c>
      <c r="N1503" s="103" t="s">
        <v>347</v>
      </c>
      <c r="O1503" s="26">
        <v>4.63</v>
      </c>
      <c r="P1503" s="26" t="s">
        <v>293</v>
      </c>
    </row>
    <row r="1504" spans="1:16" x14ac:dyDescent="0.3">
      <c r="A1504" s="24">
        <v>49</v>
      </c>
      <c r="B1504" s="102">
        <v>46107</v>
      </c>
      <c r="C1504" s="25" t="s">
        <v>356</v>
      </c>
      <c r="D1504" s="103" t="s">
        <v>128</v>
      </c>
      <c r="E1504" s="26">
        <v>6.7</v>
      </c>
      <c r="F1504" s="26" t="s">
        <v>293</v>
      </c>
      <c r="K1504" s="24">
        <v>49</v>
      </c>
      <c r="L1504" s="102">
        <v>46107</v>
      </c>
      <c r="M1504" s="25" t="s">
        <v>357</v>
      </c>
      <c r="N1504" s="103" t="s">
        <v>128</v>
      </c>
      <c r="O1504" s="26">
        <v>4.3</v>
      </c>
      <c r="P1504" s="26" t="s">
        <v>293</v>
      </c>
    </row>
    <row r="1505" spans="1:16" x14ac:dyDescent="0.3">
      <c r="A1505" s="24">
        <v>49</v>
      </c>
      <c r="B1505" s="102">
        <v>46107</v>
      </c>
      <c r="C1505" s="25" t="s">
        <v>356</v>
      </c>
      <c r="D1505" s="103" t="s">
        <v>121</v>
      </c>
      <c r="E1505" s="26">
        <v>155</v>
      </c>
      <c r="F1505" s="26" t="s">
        <v>293</v>
      </c>
      <c r="K1505" s="24">
        <v>49</v>
      </c>
      <c r="L1505" s="102">
        <v>46107</v>
      </c>
      <c r="M1505" s="25" t="s">
        <v>357</v>
      </c>
      <c r="N1505" s="103" t="s">
        <v>121</v>
      </c>
      <c r="O1505" s="26">
        <v>78</v>
      </c>
      <c r="P1505" s="26" t="s">
        <v>293</v>
      </c>
    </row>
    <row r="1506" spans="1:16" x14ac:dyDescent="0.3">
      <c r="A1506" s="24">
        <v>49</v>
      </c>
      <c r="B1506" s="102">
        <v>46107</v>
      </c>
      <c r="C1506" s="25" t="s">
        <v>356</v>
      </c>
      <c r="D1506" s="103" t="s">
        <v>115</v>
      </c>
      <c r="E1506" s="26">
        <v>33</v>
      </c>
      <c r="F1506" s="26" t="s">
        <v>293</v>
      </c>
      <c r="K1506" s="24">
        <v>49</v>
      </c>
      <c r="L1506" s="102">
        <v>46107</v>
      </c>
      <c r="M1506" s="25" t="s">
        <v>357</v>
      </c>
      <c r="N1506" s="103" t="s">
        <v>115</v>
      </c>
      <c r="O1506" s="26">
        <v>97</v>
      </c>
      <c r="P1506" s="26" t="s">
        <v>293</v>
      </c>
    </row>
    <row r="1507" spans="1:16" x14ac:dyDescent="0.3">
      <c r="A1507" s="24">
        <v>49</v>
      </c>
      <c r="B1507" s="102">
        <v>46107</v>
      </c>
      <c r="C1507" s="25" t="s">
        <v>356</v>
      </c>
      <c r="D1507" s="103" t="s">
        <v>137</v>
      </c>
      <c r="E1507" s="26">
        <v>75</v>
      </c>
      <c r="F1507" s="26" t="s">
        <v>293</v>
      </c>
      <c r="K1507" s="24">
        <v>49</v>
      </c>
      <c r="L1507" s="102">
        <v>46107</v>
      </c>
      <c r="M1507" s="25" t="s">
        <v>357</v>
      </c>
      <c r="N1507" s="103" t="s">
        <v>137</v>
      </c>
      <c r="O1507" s="26">
        <v>483</v>
      </c>
      <c r="P1507" s="26" t="s">
        <v>293</v>
      </c>
    </row>
    <row r="1508" spans="1:16" x14ac:dyDescent="0.3">
      <c r="A1508" s="24">
        <v>49</v>
      </c>
      <c r="B1508" s="102">
        <v>46107</v>
      </c>
      <c r="C1508" s="25" t="s">
        <v>356</v>
      </c>
      <c r="D1508" s="103" t="s">
        <v>348</v>
      </c>
      <c r="E1508" s="26">
        <v>144</v>
      </c>
      <c r="F1508" s="26" t="s">
        <v>293</v>
      </c>
      <c r="K1508" s="24">
        <v>49</v>
      </c>
      <c r="L1508" s="102">
        <v>46107</v>
      </c>
      <c r="M1508" s="25" t="s">
        <v>357</v>
      </c>
      <c r="N1508" s="103" t="s">
        <v>348</v>
      </c>
      <c r="O1508" s="26">
        <v>435</v>
      </c>
      <c r="P1508" s="26" t="s">
        <v>293</v>
      </c>
    </row>
    <row r="1509" spans="1:16" x14ac:dyDescent="0.3">
      <c r="A1509" s="24">
        <v>49</v>
      </c>
      <c r="B1509" s="102">
        <v>46107</v>
      </c>
      <c r="C1509" s="25" t="s">
        <v>356</v>
      </c>
      <c r="D1509" s="103" t="s">
        <v>125</v>
      </c>
      <c r="E1509" s="26">
        <v>106</v>
      </c>
      <c r="F1509" s="26" t="s">
        <v>293</v>
      </c>
      <c r="K1509" s="24">
        <v>49</v>
      </c>
      <c r="L1509" s="102">
        <v>46107</v>
      </c>
      <c r="M1509" s="25" t="s">
        <v>357</v>
      </c>
      <c r="N1509" s="103" t="s">
        <v>125</v>
      </c>
      <c r="O1509" s="26">
        <v>417</v>
      </c>
      <c r="P1509" s="26" t="s">
        <v>293</v>
      </c>
    </row>
    <row r="1510" spans="1:16" x14ac:dyDescent="0.3">
      <c r="A1510" s="24">
        <v>49</v>
      </c>
      <c r="B1510" s="102">
        <v>46107</v>
      </c>
      <c r="C1510" s="25" t="s">
        <v>356</v>
      </c>
      <c r="D1510" s="103" t="s">
        <v>126</v>
      </c>
      <c r="E1510" s="26">
        <v>80</v>
      </c>
      <c r="F1510" s="26" t="s">
        <v>293</v>
      </c>
      <c r="K1510" s="24">
        <v>49</v>
      </c>
      <c r="L1510" s="102">
        <v>46107</v>
      </c>
      <c r="M1510" s="25" t="s">
        <v>357</v>
      </c>
      <c r="N1510" s="103" t="s">
        <v>126</v>
      </c>
      <c r="O1510" s="26">
        <v>152</v>
      </c>
      <c r="P1510" s="26" t="s">
        <v>293</v>
      </c>
    </row>
    <row r="1511" spans="1:16" x14ac:dyDescent="0.3">
      <c r="A1511" s="24">
        <v>49</v>
      </c>
      <c r="B1511" s="102">
        <v>46107</v>
      </c>
      <c r="C1511" s="25" t="s">
        <v>356</v>
      </c>
      <c r="D1511" s="103" t="s">
        <v>349</v>
      </c>
      <c r="E1511" s="26">
        <v>153</v>
      </c>
      <c r="F1511" s="26" t="s">
        <v>293</v>
      </c>
      <c r="K1511" s="24">
        <v>49</v>
      </c>
      <c r="L1511" s="102">
        <v>46107</v>
      </c>
      <c r="M1511" s="25" t="s">
        <v>357</v>
      </c>
      <c r="N1511" s="103" t="s">
        <v>349</v>
      </c>
      <c r="O1511" s="26">
        <v>366</v>
      </c>
      <c r="P1511" s="26" t="s">
        <v>293</v>
      </c>
    </row>
    <row r="1512" spans="1:16" x14ac:dyDescent="0.3">
      <c r="A1512" s="24">
        <v>49</v>
      </c>
      <c r="B1512" s="102">
        <v>46107</v>
      </c>
      <c r="C1512" s="25" t="s">
        <v>356</v>
      </c>
      <c r="D1512" s="103" t="s">
        <v>350</v>
      </c>
      <c r="E1512" s="26">
        <v>60</v>
      </c>
      <c r="F1512" s="26" t="s">
        <v>293</v>
      </c>
      <c r="K1512" s="24">
        <v>49</v>
      </c>
      <c r="L1512" s="102">
        <v>46107</v>
      </c>
      <c r="M1512" s="25" t="s">
        <v>357</v>
      </c>
      <c r="N1512" s="103" t="s">
        <v>350</v>
      </c>
      <c r="O1512" s="26">
        <v>86</v>
      </c>
      <c r="P1512" s="26" t="s">
        <v>293</v>
      </c>
    </row>
    <row r="1513" spans="1:16" x14ac:dyDescent="0.3">
      <c r="A1513" s="24">
        <v>49</v>
      </c>
      <c r="B1513" s="102">
        <v>46107</v>
      </c>
      <c r="C1513" s="25" t="s">
        <v>356</v>
      </c>
      <c r="D1513" s="103" t="s">
        <v>122</v>
      </c>
      <c r="E1513" s="26">
        <v>49</v>
      </c>
      <c r="F1513" s="26" t="s">
        <v>293</v>
      </c>
      <c r="K1513" s="24">
        <v>49</v>
      </c>
      <c r="L1513" s="102">
        <v>46107</v>
      </c>
      <c r="M1513" s="25" t="s">
        <v>357</v>
      </c>
      <c r="N1513" s="103" t="s">
        <v>122</v>
      </c>
      <c r="O1513" s="26">
        <v>217</v>
      </c>
      <c r="P1513" s="26" t="s">
        <v>293</v>
      </c>
    </row>
    <row r="1514" spans="1:16" x14ac:dyDescent="0.3">
      <c r="A1514" s="24">
        <v>49</v>
      </c>
      <c r="B1514" s="102">
        <v>46107</v>
      </c>
      <c r="C1514" s="25" t="s">
        <v>356</v>
      </c>
      <c r="D1514" s="103" t="s">
        <v>124</v>
      </c>
      <c r="E1514" s="26">
        <v>33</v>
      </c>
      <c r="F1514" s="26" t="s">
        <v>293</v>
      </c>
      <c r="K1514" s="24">
        <v>49</v>
      </c>
      <c r="L1514" s="102">
        <v>46107</v>
      </c>
      <c r="M1514" s="25" t="s">
        <v>357</v>
      </c>
      <c r="N1514" s="103" t="s">
        <v>124</v>
      </c>
      <c r="O1514" s="26">
        <v>110</v>
      </c>
      <c r="P1514" s="26" t="s">
        <v>293</v>
      </c>
    </row>
    <row r="1515" spans="1:16" x14ac:dyDescent="0.3">
      <c r="A1515" s="24">
        <v>49</v>
      </c>
      <c r="B1515" s="102">
        <v>46107</v>
      </c>
      <c r="C1515" s="25" t="s">
        <v>356</v>
      </c>
      <c r="D1515" s="103" t="s">
        <v>351</v>
      </c>
      <c r="E1515" s="26">
        <v>0.97</v>
      </c>
      <c r="F1515" s="26" t="s">
        <v>293</v>
      </c>
      <c r="K1515" s="24">
        <v>49</v>
      </c>
      <c r="L1515" s="102">
        <v>46107</v>
      </c>
      <c r="M1515" s="25" t="s">
        <v>357</v>
      </c>
      <c r="N1515" s="103" t="s">
        <v>351</v>
      </c>
      <c r="O1515" s="26">
        <v>3.58</v>
      </c>
      <c r="P1515" s="26" t="s">
        <v>293</v>
      </c>
    </row>
    <row r="1516" spans="1:16" x14ac:dyDescent="0.3">
      <c r="A1516" s="24">
        <v>49</v>
      </c>
      <c r="B1516" s="102">
        <v>46107</v>
      </c>
      <c r="C1516" s="25" t="s">
        <v>356</v>
      </c>
      <c r="D1516" s="103" t="s">
        <v>353</v>
      </c>
      <c r="E1516" s="26">
        <v>35.4</v>
      </c>
      <c r="F1516" s="26" t="s">
        <v>293</v>
      </c>
      <c r="K1516" s="24">
        <v>49</v>
      </c>
      <c r="L1516" s="102">
        <v>46107</v>
      </c>
      <c r="M1516" s="25" t="s">
        <v>357</v>
      </c>
      <c r="N1516" s="103" t="s">
        <v>353</v>
      </c>
      <c r="O1516" s="26">
        <v>18</v>
      </c>
      <c r="P1516" s="26" t="s">
        <v>293</v>
      </c>
    </row>
    <row r="1517" spans="1:16" x14ac:dyDescent="0.3">
      <c r="A1517" s="24">
        <v>49</v>
      </c>
      <c r="B1517" s="102">
        <v>46107</v>
      </c>
      <c r="C1517" s="25" t="s">
        <v>356</v>
      </c>
      <c r="D1517" s="103" t="s">
        <v>133</v>
      </c>
      <c r="E1517" s="26">
        <v>142</v>
      </c>
      <c r="F1517" s="26" t="s">
        <v>293</v>
      </c>
      <c r="K1517" s="24">
        <v>49</v>
      </c>
      <c r="L1517" s="102">
        <v>46107</v>
      </c>
      <c r="M1517" s="25" t="s">
        <v>357</v>
      </c>
      <c r="N1517" s="103" t="s">
        <v>133</v>
      </c>
      <c r="O1517" s="26">
        <v>123</v>
      </c>
      <c r="P1517" s="26" t="s">
        <v>293</v>
      </c>
    </row>
    <row r="1518" spans="1:16" x14ac:dyDescent="0.3">
      <c r="A1518" s="24">
        <v>49</v>
      </c>
      <c r="B1518" s="102">
        <v>46107</v>
      </c>
      <c r="C1518" s="25" t="s">
        <v>356</v>
      </c>
      <c r="D1518" s="103" t="s">
        <v>135</v>
      </c>
      <c r="E1518" s="26">
        <v>3.6</v>
      </c>
      <c r="F1518" s="26" t="s">
        <v>293</v>
      </c>
      <c r="K1518" s="24">
        <v>49</v>
      </c>
      <c r="L1518" s="102">
        <v>46107</v>
      </c>
      <c r="M1518" s="25" t="s">
        <v>357</v>
      </c>
      <c r="N1518" s="103" t="s">
        <v>135</v>
      </c>
      <c r="O1518" s="26">
        <v>6.4</v>
      </c>
      <c r="P1518" s="26" t="s">
        <v>293</v>
      </c>
    </row>
    <row r="1519" spans="1:16" x14ac:dyDescent="0.3">
      <c r="A1519" s="24">
        <v>49</v>
      </c>
      <c r="B1519" s="102">
        <v>46107</v>
      </c>
      <c r="C1519" s="25" t="s">
        <v>356</v>
      </c>
      <c r="D1519" s="103" t="s">
        <v>136</v>
      </c>
      <c r="E1519" s="26">
        <v>117</v>
      </c>
      <c r="F1519" s="26" t="s">
        <v>293</v>
      </c>
      <c r="K1519" s="24">
        <v>49</v>
      </c>
      <c r="L1519" s="102">
        <v>46107</v>
      </c>
      <c r="M1519" s="25" t="s">
        <v>357</v>
      </c>
      <c r="N1519" s="103" t="s">
        <v>136</v>
      </c>
      <c r="O1519" s="26">
        <v>98</v>
      </c>
      <c r="P1519" s="26" t="s">
        <v>293</v>
      </c>
    </row>
    <row r="1520" spans="1:16" x14ac:dyDescent="0.3">
      <c r="A1520" s="24">
        <v>50</v>
      </c>
      <c r="B1520" s="102">
        <v>46108</v>
      </c>
      <c r="C1520" s="25" t="s">
        <v>356</v>
      </c>
      <c r="D1520" s="103" t="s">
        <v>339</v>
      </c>
      <c r="E1520" s="26">
        <v>4.58</v>
      </c>
      <c r="F1520" s="26" t="s">
        <v>293</v>
      </c>
      <c r="K1520" s="24">
        <v>50</v>
      </c>
      <c r="L1520" s="102">
        <v>46108</v>
      </c>
      <c r="M1520" s="25" t="s">
        <v>357</v>
      </c>
      <c r="N1520" s="103" t="s">
        <v>339</v>
      </c>
      <c r="O1520" s="26">
        <v>1.1499999999999999</v>
      </c>
      <c r="P1520" s="26" t="s">
        <v>293</v>
      </c>
    </row>
    <row r="1521" spans="1:16" x14ac:dyDescent="0.3">
      <c r="A1521" s="24">
        <v>50</v>
      </c>
      <c r="B1521" s="102">
        <v>46108</v>
      </c>
      <c r="C1521" s="25" t="s">
        <v>356</v>
      </c>
      <c r="D1521" s="103" t="s">
        <v>118</v>
      </c>
      <c r="E1521" s="26">
        <v>4.5</v>
      </c>
      <c r="F1521" s="26" t="s">
        <v>293</v>
      </c>
      <c r="K1521" s="24">
        <v>50</v>
      </c>
      <c r="L1521" s="102">
        <v>46108</v>
      </c>
      <c r="M1521" s="25" t="s">
        <v>357</v>
      </c>
      <c r="N1521" s="103" t="s">
        <v>118</v>
      </c>
      <c r="O1521" s="26">
        <v>9.5</v>
      </c>
      <c r="P1521" s="26" t="s">
        <v>293</v>
      </c>
    </row>
    <row r="1522" spans="1:16" x14ac:dyDescent="0.3">
      <c r="A1522" s="24">
        <v>50</v>
      </c>
      <c r="B1522" s="102">
        <v>46108</v>
      </c>
      <c r="C1522" s="25" t="s">
        <v>356</v>
      </c>
      <c r="D1522" s="103" t="s">
        <v>130</v>
      </c>
      <c r="E1522" s="26">
        <v>3.82</v>
      </c>
      <c r="F1522" s="26" t="s">
        <v>293</v>
      </c>
      <c r="K1522" s="24">
        <v>50</v>
      </c>
      <c r="L1522" s="102">
        <v>46108</v>
      </c>
      <c r="M1522" s="25" t="s">
        <v>357</v>
      </c>
      <c r="N1522" s="103" t="s">
        <v>130</v>
      </c>
      <c r="O1522" s="26">
        <v>2.4</v>
      </c>
      <c r="P1522" s="26" t="s">
        <v>293</v>
      </c>
    </row>
    <row r="1523" spans="1:16" x14ac:dyDescent="0.3">
      <c r="A1523" s="24">
        <v>50</v>
      </c>
      <c r="B1523" s="102">
        <v>46108</v>
      </c>
      <c r="C1523" s="25" t="s">
        <v>356</v>
      </c>
      <c r="D1523" s="103" t="s">
        <v>341</v>
      </c>
      <c r="E1523" s="26">
        <v>0.3</v>
      </c>
      <c r="F1523" s="26" t="s">
        <v>293</v>
      </c>
      <c r="K1523" s="24">
        <v>50</v>
      </c>
      <c r="L1523" s="102">
        <v>46108</v>
      </c>
      <c r="M1523" s="25" t="s">
        <v>357</v>
      </c>
      <c r="N1523" s="103" t="s">
        <v>341</v>
      </c>
      <c r="O1523" s="26">
        <v>1.1100000000000001</v>
      </c>
      <c r="P1523" s="26" t="s">
        <v>293</v>
      </c>
    </row>
    <row r="1524" spans="1:16" x14ac:dyDescent="0.3">
      <c r="A1524" s="24">
        <v>50</v>
      </c>
      <c r="B1524" s="102">
        <v>46108</v>
      </c>
      <c r="C1524" s="25" t="s">
        <v>356</v>
      </c>
      <c r="D1524" s="103" t="s">
        <v>127</v>
      </c>
      <c r="E1524" s="26">
        <v>1.1599999999999999</v>
      </c>
      <c r="F1524" s="26" t="s">
        <v>293</v>
      </c>
      <c r="K1524" s="24">
        <v>50</v>
      </c>
      <c r="L1524" s="102">
        <v>46108</v>
      </c>
      <c r="M1524" s="25" t="s">
        <v>357</v>
      </c>
      <c r="N1524" s="103" t="s">
        <v>127</v>
      </c>
      <c r="O1524" s="26">
        <v>4.5199999999999996</v>
      </c>
      <c r="P1524" s="26" t="s">
        <v>293</v>
      </c>
    </row>
    <row r="1525" spans="1:16" x14ac:dyDescent="0.3">
      <c r="A1525" s="24">
        <v>50</v>
      </c>
      <c r="B1525" s="102">
        <v>46108</v>
      </c>
      <c r="C1525" s="25" t="s">
        <v>356</v>
      </c>
      <c r="D1525" s="103" t="s">
        <v>131</v>
      </c>
      <c r="E1525" s="26">
        <v>9</v>
      </c>
      <c r="F1525" s="26" t="s">
        <v>293</v>
      </c>
      <c r="K1525" s="24">
        <v>50</v>
      </c>
      <c r="L1525" s="102">
        <v>46108</v>
      </c>
      <c r="M1525" s="25" t="s">
        <v>357</v>
      </c>
      <c r="N1525" s="103" t="s">
        <v>131</v>
      </c>
      <c r="O1525" s="26">
        <v>12.2</v>
      </c>
      <c r="P1525" s="26" t="s">
        <v>293</v>
      </c>
    </row>
    <row r="1526" spans="1:16" x14ac:dyDescent="0.3">
      <c r="A1526" s="24">
        <v>50</v>
      </c>
      <c r="B1526" s="102">
        <v>46108</v>
      </c>
      <c r="C1526" s="25" t="s">
        <v>356</v>
      </c>
      <c r="D1526" s="103" t="s">
        <v>342</v>
      </c>
      <c r="E1526" s="26">
        <v>336</v>
      </c>
      <c r="F1526" s="26" t="s">
        <v>293</v>
      </c>
      <c r="K1526" s="24">
        <v>50</v>
      </c>
      <c r="L1526" s="102">
        <v>46108</v>
      </c>
      <c r="M1526" s="25" t="s">
        <v>357</v>
      </c>
      <c r="N1526" s="103" t="s">
        <v>342</v>
      </c>
      <c r="O1526" s="26">
        <v>210</v>
      </c>
      <c r="P1526" s="26" t="s">
        <v>293</v>
      </c>
    </row>
    <row r="1527" spans="1:16" x14ac:dyDescent="0.3">
      <c r="A1527" s="24">
        <v>50</v>
      </c>
      <c r="B1527" s="102">
        <v>46108</v>
      </c>
      <c r="C1527" s="25" t="s">
        <v>356</v>
      </c>
      <c r="D1527" s="103" t="s">
        <v>119</v>
      </c>
      <c r="E1527" s="26">
        <v>241</v>
      </c>
      <c r="F1527" s="26" t="s">
        <v>293</v>
      </c>
      <c r="K1527" s="24">
        <v>50</v>
      </c>
      <c r="L1527" s="102">
        <v>46108</v>
      </c>
      <c r="M1527" s="25" t="s">
        <v>357</v>
      </c>
      <c r="N1527" s="103" t="s">
        <v>119</v>
      </c>
      <c r="O1527" s="26">
        <v>91</v>
      </c>
      <c r="P1527" s="26" t="s">
        <v>293</v>
      </c>
    </row>
    <row r="1528" spans="1:16" x14ac:dyDescent="0.3">
      <c r="A1528" s="24">
        <v>50</v>
      </c>
      <c r="B1528" s="102">
        <v>46108</v>
      </c>
      <c r="C1528" s="25" t="s">
        <v>356</v>
      </c>
      <c r="D1528" s="103" t="s">
        <v>120</v>
      </c>
      <c r="E1528" s="26">
        <v>79</v>
      </c>
      <c r="F1528" s="26" t="s">
        <v>293</v>
      </c>
      <c r="K1528" s="24">
        <v>50</v>
      </c>
      <c r="L1528" s="102">
        <v>46108</v>
      </c>
      <c r="M1528" s="25" t="s">
        <v>357</v>
      </c>
      <c r="N1528" s="103" t="s">
        <v>120</v>
      </c>
      <c r="O1528" s="26">
        <v>27</v>
      </c>
      <c r="P1528" s="26" t="s">
        <v>293</v>
      </c>
    </row>
    <row r="1529" spans="1:16" x14ac:dyDescent="0.3">
      <c r="A1529" s="24">
        <v>50</v>
      </c>
      <c r="B1529" s="102">
        <v>46108</v>
      </c>
      <c r="C1529" s="25" t="s">
        <v>356</v>
      </c>
      <c r="D1529" s="103" t="s">
        <v>117</v>
      </c>
      <c r="E1529" s="26">
        <v>2.71</v>
      </c>
      <c r="F1529" s="26" t="s">
        <v>293</v>
      </c>
      <c r="K1529" s="24">
        <v>50</v>
      </c>
      <c r="L1529" s="102">
        <v>46108</v>
      </c>
      <c r="M1529" s="25" t="s">
        <v>357</v>
      </c>
      <c r="N1529" s="103" t="s">
        <v>117</v>
      </c>
      <c r="O1529" s="26">
        <v>6.17</v>
      </c>
      <c r="P1529" s="26" t="s">
        <v>293</v>
      </c>
    </row>
    <row r="1530" spans="1:16" x14ac:dyDescent="0.3">
      <c r="A1530" s="24">
        <v>50</v>
      </c>
      <c r="B1530" s="102">
        <v>46108</v>
      </c>
      <c r="C1530" s="25" t="s">
        <v>356</v>
      </c>
      <c r="D1530" s="103" t="s">
        <v>344</v>
      </c>
      <c r="E1530" s="26">
        <v>231</v>
      </c>
      <c r="F1530" s="26" t="s">
        <v>293</v>
      </c>
      <c r="K1530" s="24">
        <v>50</v>
      </c>
      <c r="L1530" s="102">
        <v>46108</v>
      </c>
      <c r="M1530" s="25" t="s">
        <v>357</v>
      </c>
      <c r="N1530" s="103" t="s">
        <v>344</v>
      </c>
      <c r="O1530" s="26">
        <v>68</v>
      </c>
      <c r="P1530" s="26" t="s">
        <v>293</v>
      </c>
    </row>
    <row r="1531" spans="1:16" x14ac:dyDescent="0.3">
      <c r="A1531" s="24">
        <v>50</v>
      </c>
      <c r="B1531" s="102">
        <v>46108</v>
      </c>
      <c r="C1531" s="25" t="s">
        <v>356</v>
      </c>
      <c r="D1531" s="103" t="s">
        <v>132</v>
      </c>
      <c r="E1531" s="26">
        <v>3.44</v>
      </c>
      <c r="F1531" s="26" t="s">
        <v>293</v>
      </c>
      <c r="K1531" s="24">
        <v>50</v>
      </c>
      <c r="L1531" s="102">
        <v>46108</v>
      </c>
      <c r="M1531" s="25" t="s">
        <v>357</v>
      </c>
      <c r="N1531" s="103" t="s">
        <v>132</v>
      </c>
      <c r="O1531" s="26">
        <v>7.19</v>
      </c>
      <c r="P1531" s="26" t="s">
        <v>293</v>
      </c>
    </row>
    <row r="1532" spans="1:16" x14ac:dyDescent="0.3">
      <c r="A1532" s="24">
        <v>50</v>
      </c>
      <c r="B1532" s="102">
        <v>46108</v>
      </c>
      <c r="C1532" s="25" t="s">
        <v>356</v>
      </c>
      <c r="D1532" s="103" t="s">
        <v>111</v>
      </c>
      <c r="E1532" s="26">
        <v>88</v>
      </c>
      <c r="F1532" s="26" t="s">
        <v>293</v>
      </c>
      <c r="K1532" s="24">
        <v>50</v>
      </c>
      <c r="L1532" s="102">
        <v>46108</v>
      </c>
      <c r="M1532" s="25" t="s">
        <v>357</v>
      </c>
      <c r="N1532" s="103" t="s">
        <v>111</v>
      </c>
      <c r="O1532" s="26">
        <v>281</v>
      </c>
      <c r="P1532" s="26" t="s">
        <v>293</v>
      </c>
    </row>
    <row r="1533" spans="1:16" x14ac:dyDescent="0.3">
      <c r="A1533" s="24">
        <v>50</v>
      </c>
      <c r="B1533" s="102">
        <v>46108</v>
      </c>
      <c r="C1533" s="25" t="s">
        <v>356</v>
      </c>
      <c r="D1533" s="103" t="s">
        <v>345</v>
      </c>
      <c r="E1533" s="26">
        <v>5.0999999999999996</v>
      </c>
      <c r="F1533" s="26" t="s">
        <v>293</v>
      </c>
      <c r="K1533" s="24">
        <v>50</v>
      </c>
      <c r="L1533" s="102">
        <v>46108</v>
      </c>
      <c r="M1533" s="25" t="s">
        <v>357</v>
      </c>
      <c r="N1533" s="103" t="s">
        <v>345</v>
      </c>
      <c r="O1533" s="26">
        <v>9.89</v>
      </c>
      <c r="P1533" s="26" t="s">
        <v>293</v>
      </c>
    </row>
    <row r="1534" spans="1:16" x14ac:dyDescent="0.3">
      <c r="A1534" s="24">
        <v>50</v>
      </c>
      <c r="B1534" s="102">
        <v>46108</v>
      </c>
      <c r="C1534" s="25" t="s">
        <v>356</v>
      </c>
      <c r="D1534" s="103" t="s">
        <v>347</v>
      </c>
      <c r="E1534" s="26">
        <v>2.17</v>
      </c>
      <c r="F1534" s="26" t="s">
        <v>293</v>
      </c>
      <c r="K1534" s="24">
        <v>50</v>
      </c>
      <c r="L1534" s="102">
        <v>46108</v>
      </c>
      <c r="M1534" s="25" t="s">
        <v>357</v>
      </c>
      <c r="N1534" s="103" t="s">
        <v>347</v>
      </c>
      <c r="O1534" s="26">
        <v>4.5</v>
      </c>
      <c r="P1534" s="26" t="s">
        <v>293</v>
      </c>
    </row>
    <row r="1535" spans="1:16" x14ac:dyDescent="0.3">
      <c r="A1535" s="24">
        <v>50</v>
      </c>
      <c r="B1535" s="102">
        <v>46108</v>
      </c>
      <c r="C1535" s="25" t="s">
        <v>356</v>
      </c>
      <c r="D1535" s="103" t="s">
        <v>128</v>
      </c>
      <c r="E1535" s="26">
        <v>6.8</v>
      </c>
      <c r="F1535" s="26" t="s">
        <v>293</v>
      </c>
      <c r="K1535" s="24">
        <v>50</v>
      </c>
      <c r="L1535" s="102">
        <v>46108</v>
      </c>
      <c r="M1535" s="25" t="s">
        <v>357</v>
      </c>
      <c r="N1535" s="103" t="s">
        <v>128</v>
      </c>
      <c r="O1535" s="26">
        <v>4.4000000000000004</v>
      </c>
      <c r="P1535" s="26" t="s">
        <v>293</v>
      </c>
    </row>
    <row r="1536" spans="1:16" x14ac:dyDescent="0.3">
      <c r="A1536" s="24">
        <v>50</v>
      </c>
      <c r="B1536" s="102">
        <v>46108</v>
      </c>
      <c r="C1536" s="25" t="s">
        <v>356</v>
      </c>
      <c r="D1536" s="103" t="s">
        <v>121</v>
      </c>
      <c r="E1536" s="26">
        <v>157</v>
      </c>
      <c r="F1536" s="26" t="s">
        <v>293</v>
      </c>
      <c r="K1536" s="24">
        <v>50</v>
      </c>
      <c r="L1536" s="102">
        <v>46108</v>
      </c>
      <c r="M1536" s="25" t="s">
        <v>357</v>
      </c>
      <c r="N1536" s="103" t="s">
        <v>121</v>
      </c>
      <c r="O1536" s="26">
        <v>78</v>
      </c>
      <c r="P1536" s="26" t="s">
        <v>293</v>
      </c>
    </row>
    <row r="1537" spans="1:16" x14ac:dyDescent="0.3">
      <c r="A1537" s="24">
        <v>50</v>
      </c>
      <c r="B1537" s="102">
        <v>46108</v>
      </c>
      <c r="C1537" s="25" t="s">
        <v>356</v>
      </c>
      <c r="D1537" s="103" t="s">
        <v>115</v>
      </c>
      <c r="E1537" s="26">
        <v>33</v>
      </c>
      <c r="F1537" s="26" t="s">
        <v>293</v>
      </c>
      <c r="K1537" s="24">
        <v>50</v>
      </c>
      <c r="L1537" s="102">
        <v>46108</v>
      </c>
      <c r="M1537" s="25" t="s">
        <v>357</v>
      </c>
      <c r="N1537" s="103" t="s">
        <v>115</v>
      </c>
      <c r="O1537" s="26">
        <v>95</v>
      </c>
      <c r="P1537" s="26" t="s">
        <v>293</v>
      </c>
    </row>
    <row r="1538" spans="1:16" x14ac:dyDescent="0.3">
      <c r="A1538" s="24">
        <v>50</v>
      </c>
      <c r="B1538" s="102">
        <v>46108</v>
      </c>
      <c r="C1538" s="25" t="s">
        <v>356</v>
      </c>
      <c r="D1538" s="103" t="s">
        <v>137</v>
      </c>
      <c r="E1538" s="26">
        <v>76</v>
      </c>
      <c r="F1538" s="26" t="s">
        <v>293</v>
      </c>
      <c r="K1538" s="24">
        <v>50</v>
      </c>
      <c r="L1538" s="102">
        <v>46108</v>
      </c>
      <c r="M1538" s="25" t="s">
        <v>357</v>
      </c>
      <c r="N1538" s="103" t="s">
        <v>137</v>
      </c>
      <c r="O1538" s="26">
        <v>486</v>
      </c>
      <c r="P1538" s="26" t="s">
        <v>293</v>
      </c>
    </row>
    <row r="1539" spans="1:16" x14ac:dyDescent="0.3">
      <c r="A1539" s="24">
        <v>50</v>
      </c>
      <c r="B1539" s="102">
        <v>46108</v>
      </c>
      <c r="C1539" s="25" t="s">
        <v>356</v>
      </c>
      <c r="D1539" s="103" t="s">
        <v>348</v>
      </c>
      <c r="E1539" s="26">
        <v>142</v>
      </c>
      <c r="F1539" s="26" t="s">
        <v>293</v>
      </c>
      <c r="K1539" s="24">
        <v>50</v>
      </c>
      <c r="L1539" s="102">
        <v>46108</v>
      </c>
      <c r="M1539" s="25" t="s">
        <v>357</v>
      </c>
      <c r="N1539" s="103" t="s">
        <v>348</v>
      </c>
      <c r="O1539" s="26">
        <v>429</v>
      </c>
      <c r="P1539" s="26" t="s">
        <v>293</v>
      </c>
    </row>
    <row r="1540" spans="1:16" x14ac:dyDescent="0.3">
      <c r="A1540" s="24">
        <v>50</v>
      </c>
      <c r="B1540" s="102">
        <v>46108</v>
      </c>
      <c r="C1540" s="25" t="s">
        <v>356</v>
      </c>
      <c r="D1540" s="103" t="s">
        <v>125</v>
      </c>
      <c r="E1540" s="26">
        <v>108</v>
      </c>
      <c r="F1540" s="26" t="s">
        <v>293</v>
      </c>
      <c r="K1540" s="24">
        <v>50</v>
      </c>
      <c r="L1540" s="102">
        <v>46108</v>
      </c>
      <c r="M1540" s="25" t="s">
        <v>357</v>
      </c>
      <c r="N1540" s="103" t="s">
        <v>125</v>
      </c>
      <c r="O1540" s="26">
        <v>399</v>
      </c>
      <c r="P1540" s="26" t="s">
        <v>293</v>
      </c>
    </row>
    <row r="1541" spans="1:16" x14ac:dyDescent="0.3">
      <c r="A1541" s="24">
        <v>50</v>
      </c>
      <c r="B1541" s="102">
        <v>46108</v>
      </c>
      <c r="C1541" s="25" t="s">
        <v>356</v>
      </c>
      <c r="D1541" s="103" t="s">
        <v>126</v>
      </c>
      <c r="E1541" s="26">
        <v>80</v>
      </c>
      <c r="F1541" s="26" t="s">
        <v>293</v>
      </c>
      <c r="K1541" s="24">
        <v>50</v>
      </c>
      <c r="L1541" s="102">
        <v>46108</v>
      </c>
      <c r="M1541" s="25" t="s">
        <v>357</v>
      </c>
      <c r="N1541" s="103" t="s">
        <v>126</v>
      </c>
      <c r="O1541" s="26">
        <v>154</v>
      </c>
      <c r="P1541" s="26" t="s">
        <v>293</v>
      </c>
    </row>
    <row r="1542" spans="1:16" x14ac:dyDescent="0.3">
      <c r="A1542" s="24">
        <v>50</v>
      </c>
      <c r="B1542" s="102">
        <v>46108</v>
      </c>
      <c r="C1542" s="25" t="s">
        <v>356</v>
      </c>
      <c r="D1542" s="103" t="s">
        <v>349</v>
      </c>
      <c r="E1542" s="26">
        <v>165</v>
      </c>
      <c r="F1542" s="26" t="s">
        <v>293</v>
      </c>
      <c r="K1542" s="24">
        <v>50</v>
      </c>
      <c r="L1542" s="102">
        <v>46108</v>
      </c>
      <c r="M1542" s="25" t="s">
        <v>357</v>
      </c>
      <c r="N1542" s="103" t="s">
        <v>349</v>
      </c>
      <c r="O1542" s="26">
        <v>369</v>
      </c>
      <c r="P1542" s="26" t="s">
        <v>293</v>
      </c>
    </row>
    <row r="1543" spans="1:16" x14ac:dyDescent="0.3">
      <c r="A1543" s="24">
        <v>50</v>
      </c>
      <c r="B1543" s="102">
        <v>46108</v>
      </c>
      <c r="C1543" s="25" t="s">
        <v>356</v>
      </c>
      <c r="D1543" s="103" t="s">
        <v>350</v>
      </c>
      <c r="E1543" s="26">
        <v>60</v>
      </c>
      <c r="F1543" s="26" t="s">
        <v>293</v>
      </c>
      <c r="K1543" s="24">
        <v>50</v>
      </c>
      <c r="L1543" s="102">
        <v>46108</v>
      </c>
      <c r="M1543" s="25" t="s">
        <v>357</v>
      </c>
      <c r="N1543" s="103" t="s">
        <v>350</v>
      </c>
      <c r="O1543" s="26">
        <v>89</v>
      </c>
      <c r="P1543" s="26" t="s">
        <v>293</v>
      </c>
    </row>
    <row r="1544" spans="1:16" x14ac:dyDescent="0.3">
      <c r="A1544" s="24">
        <v>50</v>
      </c>
      <c r="B1544" s="102">
        <v>46108</v>
      </c>
      <c r="C1544" s="25" t="s">
        <v>356</v>
      </c>
      <c r="D1544" s="103" t="s">
        <v>122</v>
      </c>
      <c r="E1544" s="26">
        <v>48</v>
      </c>
      <c r="F1544" s="26" t="s">
        <v>293</v>
      </c>
      <c r="K1544" s="24">
        <v>50</v>
      </c>
      <c r="L1544" s="102">
        <v>46108</v>
      </c>
      <c r="M1544" s="25" t="s">
        <v>357</v>
      </c>
      <c r="N1544" s="103" t="s">
        <v>122</v>
      </c>
      <c r="O1544" s="26">
        <v>215</v>
      </c>
      <c r="P1544" s="26" t="s">
        <v>293</v>
      </c>
    </row>
    <row r="1545" spans="1:16" x14ac:dyDescent="0.3">
      <c r="A1545" s="24">
        <v>50</v>
      </c>
      <c r="B1545" s="102">
        <v>46108</v>
      </c>
      <c r="C1545" s="25" t="s">
        <v>356</v>
      </c>
      <c r="D1545" s="103" t="s">
        <v>124</v>
      </c>
      <c r="E1545" s="26">
        <v>32</v>
      </c>
      <c r="F1545" s="26" t="s">
        <v>293</v>
      </c>
      <c r="K1545" s="24">
        <v>50</v>
      </c>
      <c r="L1545" s="102">
        <v>46108</v>
      </c>
      <c r="M1545" s="25" t="s">
        <v>357</v>
      </c>
      <c r="N1545" s="103" t="s">
        <v>124</v>
      </c>
      <c r="O1545" s="26">
        <v>109</v>
      </c>
      <c r="P1545" s="26" t="s">
        <v>293</v>
      </c>
    </row>
    <row r="1546" spans="1:16" x14ac:dyDescent="0.3">
      <c r="A1546" s="24">
        <v>50</v>
      </c>
      <c r="B1546" s="102">
        <v>46108</v>
      </c>
      <c r="C1546" s="25" t="s">
        <v>356</v>
      </c>
      <c r="D1546" s="103" t="s">
        <v>351</v>
      </c>
      <c r="E1546" s="26">
        <v>1.01</v>
      </c>
      <c r="F1546" s="26" t="s">
        <v>293</v>
      </c>
      <c r="K1546" s="24">
        <v>50</v>
      </c>
      <c r="L1546" s="102">
        <v>46108</v>
      </c>
      <c r="M1546" s="25" t="s">
        <v>357</v>
      </c>
      <c r="N1546" s="103" t="s">
        <v>351</v>
      </c>
      <c r="O1546" s="26">
        <v>3.74</v>
      </c>
      <c r="P1546" s="26" t="s">
        <v>293</v>
      </c>
    </row>
    <row r="1547" spans="1:16" x14ac:dyDescent="0.3">
      <c r="A1547" s="24">
        <v>50</v>
      </c>
      <c r="B1547" s="102">
        <v>46108</v>
      </c>
      <c r="C1547" s="25" t="s">
        <v>356</v>
      </c>
      <c r="D1547" s="103" t="s">
        <v>353</v>
      </c>
      <c r="E1547" s="26">
        <v>35.6</v>
      </c>
      <c r="F1547" s="26" t="s">
        <v>293</v>
      </c>
      <c r="K1547" s="24">
        <v>50</v>
      </c>
      <c r="L1547" s="102">
        <v>46108</v>
      </c>
      <c r="M1547" s="25" t="s">
        <v>357</v>
      </c>
      <c r="N1547" s="103" t="s">
        <v>353</v>
      </c>
      <c r="O1547" s="26">
        <v>19</v>
      </c>
      <c r="P1547" s="26" t="s">
        <v>293</v>
      </c>
    </row>
    <row r="1548" spans="1:16" x14ac:dyDescent="0.3">
      <c r="A1548" s="24">
        <v>50</v>
      </c>
      <c r="B1548" s="102">
        <v>46108</v>
      </c>
      <c r="C1548" s="25" t="s">
        <v>356</v>
      </c>
      <c r="D1548" s="103" t="s">
        <v>133</v>
      </c>
      <c r="E1548" s="26">
        <v>146</v>
      </c>
      <c r="F1548" s="26" t="s">
        <v>293</v>
      </c>
      <c r="K1548" s="24">
        <v>50</v>
      </c>
      <c r="L1548" s="102">
        <v>46108</v>
      </c>
      <c r="M1548" s="25" t="s">
        <v>357</v>
      </c>
      <c r="N1548" s="103" t="s">
        <v>133</v>
      </c>
      <c r="O1548" s="26">
        <v>126</v>
      </c>
      <c r="P1548" s="26" t="s">
        <v>293</v>
      </c>
    </row>
    <row r="1549" spans="1:16" x14ac:dyDescent="0.3">
      <c r="A1549" s="24">
        <v>50</v>
      </c>
      <c r="B1549" s="102">
        <v>46108</v>
      </c>
      <c r="C1549" s="25" t="s">
        <v>356</v>
      </c>
      <c r="D1549" s="103" t="s">
        <v>135</v>
      </c>
      <c r="E1549" s="26">
        <v>3.8</v>
      </c>
      <c r="F1549" s="26" t="s">
        <v>293</v>
      </c>
      <c r="K1549" s="24">
        <v>50</v>
      </c>
      <c r="L1549" s="102">
        <v>46108</v>
      </c>
      <c r="M1549" s="25" t="s">
        <v>357</v>
      </c>
      <c r="N1549" s="103" t="s">
        <v>135</v>
      </c>
      <c r="O1549" s="26">
        <v>6.5</v>
      </c>
      <c r="P1549" s="26" t="s">
        <v>293</v>
      </c>
    </row>
    <row r="1550" spans="1:16" x14ac:dyDescent="0.3">
      <c r="A1550" s="24">
        <v>50</v>
      </c>
      <c r="B1550" s="102">
        <v>46108</v>
      </c>
      <c r="C1550" s="25" t="s">
        <v>356</v>
      </c>
      <c r="D1550" s="103" t="s">
        <v>136</v>
      </c>
      <c r="E1550" s="26">
        <v>120</v>
      </c>
      <c r="F1550" s="26" t="s">
        <v>293</v>
      </c>
      <c r="K1550" s="24">
        <v>50</v>
      </c>
      <c r="L1550" s="102">
        <v>46108</v>
      </c>
      <c r="M1550" s="25" t="s">
        <v>357</v>
      </c>
      <c r="N1550" s="103" t="s">
        <v>136</v>
      </c>
      <c r="O1550" s="26">
        <v>97</v>
      </c>
      <c r="P1550" s="26" t="s">
        <v>293</v>
      </c>
    </row>
    <row r="1551" spans="1:16" x14ac:dyDescent="0.3">
      <c r="A1551" s="24">
        <v>51</v>
      </c>
      <c r="B1551" s="102">
        <v>46111</v>
      </c>
      <c r="C1551" s="25" t="s">
        <v>356</v>
      </c>
      <c r="D1551" s="103" t="s">
        <v>339</v>
      </c>
      <c r="E1551" s="26">
        <v>4.63</v>
      </c>
      <c r="F1551" s="26" t="s">
        <v>293</v>
      </c>
      <c r="K1551" s="24">
        <v>51</v>
      </c>
      <c r="L1551" s="102">
        <v>46111</v>
      </c>
      <c r="M1551" s="25" t="s">
        <v>357</v>
      </c>
      <c r="N1551" s="103" t="s">
        <v>339</v>
      </c>
      <c r="O1551" s="26">
        <v>1.07</v>
      </c>
      <c r="P1551" s="26" t="s">
        <v>293</v>
      </c>
    </row>
    <row r="1552" spans="1:16" x14ac:dyDescent="0.3">
      <c r="A1552" s="24">
        <v>51</v>
      </c>
      <c r="B1552" s="102">
        <v>46111</v>
      </c>
      <c r="C1552" s="25" t="s">
        <v>356</v>
      </c>
      <c r="D1552" s="103" t="s">
        <v>118</v>
      </c>
      <c r="E1552" s="26">
        <v>4.5999999999999996</v>
      </c>
      <c r="F1552" s="26" t="s">
        <v>293</v>
      </c>
      <c r="K1552" s="24">
        <v>51</v>
      </c>
      <c r="L1552" s="102">
        <v>46111</v>
      </c>
      <c r="M1552" s="25" t="s">
        <v>357</v>
      </c>
      <c r="N1552" s="103" t="s">
        <v>118</v>
      </c>
      <c r="O1552" s="26">
        <v>9.3000000000000007</v>
      </c>
      <c r="P1552" s="26" t="s">
        <v>293</v>
      </c>
    </row>
    <row r="1553" spans="1:16" x14ac:dyDescent="0.3">
      <c r="A1553" s="24">
        <v>51</v>
      </c>
      <c r="B1553" s="102">
        <v>46111</v>
      </c>
      <c r="C1553" s="25" t="s">
        <v>356</v>
      </c>
      <c r="D1553" s="103" t="s">
        <v>130</v>
      </c>
      <c r="E1553" s="26">
        <v>3.82</v>
      </c>
      <c r="F1553" s="26" t="s">
        <v>293</v>
      </c>
      <c r="K1553" s="24">
        <v>51</v>
      </c>
      <c r="L1553" s="102">
        <v>46111</v>
      </c>
      <c r="M1553" s="25" t="s">
        <v>357</v>
      </c>
      <c r="N1553" s="103" t="s">
        <v>130</v>
      </c>
      <c r="O1553" s="26">
        <v>2.39</v>
      </c>
      <c r="P1553" s="26" t="s">
        <v>293</v>
      </c>
    </row>
    <row r="1554" spans="1:16" x14ac:dyDescent="0.3">
      <c r="A1554" s="24">
        <v>51</v>
      </c>
      <c r="B1554" s="102">
        <v>46111</v>
      </c>
      <c r="C1554" s="25" t="s">
        <v>356</v>
      </c>
      <c r="D1554" s="103" t="s">
        <v>341</v>
      </c>
      <c r="E1554" s="26">
        <v>0.28999999999999998</v>
      </c>
      <c r="F1554" s="26" t="s">
        <v>293</v>
      </c>
      <c r="K1554" s="24">
        <v>51</v>
      </c>
      <c r="L1554" s="102">
        <v>46111</v>
      </c>
      <c r="M1554" s="25" t="s">
        <v>357</v>
      </c>
      <c r="N1554" s="103" t="s">
        <v>341</v>
      </c>
      <c r="O1554" s="26">
        <v>1.1000000000000001</v>
      </c>
      <c r="P1554" s="26" t="s">
        <v>293</v>
      </c>
    </row>
    <row r="1555" spans="1:16" x14ac:dyDescent="0.3">
      <c r="A1555" s="24">
        <v>51</v>
      </c>
      <c r="B1555" s="102">
        <v>46111</v>
      </c>
      <c r="C1555" s="25" t="s">
        <v>356</v>
      </c>
      <c r="D1555" s="103" t="s">
        <v>127</v>
      </c>
      <c r="E1555" s="26">
        <v>1.1399999999999999</v>
      </c>
      <c r="F1555" s="26" t="s">
        <v>293</v>
      </c>
      <c r="K1555" s="24">
        <v>51</v>
      </c>
      <c r="L1555" s="102">
        <v>46111</v>
      </c>
      <c r="M1555" s="25" t="s">
        <v>357</v>
      </c>
      <c r="N1555" s="103" t="s">
        <v>127</v>
      </c>
      <c r="O1555" s="26">
        <v>4.5</v>
      </c>
      <c r="P1555" s="26" t="s">
        <v>293</v>
      </c>
    </row>
    <row r="1556" spans="1:16" x14ac:dyDescent="0.3">
      <c r="A1556" s="24">
        <v>51</v>
      </c>
      <c r="B1556" s="102">
        <v>46111</v>
      </c>
      <c r="C1556" s="25" t="s">
        <v>356</v>
      </c>
      <c r="D1556" s="103" t="s">
        <v>131</v>
      </c>
      <c r="E1556" s="26">
        <v>9</v>
      </c>
      <c r="F1556" s="26" t="s">
        <v>293</v>
      </c>
      <c r="K1556" s="24">
        <v>51</v>
      </c>
      <c r="L1556" s="102">
        <v>46111</v>
      </c>
      <c r="M1556" s="25" t="s">
        <v>357</v>
      </c>
      <c r="N1556" s="103" t="s">
        <v>131</v>
      </c>
      <c r="O1556" s="26">
        <v>12.3</v>
      </c>
      <c r="P1556" s="26" t="s">
        <v>293</v>
      </c>
    </row>
    <row r="1557" spans="1:16" x14ac:dyDescent="0.3">
      <c r="A1557" s="24">
        <v>51</v>
      </c>
      <c r="B1557" s="102">
        <v>46111</v>
      </c>
      <c r="C1557" s="25" t="s">
        <v>356</v>
      </c>
      <c r="D1557" s="103" t="s">
        <v>342</v>
      </c>
      <c r="E1557" s="26">
        <v>342</v>
      </c>
      <c r="F1557" s="26" t="s">
        <v>293</v>
      </c>
      <c r="K1557" s="24">
        <v>51</v>
      </c>
      <c r="L1557" s="102">
        <v>46111</v>
      </c>
      <c r="M1557" s="25" t="s">
        <v>357</v>
      </c>
      <c r="N1557" s="103" t="s">
        <v>342</v>
      </c>
      <c r="O1557" s="26">
        <v>201</v>
      </c>
      <c r="P1557" s="26" t="s">
        <v>293</v>
      </c>
    </row>
    <row r="1558" spans="1:16" x14ac:dyDescent="0.3">
      <c r="A1558" s="24">
        <v>51</v>
      </c>
      <c r="B1558" s="102">
        <v>46111</v>
      </c>
      <c r="C1558" s="25" t="s">
        <v>356</v>
      </c>
      <c r="D1558" s="103" t="s">
        <v>119</v>
      </c>
      <c r="E1558" s="26">
        <v>238</v>
      </c>
      <c r="F1558" s="26" t="s">
        <v>293</v>
      </c>
      <c r="K1558" s="24">
        <v>51</v>
      </c>
      <c r="L1558" s="102">
        <v>46111</v>
      </c>
      <c r="M1558" s="25" t="s">
        <v>357</v>
      </c>
      <c r="N1558" s="103" t="s">
        <v>119</v>
      </c>
      <c r="O1558" s="26">
        <v>89</v>
      </c>
      <c r="P1558" s="26" t="s">
        <v>293</v>
      </c>
    </row>
    <row r="1559" spans="1:16" x14ac:dyDescent="0.3">
      <c r="A1559" s="24">
        <v>51</v>
      </c>
      <c r="B1559" s="102">
        <v>46111</v>
      </c>
      <c r="C1559" s="25" t="s">
        <v>356</v>
      </c>
      <c r="D1559" s="103" t="s">
        <v>120</v>
      </c>
      <c r="E1559" s="26">
        <v>77</v>
      </c>
      <c r="F1559" s="26" t="s">
        <v>293</v>
      </c>
      <c r="K1559" s="24">
        <v>51</v>
      </c>
      <c r="L1559" s="102">
        <v>46111</v>
      </c>
      <c r="M1559" s="25" t="s">
        <v>357</v>
      </c>
      <c r="N1559" s="103" t="s">
        <v>120</v>
      </c>
      <c r="O1559" s="26">
        <v>27</v>
      </c>
      <c r="P1559" s="26" t="s">
        <v>293</v>
      </c>
    </row>
    <row r="1560" spans="1:16" x14ac:dyDescent="0.3">
      <c r="A1560" s="24">
        <v>51</v>
      </c>
      <c r="B1560" s="102">
        <v>46111</v>
      </c>
      <c r="C1560" s="25" t="s">
        <v>356</v>
      </c>
      <c r="D1560" s="103" t="s">
        <v>117</v>
      </c>
      <c r="E1560" s="26">
        <v>2.82</v>
      </c>
      <c r="F1560" s="26" t="s">
        <v>293</v>
      </c>
      <c r="K1560" s="24">
        <v>51</v>
      </c>
      <c r="L1560" s="102">
        <v>46111</v>
      </c>
      <c r="M1560" s="25" t="s">
        <v>357</v>
      </c>
      <c r="N1560" s="103" t="s">
        <v>117</v>
      </c>
      <c r="O1560" s="26">
        <v>6.31</v>
      </c>
      <c r="P1560" s="26" t="s">
        <v>293</v>
      </c>
    </row>
    <row r="1561" spans="1:16" x14ac:dyDescent="0.3">
      <c r="A1561" s="24">
        <v>51</v>
      </c>
      <c r="B1561" s="102">
        <v>46111</v>
      </c>
      <c r="C1561" s="25" t="s">
        <v>356</v>
      </c>
      <c r="D1561" s="103" t="s">
        <v>344</v>
      </c>
      <c r="E1561" s="26">
        <v>232</v>
      </c>
      <c r="F1561" s="26" t="s">
        <v>293</v>
      </c>
      <c r="K1561" s="24">
        <v>51</v>
      </c>
      <c r="L1561" s="102">
        <v>46111</v>
      </c>
      <c r="M1561" s="25" t="s">
        <v>357</v>
      </c>
      <c r="N1561" s="103" t="s">
        <v>344</v>
      </c>
      <c r="O1561" s="26">
        <v>69</v>
      </c>
      <c r="P1561" s="26" t="s">
        <v>293</v>
      </c>
    </row>
    <row r="1562" spans="1:16" x14ac:dyDescent="0.3">
      <c r="A1562" s="24">
        <v>51</v>
      </c>
      <c r="B1562" s="102">
        <v>46111</v>
      </c>
      <c r="C1562" s="25" t="s">
        <v>356</v>
      </c>
      <c r="D1562" s="103" t="s">
        <v>132</v>
      </c>
      <c r="E1562" s="26">
        <v>3.56</v>
      </c>
      <c r="F1562" s="26" t="s">
        <v>293</v>
      </c>
      <c r="K1562" s="24">
        <v>51</v>
      </c>
      <c r="L1562" s="102">
        <v>46111</v>
      </c>
      <c r="M1562" s="25" t="s">
        <v>357</v>
      </c>
      <c r="N1562" s="103" t="s">
        <v>132</v>
      </c>
      <c r="O1562" s="26">
        <v>7.11</v>
      </c>
      <c r="P1562" s="26" t="s">
        <v>293</v>
      </c>
    </row>
    <row r="1563" spans="1:16" x14ac:dyDescent="0.3">
      <c r="A1563" s="24">
        <v>51</v>
      </c>
      <c r="B1563" s="102">
        <v>46111</v>
      </c>
      <c r="C1563" s="25" t="s">
        <v>356</v>
      </c>
      <c r="D1563" s="103" t="s">
        <v>111</v>
      </c>
      <c r="E1563" s="26">
        <v>87</v>
      </c>
      <c r="F1563" s="26" t="s">
        <v>293</v>
      </c>
      <c r="K1563" s="24">
        <v>51</v>
      </c>
      <c r="L1563" s="102">
        <v>46111</v>
      </c>
      <c r="M1563" s="25" t="s">
        <v>357</v>
      </c>
      <c r="N1563" s="103" t="s">
        <v>111</v>
      </c>
      <c r="O1563" s="26">
        <v>280</v>
      </c>
      <c r="P1563" s="26" t="s">
        <v>293</v>
      </c>
    </row>
    <row r="1564" spans="1:16" x14ac:dyDescent="0.3">
      <c r="A1564" s="24">
        <v>51</v>
      </c>
      <c r="B1564" s="102">
        <v>46111</v>
      </c>
      <c r="C1564" s="25" t="s">
        <v>356</v>
      </c>
      <c r="D1564" s="103" t="s">
        <v>345</v>
      </c>
      <c r="E1564" s="26">
        <v>5.08</v>
      </c>
      <c r="F1564" s="26" t="s">
        <v>293</v>
      </c>
      <c r="K1564" s="24">
        <v>51</v>
      </c>
      <c r="L1564" s="102">
        <v>46111</v>
      </c>
      <c r="M1564" s="25" t="s">
        <v>357</v>
      </c>
      <c r="N1564" s="103" t="s">
        <v>345</v>
      </c>
      <c r="O1564" s="26">
        <v>9.91</v>
      </c>
      <c r="P1564" s="26" t="s">
        <v>293</v>
      </c>
    </row>
    <row r="1565" spans="1:16" x14ac:dyDescent="0.3">
      <c r="A1565" s="24">
        <v>51</v>
      </c>
      <c r="B1565" s="102">
        <v>46111</v>
      </c>
      <c r="C1565" s="25" t="s">
        <v>356</v>
      </c>
      <c r="D1565" s="103" t="s">
        <v>347</v>
      </c>
      <c r="E1565" s="26">
        <v>2.2200000000000002</v>
      </c>
      <c r="F1565" s="26" t="s">
        <v>293</v>
      </c>
      <c r="K1565" s="24">
        <v>51</v>
      </c>
      <c r="L1565" s="102">
        <v>46111</v>
      </c>
      <c r="M1565" s="25" t="s">
        <v>357</v>
      </c>
      <c r="N1565" s="103" t="s">
        <v>347</v>
      </c>
      <c r="O1565" s="26">
        <v>4.72</v>
      </c>
      <c r="P1565" s="26" t="s">
        <v>293</v>
      </c>
    </row>
    <row r="1566" spans="1:16" x14ac:dyDescent="0.3">
      <c r="A1566" s="24">
        <v>51</v>
      </c>
      <c r="B1566" s="102">
        <v>46111</v>
      </c>
      <c r="C1566" s="25" t="s">
        <v>356</v>
      </c>
      <c r="D1566" s="103" t="s">
        <v>128</v>
      </c>
      <c r="E1566" s="26">
        <v>6.7</v>
      </c>
      <c r="F1566" s="26" t="s">
        <v>293</v>
      </c>
      <c r="K1566" s="24">
        <v>51</v>
      </c>
      <c r="L1566" s="102">
        <v>46111</v>
      </c>
      <c r="M1566" s="25" t="s">
        <v>357</v>
      </c>
      <c r="N1566" s="103" t="s">
        <v>128</v>
      </c>
      <c r="O1566" s="26">
        <v>4.3</v>
      </c>
      <c r="P1566" s="26" t="s">
        <v>293</v>
      </c>
    </row>
    <row r="1567" spans="1:16" x14ac:dyDescent="0.3">
      <c r="A1567" s="24">
        <v>51</v>
      </c>
      <c r="B1567" s="102">
        <v>46111</v>
      </c>
      <c r="C1567" s="25" t="s">
        <v>356</v>
      </c>
      <c r="D1567" s="103" t="s">
        <v>121</v>
      </c>
      <c r="E1567" s="26">
        <v>158</v>
      </c>
      <c r="F1567" s="26" t="s">
        <v>293</v>
      </c>
      <c r="K1567" s="24">
        <v>51</v>
      </c>
      <c r="L1567" s="102">
        <v>46111</v>
      </c>
      <c r="M1567" s="25" t="s">
        <v>357</v>
      </c>
      <c r="N1567" s="103" t="s">
        <v>121</v>
      </c>
      <c r="O1567" s="26">
        <v>81</v>
      </c>
      <c r="P1567" s="26" t="s">
        <v>293</v>
      </c>
    </row>
    <row r="1568" spans="1:16" x14ac:dyDescent="0.3">
      <c r="A1568" s="24">
        <v>51</v>
      </c>
      <c r="B1568" s="102">
        <v>46111</v>
      </c>
      <c r="C1568" s="25" t="s">
        <v>356</v>
      </c>
      <c r="D1568" s="103" t="s">
        <v>115</v>
      </c>
      <c r="E1568" s="26">
        <v>34</v>
      </c>
      <c r="F1568" s="26" t="s">
        <v>293</v>
      </c>
      <c r="K1568" s="24">
        <v>51</v>
      </c>
      <c r="L1568" s="102">
        <v>46111</v>
      </c>
      <c r="M1568" s="25" t="s">
        <v>357</v>
      </c>
      <c r="N1568" s="103" t="s">
        <v>115</v>
      </c>
      <c r="O1568" s="26">
        <v>95</v>
      </c>
      <c r="P1568" s="26" t="s">
        <v>293</v>
      </c>
    </row>
    <row r="1569" spans="1:16" x14ac:dyDescent="0.3">
      <c r="A1569" s="24">
        <v>51</v>
      </c>
      <c r="B1569" s="102">
        <v>46111</v>
      </c>
      <c r="C1569" s="25" t="s">
        <v>356</v>
      </c>
      <c r="D1569" s="103" t="s">
        <v>137</v>
      </c>
      <c r="E1569" s="26">
        <v>75</v>
      </c>
      <c r="F1569" s="26" t="s">
        <v>293</v>
      </c>
      <c r="K1569" s="24">
        <v>51</v>
      </c>
      <c r="L1569" s="102">
        <v>46111</v>
      </c>
      <c r="M1569" s="25" t="s">
        <v>357</v>
      </c>
      <c r="N1569" s="103" t="s">
        <v>137</v>
      </c>
      <c r="O1569" s="26">
        <v>476</v>
      </c>
      <c r="P1569" s="26" t="s">
        <v>293</v>
      </c>
    </row>
    <row r="1570" spans="1:16" x14ac:dyDescent="0.3">
      <c r="A1570" s="24">
        <v>51</v>
      </c>
      <c r="B1570" s="102">
        <v>46111</v>
      </c>
      <c r="C1570" s="25" t="s">
        <v>356</v>
      </c>
      <c r="D1570" s="103" t="s">
        <v>348</v>
      </c>
      <c r="E1570" s="26">
        <v>142</v>
      </c>
      <c r="F1570" s="26" t="s">
        <v>293</v>
      </c>
      <c r="K1570" s="24">
        <v>51</v>
      </c>
      <c r="L1570" s="102">
        <v>46111</v>
      </c>
      <c r="M1570" s="25" t="s">
        <v>357</v>
      </c>
      <c r="N1570" s="103" t="s">
        <v>348</v>
      </c>
      <c r="O1570" s="26">
        <v>429</v>
      </c>
      <c r="P1570" s="26" t="s">
        <v>293</v>
      </c>
    </row>
    <row r="1571" spans="1:16" x14ac:dyDescent="0.3">
      <c r="A1571" s="24">
        <v>51</v>
      </c>
      <c r="B1571" s="102">
        <v>46111</v>
      </c>
      <c r="C1571" s="25" t="s">
        <v>356</v>
      </c>
      <c r="D1571" s="103" t="s">
        <v>125</v>
      </c>
      <c r="E1571" s="26">
        <v>114</v>
      </c>
      <c r="F1571" s="26" t="s">
        <v>293</v>
      </c>
      <c r="K1571" s="24">
        <v>51</v>
      </c>
      <c r="L1571" s="102">
        <v>46111</v>
      </c>
      <c r="M1571" s="25" t="s">
        <v>357</v>
      </c>
      <c r="N1571" s="103" t="s">
        <v>125</v>
      </c>
      <c r="O1571" s="26">
        <v>427</v>
      </c>
      <c r="P1571" s="26" t="s">
        <v>293</v>
      </c>
    </row>
    <row r="1572" spans="1:16" x14ac:dyDescent="0.3">
      <c r="A1572" s="24">
        <v>51</v>
      </c>
      <c r="B1572" s="102">
        <v>46111</v>
      </c>
      <c r="C1572" s="25" t="s">
        <v>356</v>
      </c>
      <c r="D1572" s="103" t="s">
        <v>126</v>
      </c>
      <c r="E1572" s="26">
        <v>78</v>
      </c>
      <c r="F1572" s="26" t="s">
        <v>293</v>
      </c>
      <c r="K1572" s="24">
        <v>51</v>
      </c>
      <c r="L1572" s="102">
        <v>46111</v>
      </c>
      <c r="M1572" s="25" t="s">
        <v>357</v>
      </c>
      <c r="N1572" s="103" t="s">
        <v>126</v>
      </c>
      <c r="O1572" s="26">
        <v>150</v>
      </c>
      <c r="P1572" s="26" t="s">
        <v>293</v>
      </c>
    </row>
    <row r="1573" spans="1:16" x14ac:dyDescent="0.3">
      <c r="A1573" s="24">
        <v>51</v>
      </c>
      <c r="B1573" s="102">
        <v>46111</v>
      </c>
      <c r="C1573" s="25" t="s">
        <v>356</v>
      </c>
      <c r="D1573" s="103" t="s">
        <v>349</v>
      </c>
      <c r="E1573" s="26">
        <v>167</v>
      </c>
      <c r="F1573" s="26" t="s">
        <v>293</v>
      </c>
      <c r="K1573" s="24">
        <v>51</v>
      </c>
      <c r="L1573" s="102">
        <v>46111</v>
      </c>
      <c r="M1573" s="25" t="s">
        <v>357</v>
      </c>
      <c r="N1573" s="103" t="s">
        <v>349</v>
      </c>
      <c r="O1573" s="26">
        <v>381</v>
      </c>
      <c r="P1573" s="26" t="s">
        <v>293</v>
      </c>
    </row>
    <row r="1574" spans="1:16" x14ac:dyDescent="0.3">
      <c r="A1574" s="24">
        <v>51</v>
      </c>
      <c r="B1574" s="102">
        <v>46111</v>
      </c>
      <c r="C1574" s="25" t="s">
        <v>356</v>
      </c>
      <c r="D1574" s="103" t="s">
        <v>350</v>
      </c>
      <c r="E1574" s="26">
        <v>61</v>
      </c>
      <c r="F1574" s="26" t="s">
        <v>293</v>
      </c>
      <c r="K1574" s="24">
        <v>51</v>
      </c>
      <c r="L1574" s="102">
        <v>46111</v>
      </c>
      <c r="M1574" s="25" t="s">
        <v>357</v>
      </c>
      <c r="N1574" s="103" t="s">
        <v>350</v>
      </c>
      <c r="O1574" s="26">
        <v>84</v>
      </c>
      <c r="P1574" s="26" t="s">
        <v>293</v>
      </c>
    </row>
    <row r="1575" spans="1:16" x14ac:dyDescent="0.3">
      <c r="A1575" s="24">
        <v>51</v>
      </c>
      <c r="B1575" s="102">
        <v>46111</v>
      </c>
      <c r="C1575" s="25" t="s">
        <v>356</v>
      </c>
      <c r="D1575" s="103" t="s">
        <v>122</v>
      </c>
      <c r="E1575" s="26">
        <v>46</v>
      </c>
      <c r="F1575" s="26" t="s">
        <v>293</v>
      </c>
      <c r="K1575" s="24">
        <v>51</v>
      </c>
      <c r="L1575" s="102">
        <v>46111</v>
      </c>
      <c r="M1575" s="25" t="s">
        <v>357</v>
      </c>
      <c r="N1575" s="103" t="s">
        <v>122</v>
      </c>
      <c r="O1575" s="26">
        <v>210</v>
      </c>
      <c r="P1575" s="26" t="s">
        <v>293</v>
      </c>
    </row>
    <row r="1576" spans="1:16" x14ac:dyDescent="0.3">
      <c r="A1576" s="24">
        <v>51</v>
      </c>
      <c r="B1576" s="102">
        <v>46111</v>
      </c>
      <c r="C1576" s="25" t="s">
        <v>356</v>
      </c>
      <c r="D1576" s="103" t="s">
        <v>124</v>
      </c>
      <c r="E1576" s="26">
        <v>31</v>
      </c>
      <c r="F1576" s="26" t="s">
        <v>293</v>
      </c>
      <c r="K1576" s="24">
        <v>51</v>
      </c>
      <c r="L1576" s="102">
        <v>46111</v>
      </c>
      <c r="M1576" s="25" t="s">
        <v>357</v>
      </c>
      <c r="N1576" s="103" t="s">
        <v>124</v>
      </c>
      <c r="O1576" s="26">
        <v>102</v>
      </c>
      <c r="P1576" s="26" t="s">
        <v>293</v>
      </c>
    </row>
    <row r="1577" spans="1:16" x14ac:dyDescent="0.3">
      <c r="A1577" s="24">
        <v>51</v>
      </c>
      <c r="B1577" s="102">
        <v>46111</v>
      </c>
      <c r="C1577" s="25" t="s">
        <v>356</v>
      </c>
      <c r="D1577" s="103" t="s">
        <v>351</v>
      </c>
      <c r="E1577" s="26">
        <v>0.94</v>
      </c>
      <c r="F1577" s="26" t="s">
        <v>293</v>
      </c>
      <c r="K1577" s="24">
        <v>51</v>
      </c>
      <c r="L1577" s="102">
        <v>46111</v>
      </c>
      <c r="M1577" s="25" t="s">
        <v>357</v>
      </c>
      <c r="N1577" s="103" t="s">
        <v>351</v>
      </c>
      <c r="O1577" s="26">
        <v>3.65</v>
      </c>
      <c r="P1577" s="26" t="s">
        <v>293</v>
      </c>
    </row>
    <row r="1578" spans="1:16" x14ac:dyDescent="0.3">
      <c r="A1578" s="24">
        <v>51</v>
      </c>
      <c r="B1578" s="102">
        <v>46111</v>
      </c>
      <c r="C1578" s="25" t="s">
        <v>356</v>
      </c>
      <c r="D1578" s="103" t="s">
        <v>353</v>
      </c>
      <c r="E1578" s="26">
        <v>34.799999999999997</v>
      </c>
      <c r="F1578" s="26" t="s">
        <v>293</v>
      </c>
      <c r="K1578" s="24">
        <v>51</v>
      </c>
      <c r="L1578" s="102">
        <v>46111</v>
      </c>
      <c r="M1578" s="25" t="s">
        <v>357</v>
      </c>
      <c r="N1578" s="103" t="s">
        <v>353</v>
      </c>
      <c r="O1578" s="26">
        <v>17.600000000000001</v>
      </c>
      <c r="P1578" s="26" t="s">
        <v>293</v>
      </c>
    </row>
    <row r="1579" spans="1:16" x14ac:dyDescent="0.3">
      <c r="A1579" s="24">
        <v>51</v>
      </c>
      <c r="B1579" s="102">
        <v>46111</v>
      </c>
      <c r="C1579" s="25" t="s">
        <v>356</v>
      </c>
      <c r="D1579" s="103" t="s">
        <v>133</v>
      </c>
      <c r="E1579" s="26">
        <v>149</v>
      </c>
      <c r="F1579" s="26" t="s">
        <v>293</v>
      </c>
      <c r="K1579" s="24">
        <v>51</v>
      </c>
      <c r="L1579" s="102">
        <v>46111</v>
      </c>
      <c r="M1579" s="25" t="s">
        <v>357</v>
      </c>
      <c r="N1579" s="103" t="s">
        <v>133</v>
      </c>
      <c r="O1579" s="26">
        <v>129</v>
      </c>
      <c r="P1579" s="26" t="s">
        <v>293</v>
      </c>
    </row>
    <row r="1580" spans="1:16" x14ac:dyDescent="0.3">
      <c r="A1580" s="24">
        <v>51</v>
      </c>
      <c r="B1580" s="102">
        <v>46111</v>
      </c>
      <c r="C1580" s="25" t="s">
        <v>356</v>
      </c>
      <c r="D1580" s="103" t="s">
        <v>135</v>
      </c>
      <c r="E1580" s="26">
        <v>3.9</v>
      </c>
      <c r="F1580" s="26" t="s">
        <v>293</v>
      </c>
      <c r="K1580" s="24">
        <v>51</v>
      </c>
      <c r="L1580" s="102">
        <v>46111</v>
      </c>
      <c r="M1580" s="25" t="s">
        <v>357</v>
      </c>
      <c r="N1580" s="103" t="s">
        <v>135</v>
      </c>
      <c r="O1580" s="26">
        <v>6.6</v>
      </c>
      <c r="P1580" s="26" t="s">
        <v>293</v>
      </c>
    </row>
    <row r="1581" spans="1:16" x14ac:dyDescent="0.3">
      <c r="A1581" s="24">
        <v>51</v>
      </c>
      <c r="B1581" s="102">
        <v>46111</v>
      </c>
      <c r="C1581" s="25" t="s">
        <v>356</v>
      </c>
      <c r="D1581" s="103" t="s">
        <v>136</v>
      </c>
      <c r="E1581" s="26">
        <v>118</v>
      </c>
      <c r="F1581" s="26" t="s">
        <v>293</v>
      </c>
      <c r="K1581" s="24">
        <v>51</v>
      </c>
      <c r="L1581" s="102">
        <v>46111</v>
      </c>
      <c r="M1581" s="25" t="s">
        <v>357</v>
      </c>
      <c r="N1581" s="103" t="s">
        <v>136</v>
      </c>
      <c r="O1581" s="26">
        <v>95</v>
      </c>
      <c r="P1581" s="26" t="s">
        <v>293</v>
      </c>
    </row>
    <row r="1582" spans="1:16" x14ac:dyDescent="0.3">
      <c r="A1582" s="24">
        <v>52</v>
      </c>
      <c r="B1582" s="102">
        <v>46112</v>
      </c>
      <c r="C1582" s="25" t="s">
        <v>356</v>
      </c>
      <c r="D1582" s="103" t="s">
        <v>339</v>
      </c>
      <c r="E1582" s="26">
        <v>4.62</v>
      </c>
      <c r="F1582" s="26" t="s">
        <v>293</v>
      </c>
      <c r="K1582" s="24">
        <v>52</v>
      </c>
      <c r="L1582" s="102">
        <v>46112</v>
      </c>
      <c r="M1582" s="25" t="s">
        <v>357</v>
      </c>
      <c r="N1582" s="103" t="s">
        <v>339</v>
      </c>
      <c r="O1582" s="26">
        <v>1.07</v>
      </c>
      <c r="P1582" s="26" t="s">
        <v>293</v>
      </c>
    </row>
    <row r="1583" spans="1:16" x14ac:dyDescent="0.3">
      <c r="A1583" s="24">
        <v>52</v>
      </c>
      <c r="B1583" s="102">
        <v>46112</v>
      </c>
      <c r="C1583" s="25" t="s">
        <v>356</v>
      </c>
      <c r="D1583" s="103" t="s">
        <v>118</v>
      </c>
      <c r="E1583" s="26">
        <v>4.7</v>
      </c>
      <c r="F1583" s="26" t="s">
        <v>293</v>
      </c>
      <c r="K1583" s="24">
        <v>52</v>
      </c>
      <c r="L1583" s="102">
        <v>46112</v>
      </c>
      <c r="M1583" s="25" t="s">
        <v>357</v>
      </c>
      <c r="N1583" s="103" t="s">
        <v>118</v>
      </c>
      <c r="O1583" s="26">
        <v>9.6</v>
      </c>
      <c r="P1583" s="26" t="s">
        <v>293</v>
      </c>
    </row>
    <row r="1584" spans="1:16" x14ac:dyDescent="0.3">
      <c r="A1584" s="24">
        <v>52</v>
      </c>
      <c r="B1584" s="102">
        <v>46112</v>
      </c>
      <c r="C1584" s="25" t="s">
        <v>356</v>
      </c>
      <c r="D1584" s="103" t="s">
        <v>130</v>
      </c>
      <c r="E1584" s="26">
        <v>3.93</v>
      </c>
      <c r="F1584" s="26" t="s">
        <v>293</v>
      </c>
      <c r="K1584" s="24">
        <v>52</v>
      </c>
      <c r="L1584" s="102">
        <v>46112</v>
      </c>
      <c r="M1584" s="25" t="s">
        <v>357</v>
      </c>
      <c r="N1584" s="103" t="s">
        <v>130</v>
      </c>
      <c r="O1584" s="26">
        <v>2.41</v>
      </c>
      <c r="P1584" s="26" t="s">
        <v>293</v>
      </c>
    </row>
    <row r="1585" spans="1:16" x14ac:dyDescent="0.3">
      <c r="A1585" s="24">
        <v>52</v>
      </c>
      <c r="B1585" s="102">
        <v>46112</v>
      </c>
      <c r="C1585" s="25" t="s">
        <v>356</v>
      </c>
      <c r="D1585" s="103" t="s">
        <v>341</v>
      </c>
      <c r="E1585" s="26">
        <v>0.30399999999999999</v>
      </c>
      <c r="F1585" s="26" t="s">
        <v>293</v>
      </c>
      <c r="K1585" s="24">
        <v>52</v>
      </c>
      <c r="L1585" s="102">
        <v>46112</v>
      </c>
      <c r="M1585" s="25" t="s">
        <v>357</v>
      </c>
      <c r="N1585" s="103" t="s">
        <v>341</v>
      </c>
      <c r="O1585" s="26">
        <v>1.1100000000000001</v>
      </c>
      <c r="P1585" s="26" t="s">
        <v>293</v>
      </c>
    </row>
    <row r="1586" spans="1:16" x14ac:dyDescent="0.3">
      <c r="A1586" s="24">
        <v>52</v>
      </c>
      <c r="B1586" s="102">
        <v>46112</v>
      </c>
      <c r="C1586" s="25" t="s">
        <v>356</v>
      </c>
      <c r="D1586" s="103" t="s">
        <v>127</v>
      </c>
      <c r="E1586" s="26">
        <v>1.18</v>
      </c>
      <c r="F1586" s="26" t="s">
        <v>293</v>
      </c>
      <c r="K1586" s="24">
        <v>52</v>
      </c>
      <c r="L1586" s="102">
        <v>46112</v>
      </c>
      <c r="M1586" s="25" t="s">
        <v>357</v>
      </c>
      <c r="N1586" s="103" t="s">
        <v>127</v>
      </c>
      <c r="O1586" s="26">
        <v>4.58</v>
      </c>
      <c r="P1586" s="26" t="s">
        <v>293</v>
      </c>
    </row>
    <row r="1587" spans="1:16" x14ac:dyDescent="0.3">
      <c r="A1587" s="24">
        <v>52</v>
      </c>
      <c r="B1587" s="102">
        <v>46112</v>
      </c>
      <c r="C1587" s="25" t="s">
        <v>356</v>
      </c>
      <c r="D1587" s="103" t="s">
        <v>131</v>
      </c>
      <c r="E1587" s="26">
        <v>8.6999999999999993</v>
      </c>
      <c r="F1587" s="26" t="s">
        <v>293</v>
      </c>
      <c r="K1587" s="24">
        <v>52</v>
      </c>
      <c r="L1587" s="102">
        <v>46112</v>
      </c>
      <c r="M1587" s="25" t="s">
        <v>357</v>
      </c>
      <c r="N1587" s="103" t="s">
        <v>131</v>
      </c>
      <c r="O1587" s="26">
        <v>11.9</v>
      </c>
      <c r="P1587" s="26" t="s">
        <v>293</v>
      </c>
    </row>
    <row r="1588" spans="1:16" x14ac:dyDescent="0.3">
      <c r="A1588" s="24">
        <v>52</v>
      </c>
      <c r="B1588" s="102">
        <v>46112</v>
      </c>
      <c r="C1588" s="25" t="s">
        <v>356</v>
      </c>
      <c r="D1588" s="103" t="s">
        <v>342</v>
      </c>
      <c r="E1588" s="26">
        <v>333</v>
      </c>
      <c r="F1588" s="26" t="s">
        <v>293</v>
      </c>
      <c r="K1588" s="24">
        <v>52</v>
      </c>
      <c r="L1588" s="102">
        <v>46112</v>
      </c>
      <c r="M1588" s="25" t="s">
        <v>357</v>
      </c>
      <c r="N1588" s="103" t="s">
        <v>342</v>
      </c>
      <c r="O1588" s="26">
        <v>205</v>
      </c>
      <c r="P1588" s="26" t="s">
        <v>293</v>
      </c>
    </row>
    <row r="1589" spans="1:16" x14ac:dyDescent="0.3">
      <c r="A1589" s="24">
        <v>52</v>
      </c>
      <c r="B1589" s="102">
        <v>46112</v>
      </c>
      <c r="C1589" s="25" t="s">
        <v>356</v>
      </c>
      <c r="D1589" s="103" t="s">
        <v>119</v>
      </c>
      <c r="E1589" s="26">
        <v>243</v>
      </c>
      <c r="F1589" s="26" t="s">
        <v>293</v>
      </c>
      <c r="K1589" s="24">
        <v>52</v>
      </c>
      <c r="L1589" s="102">
        <v>46112</v>
      </c>
      <c r="M1589" s="25" t="s">
        <v>357</v>
      </c>
      <c r="N1589" s="103" t="s">
        <v>119</v>
      </c>
      <c r="O1589" s="26">
        <v>90</v>
      </c>
      <c r="P1589" s="26" t="s">
        <v>293</v>
      </c>
    </row>
    <row r="1590" spans="1:16" x14ac:dyDescent="0.3">
      <c r="A1590" s="24">
        <v>52</v>
      </c>
      <c r="B1590" s="102">
        <v>46112</v>
      </c>
      <c r="C1590" s="25" t="s">
        <v>356</v>
      </c>
      <c r="D1590" s="103" t="s">
        <v>120</v>
      </c>
      <c r="E1590" s="26">
        <v>80</v>
      </c>
      <c r="F1590" s="26" t="s">
        <v>293</v>
      </c>
      <c r="K1590" s="24">
        <v>52</v>
      </c>
      <c r="L1590" s="102">
        <v>46112</v>
      </c>
      <c r="M1590" s="25" t="s">
        <v>357</v>
      </c>
      <c r="N1590" s="103" t="s">
        <v>120</v>
      </c>
      <c r="O1590" s="26">
        <v>27</v>
      </c>
      <c r="P1590" s="26" t="s">
        <v>293</v>
      </c>
    </row>
    <row r="1591" spans="1:16" x14ac:dyDescent="0.3">
      <c r="A1591" s="24">
        <v>52</v>
      </c>
      <c r="B1591" s="102">
        <v>46112</v>
      </c>
      <c r="C1591" s="25" t="s">
        <v>356</v>
      </c>
      <c r="D1591" s="103" t="s">
        <v>117</v>
      </c>
      <c r="E1591" s="26">
        <v>2.65</v>
      </c>
      <c r="F1591" s="26" t="s">
        <v>293</v>
      </c>
      <c r="K1591" s="24">
        <v>52</v>
      </c>
      <c r="L1591" s="102">
        <v>46112</v>
      </c>
      <c r="M1591" s="25" t="s">
        <v>357</v>
      </c>
      <c r="N1591" s="103" t="s">
        <v>117</v>
      </c>
      <c r="O1591" s="26">
        <v>6.17</v>
      </c>
      <c r="P1591" s="26" t="s">
        <v>293</v>
      </c>
    </row>
    <row r="1592" spans="1:16" x14ac:dyDescent="0.3">
      <c r="A1592" s="24">
        <v>52</v>
      </c>
      <c r="B1592" s="102">
        <v>46112</v>
      </c>
      <c r="C1592" s="25" t="s">
        <v>356</v>
      </c>
      <c r="D1592" s="103" t="s">
        <v>344</v>
      </c>
      <c r="E1592" s="26">
        <v>234</v>
      </c>
      <c r="F1592" s="26" t="s">
        <v>293</v>
      </c>
      <c r="K1592" s="24">
        <v>52</v>
      </c>
      <c r="L1592" s="102">
        <v>46112</v>
      </c>
      <c r="M1592" s="25" t="s">
        <v>357</v>
      </c>
      <c r="N1592" s="103" t="s">
        <v>344</v>
      </c>
      <c r="O1592" s="26">
        <v>70</v>
      </c>
      <c r="P1592" s="26" t="s">
        <v>293</v>
      </c>
    </row>
    <row r="1593" spans="1:16" x14ac:dyDescent="0.3">
      <c r="A1593" s="24">
        <v>52</v>
      </c>
      <c r="B1593" s="102">
        <v>46112</v>
      </c>
      <c r="C1593" s="25" t="s">
        <v>356</v>
      </c>
      <c r="D1593" s="103" t="s">
        <v>132</v>
      </c>
      <c r="E1593" s="26">
        <v>3.36</v>
      </c>
      <c r="F1593" s="26" t="s">
        <v>293</v>
      </c>
      <c r="K1593" s="24">
        <v>52</v>
      </c>
      <c r="L1593" s="102">
        <v>46112</v>
      </c>
      <c r="M1593" s="25" t="s">
        <v>357</v>
      </c>
      <c r="N1593" s="103" t="s">
        <v>132</v>
      </c>
      <c r="O1593" s="26">
        <v>7.25</v>
      </c>
      <c r="P1593" s="26" t="s">
        <v>293</v>
      </c>
    </row>
    <row r="1594" spans="1:16" x14ac:dyDescent="0.3">
      <c r="A1594" s="24">
        <v>52</v>
      </c>
      <c r="B1594" s="102">
        <v>46112</v>
      </c>
      <c r="C1594" s="25" t="s">
        <v>356</v>
      </c>
      <c r="D1594" s="103" t="s">
        <v>111</v>
      </c>
      <c r="E1594" s="26">
        <v>89</v>
      </c>
      <c r="F1594" s="26" t="s">
        <v>293</v>
      </c>
      <c r="K1594" s="24">
        <v>52</v>
      </c>
      <c r="L1594" s="102">
        <v>46112</v>
      </c>
      <c r="M1594" s="25" t="s">
        <v>357</v>
      </c>
      <c r="N1594" s="103" t="s">
        <v>111</v>
      </c>
      <c r="O1594" s="26">
        <v>285</v>
      </c>
      <c r="P1594" s="26" t="s">
        <v>293</v>
      </c>
    </row>
    <row r="1595" spans="1:16" x14ac:dyDescent="0.3">
      <c r="A1595" s="24">
        <v>52</v>
      </c>
      <c r="B1595" s="102">
        <v>46112</v>
      </c>
      <c r="C1595" s="25" t="s">
        <v>356</v>
      </c>
      <c r="D1595" s="103" t="s">
        <v>345</v>
      </c>
      <c r="E1595" s="26">
        <v>5.0999999999999996</v>
      </c>
      <c r="F1595" s="26" t="s">
        <v>293</v>
      </c>
      <c r="K1595" s="24">
        <v>52</v>
      </c>
      <c r="L1595" s="102">
        <v>46112</v>
      </c>
      <c r="M1595" s="25" t="s">
        <v>357</v>
      </c>
      <c r="N1595" s="103" t="s">
        <v>345</v>
      </c>
      <c r="O1595" s="26">
        <v>9.9600000000000009</v>
      </c>
      <c r="P1595" s="26" t="s">
        <v>293</v>
      </c>
    </row>
    <row r="1596" spans="1:16" x14ac:dyDescent="0.3">
      <c r="A1596" s="24">
        <v>52</v>
      </c>
      <c r="B1596" s="102">
        <v>46112</v>
      </c>
      <c r="C1596" s="25" t="s">
        <v>356</v>
      </c>
      <c r="D1596" s="103" t="s">
        <v>347</v>
      </c>
      <c r="E1596" s="26">
        <v>2.12</v>
      </c>
      <c r="F1596" s="26" t="s">
        <v>293</v>
      </c>
      <c r="K1596" s="24">
        <v>52</v>
      </c>
      <c r="L1596" s="102">
        <v>46112</v>
      </c>
      <c r="M1596" s="25" t="s">
        <v>357</v>
      </c>
      <c r="N1596" s="103" t="s">
        <v>347</v>
      </c>
      <c r="O1596" s="26">
        <v>4.8499999999999996</v>
      </c>
      <c r="P1596" s="26" t="s">
        <v>293</v>
      </c>
    </row>
    <row r="1597" spans="1:16" x14ac:dyDescent="0.3">
      <c r="A1597" s="24">
        <v>52</v>
      </c>
      <c r="B1597" s="102">
        <v>46112</v>
      </c>
      <c r="C1597" s="25" t="s">
        <v>356</v>
      </c>
      <c r="D1597" s="103" t="s">
        <v>128</v>
      </c>
      <c r="E1597" s="26">
        <v>6.8</v>
      </c>
      <c r="F1597" s="26" t="s">
        <v>293</v>
      </c>
      <c r="K1597" s="24">
        <v>52</v>
      </c>
      <c r="L1597" s="102">
        <v>46112</v>
      </c>
      <c r="M1597" s="25" t="s">
        <v>357</v>
      </c>
      <c r="N1597" s="103" t="s">
        <v>128</v>
      </c>
      <c r="O1597" s="26">
        <v>4.3</v>
      </c>
      <c r="P1597" s="26" t="s">
        <v>293</v>
      </c>
    </row>
    <row r="1598" spans="1:16" x14ac:dyDescent="0.3">
      <c r="A1598" s="24">
        <v>52</v>
      </c>
      <c r="B1598" s="102">
        <v>46112</v>
      </c>
      <c r="C1598" s="25" t="s">
        <v>356</v>
      </c>
      <c r="D1598" s="103" t="s">
        <v>121</v>
      </c>
      <c r="E1598" s="26">
        <v>160</v>
      </c>
      <c r="F1598" s="26" t="s">
        <v>293</v>
      </c>
      <c r="K1598" s="24">
        <v>52</v>
      </c>
      <c r="L1598" s="102">
        <v>46112</v>
      </c>
      <c r="M1598" s="25" t="s">
        <v>357</v>
      </c>
      <c r="N1598" s="103" t="s">
        <v>121</v>
      </c>
      <c r="O1598" s="26">
        <v>80</v>
      </c>
      <c r="P1598" s="26" t="s">
        <v>293</v>
      </c>
    </row>
    <row r="1599" spans="1:16" x14ac:dyDescent="0.3">
      <c r="A1599" s="24">
        <v>52</v>
      </c>
      <c r="B1599" s="102">
        <v>46112</v>
      </c>
      <c r="C1599" s="25" t="s">
        <v>356</v>
      </c>
      <c r="D1599" s="103" t="s">
        <v>115</v>
      </c>
      <c r="E1599" s="26">
        <v>34</v>
      </c>
      <c r="F1599" s="26" t="s">
        <v>293</v>
      </c>
      <c r="K1599" s="24">
        <v>52</v>
      </c>
      <c r="L1599" s="102">
        <v>46112</v>
      </c>
      <c r="M1599" s="25" t="s">
        <v>357</v>
      </c>
      <c r="N1599" s="103" t="s">
        <v>115</v>
      </c>
      <c r="O1599" s="26">
        <v>97</v>
      </c>
      <c r="P1599" s="26" t="s">
        <v>293</v>
      </c>
    </row>
    <row r="1600" spans="1:16" x14ac:dyDescent="0.3">
      <c r="A1600" s="24">
        <v>52</v>
      </c>
      <c r="B1600" s="102">
        <v>46112</v>
      </c>
      <c r="C1600" s="25" t="s">
        <v>356</v>
      </c>
      <c r="D1600" s="103" t="s">
        <v>137</v>
      </c>
      <c r="E1600" s="26">
        <v>76</v>
      </c>
      <c r="F1600" s="26" t="s">
        <v>293</v>
      </c>
      <c r="K1600" s="24">
        <v>52</v>
      </c>
      <c r="L1600" s="102">
        <v>46112</v>
      </c>
      <c r="M1600" s="25" t="s">
        <v>357</v>
      </c>
      <c r="N1600" s="103" t="s">
        <v>137</v>
      </c>
      <c r="O1600" s="26">
        <v>488</v>
      </c>
      <c r="P1600" s="26" t="s">
        <v>293</v>
      </c>
    </row>
    <row r="1601" spans="1:16" x14ac:dyDescent="0.3">
      <c r="A1601" s="24">
        <v>52</v>
      </c>
      <c r="B1601" s="102">
        <v>46112</v>
      </c>
      <c r="C1601" s="25" t="s">
        <v>356</v>
      </c>
      <c r="D1601" s="103" t="s">
        <v>348</v>
      </c>
      <c r="E1601" s="26">
        <v>143</v>
      </c>
      <c r="F1601" s="26" t="s">
        <v>293</v>
      </c>
      <c r="K1601" s="24">
        <v>52</v>
      </c>
      <c r="L1601" s="102">
        <v>46112</v>
      </c>
      <c r="M1601" s="25" t="s">
        <v>357</v>
      </c>
      <c r="N1601" s="103" t="s">
        <v>348</v>
      </c>
      <c r="O1601" s="26">
        <v>432</v>
      </c>
      <c r="P1601" s="26" t="s">
        <v>293</v>
      </c>
    </row>
    <row r="1602" spans="1:16" x14ac:dyDescent="0.3">
      <c r="A1602" s="24">
        <v>52</v>
      </c>
      <c r="B1602" s="102">
        <v>46112</v>
      </c>
      <c r="C1602" s="25" t="s">
        <v>356</v>
      </c>
      <c r="D1602" s="103" t="s">
        <v>125</v>
      </c>
      <c r="E1602" s="26">
        <v>109</v>
      </c>
      <c r="F1602" s="26" t="s">
        <v>293</v>
      </c>
      <c r="K1602" s="24">
        <v>52</v>
      </c>
      <c r="L1602" s="102">
        <v>46112</v>
      </c>
      <c r="M1602" s="25" t="s">
        <v>357</v>
      </c>
      <c r="N1602" s="103" t="s">
        <v>125</v>
      </c>
      <c r="O1602" s="26">
        <v>413</v>
      </c>
      <c r="P1602" s="26" t="s">
        <v>293</v>
      </c>
    </row>
    <row r="1603" spans="1:16" x14ac:dyDescent="0.3">
      <c r="A1603" s="24">
        <v>52</v>
      </c>
      <c r="B1603" s="102">
        <v>46112</v>
      </c>
      <c r="C1603" s="25" t="s">
        <v>356</v>
      </c>
      <c r="D1603" s="103" t="s">
        <v>126</v>
      </c>
      <c r="E1603" s="26">
        <v>79</v>
      </c>
      <c r="F1603" s="26" t="s">
        <v>293</v>
      </c>
      <c r="K1603" s="24">
        <v>52</v>
      </c>
      <c r="L1603" s="102">
        <v>46112</v>
      </c>
      <c r="M1603" s="25" t="s">
        <v>357</v>
      </c>
      <c r="N1603" s="103" t="s">
        <v>126</v>
      </c>
      <c r="O1603" s="26">
        <v>147</v>
      </c>
      <c r="P1603" s="26" t="s">
        <v>293</v>
      </c>
    </row>
    <row r="1604" spans="1:16" x14ac:dyDescent="0.3">
      <c r="A1604" s="24">
        <v>52</v>
      </c>
      <c r="B1604" s="102">
        <v>46112</v>
      </c>
      <c r="C1604" s="25" t="s">
        <v>356</v>
      </c>
      <c r="D1604" s="103" t="s">
        <v>349</v>
      </c>
      <c r="E1604" s="26">
        <v>169</v>
      </c>
      <c r="F1604" s="26" t="s">
        <v>293</v>
      </c>
      <c r="K1604" s="24">
        <v>52</v>
      </c>
      <c r="L1604" s="102">
        <v>46112</v>
      </c>
      <c r="M1604" s="25" t="s">
        <v>357</v>
      </c>
      <c r="N1604" s="103" t="s">
        <v>349</v>
      </c>
      <c r="O1604" s="26">
        <v>381</v>
      </c>
      <c r="P1604" s="26" t="s">
        <v>293</v>
      </c>
    </row>
    <row r="1605" spans="1:16" x14ac:dyDescent="0.3">
      <c r="A1605" s="24">
        <v>52</v>
      </c>
      <c r="B1605" s="102">
        <v>46112</v>
      </c>
      <c r="C1605" s="25" t="s">
        <v>356</v>
      </c>
      <c r="D1605" s="103" t="s">
        <v>350</v>
      </c>
      <c r="E1605" s="26">
        <v>62</v>
      </c>
      <c r="F1605" s="26" t="s">
        <v>293</v>
      </c>
      <c r="K1605" s="24">
        <v>52</v>
      </c>
      <c r="L1605" s="102">
        <v>46112</v>
      </c>
      <c r="M1605" s="25" t="s">
        <v>357</v>
      </c>
      <c r="N1605" s="103" t="s">
        <v>350</v>
      </c>
      <c r="O1605" s="26">
        <v>86</v>
      </c>
      <c r="P1605" s="26" t="s">
        <v>293</v>
      </c>
    </row>
    <row r="1606" spans="1:16" x14ac:dyDescent="0.3">
      <c r="A1606" s="24">
        <v>52</v>
      </c>
      <c r="B1606" s="102">
        <v>46112</v>
      </c>
      <c r="C1606" s="25" t="s">
        <v>356</v>
      </c>
      <c r="D1606" s="103" t="s">
        <v>122</v>
      </c>
      <c r="E1606" s="26">
        <v>46</v>
      </c>
      <c r="F1606" s="26" t="s">
        <v>293</v>
      </c>
      <c r="K1606" s="24">
        <v>52</v>
      </c>
      <c r="L1606" s="102">
        <v>46112</v>
      </c>
      <c r="M1606" s="25" t="s">
        <v>357</v>
      </c>
      <c r="N1606" s="103" t="s">
        <v>122</v>
      </c>
      <c r="O1606" s="26">
        <v>218</v>
      </c>
      <c r="P1606" s="26" t="s">
        <v>293</v>
      </c>
    </row>
    <row r="1607" spans="1:16" x14ac:dyDescent="0.3">
      <c r="A1607" s="24">
        <v>52</v>
      </c>
      <c r="B1607" s="102">
        <v>46112</v>
      </c>
      <c r="C1607" s="25" t="s">
        <v>356</v>
      </c>
      <c r="D1607" s="103" t="s">
        <v>124</v>
      </c>
      <c r="E1607" s="26">
        <v>32</v>
      </c>
      <c r="F1607" s="26" t="s">
        <v>293</v>
      </c>
      <c r="K1607" s="24">
        <v>52</v>
      </c>
      <c r="L1607" s="102">
        <v>46112</v>
      </c>
      <c r="M1607" s="25" t="s">
        <v>357</v>
      </c>
      <c r="N1607" s="103" t="s">
        <v>124</v>
      </c>
      <c r="O1607" s="26">
        <v>109</v>
      </c>
      <c r="P1607" s="26" t="s">
        <v>293</v>
      </c>
    </row>
    <row r="1608" spans="1:16" x14ac:dyDescent="0.3">
      <c r="A1608" s="24">
        <v>52</v>
      </c>
      <c r="B1608" s="102">
        <v>46112</v>
      </c>
      <c r="C1608" s="25" t="s">
        <v>356</v>
      </c>
      <c r="D1608" s="103" t="s">
        <v>351</v>
      </c>
      <c r="E1608" s="26">
        <v>0.98</v>
      </c>
      <c r="F1608" s="26" t="s">
        <v>293</v>
      </c>
      <c r="K1608" s="24">
        <v>52</v>
      </c>
      <c r="L1608" s="102">
        <v>46112</v>
      </c>
      <c r="M1608" s="25" t="s">
        <v>357</v>
      </c>
      <c r="N1608" s="103" t="s">
        <v>351</v>
      </c>
      <c r="O1608" s="26">
        <v>3.62</v>
      </c>
      <c r="P1608" s="26" t="s">
        <v>293</v>
      </c>
    </row>
    <row r="1609" spans="1:16" x14ac:dyDescent="0.3">
      <c r="A1609" s="24">
        <v>52</v>
      </c>
      <c r="B1609" s="102">
        <v>46112</v>
      </c>
      <c r="C1609" s="25" t="s">
        <v>356</v>
      </c>
      <c r="D1609" s="103" t="s">
        <v>353</v>
      </c>
      <c r="E1609" s="26">
        <v>39.799999999999997</v>
      </c>
      <c r="F1609" s="26" t="s">
        <v>293</v>
      </c>
      <c r="K1609" s="24">
        <v>52</v>
      </c>
      <c r="L1609" s="102">
        <v>46112</v>
      </c>
      <c r="M1609" s="25" t="s">
        <v>357</v>
      </c>
      <c r="N1609" s="103" t="s">
        <v>353</v>
      </c>
      <c r="O1609" s="26">
        <v>22.7</v>
      </c>
      <c r="P1609" s="26" t="s">
        <v>293</v>
      </c>
    </row>
    <row r="1610" spans="1:16" x14ac:dyDescent="0.3">
      <c r="A1610" s="24">
        <v>52</v>
      </c>
      <c r="B1610" s="102">
        <v>46112</v>
      </c>
      <c r="C1610" s="25" t="s">
        <v>356</v>
      </c>
      <c r="D1610" s="103" t="s">
        <v>133</v>
      </c>
      <c r="E1610" s="26">
        <v>146</v>
      </c>
      <c r="F1610" s="26" t="s">
        <v>293</v>
      </c>
      <c r="K1610" s="24">
        <v>52</v>
      </c>
      <c r="L1610" s="102">
        <v>46112</v>
      </c>
      <c r="M1610" s="25" t="s">
        <v>357</v>
      </c>
      <c r="N1610" s="103" t="s">
        <v>133</v>
      </c>
      <c r="O1610" s="26">
        <v>130</v>
      </c>
      <c r="P1610" s="26" t="s">
        <v>293</v>
      </c>
    </row>
    <row r="1611" spans="1:16" x14ac:dyDescent="0.3">
      <c r="A1611" s="24">
        <v>52</v>
      </c>
      <c r="B1611" s="102">
        <v>46112</v>
      </c>
      <c r="C1611" s="25" t="s">
        <v>356</v>
      </c>
      <c r="D1611" s="103" t="s">
        <v>135</v>
      </c>
      <c r="E1611" s="26">
        <v>3.9</v>
      </c>
      <c r="F1611" s="26" t="s">
        <v>293</v>
      </c>
      <c r="K1611" s="24">
        <v>52</v>
      </c>
      <c r="L1611" s="102">
        <v>46112</v>
      </c>
      <c r="M1611" s="25" t="s">
        <v>357</v>
      </c>
      <c r="N1611" s="103" t="s">
        <v>135</v>
      </c>
      <c r="O1611" s="26">
        <v>6.6</v>
      </c>
      <c r="P1611" s="26" t="s">
        <v>293</v>
      </c>
    </row>
    <row r="1612" spans="1:16" x14ac:dyDescent="0.3">
      <c r="A1612" s="24">
        <v>52</v>
      </c>
      <c r="B1612" s="102">
        <v>46112</v>
      </c>
      <c r="C1612" s="25" t="s">
        <v>356</v>
      </c>
      <c r="D1612" s="103" t="s">
        <v>136</v>
      </c>
      <c r="E1612" s="26">
        <v>116</v>
      </c>
      <c r="F1612" s="26" t="s">
        <v>293</v>
      </c>
      <c r="K1612" s="24">
        <v>52</v>
      </c>
      <c r="L1612" s="102">
        <v>46112</v>
      </c>
      <c r="M1612" s="25" t="s">
        <v>357</v>
      </c>
      <c r="N1612" s="103" t="s">
        <v>136</v>
      </c>
      <c r="O1612" s="26">
        <v>96</v>
      </c>
      <c r="P1612" s="26" t="s">
        <v>293</v>
      </c>
    </row>
    <row r="1613" spans="1:16" x14ac:dyDescent="0.3">
      <c r="A1613" s="24">
        <v>53</v>
      </c>
      <c r="B1613" s="102">
        <v>46113</v>
      </c>
      <c r="C1613" s="25" t="s">
        <v>356</v>
      </c>
      <c r="D1613" s="103" t="s">
        <v>339</v>
      </c>
      <c r="E1613" s="26">
        <v>4.7</v>
      </c>
      <c r="F1613" s="26" t="s">
        <v>293</v>
      </c>
      <c r="K1613" s="24">
        <v>53</v>
      </c>
      <c r="L1613" s="102">
        <v>46113</v>
      </c>
      <c r="M1613" s="25" t="s">
        <v>357</v>
      </c>
      <c r="N1613" s="103" t="s">
        <v>339</v>
      </c>
      <c r="O1613" s="26">
        <v>1.1599999999999999</v>
      </c>
      <c r="P1613" s="26" t="s">
        <v>293</v>
      </c>
    </row>
    <row r="1614" spans="1:16" x14ac:dyDescent="0.3">
      <c r="A1614" s="24">
        <v>53</v>
      </c>
      <c r="B1614" s="102">
        <v>46113</v>
      </c>
      <c r="C1614" s="25" t="s">
        <v>356</v>
      </c>
      <c r="D1614" s="103" t="s">
        <v>118</v>
      </c>
      <c r="E1614" s="26">
        <v>4.7</v>
      </c>
      <c r="F1614" s="26" t="s">
        <v>293</v>
      </c>
      <c r="K1614" s="24">
        <v>53</v>
      </c>
      <c r="L1614" s="102">
        <v>46113</v>
      </c>
      <c r="M1614" s="25" t="s">
        <v>357</v>
      </c>
      <c r="N1614" s="103" t="s">
        <v>118</v>
      </c>
      <c r="O1614" s="26">
        <v>9.8000000000000007</v>
      </c>
      <c r="P1614" s="26" t="s">
        <v>293</v>
      </c>
    </row>
    <row r="1615" spans="1:16" x14ac:dyDescent="0.3">
      <c r="A1615" s="24">
        <v>53</v>
      </c>
      <c r="B1615" s="102">
        <v>46113</v>
      </c>
      <c r="C1615" s="25" t="s">
        <v>356</v>
      </c>
      <c r="D1615" s="103" t="s">
        <v>130</v>
      </c>
      <c r="E1615" s="26">
        <v>3.75</v>
      </c>
      <c r="F1615" s="26" t="s">
        <v>293</v>
      </c>
      <c r="K1615" s="24">
        <v>53</v>
      </c>
      <c r="L1615" s="102">
        <v>46113</v>
      </c>
      <c r="M1615" s="25" t="s">
        <v>357</v>
      </c>
      <c r="N1615" s="103" t="s">
        <v>130</v>
      </c>
      <c r="O1615" s="26">
        <v>2.4</v>
      </c>
      <c r="P1615" s="26" t="s">
        <v>293</v>
      </c>
    </row>
    <row r="1616" spans="1:16" x14ac:dyDescent="0.3">
      <c r="A1616" s="24">
        <v>53</v>
      </c>
      <c r="B1616" s="102">
        <v>46113</v>
      </c>
      <c r="C1616" s="25" t="s">
        <v>356</v>
      </c>
      <c r="D1616" s="103" t="s">
        <v>341</v>
      </c>
      <c r="E1616" s="26">
        <v>0.29799999999999999</v>
      </c>
      <c r="F1616" s="26" t="s">
        <v>293</v>
      </c>
      <c r="K1616" s="24">
        <v>53</v>
      </c>
      <c r="L1616" s="102">
        <v>46113</v>
      </c>
      <c r="M1616" s="25" t="s">
        <v>357</v>
      </c>
      <c r="N1616" s="103" t="s">
        <v>341</v>
      </c>
      <c r="O1616" s="26">
        <v>1.105</v>
      </c>
      <c r="P1616" s="26" t="s">
        <v>293</v>
      </c>
    </row>
    <row r="1617" spans="1:16" x14ac:dyDescent="0.3">
      <c r="A1617" s="24">
        <v>53</v>
      </c>
      <c r="B1617" s="102">
        <v>46113</v>
      </c>
      <c r="C1617" s="25" t="s">
        <v>356</v>
      </c>
      <c r="D1617" s="103" t="s">
        <v>127</v>
      </c>
      <c r="E1617" s="26">
        <v>1.1379999999999999</v>
      </c>
      <c r="F1617" s="26" t="s">
        <v>293</v>
      </c>
      <c r="K1617" s="24">
        <v>53</v>
      </c>
      <c r="L1617" s="102">
        <v>46113</v>
      </c>
      <c r="M1617" s="25" t="s">
        <v>357</v>
      </c>
      <c r="N1617" s="103" t="s">
        <v>127</v>
      </c>
      <c r="O1617" s="26">
        <v>4.6150000000000002</v>
      </c>
      <c r="P1617" s="26" t="s">
        <v>293</v>
      </c>
    </row>
    <row r="1618" spans="1:16" x14ac:dyDescent="0.3">
      <c r="A1618" s="24">
        <v>53</v>
      </c>
      <c r="B1618" s="102">
        <v>46113</v>
      </c>
      <c r="C1618" s="25" t="s">
        <v>356</v>
      </c>
      <c r="D1618" s="103" t="s">
        <v>131</v>
      </c>
      <c r="E1618" s="26">
        <v>9</v>
      </c>
      <c r="F1618" s="26" t="s">
        <v>293</v>
      </c>
      <c r="K1618" s="24">
        <v>53</v>
      </c>
      <c r="L1618" s="102">
        <v>46113</v>
      </c>
      <c r="M1618" s="25" t="s">
        <v>357</v>
      </c>
      <c r="N1618" s="103" t="s">
        <v>131</v>
      </c>
      <c r="O1618" s="26">
        <v>12.4</v>
      </c>
      <c r="P1618" s="26" t="s">
        <v>293</v>
      </c>
    </row>
    <row r="1619" spans="1:16" x14ac:dyDescent="0.3">
      <c r="A1619" s="24">
        <v>53</v>
      </c>
      <c r="B1619" s="102">
        <v>46113</v>
      </c>
      <c r="C1619" s="25" t="s">
        <v>356</v>
      </c>
      <c r="D1619" s="103" t="s">
        <v>342</v>
      </c>
      <c r="E1619" s="26">
        <v>335</v>
      </c>
      <c r="F1619" s="26" t="s">
        <v>293</v>
      </c>
      <c r="K1619" s="24">
        <v>53</v>
      </c>
      <c r="L1619" s="102">
        <v>46113</v>
      </c>
      <c r="M1619" s="25" t="s">
        <v>357</v>
      </c>
      <c r="N1619" s="103" t="s">
        <v>342</v>
      </c>
      <c r="O1619" s="26">
        <v>203</v>
      </c>
      <c r="P1619" s="26" t="s">
        <v>293</v>
      </c>
    </row>
    <row r="1620" spans="1:16" x14ac:dyDescent="0.3">
      <c r="A1620" s="24">
        <v>53</v>
      </c>
      <c r="B1620" s="102">
        <v>46113</v>
      </c>
      <c r="C1620" s="25" t="s">
        <v>356</v>
      </c>
      <c r="D1620" s="103" t="s">
        <v>119</v>
      </c>
      <c r="E1620" s="26">
        <v>239</v>
      </c>
      <c r="F1620" s="26" t="s">
        <v>293</v>
      </c>
      <c r="K1620" s="24">
        <v>53</v>
      </c>
      <c r="L1620" s="102">
        <v>46113</v>
      </c>
      <c r="M1620" s="25" t="s">
        <v>357</v>
      </c>
      <c r="N1620" s="103" t="s">
        <v>119</v>
      </c>
      <c r="O1620" s="26">
        <v>91</v>
      </c>
      <c r="P1620" s="26" t="s">
        <v>293</v>
      </c>
    </row>
    <row r="1621" spans="1:16" x14ac:dyDescent="0.3">
      <c r="A1621" s="24">
        <v>53</v>
      </c>
      <c r="B1621" s="102">
        <v>46113</v>
      </c>
      <c r="C1621" s="25" t="s">
        <v>356</v>
      </c>
      <c r="D1621" s="103" t="s">
        <v>120</v>
      </c>
      <c r="E1621" s="26">
        <v>78</v>
      </c>
      <c r="F1621" s="26" t="s">
        <v>293</v>
      </c>
      <c r="K1621" s="24">
        <v>53</v>
      </c>
      <c r="L1621" s="102">
        <v>46113</v>
      </c>
      <c r="M1621" s="25" t="s">
        <v>357</v>
      </c>
      <c r="N1621" s="103" t="s">
        <v>120</v>
      </c>
      <c r="O1621" s="26">
        <v>26</v>
      </c>
      <c r="P1621" s="26" t="s">
        <v>293</v>
      </c>
    </row>
    <row r="1622" spans="1:16" x14ac:dyDescent="0.3">
      <c r="A1622" s="24">
        <v>53</v>
      </c>
      <c r="B1622" s="102">
        <v>46113</v>
      </c>
      <c r="C1622" s="25" t="s">
        <v>356</v>
      </c>
      <c r="D1622" s="103" t="s">
        <v>117</v>
      </c>
      <c r="E1622" s="26">
        <v>2.64</v>
      </c>
      <c r="F1622" s="26" t="s">
        <v>293</v>
      </c>
      <c r="K1622" s="24">
        <v>53</v>
      </c>
      <c r="L1622" s="102">
        <v>46113</v>
      </c>
      <c r="M1622" s="25" t="s">
        <v>357</v>
      </c>
      <c r="N1622" s="103" t="s">
        <v>117</v>
      </c>
      <c r="O1622" s="26">
        <v>6.21</v>
      </c>
      <c r="P1622" s="26" t="s">
        <v>293</v>
      </c>
    </row>
    <row r="1623" spans="1:16" x14ac:dyDescent="0.3">
      <c r="A1623" s="24">
        <v>53</v>
      </c>
      <c r="B1623" s="102">
        <v>46113</v>
      </c>
      <c r="C1623" s="25" t="s">
        <v>356</v>
      </c>
      <c r="D1623" s="103" t="s">
        <v>344</v>
      </c>
      <c r="E1623" s="26">
        <v>236</v>
      </c>
      <c r="F1623" s="26" t="s">
        <v>293</v>
      </c>
      <c r="K1623" s="24">
        <v>53</v>
      </c>
      <c r="L1623" s="102">
        <v>46113</v>
      </c>
      <c r="M1623" s="25" t="s">
        <v>357</v>
      </c>
      <c r="N1623" s="103" t="s">
        <v>344</v>
      </c>
      <c r="O1623" s="26">
        <v>70</v>
      </c>
      <c r="P1623" s="26" t="s">
        <v>293</v>
      </c>
    </row>
    <row r="1624" spans="1:16" x14ac:dyDescent="0.3">
      <c r="A1624" s="24">
        <v>53</v>
      </c>
      <c r="B1624" s="102">
        <v>46113</v>
      </c>
      <c r="C1624" s="25" t="s">
        <v>356</v>
      </c>
      <c r="D1624" s="103" t="s">
        <v>132</v>
      </c>
      <c r="E1624" s="26">
        <v>3.53</v>
      </c>
      <c r="F1624" s="26" t="s">
        <v>293</v>
      </c>
      <c r="K1624" s="24">
        <v>53</v>
      </c>
      <c r="L1624" s="102">
        <v>46113</v>
      </c>
      <c r="M1624" s="25" t="s">
        <v>357</v>
      </c>
      <c r="N1624" s="103" t="s">
        <v>132</v>
      </c>
      <c r="O1624" s="26">
        <v>7.27</v>
      </c>
      <c r="P1624" s="26" t="s">
        <v>293</v>
      </c>
    </row>
    <row r="1625" spans="1:16" x14ac:dyDescent="0.3">
      <c r="A1625" s="24">
        <v>53</v>
      </c>
      <c r="B1625" s="102">
        <v>46113</v>
      </c>
      <c r="C1625" s="25" t="s">
        <v>356</v>
      </c>
      <c r="D1625" s="103" t="s">
        <v>111</v>
      </c>
      <c r="E1625" s="26">
        <v>90</v>
      </c>
      <c r="F1625" s="26" t="s">
        <v>293</v>
      </c>
      <c r="K1625" s="24">
        <v>53</v>
      </c>
      <c r="L1625" s="102">
        <v>46113</v>
      </c>
      <c r="M1625" s="25" t="s">
        <v>357</v>
      </c>
      <c r="N1625" s="103" t="s">
        <v>111</v>
      </c>
      <c r="O1625" s="26">
        <v>286</v>
      </c>
      <c r="P1625" s="26" t="s">
        <v>293</v>
      </c>
    </row>
    <row r="1626" spans="1:16" x14ac:dyDescent="0.3">
      <c r="A1626" s="24">
        <v>53</v>
      </c>
      <c r="B1626" s="102">
        <v>46113</v>
      </c>
      <c r="C1626" s="25" t="s">
        <v>356</v>
      </c>
      <c r="D1626" s="103" t="s">
        <v>345</v>
      </c>
      <c r="E1626" s="26">
        <v>4.9000000000000004</v>
      </c>
      <c r="F1626" s="26" t="s">
        <v>293</v>
      </c>
      <c r="K1626" s="24">
        <v>53</v>
      </c>
      <c r="L1626" s="102">
        <v>46113</v>
      </c>
      <c r="M1626" s="25" t="s">
        <v>357</v>
      </c>
      <c r="N1626" s="103" t="s">
        <v>345</v>
      </c>
      <c r="O1626" s="26">
        <v>9.84</v>
      </c>
      <c r="P1626" s="26" t="s">
        <v>293</v>
      </c>
    </row>
    <row r="1627" spans="1:16" x14ac:dyDescent="0.3">
      <c r="A1627" s="24">
        <v>53</v>
      </c>
      <c r="B1627" s="102">
        <v>46113</v>
      </c>
      <c r="C1627" s="25" t="s">
        <v>356</v>
      </c>
      <c r="D1627" s="103" t="s">
        <v>347</v>
      </c>
      <c r="E1627" s="26">
        <v>2.1</v>
      </c>
      <c r="F1627" s="26" t="s">
        <v>293</v>
      </c>
      <c r="K1627" s="24">
        <v>53</v>
      </c>
      <c r="L1627" s="102">
        <v>46113</v>
      </c>
      <c r="M1627" s="25" t="s">
        <v>357</v>
      </c>
      <c r="N1627" s="103" t="s">
        <v>347</v>
      </c>
      <c r="O1627" s="26">
        <v>4.83</v>
      </c>
      <c r="P1627" s="26" t="s">
        <v>293</v>
      </c>
    </row>
    <row r="1628" spans="1:16" x14ac:dyDescent="0.3">
      <c r="A1628" s="24">
        <v>53</v>
      </c>
      <c r="B1628" s="102">
        <v>46113</v>
      </c>
      <c r="C1628" s="25" t="s">
        <v>356</v>
      </c>
      <c r="D1628" s="103" t="s">
        <v>128</v>
      </c>
      <c r="E1628" s="26">
        <v>6.7</v>
      </c>
      <c r="F1628" s="26" t="s">
        <v>293</v>
      </c>
      <c r="K1628" s="24">
        <v>53</v>
      </c>
      <c r="L1628" s="102">
        <v>46113</v>
      </c>
      <c r="M1628" s="25" t="s">
        <v>357</v>
      </c>
      <c r="N1628" s="103" t="s">
        <v>128</v>
      </c>
      <c r="O1628" s="26">
        <v>4.3</v>
      </c>
      <c r="P1628" s="26" t="s">
        <v>293</v>
      </c>
    </row>
    <row r="1629" spans="1:16" x14ac:dyDescent="0.3">
      <c r="A1629" s="24">
        <v>53</v>
      </c>
      <c r="B1629" s="102">
        <v>46113</v>
      </c>
      <c r="C1629" s="25" t="s">
        <v>356</v>
      </c>
      <c r="D1629" s="103" t="s">
        <v>121</v>
      </c>
      <c r="E1629" s="26">
        <v>165</v>
      </c>
      <c r="F1629" s="26" t="s">
        <v>293</v>
      </c>
      <c r="K1629" s="24">
        <v>53</v>
      </c>
      <c r="L1629" s="102">
        <v>46113</v>
      </c>
      <c r="M1629" s="25" t="s">
        <v>357</v>
      </c>
      <c r="N1629" s="103" t="s">
        <v>121</v>
      </c>
      <c r="O1629" s="26">
        <v>80</v>
      </c>
      <c r="P1629" s="26" t="s">
        <v>293</v>
      </c>
    </row>
    <row r="1630" spans="1:16" x14ac:dyDescent="0.3">
      <c r="A1630" s="24">
        <v>53</v>
      </c>
      <c r="B1630" s="102">
        <v>46113</v>
      </c>
      <c r="C1630" s="25" t="s">
        <v>356</v>
      </c>
      <c r="D1630" s="103" t="s">
        <v>115</v>
      </c>
      <c r="E1630" s="26">
        <v>34</v>
      </c>
      <c r="F1630" s="26" t="s">
        <v>293</v>
      </c>
      <c r="K1630" s="24">
        <v>53</v>
      </c>
      <c r="L1630" s="102">
        <v>46113</v>
      </c>
      <c r="M1630" s="25" t="s">
        <v>357</v>
      </c>
      <c r="N1630" s="103" t="s">
        <v>115</v>
      </c>
      <c r="O1630" s="26">
        <v>97</v>
      </c>
      <c r="P1630" s="26" t="s">
        <v>293</v>
      </c>
    </row>
    <row r="1631" spans="1:16" x14ac:dyDescent="0.3">
      <c r="A1631" s="24">
        <v>53</v>
      </c>
      <c r="B1631" s="102">
        <v>46113</v>
      </c>
      <c r="C1631" s="25" t="s">
        <v>356</v>
      </c>
      <c r="D1631" s="103" t="s">
        <v>137</v>
      </c>
      <c r="E1631" s="26">
        <v>76</v>
      </c>
      <c r="F1631" s="26" t="s">
        <v>293</v>
      </c>
      <c r="K1631" s="24">
        <v>53</v>
      </c>
      <c r="L1631" s="102">
        <v>46113</v>
      </c>
      <c r="M1631" s="25" t="s">
        <v>357</v>
      </c>
      <c r="N1631" s="103" t="s">
        <v>137</v>
      </c>
      <c r="O1631" s="26">
        <v>488</v>
      </c>
      <c r="P1631" s="26" t="s">
        <v>293</v>
      </c>
    </row>
    <row r="1632" spans="1:16" x14ac:dyDescent="0.3">
      <c r="A1632" s="24">
        <v>53</v>
      </c>
      <c r="B1632" s="102">
        <v>46113</v>
      </c>
      <c r="C1632" s="25" t="s">
        <v>356</v>
      </c>
      <c r="D1632" s="103" t="s">
        <v>348</v>
      </c>
      <c r="E1632" s="26">
        <v>144</v>
      </c>
      <c r="F1632" s="26" t="s">
        <v>293</v>
      </c>
      <c r="K1632" s="24">
        <v>53</v>
      </c>
      <c r="L1632" s="102">
        <v>46113</v>
      </c>
      <c r="M1632" s="25" t="s">
        <v>357</v>
      </c>
      <c r="N1632" s="103" t="s">
        <v>348</v>
      </c>
      <c r="O1632" s="26">
        <v>437</v>
      </c>
      <c r="P1632" s="26" t="s">
        <v>293</v>
      </c>
    </row>
    <row r="1633" spans="1:16" x14ac:dyDescent="0.3">
      <c r="A1633" s="24">
        <v>53</v>
      </c>
      <c r="B1633" s="102">
        <v>46113</v>
      </c>
      <c r="C1633" s="25" t="s">
        <v>356</v>
      </c>
      <c r="D1633" s="103" t="s">
        <v>125</v>
      </c>
      <c r="E1633" s="26">
        <v>113</v>
      </c>
      <c r="F1633" s="26" t="s">
        <v>293</v>
      </c>
      <c r="K1633" s="24">
        <v>53</v>
      </c>
      <c r="L1633" s="102">
        <v>46113</v>
      </c>
      <c r="M1633" s="25" t="s">
        <v>357</v>
      </c>
      <c r="N1633" s="103" t="s">
        <v>125</v>
      </c>
      <c r="O1633" s="26">
        <v>431</v>
      </c>
      <c r="P1633" s="26" t="s">
        <v>293</v>
      </c>
    </row>
    <row r="1634" spans="1:16" x14ac:dyDescent="0.3">
      <c r="A1634" s="24">
        <v>53</v>
      </c>
      <c r="B1634" s="102">
        <v>46113</v>
      </c>
      <c r="C1634" s="25" t="s">
        <v>356</v>
      </c>
      <c r="D1634" s="103" t="s">
        <v>126</v>
      </c>
      <c r="E1634" s="26">
        <v>81</v>
      </c>
      <c r="F1634" s="26" t="s">
        <v>293</v>
      </c>
      <c r="K1634" s="24">
        <v>53</v>
      </c>
      <c r="L1634" s="102">
        <v>46113</v>
      </c>
      <c r="M1634" s="25" t="s">
        <v>357</v>
      </c>
      <c r="N1634" s="103" t="s">
        <v>126</v>
      </c>
      <c r="O1634" s="26">
        <v>155</v>
      </c>
      <c r="P1634" s="26" t="s">
        <v>293</v>
      </c>
    </row>
    <row r="1635" spans="1:16" x14ac:dyDescent="0.3">
      <c r="A1635" s="24">
        <v>53</v>
      </c>
      <c r="B1635" s="102">
        <v>46113</v>
      </c>
      <c r="C1635" s="25" t="s">
        <v>356</v>
      </c>
      <c r="D1635" s="103" t="s">
        <v>349</v>
      </c>
      <c r="E1635" s="26">
        <v>159</v>
      </c>
      <c r="F1635" s="26" t="s">
        <v>293</v>
      </c>
      <c r="K1635" s="24">
        <v>53</v>
      </c>
      <c r="L1635" s="102">
        <v>46113</v>
      </c>
      <c r="M1635" s="25" t="s">
        <v>357</v>
      </c>
      <c r="N1635" s="103" t="s">
        <v>349</v>
      </c>
      <c r="O1635" s="26">
        <v>378</v>
      </c>
      <c r="P1635" s="26" t="s">
        <v>293</v>
      </c>
    </row>
    <row r="1636" spans="1:16" x14ac:dyDescent="0.3">
      <c r="A1636" s="24">
        <v>53</v>
      </c>
      <c r="B1636" s="102">
        <v>46113</v>
      </c>
      <c r="C1636" s="25" t="s">
        <v>356</v>
      </c>
      <c r="D1636" s="103" t="s">
        <v>350</v>
      </c>
      <c r="E1636" s="26">
        <v>61</v>
      </c>
      <c r="F1636" s="26" t="s">
        <v>293</v>
      </c>
      <c r="K1636" s="24">
        <v>53</v>
      </c>
      <c r="L1636" s="102">
        <v>46113</v>
      </c>
      <c r="M1636" s="25" t="s">
        <v>357</v>
      </c>
      <c r="N1636" s="103" t="s">
        <v>350</v>
      </c>
      <c r="O1636" s="26">
        <v>88</v>
      </c>
      <c r="P1636" s="26" t="s">
        <v>293</v>
      </c>
    </row>
    <row r="1637" spans="1:16" x14ac:dyDescent="0.3">
      <c r="A1637" s="24">
        <v>53</v>
      </c>
      <c r="B1637" s="102">
        <v>46113</v>
      </c>
      <c r="C1637" s="25" t="s">
        <v>356</v>
      </c>
      <c r="D1637" s="103" t="s">
        <v>122</v>
      </c>
      <c r="E1637" s="26">
        <v>46</v>
      </c>
      <c r="F1637" s="26" t="s">
        <v>293</v>
      </c>
      <c r="K1637" s="24">
        <v>53</v>
      </c>
      <c r="L1637" s="102">
        <v>46113</v>
      </c>
      <c r="M1637" s="25" t="s">
        <v>357</v>
      </c>
      <c r="N1637" s="103" t="s">
        <v>122</v>
      </c>
      <c r="O1637" s="26">
        <v>224</v>
      </c>
      <c r="P1637" s="26" t="s">
        <v>293</v>
      </c>
    </row>
    <row r="1638" spans="1:16" x14ac:dyDescent="0.3">
      <c r="A1638" s="24">
        <v>53</v>
      </c>
      <c r="B1638" s="102">
        <v>46113</v>
      </c>
      <c r="C1638" s="25" t="s">
        <v>356</v>
      </c>
      <c r="D1638" s="103" t="s">
        <v>124</v>
      </c>
      <c r="E1638" s="26">
        <v>32</v>
      </c>
      <c r="F1638" s="26" t="s">
        <v>293</v>
      </c>
      <c r="K1638" s="24">
        <v>53</v>
      </c>
      <c r="L1638" s="102">
        <v>46113</v>
      </c>
      <c r="M1638" s="25" t="s">
        <v>357</v>
      </c>
      <c r="N1638" s="103" t="s">
        <v>124</v>
      </c>
      <c r="O1638" s="26">
        <v>106</v>
      </c>
      <c r="P1638" s="26" t="s">
        <v>293</v>
      </c>
    </row>
    <row r="1639" spans="1:16" x14ac:dyDescent="0.3">
      <c r="A1639" s="24">
        <v>53</v>
      </c>
      <c r="B1639" s="102">
        <v>46113</v>
      </c>
      <c r="C1639" s="25" t="s">
        <v>356</v>
      </c>
      <c r="D1639" s="103" t="s">
        <v>351</v>
      </c>
      <c r="E1639" s="26">
        <v>0.98</v>
      </c>
      <c r="F1639" s="26" t="s">
        <v>293</v>
      </c>
      <c r="K1639" s="24">
        <v>53</v>
      </c>
      <c r="L1639" s="102">
        <v>46113</v>
      </c>
      <c r="M1639" s="25" t="s">
        <v>357</v>
      </c>
      <c r="N1639" s="103" t="s">
        <v>351</v>
      </c>
      <c r="O1639" s="26">
        <v>3.56</v>
      </c>
      <c r="P1639" s="26" t="s">
        <v>293</v>
      </c>
    </row>
    <row r="1640" spans="1:16" x14ac:dyDescent="0.3">
      <c r="A1640" s="24">
        <v>53</v>
      </c>
      <c r="B1640" s="102">
        <v>46113</v>
      </c>
      <c r="C1640" s="25" t="s">
        <v>356</v>
      </c>
      <c r="D1640" s="103" t="s">
        <v>353</v>
      </c>
      <c r="E1640" s="26">
        <v>36.1</v>
      </c>
      <c r="F1640" s="26" t="s">
        <v>293</v>
      </c>
      <c r="K1640" s="24">
        <v>53</v>
      </c>
      <c r="L1640" s="102">
        <v>46113</v>
      </c>
      <c r="M1640" s="25" t="s">
        <v>357</v>
      </c>
      <c r="N1640" s="103" t="s">
        <v>353</v>
      </c>
      <c r="O1640" s="26">
        <v>18.8</v>
      </c>
      <c r="P1640" s="26" t="s">
        <v>293</v>
      </c>
    </row>
    <row r="1641" spans="1:16" x14ac:dyDescent="0.3">
      <c r="A1641" s="24">
        <v>53</v>
      </c>
      <c r="B1641" s="102">
        <v>46113</v>
      </c>
      <c r="C1641" s="25" t="s">
        <v>356</v>
      </c>
      <c r="D1641" s="103" t="s">
        <v>133</v>
      </c>
      <c r="E1641" s="26">
        <v>149</v>
      </c>
      <c r="F1641" s="26" t="s">
        <v>293</v>
      </c>
      <c r="K1641" s="24">
        <v>53</v>
      </c>
      <c r="L1641" s="102">
        <v>46113</v>
      </c>
      <c r="M1641" s="25" t="s">
        <v>357</v>
      </c>
      <c r="N1641" s="103" t="s">
        <v>133</v>
      </c>
      <c r="O1641" s="26">
        <v>129</v>
      </c>
      <c r="P1641" s="26" t="s">
        <v>293</v>
      </c>
    </row>
    <row r="1642" spans="1:16" x14ac:dyDescent="0.3">
      <c r="A1642" s="24">
        <v>53</v>
      </c>
      <c r="B1642" s="102">
        <v>46113</v>
      </c>
      <c r="C1642" s="25" t="s">
        <v>356</v>
      </c>
      <c r="D1642" s="103" t="s">
        <v>135</v>
      </c>
      <c r="E1642" s="26">
        <v>3.9</v>
      </c>
      <c r="F1642" s="26" t="s">
        <v>293</v>
      </c>
      <c r="K1642" s="24">
        <v>53</v>
      </c>
      <c r="L1642" s="102">
        <v>46113</v>
      </c>
      <c r="M1642" s="25" t="s">
        <v>357</v>
      </c>
      <c r="N1642" s="103" t="s">
        <v>135</v>
      </c>
      <c r="O1642" s="26">
        <v>6.6</v>
      </c>
      <c r="P1642" s="26" t="s">
        <v>293</v>
      </c>
    </row>
    <row r="1643" spans="1:16" x14ac:dyDescent="0.3">
      <c r="A1643" s="24">
        <v>53</v>
      </c>
      <c r="B1643" s="102">
        <v>46113</v>
      </c>
      <c r="C1643" s="25" t="s">
        <v>356</v>
      </c>
      <c r="D1643" s="103" t="s">
        <v>136</v>
      </c>
      <c r="E1643" s="26">
        <v>117</v>
      </c>
      <c r="F1643" s="26" t="s">
        <v>293</v>
      </c>
      <c r="K1643" s="24">
        <v>53</v>
      </c>
      <c r="L1643" s="102">
        <v>46113</v>
      </c>
      <c r="M1643" s="25" t="s">
        <v>357</v>
      </c>
      <c r="N1643" s="103" t="s">
        <v>136</v>
      </c>
      <c r="O1643" s="26">
        <v>98</v>
      </c>
      <c r="P1643" s="26" t="s">
        <v>293</v>
      </c>
    </row>
    <row r="1644" spans="1:16" x14ac:dyDescent="0.3">
      <c r="A1644" s="24">
        <v>54</v>
      </c>
      <c r="B1644" s="102">
        <v>46114</v>
      </c>
      <c r="C1644" s="25" t="s">
        <v>356</v>
      </c>
      <c r="D1644" s="103" t="s">
        <v>339</v>
      </c>
      <c r="E1644" s="26">
        <v>4.6900000000000004</v>
      </c>
      <c r="F1644" s="26" t="s">
        <v>293</v>
      </c>
      <c r="K1644" s="24">
        <v>54</v>
      </c>
      <c r="L1644" s="102">
        <v>46114</v>
      </c>
      <c r="M1644" s="25" t="s">
        <v>357</v>
      </c>
      <c r="N1644" s="103" t="s">
        <v>339</v>
      </c>
      <c r="O1644" s="26">
        <v>1.18</v>
      </c>
      <c r="P1644" s="26" t="s">
        <v>293</v>
      </c>
    </row>
    <row r="1645" spans="1:16" x14ac:dyDescent="0.3">
      <c r="A1645" s="24">
        <v>54</v>
      </c>
      <c r="B1645" s="102">
        <v>46114</v>
      </c>
      <c r="C1645" s="25" t="s">
        <v>356</v>
      </c>
      <c r="D1645" s="103" t="s">
        <v>118</v>
      </c>
      <c r="E1645" s="26">
        <v>4.5999999999999996</v>
      </c>
      <c r="F1645" s="26" t="s">
        <v>293</v>
      </c>
      <c r="K1645" s="24">
        <v>54</v>
      </c>
      <c r="L1645" s="102">
        <v>46114</v>
      </c>
      <c r="M1645" s="25" t="s">
        <v>357</v>
      </c>
      <c r="N1645" s="103" t="s">
        <v>118</v>
      </c>
      <c r="O1645" s="26">
        <v>9.6</v>
      </c>
      <c r="P1645" s="26" t="s">
        <v>293</v>
      </c>
    </row>
    <row r="1646" spans="1:16" x14ac:dyDescent="0.3">
      <c r="A1646" s="24">
        <v>54</v>
      </c>
      <c r="B1646" s="102">
        <v>46114</v>
      </c>
      <c r="C1646" s="25" t="s">
        <v>356</v>
      </c>
      <c r="D1646" s="103" t="s">
        <v>130</v>
      </c>
      <c r="E1646" s="26">
        <v>3.79</v>
      </c>
      <c r="F1646" s="26" t="s">
        <v>293</v>
      </c>
      <c r="K1646" s="24">
        <v>54</v>
      </c>
      <c r="L1646" s="102">
        <v>46114</v>
      </c>
      <c r="M1646" s="25" t="s">
        <v>357</v>
      </c>
      <c r="N1646" s="103" t="s">
        <v>130</v>
      </c>
      <c r="O1646" s="26">
        <v>2.4</v>
      </c>
      <c r="P1646" s="26" t="s">
        <v>293</v>
      </c>
    </row>
    <row r="1647" spans="1:16" x14ac:dyDescent="0.3">
      <c r="A1647" s="24">
        <v>54</v>
      </c>
      <c r="B1647" s="102">
        <v>46114</v>
      </c>
      <c r="C1647" s="25" t="s">
        <v>356</v>
      </c>
      <c r="D1647" s="103" t="s">
        <v>341</v>
      </c>
      <c r="E1647" s="26">
        <v>0.308</v>
      </c>
      <c r="F1647" s="26" t="s">
        <v>293</v>
      </c>
      <c r="K1647" s="24">
        <v>54</v>
      </c>
      <c r="L1647" s="102">
        <v>46114</v>
      </c>
      <c r="M1647" s="25" t="s">
        <v>357</v>
      </c>
      <c r="N1647" s="103" t="s">
        <v>341</v>
      </c>
      <c r="O1647" s="26">
        <v>1.1200000000000001</v>
      </c>
      <c r="P1647" s="26" t="s">
        <v>293</v>
      </c>
    </row>
    <row r="1648" spans="1:16" x14ac:dyDescent="0.3">
      <c r="A1648" s="24">
        <v>54</v>
      </c>
      <c r="B1648" s="102">
        <v>46114</v>
      </c>
      <c r="C1648" s="25" t="s">
        <v>356</v>
      </c>
      <c r="D1648" s="103" t="s">
        <v>127</v>
      </c>
      <c r="E1648" s="26">
        <v>1.18</v>
      </c>
      <c r="F1648" s="26" t="s">
        <v>293</v>
      </c>
      <c r="K1648" s="24">
        <v>54</v>
      </c>
      <c r="L1648" s="102">
        <v>46114</v>
      </c>
      <c r="M1648" s="25" t="s">
        <v>357</v>
      </c>
      <c r="N1648" s="103" t="s">
        <v>127</v>
      </c>
      <c r="O1648" s="26">
        <v>4.7</v>
      </c>
      <c r="P1648" s="26" t="s">
        <v>293</v>
      </c>
    </row>
    <row r="1649" spans="1:16" x14ac:dyDescent="0.3">
      <c r="A1649" s="24">
        <v>54</v>
      </c>
      <c r="B1649" s="102">
        <v>46114</v>
      </c>
      <c r="C1649" s="25" t="s">
        <v>356</v>
      </c>
      <c r="D1649" s="103" t="s">
        <v>131</v>
      </c>
      <c r="E1649" s="26">
        <v>8.8000000000000007</v>
      </c>
      <c r="F1649" s="26" t="s">
        <v>293</v>
      </c>
      <c r="K1649" s="24">
        <v>54</v>
      </c>
      <c r="L1649" s="102">
        <v>46114</v>
      </c>
      <c r="M1649" s="25" t="s">
        <v>357</v>
      </c>
      <c r="N1649" s="103" t="s">
        <v>131</v>
      </c>
      <c r="O1649" s="26">
        <v>12.3</v>
      </c>
      <c r="P1649" s="26" t="s">
        <v>293</v>
      </c>
    </row>
    <row r="1650" spans="1:16" x14ac:dyDescent="0.3">
      <c r="A1650" s="24">
        <v>54</v>
      </c>
      <c r="B1650" s="102">
        <v>46114</v>
      </c>
      <c r="C1650" s="25" t="s">
        <v>356</v>
      </c>
      <c r="D1650" s="103" t="s">
        <v>342</v>
      </c>
      <c r="E1650" s="26">
        <v>319</v>
      </c>
      <c r="F1650" s="26" t="s">
        <v>293</v>
      </c>
      <c r="K1650" s="24">
        <v>54</v>
      </c>
      <c r="L1650" s="102">
        <v>46114</v>
      </c>
      <c r="M1650" s="25" t="s">
        <v>357</v>
      </c>
      <c r="N1650" s="103" t="s">
        <v>342</v>
      </c>
      <c r="O1650" s="26">
        <v>189</v>
      </c>
      <c r="P1650" s="26" t="s">
        <v>293</v>
      </c>
    </row>
    <row r="1651" spans="1:16" x14ac:dyDescent="0.3">
      <c r="A1651" s="24">
        <v>54</v>
      </c>
      <c r="B1651" s="102">
        <v>46114</v>
      </c>
      <c r="C1651" s="25" t="s">
        <v>356</v>
      </c>
      <c r="D1651" s="103" t="s">
        <v>119</v>
      </c>
      <c r="E1651" s="26">
        <v>235</v>
      </c>
      <c r="F1651" s="26" t="s">
        <v>293</v>
      </c>
      <c r="K1651" s="24">
        <v>54</v>
      </c>
      <c r="L1651" s="102">
        <v>46114</v>
      </c>
      <c r="M1651" s="25" t="s">
        <v>357</v>
      </c>
      <c r="N1651" s="103" t="s">
        <v>119</v>
      </c>
      <c r="O1651" s="26">
        <v>87</v>
      </c>
      <c r="P1651" s="26" t="s">
        <v>293</v>
      </c>
    </row>
    <row r="1652" spans="1:16" x14ac:dyDescent="0.3">
      <c r="A1652" s="24">
        <v>54</v>
      </c>
      <c r="B1652" s="102">
        <v>46114</v>
      </c>
      <c r="C1652" s="25" t="s">
        <v>356</v>
      </c>
      <c r="D1652" s="103" t="s">
        <v>120</v>
      </c>
      <c r="E1652" s="26">
        <v>81</v>
      </c>
      <c r="F1652" s="26" t="s">
        <v>293</v>
      </c>
      <c r="K1652" s="24">
        <v>54</v>
      </c>
      <c r="L1652" s="102">
        <v>46114</v>
      </c>
      <c r="M1652" s="25" t="s">
        <v>357</v>
      </c>
      <c r="N1652" s="103" t="s">
        <v>120</v>
      </c>
      <c r="O1652" s="26">
        <v>27</v>
      </c>
      <c r="P1652" s="26" t="s">
        <v>293</v>
      </c>
    </row>
    <row r="1653" spans="1:16" x14ac:dyDescent="0.3">
      <c r="A1653" s="24">
        <v>54</v>
      </c>
      <c r="B1653" s="102">
        <v>46114</v>
      </c>
      <c r="C1653" s="25" t="s">
        <v>356</v>
      </c>
      <c r="D1653" s="103" t="s">
        <v>117</v>
      </c>
      <c r="E1653" s="26">
        <v>2.73</v>
      </c>
      <c r="F1653" s="26" t="s">
        <v>293</v>
      </c>
      <c r="K1653" s="24">
        <v>54</v>
      </c>
      <c r="L1653" s="102">
        <v>46114</v>
      </c>
      <c r="M1653" s="25" t="s">
        <v>357</v>
      </c>
      <c r="N1653" s="103" t="s">
        <v>117</v>
      </c>
      <c r="O1653" s="26">
        <v>6.41</v>
      </c>
      <c r="P1653" s="26" t="s">
        <v>293</v>
      </c>
    </row>
    <row r="1654" spans="1:16" x14ac:dyDescent="0.3">
      <c r="A1654" s="24">
        <v>54</v>
      </c>
      <c r="B1654" s="102">
        <v>46114</v>
      </c>
      <c r="C1654" s="25" t="s">
        <v>356</v>
      </c>
      <c r="D1654" s="103" t="s">
        <v>344</v>
      </c>
      <c r="E1654" s="26">
        <v>233</v>
      </c>
      <c r="F1654" s="26" t="s">
        <v>293</v>
      </c>
      <c r="K1654" s="24">
        <v>54</v>
      </c>
      <c r="L1654" s="102">
        <v>46114</v>
      </c>
      <c r="M1654" s="25" t="s">
        <v>357</v>
      </c>
      <c r="N1654" s="103" t="s">
        <v>344</v>
      </c>
      <c r="O1654" s="26">
        <v>69</v>
      </c>
      <c r="P1654" s="26" t="s">
        <v>293</v>
      </c>
    </row>
    <row r="1655" spans="1:16" x14ac:dyDescent="0.3">
      <c r="A1655" s="24">
        <v>54</v>
      </c>
      <c r="B1655" s="102">
        <v>46114</v>
      </c>
      <c r="C1655" s="25" t="s">
        <v>356</v>
      </c>
      <c r="D1655" s="103" t="s">
        <v>132</v>
      </c>
      <c r="E1655" s="26">
        <v>3.33</v>
      </c>
      <c r="F1655" s="26" t="s">
        <v>293</v>
      </c>
      <c r="K1655" s="24">
        <v>54</v>
      </c>
      <c r="L1655" s="102">
        <v>46114</v>
      </c>
      <c r="M1655" s="25" t="s">
        <v>357</v>
      </c>
      <c r="N1655" s="103" t="s">
        <v>132</v>
      </c>
      <c r="O1655" s="26">
        <v>7.17</v>
      </c>
      <c r="P1655" s="26" t="s">
        <v>293</v>
      </c>
    </row>
    <row r="1656" spans="1:16" x14ac:dyDescent="0.3">
      <c r="A1656" s="24">
        <v>54</v>
      </c>
      <c r="B1656" s="102">
        <v>46114</v>
      </c>
      <c r="C1656" s="25" t="s">
        <v>356</v>
      </c>
      <c r="D1656" s="103" t="s">
        <v>111</v>
      </c>
      <c r="E1656" s="26">
        <v>88</v>
      </c>
      <c r="F1656" s="26" t="s">
        <v>293</v>
      </c>
      <c r="K1656" s="24">
        <v>54</v>
      </c>
      <c r="L1656" s="102">
        <v>46114</v>
      </c>
      <c r="M1656" s="25" t="s">
        <v>357</v>
      </c>
      <c r="N1656" s="103" t="s">
        <v>111</v>
      </c>
      <c r="O1656" s="26">
        <v>279</v>
      </c>
      <c r="P1656" s="26" t="s">
        <v>293</v>
      </c>
    </row>
    <row r="1657" spans="1:16" x14ac:dyDescent="0.3">
      <c r="A1657" s="24">
        <v>54</v>
      </c>
      <c r="B1657" s="102">
        <v>46114</v>
      </c>
      <c r="C1657" s="25" t="s">
        <v>356</v>
      </c>
      <c r="D1657" s="103" t="s">
        <v>345</v>
      </c>
      <c r="E1657" s="26">
        <v>4.9800000000000004</v>
      </c>
      <c r="F1657" s="26" t="s">
        <v>293</v>
      </c>
      <c r="K1657" s="24">
        <v>54</v>
      </c>
      <c r="L1657" s="102">
        <v>46114</v>
      </c>
      <c r="M1657" s="25" t="s">
        <v>357</v>
      </c>
      <c r="N1657" s="103" t="s">
        <v>345</v>
      </c>
      <c r="O1657" s="26">
        <v>9.99</v>
      </c>
      <c r="P1657" s="26" t="s">
        <v>293</v>
      </c>
    </row>
    <row r="1658" spans="1:16" x14ac:dyDescent="0.3">
      <c r="A1658" s="24">
        <v>54</v>
      </c>
      <c r="B1658" s="102">
        <v>46114</v>
      </c>
      <c r="C1658" s="25" t="s">
        <v>356</v>
      </c>
      <c r="D1658" s="103" t="s">
        <v>347</v>
      </c>
      <c r="E1658" s="26">
        <v>2.21</v>
      </c>
      <c r="F1658" s="26" t="s">
        <v>293</v>
      </c>
      <c r="K1658" s="24">
        <v>54</v>
      </c>
      <c r="L1658" s="102">
        <v>46114</v>
      </c>
      <c r="M1658" s="25" t="s">
        <v>357</v>
      </c>
      <c r="N1658" s="103" t="s">
        <v>347</v>
      </c>
      <c r="O1658" s="26">
        <v>4.75</v>
      </c>
      <c r="P1658" s="26" t="s">
        <v>293</v>
      </c>
    </row>
    <row r="1659" spans="1:16" x14ac:dyDescent="0.3">
      <c r="A1659" s="24">
        <v>54</v>
      </c>
      <c r="B1659" s="102">
        <v>46114</v>
      </c>
      <c r="C1659" s="25" t="s">
        <v>356</v>
      </c>
      <c r="D1659" s="103" t="s">
        <v>128</v>
      </c>
      <c r="E1659" s="26">
        <v>6.8</v>
      </c>
      <c r="F1659" s="26" t="s">
        <v>293</v>
      </c>
      <c r="K1659" s="24">
        <v>54</v>
      </c>
      <c r="L1659" s="102">
        <v>46114</v>
      </c>
      <c r="M1659" s="25" t="s">
        <v>357</v>
      </c>
      <c r="N1659" s="103" t="s">
        <v>128</v>
      </c>
      <c r="O1659" s="26">
        <v>4.4000000000000004</v>
      </c>
      <c r="P1659" s="26" t="s">
        <v>293</v>
      </c>
    </row>
    <row r="1660" spans="1:16" x14ac:dyDescent="0.3">
      <c r="A1660" s="24">
        <v>54</v>
      </c>
      <c r="B1660" s="102">
        <v>46114</v>
      </c>
      <c r="C1660" s="25" t="s">
        <v>356</v>
      </c>
      <c r="D1660" s="103" t="s">
        <v>121</v>
      </c>
      <c r="E1660" s="26">
        <v>166</v>
      </c>
      <c r="F1660" s="26" t="s">
        <v>293</v>
      </c>
      <c r="K1660" s="24">
        <v>54</v>
      </c>
      <c r="L1660" s="102">
        <v>46114</v>
      </c>
      <c r="M1660" s="25" t="s">
        <v>357</v>
      </c>
      <c r="N1660" s="103" t="s">
        <v>121</v>
      </c>
      <c r="O1660" s="26">
        <v>77</v>
      </c>
      <c r="P1660" s="26" t="s">
        <v>293</v>
      </c>
    </row>
    <row r="1661" spans="1:16" x14ac:dyDescent="0.3">
      <c r="A1661" s="24">
        <v>54</v>
      </c>
      <c r="B1661" s="102">
        <v>46114</v>
      </c>
      <c r="C1661" s="25" t="s">
        <v>356</v>
      </c>
      <c r="D1661" s="103" t="s">
        <v>115</v>
      </c>
      <c r="E1661" s="26">
        <v>33</v>
      </c>
      <c r="F1661" s="26" t="s">
        <v>293</v>
      </c>
      <c r="K1661" s="24">
        <v>54</v>
      </c>
      <c r="L1661" s="102">
        <v>46114</v>
      </c>
      <c r="M1661" s="25" t="s">
        <v>357</v>
      </c>
      <c r="N1661" s="103" t="s">
        <v>115</v>
      </c>
      <c r="O1661" s="26">
        <v>94</v>
      </c>
      <c r="P1661" s="26" t="s">
        <v>293</v>
      </c>
    </row>
    <row r="1662" spans="1:16" x14ac:dyDescent="0.3">
      <c r="A1662" s="24">
        <v>54</v>
      </c>
      <c r="B1662" s="102">
        <v>46114</v>
      </c>
      <c r="C1662" s="25" t="s">
        <v>356</v>
      </c>
      <c r="D1662" s="103" t="s">
        <v>137</v>
      </c>
      <c r="E1662" s="26">
        <v>75</v>
      </c>
      <c r="F1662" s="26" t="s">
        <v>293</v>
      </c>
      <c r="K1662" s="24">
        <v>54</v>
      </c>
      <c r="L1662" s="102">
        <v>46114</v>
      </c>
      <c r="M1662" s="25" t="s">
        <v>357</v>
      </c>
      <c r="N1662" s="103" t="s">
        <v>137</v>
      </c>
      <c r="O1662" s="26">
        <v>485</v>
      </c>
      <c r="P1662" s="26" t="s">
        <v>293</v>
      </c>
    </row>
    <row r="1663" spans="1:16" x14ac:dyDescent="0.3">
      <c r="A1663" s="24">
        <v>54</v>
      </c>
      <c r="B1663" s="102">
        <v>46114</v>
      </c>
      <c r="C1663" s="25" t="s">
        <v>356</v>
      </c>
      <c r="D1663" s="103" t="s">
        <v>348</v>
      </c>
      <c r="E1663" s="26">
        <v>143</v>
      </c>
      <c r="F1663" s="26" t="s">
        <v>293</v>
      </c>
      <c r="K1663" s="24">
        <v>54</v>
      </c>
      <c r="L1663" s="102">
        <v>46114</v>
      </c>
      <c r="M1663" s="25" t="s">
        <v>357</v>
      </c>
      <c r="N1663" s="103" t="s">
        <v>348</v>
      </c>
      <c r="O1663" s="26">
        <v>432</v>
      </c>
      <c r="P1663" s="26" t="s">
        <v>293</v>
      </c>
    </row>
    <row r="1664" spans="1:16" x14ac:dyDescent="0.3">
      <c r="A1664" s="24">
        <v>54</v>
      </c>
      <c r="B1664" s="102">
        <v>46114</v>
      </c>
      <c r="C1664" s="25" t="s">
        <v>356</v>
      </c>
      <c r="D1664" s="103" t="s">
        <v>125</v>
      </c>
      <c r="E1664" s="26">
        <v>108</v>
      </c>
      <c r="F1664" s="26" t="s">
        <v>293</v>
      </c>
      <c r="K1664" s="24">
        <v>54</v>
      </c>
      <c r="L1664" s="102">
        <v>46114</v>
      </c>
      <c r="M1664" s="25" t="s">
        <v>357</v>
      </c>
      <c r="N1664" s="103" t="s">
        <v>125</v>
      </c>
      <c r="O1664" s="26">
        <v>407</v>
      </c>
      <c r="P1664" s="26" t="s">
        <v>293</v>
      </c>
    </row>
    <row r="1665" spans="1:16" x14ac:dyDescent="0.3">
      <c r="A1665" s="24">
        <v>54</v>
      </c>
      <c r="B1665" s="102">
        <v>46114</v>
      </c>
      <c r="C1665" s="25" t="s">
        <v>356</v>
      </c>
      <c r="D1665" s="103" t="s">
        <v>126</v>
      </c>
      <c r="E1665" s="26">
        <v>79</v>
      </c>
      <c r="F1665" s="26" t="s">
        <v>293</v>
      </c>
      <c r="K1665" s="24">
        <v>54</v>
      </c>
      <c r="L1665" s="102">
        <v>46114</v>
      </c>
      <c r="M1665" s="25" t="s">
        <v>357</v>
      </c>
      <c r="N1665" s="103" t="s">
        <v>126</v>
      </c>
      <c r="O1665" s="26">
        <v>153</v>
      </c>
      <c r="P1665" s="26" t="s">
        <v>293</v>
      </c>
    </row>
    <row r="1666" spans="1:16" x14ac:dyDescent="0.3">
      <c r="A1666" s="24">
        <v>54</v>
      </c>
      <c r="B1666" s="102">
        <v>46114</v>
      </c>
      <c r="C1666" s="25" t="s">
        <v>356</v>
      </c>
      <c r="D1666" s="103" t="s">
        <v>349</v>
      </c>
      <c r="E1666" s="26">
        <v>148</v>
      </c>
      <c r="F1666" s="26" t="s">
        <v>293</v>
      </c>
      <c r="K1666" s="24">
        <v>54</v>
      </c>
      <c r="L1666" s="102">
        <v>46114</v>
      </c>
      <c r="M1666" s="25" t="s">
        <v>357</v>
      </c>
      <c r="N1666" s="103" t="s">
        <v>349</v>
      </c>
      <c r="O1666" s="26">
        <v>360</v>
      </c>
      <c r="P1666" s="26" t="s">
        <v>293</v>
      </c>
    </row>
    <row r="1667" spans="1:16" x14ac:dyDescent="0.3">
      <c r="A1667" s="24">
        <v>54</v>
      </c>
      <c r="B1667" s="102">
        <v>46114</v>
      </c>
      <c r="C1667" s="25" t="s">
        <v>356</v>
      </c>
      <c r="D1667" s="103" t="s">
        <v>350</v>
      </c>
      <c r="E1667" s="26">
        <v>63</v>
      </c>
      <c r="F1667" s="26" t="s">
        <v>293</v>
      </c>
      <c r="K1667" s="24">
        <v>54</v>
      </c>
      <c r="L1667" s="102">
        <v>46114</v>
      </c>
      <c r="M1667" s="25" t="s">
        <v>357</v>
      </c>
      <c r="N1667" s="103" t="s">
        <v>350</v>
      </c>
      <c r="O1667" s="26">
        <v>89</v>
      </c>
      <c r="P1667" s="26" t="s">
        <v>293</v>
      </c>
    </row>
    <row r="1668" spans="1:16" x14ac:dyDescent="0.3">
      <c r="A1668" s="24">
        <v>54</v>
      </c>
      <c r="B1668" s="102">
        <v>46114</v>
      </c>
      <c r="C1668" s="25" t="s">
        <v>356</v>
      </c>
      <c r="D1668" s="103" t="s">
        <v>122</v>
      </c>
      <c r="E1668" s="26">
        <v>46</v>
      </c>
      <c r="F1668" s="26" t="s">
        <v>293</v>
      </c>
      <c r="K1668" s="24">
        <v>54</v>
      </c>
      <c r="L1668" s="102">
        <v>46114</v>
      </c>
      <c r="M1668" s="25" t="s">
        <v>357</v>
      </c>
      <c r="N1668" s="103" t="s">
        <v>122</v>
      </c>
      <c r="O1668" s="26">
        <v>215</v>
      </c>
      <c r="P1668" s="26" t="s">
        <v>293</v>
      </c>
    </row>
    <row r="1669" spans="1:16" x14ac:dyDescent="0.3">
      <c r="A1669" s="24">
        <v>54</v>
      </c>
      <c r="B1669" s="102">
        <v>46114</v>
      </c>
      <c r="C1669" s="25" t="s">
        <v>356</v>
      </c>
      <c r="D1669" s="103" t="s">
        <v>124</v>
      </c>
      <c r="E1669" s="26">
        <v>32</v>
      </c>
      <c r="F1669" s="26" t="s">
        <v>293</v>
      </c>
      <c r="K1669" s="24">
        <v>54</v>
      </c>
      <c r="L1669" s="102">
        <v>46114</v>
      </c>
      <c r="M1669" s="25" t="s">
        <v>357</v>
      </c>
      <c r="N1669" s="103" t="s">
        <v>124</v>
      </c>
      <c r="O1669" s="26">
        <v>109</v>
      </c>
      <c r="P1669" s="26" t="s">
        <v>293</v>
      </c>
    </row>
    <row r="1670" spans="1:16" x14ac:dyDescent="0.3">
      <c r="A1670" s="24">
        <v>54</v>
      </c>
      <c r="B1670" s="102">
        <v>46114</v>
      </c>
      <c r="C1670" s="25" t="s">
        <v>356</v>
      </c>
      <c r="D1670" s="103" t="s">
        <v>351</v>
      </c>
      <c r="E1670" s="26">
        <v>0.99</v>
      </c>
      <c r="F1670" s="26" t="s">
        <v>293</v>
      </c>
      <c r="K1670" s="24">
        <v>54</v>
      </c>
      <c r="L1670" s="102">
        <v>46114</v>
      </c>
      <c r="M1670" s="25" t="s">
        <v>357</v>
      </c>
      <c r="N1670" s="103" t="s">
        <v>351</v>
      </c>
      <c r="O1670" s="26">
        <v>3.6</v>
      </c>
      <c r="P1670" s="26" t="s">
        <v>293</v>
      </c>
    </row>
    <row r="1671" spans="1:16" x14ac:dyDescent="0.3">
      <c r="A1671" s="24">
        <v>54</v>
      </c>
      <c r="B1671" s="102">
        <v>46114</v>
      </c>
      <c r="C1671" s="25" t="s">
        <v>356</v>
      </c>
      <c r="D1671" s="103" t="s">
        <v>353</v>
      </c>
      <c r="E1671" s="26">
        <v>34.5</v>
      </c>
      <c r="F1671" s="26" t="s">
        <v>293</v>
      </c>
      <c r="K1671" s="24">
        <v>54</v>
      </c>
      <c r="L1671" s="102">
        <v>46114</v>
      </c>
      <c r="M1671" s="25" t="s">
        <v>357</v>
      </c>
      <c r="N1671" s="103" t="s">
        <v>353</v>
      </c>
      <c r="O1671" s="26">
        <v>18.5</v>
      </c>
      <c r="P1671" s="26" t="s">
        <v>293</v>
      </c>
    </row>
    <row r="1672" spans="1:16" x14ac:dyDescent="0.3">
      <c r="A1672" s="24">
        <v>54</v>
      </c>
      <c r="B1672" s="102">
        <v>46114</v>
      </c>
      <c r="C1672" s="25" t="s">
        <v>356</v>
      </c>
      <c r="D1672" s="103" t="s">
        <v>133</v>
      </c>
      <c r="E1672" s="26">
        <v>147</v>
      </c>
      <c r="F1672" s="26" t="s">
        <v>293</v>
      </c>
      <c r="K1672" s="24">
        <v>54</v>
      </c>
      <c r="L1672" s="102">
        <v>46114</v>
      </c>
      <c r="M1672" s="25" t="s">
        <v>357</v>
      </c>
      <c r="N1672" s="103" t="s">
        <v>133</v>
      </c>
      <c r="O1672" s="26">
        <v>127</v>
      </c>
      <c r="P1672" s="26" t="s">
        <v>293</v>
      </c>
    </row>
    <row r="1673" spans="1:16" x14ac:dyDescent="0.3">
      <c r="A1673" s="24">
        <v>54</v>
      </c>
      <c r="B1673" s="102">
        <v>46114</v>
      </c>
      <c r="C1673" s="25" t="s">
        <v>356</v>
      </c>
      <c r="D1673" s="103" t="s">
        <v>135</v>
      </c>
      <c r="E1673" s="26">
        <v>3.8</v>
      </c>
      <c r="F1673" s="26" t="s">
        <v>293</v>
      </c>
      <c r="K1673" s="24">
        <v>54</v>
      </c>
      <c r="L1673" s="102">
        <v>46114</v>
      </c>
      <c r="M1673" s="25" t="s">
        <v>357</v>
      </c>
      <c r="N1673" s="103" t="s">
        <v>135</v>
      </c>
      <c r="O1673" s="26">
        <v>6.5</v>
      </c>
      <c r="P1673" s="26" t="s">
        <v>293</v>
      </c>
    </row>
    <row r="1674" spans="1:16" x14ac:dyDescent="0.3">
      <c r="A1674" s="24">
        <v>54</v>
      </c>
      <c r="B1674" s="102">
        <v>46114</v>
      </c>
      <c r="C1674" s="25" t="s">
        <v>356</v>
      </c>
      <c r="D1674" s="103" t="s">
        <v>136</v>
      </c>
      <c r="E1674" s="26">
        <v>116</v>
      </c>
      <c r="F1674" s="26" t="s">
        <v>293</v>
      </c>
      <c r="K1674" s="24">
        <v>54</v>
      </c>
      <c r="L1674" s="102">
        <v>46114</v>
      </c>
      <c r="M1674" s="25" t="s">
        <v>357</v>
      </c>
      <c r="N1674" s="103" t="s">
        <v>136</v>
      </c>
      <c r="O1674" s="26">
        <v>94</v>
      </c>
      <c r="P1674" s="26" t="s">
        <v>293</v>
      </c>
    </row>
    <row r="1675" spans="1:16" x14ac:dyDescent="0.3">
      <c r="A1675" s="24">
        <v>55</v>
      </c>
      <c r="B1675" s="102">
        <v>46118</v>
      </c>
      <c r="C1675" s="25" t="s">
        <v>356</v>
      </c>
      <c r="D1675" s="103" t="s">
        <v>339</v>
      </c>
      <c r="E1675" s="26">
        <v>4.59</v>
      </c>
      <c r="F1675" s="26" t="s">
        <v>293</v>
      </c>
      <c r="K1675" s="24">
        <v>55</v>
      </c>
      <c r="L1675" s="102">
        <v>46118</v>
      </c>
      <c r="M1675" s="25" t="s">
        <v>357</v>
      </c>
      <c r="N1675" s="103" t="s">
        <v>339</v>
      </c>
      <c r="O1675" s="26">
        <v>1.1200000000000001</v>
      </c>
      <c r="P1675" s="26" t="s">
        <v>293</v>
      </c>
    </row>
    <row r="1676" spans="1:16" x14ac:dyDescent="0.3">
      <c r="A1676" s="24">
        <v>55</v>
      </c>
      <c r="B1676" s="102">
        <v>46118</v>
      </c>
      <c r="C1676" s="25" t="s">
        <v>356</v>
      </c>
      <c r="D1676" s="103" t="s">
        <v>118</v>
      </c>
      <c r="E1676" s="26">
        <v>4.5</v>
      </c>
      <c r="F1676" s="26" t="s">
        <v>293</v>
      </c>
      <c r="K1676" s="24">
        <v>55</v>
      </c>
      <c r="L1676" s="102">
        <v>46118</v>
      </c>
      <c r="M1676" s="25" t="s">
        <v>357</v>
      </c>
      <c r="N1676" s="103" t="s">
        <v>118</v>
      </c>
      <c r="O1676" s="26">
        <v>9.8000000000000007</v>
      </c>
      <c r="P1676" s="26" t="s">
        <v>293</v>
      </c>
    </row>
    <row r="1677" spans="1:16" x14ac:dyDescent="0.3">
      <c r="A1677" s="24">
        <v>55</v>
      </c>
      <c r="B1677" s="102">
        <v>46118</v>
      </c>
      <c r="C1677" s="25" t="s">
        <v>356</v>
      </c>
      <c r="D1677" s="103" t="s">
        <v>130</v>
      </c>
      <c r="E1677" s="26">
        <v>3.83</v>
      </c>
      <c r="F1677" s="26" t="s">
        <v>293</v>
      </c>
      <c r="K1677" s="24">
        <v>55</v>
      </c>
      <c r="L1677" s="102">
        <v>46118</v>
      </c>
      <c r="M1677" s="25" t="s">
        <v>357</v>
      </c>
      <c r="N1677" s="103" t="s">
        <v>130</v>
      </c>
      <c r="O1677" s="26">
        <v>2.4300000000000002</v>
      </c>
      <c r="P1677" s="26" t="s">
        <v>293</v>
      </c>
    </row>
    <row r="1678" spans="1:16" x14ac:dyDescent="0.3">
      <c r="A1678" s="24">
        <v>55</v>
      </c>
      <c r="B1678" s="102">
        <v>46118</v>
      </c>
      <c r="C1678" s="25" t="s">
        <v>356</v>
      </c>
      <c r="D1678" s="103" t="s">
        <v>341</v>
      </c>
      <c r="E1678" s="26">
        <v>0.28999999999999998</v>
      </c>
      <c r="F1678" s="26" t="s">
        <v>293</v>
      </c>
      <c r="K1678" s="24">
        <v>55</v>
      </c>
      <c r="L1678" s="102">
        <v>46118</v>
      </c>
      <c r="M1678" s="25" t="s">
        <v>357</v>
      </c>
      <c r="N1678" s="103" t="s">
        <v>341</v>
      </c>
      <c r="O1678" s="26">
        <v>1.07</v>
      </c>
      <c r="P1678" s="26" t="s">
        <v>293</v>
      </c>
    </row>
    <row r="1679" spans="1:16" x14ac:dyDescent="0.3">
      <c r="A1679" s="24">
        <v>55</v>
      </c>
      <c r="B1679" s="102">
        <v>46118</v>
      </c>
      <c r="C1679" s="25" t="s">
        <v>356</v>
      </c>
      <c r="D1679" s="103" t="s">
        <v>127</v>
      </c>
      <c r="E1679" s="26">
        <v>1.2</v>
      </c>
      <c r="F1679" s="26" t="s">
        <v>293</v>
      </c>
      <c r="K1679" s="24">
        <v>55</v>
      </c>
      <c r="L1679" s="102">
        <v>46118</v>
      </c>
      <c r="M1679" s="25" t="s">
        <v>357</v>
      </c>
      <c r="N1679" s="103" t="s">
        <v>127</v>
      </c>
      <c r="O1679" s="26">
        <v>4.6100000000000003</v>
      </c>
      <c r="P1679" s="26" t="s">
        <v>293</v>
      </c>
    </row>
    <row r="1680" spans="1:16" x14ac:dyDescent="0.3">
      <c r="A1680" s="24">
        <v>55</v>
      </c>
      <c r="B1680" s="102">
        <v>46118</v>
      </c>
      <c r="C1680" s="25" t="s">
        <v>356</v>
      </c>
      <c r="D1680" s="103" t="s">
        <v>131</v>
      </c>
      <c r="E1680" s="26">
        <v>9</v>
      </c>
      <c r="F1680" s="26" t="s">
        <v>293</v>
      </c>
      <c r="K1680" s="24">
        <v>55</v>
      </c>
      <c r="L1680" s="102">
        <v>46118</v>
      </c>
      <c r="M1680" s="25" t="s">
        <v>357</v>
      </c>
      <c r="N1680" s="103" t="s">
        <v>131</v>
      </c>
      <c r="O1680" s="26">
        <v>12.4</v>
      </c>
      <c r="P1680" s="26" t="s">
        <v>293</v>
      </c>
    </row>
    <row r="1681" spans="1:16" x14ac:dyDescent="0.3">
      <c r="A1681" s="24">
        <v>55</v>
      </c>
      <c r="B1681" s="102">
        <v>46118</v>
      </c>
      <c r="C1681" s="25" t="s">
        <v>356</v>
      </c>
      <c r="D1681" s="103" t="s">
        <v>342</v>
      </c>
      <c r="E1681" s="26">
        <v>332</v>
      </c>
      <c r="F1681" s="26" t="s">
        <v>293</v>
      </c>
      <c r="K1681" s="24">
        <v>55</v>
      </c>
      <c r="L1681" s="102">
        <v>46118</v>
      </c>
      <c r="M1681" s="25" t="s">
        <v>357</v>
      </c>
      <c r="N1681" s="103" t="s">
        <v>342</v>
      </c>
      <c r="O1681" s="26">
        <v>192</v>
      </c>
      <c r="P1681" s="26" t="s">
        <v>293</v>
      </c>
    </row>
    <row r="1682" spans="1:16" x14ac:dyDescent="0.3">
      <c r="A1682" s="24">
        <v>55</v>
      </c>
      <c r="B1682" s="102">
        <v>46118</v>
      </c>
      <c r="C1682" s="25" t="s">
        <v>356</v>
      </c>
      <c r="D1682" s="103" t="s">
        <v>119</v>
      </c>
      <c r="E1682" s="26">
        <v>250</v>
      </c>
      <c r="F1682" s="26" t="s">
        <v>293</v>
      </c>
      <c r="K1682" s="24">
        <v>55</v>
      </c>
      <c r="L1682" s="102">
        <v>46118</v>
      </c>
      <c r="M1682" s="25" t="s">
        <v>357</v>
      </c>
      <c r="N1682" s="103" t="s">
        <v>119</v>
      </c>
      <c r="O1682" s="26">
        <v>93</v>
      </c>
      <c r="P1682" s="26" t="s">
        <v>293</v>
      </c>
    </row>
    <row r="1683" spans="1:16" x14ac:dyDescent="0.3">
      <c r="A1683" s="24">
        <v>55</v>
      </c>
      <c r="B1683" s="102">
        <v>46118</v>
      </c>
      <c r="C1683" s="25" t="s">
        <v>356</v>
      </c>
      <c r="D1683" s="103" t="s">
        <v>120</v>
      </c>
      <c r="E1683" s="26">
        <v>78</v>
      </c>
      <c r="F1683" s="26" t="s">
        <v>293</v>
      </c>
      <c r="K1683" s="24">
        <v>55</v>
      </c>
      <c r="L1683" s="102">
        <v>46118</v>
      </c>
      <c r="M1683" s="25" t="s">
        <v>357</v>
      </c>
      <c r="N1683" s="103" t="s">
        <v>120</v>
      </c>
      <c r="O1683" s="26">
        <v>27</v>
      </c>
      <c r="P1683" s="26" t="s">
        <v>293</v>
      </c>
    </row>
    <row r="1684" spans="1:16" x14ac:dyDescent="0.3">
      <c r="A1684" s="24">
        <v>55</v>
      </c>
      <c r="B1684" s="102">
        <v>46118</v>
      </c>
      <c r="C1684" s="25" t="s">
        <v>356</v>
      </c>
      <c r="D1684" s="103" t="s">
        <v>117</v>
      </c>
      <c r="E1684" s="26">
        <v>2.87</v>
      </c>
      <c r="F1684" s="26" t="s">
        <v>293</v>
      </c>
      <c r="K1684" s="24">
        <v>55</v>
      </c>
      <c r="L1684" s="102">
        <v>46118</v>
      </c>
      <c r="M1684" s="25" t="s">
        <v>357</v>
      </c>
      <c r="N1684" s="103" t="s">
        <v>117</v>
      </c>
      <c r="O1684" s="26">
        <v>6.45</v>
      </c>
      <c r="P1684" s="26" t="s">
        <v>293</v>
      </c>
    </row>
    <row r="1685" spans="1:16" x14ac:dyDescent="0.3">
      <c r="A1685" s="24">
        <v>55</v>
      </c>
      <c r="B1685" s="102">
        <v>46118</v>
      </c>
      <c r="C1685" s="25" t="s">
        <v>356</v>
      </c>
      <c r="D1685" s="103" t="s">
        <v>344</v>
      </c>
      <c r="E1685" s="26">
        <v>233</v>
      </c>
      <c r="F1685" s="26" t="s">
        <v>293</v>
      </c>
      <c r="K1685" s="24">
        <v>55</v>
      </c>
      <c r="L1685" s="102">
        <v>46118</v>
      </c>
      <c r="M1685" s="25" t="s">
        <v>357</v>
      </c>
      <c r="N1685" s="103" t="s">
        <v>344</v>
      </c>
      <c r="O1685" s="26">
        <v>70</v>
      </c>
      <c r="P1685" s="26" t="s">
        <v>293</v>
      </c>
    </row>
    <row r="1686" spans="1:16" x14ac:dyDescent="0.3">
      <c r="A1686" s="24">
        <v>55</v>
      </c>
      <c r="B1686" s="102">
        <v>46118</v>
      </c>
      <c r="C1686" s="25" t="s">
        <v>356</v>
      </c>
      <c r="D1686" s="103" t="s">
        <v>132</v>
      </c>
      <c r="E1686" s="26">
        <v>3.47</v>
      </c>
      <c r="F1686" s="26" t="s">
        <v>293</v>
      </c>
      <c r="K1686" s="24">
        <v>55</v>
      </c>
      <c r="L1686" s="102">
        <v>46118</v>
      </c>
      <c r="M1686" s="25" t="s">
        <v>357</v>
      </c>
      <c r="N1686" s="103" t="s">
        <v>132</v>
      </c>
      <c r="O1686" s="26">
        <v>7.31</v>
      </c>
      <c r="P1686" s="26" t="s">
        <v>293</v>
      </c>
    </row>
    <row r="1687" spans="1:16" x14ac:dyDescent="0.3">
      <c r="A1687" s="24">
        <v>55</v>
      </c>
      <c r="B1687" s="102">
        <v>46118</v>
      </c>
      <c r="C1687" s="25" t="s">
        <v>356</v>
      </c>
      <c r="D1687" s="103" t="s">
        <v>111</v>
      </c>
      <c r="E1687" s="26">
        <v>90</v>
      </c>
      <c r="F1687" s="26" t="s">
        <v>293</v>
      </c>
      <c r="K1687" s="24">
        <v>55</v>
      </c>
      <c r="L1687" s="102">
        <v>46118</v>
      </c>
      <c r="M1687" s="25" t="s">
        <v>357</v>
      </c>
      <c r="N1687" s="103" t="s">
        <v>111</v>
      </c>
      <c r="O1687" s="26">
        <v>288</v>
      </c>
      <c r="P1687" s="26" t="s">
        <v>293</v>
      </c>
    </row>
    <row r="1688" spans="1:16" x14ac:dyDescent="0.3">
      <c r="A1688" s="24">
        <v>55</v>
      </c>
      <c r="B1688" s="102">
        <v>46118</v>
      </c>
      <c r="C1688" s="25" t="s">
        <v>356</v>
      </c>
      <c r="D1688" s="103" t="s">
        <v>345</v>
      </c>
      <c r="E1688" s="26">
        <v>5.0199999999999996</v>
      </c>
      <c r="F1688" s="26" t="s">
        <v>293</v>
      </c>
      <c r="K1688" s="24">
        <v>55</v>
      </c>
      <c r="L1688" s="102">
        <v>46118</v>
      </c>
      <c r="M1688" s="25" t="s">
        <v>357</v>
      </c>
      <c r="N1688" s="103" t="s">
        <v>345</v>
      </c>
      <c r="O1688" s="26">
        <v>9.89</v>
      </c>
      <c r="P1688" s="26" t="s">
        <v>293</v>
      </c>
    </row>
    <row r="1689" spans="1:16" x14ac:dyDescent="0.3">
      <c r="A1689" s="24">
        <v>55</v>
      </c>
      <c r="B1689" s="102">
        <v>46118</v>
      </c>
      <c r="C1689" s="25" t="s">
        <v>356</v>
      </c>
      <c r="D1689" s="103" t="s">
        <v>347</v>
      </c>
      <c r="E1689" s="26">
        <v>2.29</v>
      </c>
      <c r="F1689" s="26" t="s">
        <v>293</v>
      </c>
      <c r="K1689" s="24">
        <v>55</v>
      </c>
      <c r="L1689" s="102">
        <v>46118</v>
      </c>
      <c r="M1689" s="25" t="s">
        <v>357</v>
      </c>
      <c r="N1689" s="103" t="s">
        <v>347</v>
      </c>
      <c r="O1689" s="26">
        <v>5.01</v>
      </c>
      <c r="P1689" s="26" t="s">
        <v>293</v>
      </c>
    </row>
    <row r="1690" spans="1:16" x14ac:dyDescent="0.3">
      <c r="A1690" s="24">
        <v>55</v>
      </c>
      <c r="B1690" s="102">
        <v>46118</v>
      </c>
      <c r="C1690" s="25" t="s">
        <v>356</v>
      </c>
      <c r="D1690" s="103" t="s">
        <v>128</v>
      </c>
      <c r="E1690" s="26">
        <v>6.7</v>
      </c>
      <c r="F1690" s="26" t="s">
        <v>293</v>
      </c>
      <c r="K1690" s="24">
        <v>55</v>
      </c>
      <c r="L1690" s="102">
        <v>46118</v>
      </c>
      <c r="M1690" s="25" t="s">
        <v>357</v>
      </c>
      <c r="N1690" s="103" t="s">
        <v>128</v>
      </c>
      <c r="O1690" s="26">
        <v>4.4000000000000004</v>
      </c>
      <c r="P1690" s="26" t="s">
        <v>293</v>
      </c>
    </row>
    <row r="1691" spans="1:16" x14ac:dyDescent="0.3">
      <c r="A1691" s="24">
        <v>55</v>
      </c>
      <c r="B1691" s="102">
        <v>46118</v>
      </c>
      <c r="C1691" s="25" t="s">
        <v>356</v>
      </c>
      <c r="D1691" s="103" t="s">
        <v>121</v>
      </c>
      <c r="E1691" s="26">
        <v>159</v>
      </c>
      <c r="F1691" s="26" t="s">
        <v>293</v>
      </c>
      <c r="K1691" s="24">
        <v>55</v>
      </c>
      <c r="L1691" s="102">
        <v>46118</v>
      </c>
      <c r="M1691" s="25" t="s">
        <v>357</v>
      </c>
      <c r="N1691" s="103" t="s">
        <v>121</v>
      </c>
      <c r="O1691" s="26">
        <v>82</v>
      </c>
      <c r="P1691" s="26" t="s">
        <v>293</v>
      </c>
    </row>
    <row r="1692" spans="1:16" x14ac:dyDescent="0.3">
      <c r="A1692" s="24">
        <v>55</v>
      </c>
      <c r="B1692" s="102">
        <v>46118</v>
      </c>
      <c r="C1692" s="25" t="s">
        <v>356</v>
      </c>
      <c r="D1692" s="103" t="s">
        <v>115</v>
      </c>
      <c r="E1692" s="26">
        <v>34</v>
      </c>
      <c r="F1692" s="26" t="s">
        <v>293</v>
      </c>
      <c r="K1692" s="24">
        <v>55</v>
      </c>
      <c r="L1692" s="102">
        <v>46118</v>
      </c>
      <c r="M1692" s="25" t="s">
        <v>357</v>
      </c>
      <c r="N1692" s="103" t="s">
        <v>115</v>
      </c>
      <c r="O1692" s="26">
        <v>94</v>
      </c>
      <c r="P1692" s="26" t="s">
        <v>293</v>
      </c>
    </row>
    <row r="1693" spans="1:16" x14ac:dyDescent="0.3">
      <c r="A1693" s="24">
        <v>55</v>
      </c>
      <c r="B1693" s="102">
        <v>46118</v>
      </c>
      <c r="C1693" s="25" t="s">
        <v>356</v>
      </c>
      <c r="D1693" s="103" t="s">
        <v>137</v>
      </c>
      <c r="E1693" s="26">
        <v>75</v>
      </c>
      <c r="F1693" s="26" t="s">
        <v>293</v>
      </c>
      <c r="K1693" s="24">
        <v>55</v>
      </c>
      <c r="L1693" s="102">
        <v>46118</v>
      </c>
      <c r="M1693" s="25" t="s">
        <v>357</v>
      </c>
      <c r="N1693" s="103" t="s">
        <v>137</v>
      </c>
      <c r="O1693" s="26">
        <v>486</v>
      </c>
      <c r="P1693" s="26" t="s">
        <v>293</v>
      </c>
    </row>
    <row r="1694" spans="1:16" x14ac:dyDescent="0.3">
      <c r="A1694" s="24">
        <v>55</v>
      </c>
      <c r="B1694" s="102">
        <v>46118</v>
      </c>
      <c r="C1694" s="25" t="s">
        <v>356</v>
      </c>
      <c r="D1694" s="103" t="s">
        <v>348</v>
      </c>
      <c r="E1694" s="26">
        <v>140</v>
      </c>
      <c r="F1694" s="26" t="s">
        <v>293</v>
      </c>
      <c r="K1694" s="24">
        <v>55</v>
      </c>
      <c r="L1694" s="102">
        <v>46118</v>
      </c>
      <c r="M1694" s="25" t="s">
        <v>357</v>
      </c>
      <c r="N1694" s="103" t="s">
        <v>348</v>
      </c>
      <c r="O1694" s="26">
        <v>433</v>
      </c>
      <c r="P1694" s="26" t="s">
        <v>293</v>
      </c>
    </row>
    <row r="1695" spans="1:16" x14ac:dyDescent="0.3">
      <c r="A1695" s="24">
        <v>55</v>
      </c>
      <c r="B1695" s="102">
        <v>46118</v>
      </c>
      <c r="C1695" s="25" t="s">
        <v>356</v>
      </c>
      <c r="D1695" s="103" t="s">
        <v>125</v>
      </c>
      <c r="E1695" s="26">
        <v>116</v>
      </c>
      <c r="F1695" s="26" t="s">
        <v>293</v>
      </c>
      <c r="K1695" s="24">
        <v>55</v>
      </c>
      <c r="L1695" s="102">
        <v>46118</v>
      </c>
      <c r="M1695" s="25" t="s">
        <v>357</v>
      </c>
      <c r="N1695" s="103" t="s">
        <v>125</v>
      </c>
      <c r="O1695" s="26">
        <v>438</v>
      </c>
      <c r="P1695" s="26" t="s">
        <v>293</v>
      </c>
    </row>
    <row r="1696" spans="1:16" x14ac:dyDescent="0.3">
      <c r="A1696" s="24">
        <v>55</v>
      </c>
      <c r="B1696" s="102">
        <v>46118</v>
      </c>
      <c r="C1696" s="25" t="s">
        <v>356</v>
      </c>
      <c r="D1696" s="103" t="s">
        <v>126</v>
      </c>
      <c r="E1696" s="26">
        <v>81</v>
      </c>
      <c r="F1696" s="26" t="s">
        <v>293</v>
      </c>
      <c r="K1696" s="24">
        <v>55</v>
      </c>
      <c r="L1696" s="102">
        <v>46118</v>
      </c>
      <c r="M1696" s="25" t="s">
        <v>357</v>
      </c>
      <c r="N1696" s="103" t="s">
        <v>126</v>
      </c>
      <c r="O1696" s="26">
        <v>157</v>
      </c>
      <c r="P1696" s="26" t="s">
        <v>293</v>
      </c>
    </row>
    <row r="1697" spans="1:16" x14ac:dyDescent="0.3">
      <c r="A1697" s="24">
        <v>55</v>
      </c>
      <c r="B1697" s="102">
        <v>46118</v>
      </c>
      <c r="C1697" s="25" t="s">
        <v>356</v>
      </c>
      <c r="D1697" s="103" t="s">
        <v>349</v>
      </c>
      <c r="E1697" s="26">
        <v>168</v>
      </c>
      <c r="F1697" s="26" t="s">
        <v>293</v>
      </c>
      <c r="K1697" s="24">
        <v>55</v>
      </c>
      <c r="L1697" s="102">
        <v>46118</v>
      </c>
      <c r="M1697" s="25" t="s">
        <v>357</v>
      </c>
      <c r="N1697" s="103" t="s">
        <v>349</v>
      </c>
      <c r="O1697" s="26">
        <v>395</v>
      </c>
      <c r="P1697" s="26" t="s">
        <v>293</v>
      </c>
    </row>
    <row r="1698" spans="1:16" x14ac:dyDescent="0.3">
      <c r="A1698" s="24">
        <v>55</v>
      </c>
      <c r="B1698" s="102">
        <v>46118</v>
      </c>
      <c r="C1698" s="25" t="s">
        <v>356</v>
      </c>
      <c r="D1698" s="103" t="s">
        <v>350</v>
      </c>
      <c r="E1698" s="26">
        <v>61</v>
      </c>
      <c r="F1698" s="26" t="s">
        <v>293</v>
      </c>
      <c r="K1698" s="24">
        <v>55</v>
      </c>
      <c r="L1698" s="102">
        <v>46118</v>
      </c>
      <c r="M1698" s="25" t="s">
        <v>357</v>
      </c>
      <c r="N1698" s="103" t="s">
        <v>350</v>
      </c>
      <c r="O1698" s="26">
        <v>90</v>
      </c>
      <c r="P1698" s="26" t="s">
        <v>293</v>
      </c>
    </row>
    <row r="1699" spans="1:16" x14ac:dyDescent="0.3">
      <c r="A1699" s="24">
        <v>55</v>
      </c>
      <c r="B1699" s="102">
        <v>46118</v>
      </c>
      <c r="C1699" s="25" t="s">
        <v>356</v>
      </c>
      <c r="D1699" s="103" t="s">
        <v>122</v>
      </c>
      <c r="E1699" s="26">
        <v>48</v>
      </c>
      <c r="F1699" s="26" t="s">
        <v>293</v>
      </c>
      <c r="K1699" s="24">
        <v>55</v>
      </c>
      <c r="L1699" s="102">
        <v>46118</v>
      </c>
      <c r="M1699" s="25" t="s">
        <v>357</v>
      </c>
      <c r="N1699" s="103" t="s">
        <v>122</v>
      </c>
      <c r="O1699" s="26">
        <v>220</v>
      </c>
      <c r="P1699" s="26" t="s">
        <v>293</v>
      </c>
    </row>
    <row r="1700" spans="1:16" x14ac:dyDescent="0.3">
      <c r="A1700" s="24">
        <v>55</v>
      </c>
      <c r="B1700" s="102">
        <v>46118</v>
      </c>
      <c r="C1700" s="25" t="s">
        <v>356</v>
      </c>
      <c r="D1700" s="103" t="s">
        <v>124</v>
      </c>
      <c r="E1700" s="26">
        <v>30</v>
      </c>
      <c r="F1700" s="26" t="s">
        <v>293</v>
      </c>
      <c r="K1700" s="24">
        <v>55</v>
      </c>
      <c r="L1700" s="102">
        <v>46118</v>
      </c>
      <c r="M1700" s="25" t="s">
        <v>357</v>
      </c>
      <c r="N1700" s="103" t="s">
        <v>124</v>
      </c>
      <c r="O1700" s="26">
        <v>105</v>
      </c>
      <c r="P1700" s="26" t="s">
        <v>293</v>
      </c>
    </row>
    <row r="1701" spans="1:16" x14ac:dyDescent="0.3">
      <c r="A1701" s="24">
        <v>55</v>
      </c>
      <c r="B1701" s="102">
        <v>46118</v>
      </c>
      <c r="C1701" s="25" t="s">
        <v>356</v>
      </c>
      <c r="D1701" s="103" t="s">
        <v>351</v>
      </c>
      <c r="E1701" s="26">
        <v>0.96</v>
      </c>
      <c r="F1701" s="26" t="s">
        <v>293</v>
      </c>
      <c r="K1701" s="24">
        <v>55</v>
      </c>
      <c r="L1701" s="102">
        <v>46118</v>
      </c>
      <c r="M1701" s="25" t="s">
        <v>357</v>
      </c>
      <c r="N1701" s="103" t="s">
        <v>351</v>
      </c>
      <c r="O1701" s="26">
        <v>3.61</v>
      </c>
      <c r="P1701" s="26" t="s">
        <v>293</v>
      </c>
    </row>
    <row r="1702" spans="1:16" x14ac:dyDescent="0.3">
      <c r="A1702" s="24">
        <v>55</v>
      </c>
      <c r="B1702" s="102">
        <v>46118</v>
      </c>
      <c r="C1702" s="25" t="s">
        <v>356</v>
      </c>
      <c r="D1702" s="103" t="s">
        <v>353</v>
      </c>
      <c r="E1702" s="26">
        <v>33.1</v>
      </c>
      <c r="F1702" s="26" t="s">
        <v>293</v>
      </c>
      <c r="K1702" s="24">
        <v>55</v>
      </c>
      <c r="L1702" s="102">
        <v>46118</v>
      </c>
      <c r="M1702" s="25" t="s">
        <v>357</v>
      </c>
      <c r="N1702" s="103" t="s">
        <v>353</v>
      </c>
      <c r="O1702" s="26">
        <v>16.2</v>
      </c>
      <c r="P1702" s="26" t="s">
        <v>293</v>
      </c>
    </row>
    <row r="1703" spans="1:16" x14ac:dyDescent="0.3">
      <c r="A1703" s="24">
        <v>55</v>
      </c>
      <c r="B1703" s="102">
        <v>46118</v>
      </c>
      <c r="C1703" s="25" t="s">
        <v>356</v>
      </c>
      <c r="D1703" s="103" t="s">
        <v>133</v>
      </c>
      <c r="E1703" s="26">
        <v>149</v>
      </c>
      <c r="F1703" s="26" t="s">
        <v>293</v>
      </c>
      <c r="K1703" s="24">
        <v>55</v>
      </c>
      <c r="L1703" s="102">
        <v>46118</v>
      </c>
      <c r="M1703" s="25" t="s">
        <v>357</v>
      </c>
      <c r="N1703" s="103" t="s">
        <v>133</v>
      </c>
      <c r="O1703" s="26">
        <v>129</v>
      </c>
      <c r="P1703" s="26" t="s">
        <v>293</v>
      </c>
    </row>
    <row r="1704" spans="1:16" x14ac:dyDescent="0.3">
      <c r="A1704" s="24">
        <v>55</v>
      </c>
      <c r="B1704" s="102">
        <v>46118</v>
      </c>
      <c r="C1704" s="25" t="s">
        <v>356</v>
      </c>
      <c r="D1704" s="103" t="s">
        <v>135</v>
      </c>
      <c r="E1704" s="26">
        <v>3.9</v>
      </c>
      <c r="F1704" s="26" t="s">
        <v>293</v>
      </c>
      <c r="K1704" s="24">
        <v>55</v>
      </c>
      <c r="L1704" s="102">
        <v>46118</v>
      </c>
      <c r="M1704" s="25" t="s">
        <v>357</v>
      </c>
      <c r="N1704" s="103" t="s">
        <v>135</v>
      </c>
      <c r="O1704" s="26">
        <v>6.7</v>
      </c>
      <c r="P1704" s="26" t="s">
        <v>293</v>
      </c>
    </row>
    <row r="1705" spans="1:16" x14ac:dyDescent="0.3">
      <c r="A1705" s="24">
        <v>55</v>
      </c>
      <c r="B1705" s="102">
        <v>46118</v>
      </c>
      <c r="C1705" s="25" t="s">
        <v>356</v>
      </c>
      <c r="D1705" s="103" t="s">
        <v>136</v>
      </c>
      <c r="E1705" s="26">
        <v>117</v>
      </c>
      <c r="F1705" s="26" t="s">
        <v>293</v>
      </c>
      <c r="K1705" s="24">
        <v>55</v>
      </c>
      <c r="L1705" s="102">
        <v>46118</v>
      </c>
      <c r="M1705" s="25" t="s">
        <v>357</v>
      </c>
      <c r="N1705" s="103" t="s">
        <v>136</v>
      </c>
      <c r="O1705" s="26">
        <v>95</v>
      </c>
      <c r="P1705" s="26" t="s">
        <v>293</v>
      </c>
    </row>
    <row r="1706" spans="1:16" x14ac:dyDescent="0.3">
      <c r="A1706" s="24">
        <v>56</v>
      </c>
      <c r="B1706" s="102">
        <v>46119</v>
      </c>
      <c r="C1706" s="25" t="s">
        <v>356</v>
      </c>
      <c r="D1706" s="103" t="s">
        <v>339</v>
      </c>
      <c r="E1706" s="26">
        <v>4.63</v>
      </c>
      <c r="F1706" s="26" t="s">
        <v>293</v>
      </c>
      <c r="K1706" s="24">
        <v>56</v>
      </c>
      <c r="L1706" s="102">
        <v>46119</v>
      </c>
      <c r="M1706" s="25" t="s">
        <v>357</v>
      </c>
      <c r="N1706" s="103" t="s">
        <v>339</v>
      </c>
      <c r="O1706" s="26">
        <v>1.17</v>
      </c>
      <c r="P1706" s="26" t="s">
        <v>293</v>
      </c>
    </row>
    <row r="1707" spans="1:16" x14ac:dyDescent="0.3">
      <c r="A1707" s="24">
        <v>56</v>
      </c>
      <c r="B1707" s="102">
        <v>46119</v>
      </c>
      <c r="C1707" s="25" t="s">
        <v>356</v>
      </c>
      <c r="D1707" s="103" t="s">
        <v>118</v>
      </c>
      <c r="E1707" s="26">
        <v>4.5999999999999996</v>
      </c>
      <c r="F1707" s="26" t="s">
        <v>293</v>
      </c>
      <c r="K1707" s="24">
        <v>56</v>
      </c>
      <c r="L1707" s="102">
        <v>46119</v>
      </c>
      <c r="M1707" s="25" t="s">
        <v>357</v>
      </c>
      <c r="N1707" s="103" t="s">
        <v>118</v>
      </c>
      <c r="O1707" s="26">
        <v>9.6999999999999993</v>
      </c>
      <c r="P1707" s="26" t="s">
        <v>293</v>
      </c>
    </row>
    <row r="1708" spans="1:16" x14ac:dyDescent="0.3">
      <c r="A1708" s="24">
        <v>56</v>
      </c>
      <c r="B1708" s="102">
        <v>46119</v>
      </c>
      <c r="C1708" s="25" t="s">
        <v>356</v>
      </c>
      <c r="D1708" s="103" t="s">
        <v>130</v>
      </c>
      <c r="E1708" s="26">
        <v>3.77</v>
      </c>
      <c r="F1708" s="26" t="s">
        <v>293</v>
      </c>
      <c r="K1708" s="24">
        <v>56</v>
      </c>
      <c r="L1708" s="102">
        <v>46119</v>
      </c>
      <c r="M1708" s="25" t="s">
        <v>357</v>
      </c>
      <c r="N1708" s="103" t="s">
        <v>130</v>
      </c>
      <c r="O1708" s="26">
        <v>2.44</v>
      </c>
      <c r="P1708" s="26" t="s">
        <v>293</v>
      </c>
    </row>
    <row r="1709" spans="1:16" x14ac:dyDescent="0.3">
      <c r="A1709" s="24">
        <v>56</v>
      </c>
      <c r="B1709" s="102">
        <v>46119</v>
      </c>
      <c r="C1709" s="25" t="s">
        <v>356</v>
      </c>
      <c r="D1709" s="103" t="s">
        <v>341</v>
      </c>
      <c r="E1709" s="26">
        <v>0.28000000000000003</v>
      </c>
      <c r="F1709" s="26" t="s">
        <v>293</v>
      </c>
      <c r="K1709" s="24">
        <v>56</v>
      </c>
      <c r="L1709" s="102">
        <v>46119</v>
      </c>
      <c r="M1709" s="25" t="s">
        <v>357</v>
      </c>
      <c r="N1709" s="103" t="s">
        <v>341</v>
      </c>
      <c r="O1709" s="26">
        <v>1.07</v>
      </c>
      <c r="P1709" s="26" t="s">
        <v>293</v>
      </c>
    </row>
    <row r="1710" spans="1:16" x14ac:dyDescent="0.3">
      <c r="A1710" s="24">
        <v>56</v>
      </c>
      <c r="B1710" s="102">
        <v>46119</v>
      </c>
      <c r="C1710" s="25" t="s">
        <v>356</v>
      </c>
      <c r="D1710" s="103" t="s">
        <v>127</v>
      </c>
      <c r="E1710" s="26">
        <v>1.17</v>
      </c>
      <c r="F1710" s="26" t="s">
        <v>293</v>
      </c>
      <c r="K1710" s="24">
        <v>56</v>
      </c>
      <c r="L1710" s="102">
        <v>46119</v>
      </c>
      <c r="M1710" s="25" t="s">
        <v>357</v>
      </c>
      <c r="N1710" s="103" t="s">
        <v>127</v>
      </c>
      <c r="O1710" s="26">
        <v>4.62</v>
      </c>
      <c r="P1710" s="26" t="s">
        <v>293</v>
      </c>
    </row>
    <row r="1711" spans="1:16" x14ac:dyDescent="0.3">
      <c r="A1711" s="24">
        <v>56</v>
      </c>
      <c r="B1711" s="102">
        <v>46119</v>
      </c>
      <c r="C1711" s="25" t="s">
        <v>356</v>
      </c>
      <c r="D1711" s="103" t="s">
        <v>131</v>
      </c>
      <c r="E1711" s="26">
        <v>8.9</v>
      </c>
      <c r="F1711" s="26" t="s">
        <v>293</v>
      </c>
      <c r="K1711" s="24">
        <v>56</v>
      </c>
      <c r="L1711" s="102">
        <v>46119</v>
      </c>
      <c r="M1711" s="25" t="s">
        <v>357</v>
      </c>
      <c r="N1711" s="103" t="s">
        <v>131</v>
      </c>
      <c r="O1711" s="26">
        <v>12.3</v>
      </c>
      <c r="P1711" s="26" t="s">
        <v>293</v>
      </c>
    </row>
    <row r="1712" spans="1:16" x14ac:dyDescent="0.3">
      <c r="A1712" s="24">
        <v>56</v>
      </c>
      <c r="B1712" s="102">
        <v>46119</v>
      </c>
      <c r="C1712" s="25" t="s">
        <v>356</v>
      </c>
      <c r="D1712" s="103" t="s">
        <v>342</v>
      </c>
      <c r="E1712" s="26">
        <v>339</v>
      </c>
      <c r="F1712" s="26" t="s">
        <v>293</v>
      </c>
      <c r="K1712" s="24">
        <v>56</v>
      </c>
      <c r="L1712" s="102">
        <v>46119</v>
      </c>
      <c r="M1712" s="25" t="s">
        <v>357</v>
      </c>
      <c r="N1712" s="103" t="s">
        <v>342</v>
      </c>
      <c r="O1712" s="26">
        <v>200</v>
      </c>
      <c r="P1712" s="26" t="s">
        <v>293</v>
      </c>
    </row>
    <row r="1713" spans="1:16" x14ac:dyDescent="0.3">
      <c r="A1713" s="24">
        <v>56</v>
      </c>
      <c r="B1713" s="102">
        <v>46119</v>
      </c>
      <c r="C1713" s="25" t="s">
        <v>356</v>
      </c>
      <c r="D1713" s="103" t="s">
        <v>119</v>
      </c>
      <c r="E1713" s="26">
        <v>236</v>
      </c>
      <c r="F1713" s="26" t="s">
        <v>293</v>
      </c>
      <c r="K1713" s="24">
        <v>56</v>
      </c>
      <c r="L1713" s="102">
        <v>46119</v>
      </c>
      <c r="M1713" s="25" t="s">
        <v>357</v>
      </c>
      <c r="N1713" s="103" t="s">
        <v>119</v>
      </c>
      <c r="O1713" s="26">
        <v>89</v>
      </c>
      <c r="P1713" s="26" t="s">
        <v>293</v>
      </c>
    </row>
    <row r="1714" spans="1:16" x14ac:dyDescent="0.3">
      <c r="A1714" s="24">
        <v>56</v>
      </c>
      <c r="B1714" s="102">
        <v>46119</v>
      </c>
      <c r="C1714" s="25" t="s">
        <v>356</v>
      </c>
      <c r="D1714" s="103" t="s">
        <v>120</v>
      </c>
      <c r="E1714" s="26">
        <v>76</v>
      </c>
      <c r="F1714" s="26" t="s">
        <v>293</v>
      </c>
      <c r="K1714" s="24">
        <v>56</v>
      </c>
      <c r="L1714" s="102">
        <v>46119</v>
      </c>
      <c r="M1714" s="25" t="s">
        <v>357</v>
      </c>
      <c r="N1714" s="103" t="s">
        <v>120</v>
      </c>
      <c r="O1714" s="26">
        <v>27</v>
      </c>
      <c r="P1714" s="26" t="s">
        <v>293</v>
      </c>
    </row>
    <row r="1715" spans="1:16" x14ac:dyDescent="0.3">
      <c r="A1715" s="24">
        <v>56</v>
      </c>
      <c r="B1715" s="102">
        <v>46119</v>
      </c>
      <c r="C1715" s="25" t="s">
        <v>356</v>
      </c>
      <c r="D1715" s="103" t="s">
        <v>117</v>
      </c>
      <c r="E1715" s="26">
        <v>2.64</v>
      </c>
      <c r="F1715" s="26" t="s">
        <v>293</v>
      </c>
      <c r="K1715" s="24">
        <v>56</v>
      </c>
      <c r="L1715" s="102">
        <v>46119</v>
      </c>
      <c r="M1715" s="25" t="s">
        <v>357</v>
      </c>
      <c r="N1715" s="103" t="s">
        <v>117</v>
      </c>
      <c r="O1715" s="26">
        <v>6.34</v>
      </c>
      <c r="P1715" s="26" t="s">
        <v>293</v>
      </c>
    </row>
    <row r="1716" spans="1:16" x14ac:dyDescent="0.3">
      <c r="A1716" s="24">
        <v>56</v>
      </c>
      <c r="B1716" s="102">
        <v>46119</v>
      </c>
      <c r="C1716" s="25" t="s">
        <v>356</v>
      </c>
      <c r="D1716" s="103" t="s">
        <v>344</v>
      </c>
      <c r="E1716" s="26">
        <v>230</v>
      </c>
      <c r="F1716" s="26" t="s">
        <v>293</v>
      </c>
      <c r="K1716" s="24">
        <v>56</v>
      </c>
      <c r="L1716" s="102">
        <v>46119</v>
      </c>
      <c r="M1716" s="25" t="s">
        <v>357</v>
      </c>
      <c r="N1716" s="103" t="s">
        <v>344</v>
      </c>
      <c r="O1716" s="26">
        <v>70</v>
      </c>
      <c r="P1716" s="26" t="s">
        <v>293</v>
      </c>
    </row>
    <row r="1717" spans="1:16" x14ac:dyDescent="0.3">
      <c r="A1717" s="24">
        <v>56</v>
      </c>
      <c r="B1717" s="102">
        <v>46119</v>
      </c>
      <c r="C1717" s="25" t="s">
        <v>356</v>
      </c>
      <c r="D1717" s="103" t="s">
        <v>132</v>
      </c>
      <c r="E1717" s="26">
        <v>3.45</v>
      </c>
      <c r="F1717" s="26" t="s">
        <v>293</v>
      </c>
      <c r="K1717" s="24">
        <v>56</v>
      </c>
      <c r="L1717" s="102">
        <v>46119</v>
      </c>
      <c r="M1717" s="25" t="s">
        <v>357</v>
      </c>
      <c r="N1717" s="103" t="s">
        <v>132</v>
      </c>
      <c r="O1717" s="26">
        <v>7.15</v>
      </c>
      <c r="P1717" s="26" t="s">
        <v>293</v>
      </c>
    </row>
    <row r="1718" spans="1:16" x14ac:dyDescent="0.3">
      <c r="A1718" s="24">
        <v>56</v>
      </c>
      <c r="B1718" s="102">
        <v>46119</v>
      </c>
      <c r="C1718" s="25" t="s">
        <v>356</v>
      </c>
      <c r="D1718" s="103" t="s">
        <v>111</v>
      </c>
      <c r="E1718" s="26">
        <v>88</v>
      </c>
      <c r="F1718" s="26" t="s">
        <v>293</v>
      </c>
      <c r="K1718" s="24">
        <v>56</v>
      </c>
      <c r="L1718" s="102">
        <v>46119</v>
      </c>
      <c r="M1718" s="25" t="s">
        <v>357</v>
      </c>
      <c r="N1718" s="103" t="s">
        <v>111</v>
      </c>
      <c r="O1718" s="26">
        <v>286</v>
      </c>
      <c r="P1718" s="26" t="s">
        <v>293</v>
      </c>
    </row>
    <row r="1719" spans="1:16" x14ac:dyDescent="0.3">
      <c r="A1719" s="24">
        <v>56</v>
      </c>
      <c r="B1719" s="102">
        <v>46119</v>
      </c>
      <c r="C1719" s="25" t="s">
        <v>356</v>
      </c>
      <c r="D1719" s="103" t="s">
        <v>345</v>
      </c>
      <c r="E1719" s="26">
        <v>5.12</v>
      </c>
      <c r="F1719" s="26" t="s">
        <v>293</v>
      </c>
      <c r="K1719" s="24">
        <v>56</v>
      </c>
      <c r="L1719" s="102">
        <v>46119</v>
      </c>
      <c r="M1719" s="25" t="s">
        <v>357</v>
      </c>
      <c r="N1719" s="103" t="s">
        <v>345</v>
      </c>
      <c r="O1719" s="26">
        <v>9.9</v>
      </c>
      <c r="P1719" s="26" t="s">
        <v>293</v>
      </c>
    </row>
    <row r="1720" spans="1:16" x14ac:dyDescent="0.3">
      <c r="A1720" s="24">
        <v>56</v>
      </c>
      <c r="B1720" s="102">
        <v>46119</v>
      </c>
      <c r="C1720" s="25" t="s">
        <v>356</v>
      </c>
      <c r="D1720" s="103" t="s">
        <v>347</v>
      </c>
      <c r="E1720" s="26">
        <v>2.08</v>
      </c>
      <c r="F1720" s="26" t="s">
        <v>293</v>
      </c>
      <c r="K1720" s="24">
        <v>56</v>
      </c>
      <c r="L1720" s="102">
        <v>46119</v>
      </c>
      <c r="M1720" s="25" t="s">
        <v>357</v>
      </c>
      <c r="N1720" s="103" t="s">
        <v>347</v>
      </c>
      <c r="O1720" s="26">
        <v>5.01</v>
      </c>
      <c r="P1720" s="26" t="s">
        <v>293</v>
      </c>
    </row>
    <row r="1721" spans="1:16" x14ac:dyDescent="0.3">
      <c r="A1721" s="24">
        <v>56</v>
      </c>
      <c r="B1721" s="102">
        <v>46119</v>
      </c>
      <c r="C1721" s="25" t="s">
        <v>356</v>
      </c>
      <c r="D1721" s="103" t="s">
        <v>128</v>
      </c>
      <c r="E1721" s="26">
        <v>6.7</v>
      </c>
      <c r="F1721" s="26" t="s">
        <v>293</v>
      </c>
      <c r="K1721" s="24">
        <v>56</v>
      </c>
      <c r="L1721" s="102">
        <v>46119</v>
      </c>
      <c r="M1721" s="25" t="s">
        <v>357</v>
      </c>
      <c r="N1721" s="103" t="s">
        <v>128</v>
      </c>
      <c r="O1721" s="26">
        <v>4.4000000000000004</v>
      </c>
      <c r="P1721" s="26" t="s">
        <v>293</v>
      </c>
    </row>
    <row r="1722" spans="1:16" x14ac:dyDescent="0.3">
      <c r="A1722" s="24">
        <v>56</v>
      </c>
      <c r="B1722" s="102">
        <v>46119</v>
      </c>
      <c r="C1722" s="25" t="s">
        <v>356</v>
      </c>
      <c r="D1722" s="103" t="s">
        <v>121</v>
      </c>
      <c r="E1722" s="26">
        <v>156</v>
      </c>
      <c r="F1722" s="26" t="s">
        <v>293</v>
      </c>
      <c r="K1722" s="24">
        <v>56</v>
      </c>
      <c r="L1722" s="102">
        <v>46119</v>
      </c>
      <c r="M1722" s="25" t="s">
        <v>357</v>
      </c>
      <c r="N1722" s="103" t="s">
        <v>121</v>
      </c>
      <c r="O1722" s="26">
        <v>81</v>
      </c>
      <c r="P1722" s="26" t="s">
        <v>293</v>
      </c>
    </row>
    <row r="1723" spans="1:16" x14ac:dyDescent="0.3">
      <c r="A1723" s="24">
        <v>56</v>
      </c>
      <c r="B1723" s="102">
        <v>46119</v>
      </c>
      <c r="C1723" s="25" t="s">
        <v>356</v>
      </c>
      <c r="D1723" s="103" t="s">
        <v>115</v>
      </c>
      <c r="E1723" s="26">
        <v>32</v>
      </c>
      <c r="F1723" s="26" t="s">
        <v>293</v>
      </c>
      <c r="K1723" s="24">
        <v>56</v>
      </c>
      <c r="L1723" s="102">
        <v>46119</v>
      </c>
      <c r="M1723" s="25" t="s">
        <v>357</v>
      </c>
      <c r="N1723" s="103" t="s">
        <v>115</v>
      </c>
      <c r="O1723" s="26">
        <v>94</v>
      </c>
      <c r="P1723" s="26" t="s">
        <v>293</v>
      </c>
    </row>
    <row r="1724" spans="1:16" x14ac:dyDescent="0.3">
      <c r="A1724" s="24">
        <v>56</v>
      </c>
      <c r="B1724" s="102">
        <v>46119</v>
      </c>
      <c r="C1724" s="25" t="s">
        <v>356</v>
      </c>
      <c r="D1724" s="103" t="s">
        <v>137</v>
      </c>
      <c r="E1724" s="26">
        <v>73</v>
      </c>
      <c r="F1724" s="26" t="s">
        <v>293</v>
      </c>
      <c r="K1724" s="24">
        <v>56</v>
      </c>
      <c r="L1724" s="102">
        <v>46119</v>
      </c>
      <c r="M1724" s="25" t="s">
        <v>357</v>
      </c>
      <c r="N1724" s="103" t="s">
        <v>137</v>
      </c>
      <c r="O1724" s="26">
        <v>479</v>
      </c>
      <c r="P1724" s="26" t="s">
        <v>293</v>
      </c>
    </row>
    <row r="1725" spans="1:16" x14ac:dyDescent="0.3">
      <c r="A1725" s="24">
        <v>56</v>
      </c>
      <c r="B1725" s="102">
        <v>46119</v>
      </c>
      <c r="C1725" s="25" t="s">
        <v>356</v>
      </c>
      <c r="D1725" s="103" t="s">
        <v>348</v>
      </c>
      <c r="E1725" s="26">
        <v>139</v>
      </c>
      <c r="F1725" s="26" t="s">
        <v>293</v>
      </c>
      <c r="K1725" s="24">
        <v>56</v>
      </c>
      <c r="L1725" s="102">
        <v>46119</v>
      </c>
      <c r="M1725" s="25" t="s">
        <v>357</v>
      </c>
      <c r="N1725" s="103" t="s">
        <v>348</v>
      </c>
      <c r="O1725" s="26">
        <v>430</v>
      </c>
      <c r="P1725" s="26" t="s">
        <v>293</v>
      </c>
    </row>
    <row r="1726" spans="1:16" x14ac:dyDescent="0.3">
      <c r="A1726" s="24">
        <v>56</v>
      </c>
      <c r="B1726" s="102">
        <v>46119</v>
      </c>
      <c r="C1726" s="25" t="s">
        <v>356</v>
      </c>
      <c r="D1726" s="103" t="s">
        <v>125</v>
      </c>
      <c r="E1726" s="26">
        <v>116</v>
      </c>
      <c r="F1726" s="26" t="s">
        <v>293</v>
      </c>
      <c r="K1726" s="24">
        <v>56</v>
      </c>
      <c r="L1726" s="102">
        <v>46119</v>
      </c>
      <c r="M1726" s="25" t="s">
        <v>357</v>
      </c>
      <c r="N1726" s="103" t="s">
        <v>125</v>
      </c>
      <c r="O1726" s="26">
        <v>435</v>
      </c>
      <c r="P1726" s="26" t="s">
        <v>293</v>
      </c>
    </row>
    <row r="1727" spans="1:16" x14ac:dyDescent="0.3">
      <c r="A1727" s="24">
        <v>56</v>
      </c>
      <c r="B1727" s="102">
        <v>46119</v>
      </c>
      <c r="C1727" s="25" t="s">
        <v>356</v>
      </c>
      <c r="D1727" s="103" t="s">
        <v>126</v>
      </c>
      <c r="E1727" s="26">
        <v>79</v>
      </c>
      <c r="F1727" s="26" t="s">
        <v>293</v>
      </c>
      <c r="K1727" s="24">
        <v>56</v>
      </c>
      <c r="L1727" s="102">
        <v>46119</v>
      </c>
      <c r="M1727" s="25" t="s">
        <v>357</v>
      </c>
      <c r="N1727" s="103" t="s">
        <v>126</v>
      </c>
      <c r="O1727" s="26">
        <v>152</v>
      </c>
      <c r="P1727" s="26" t="s">
        <v>293</v>
      </c>
    </row>
    <row r="1728" spans="1:16" x14ac:dyDescent="0.3">
      <c r="A1728" s="24">
        <v>56</v>
      </c>
      <c r="B1728" s="102">
        <v>46119</v>
      </c>
      <c r="C1728" s="25" t="s">
        <v>356</v>
      </c>
      <c r="D1728" s="103" t="s">
        <v>349</v>
      </c>
      <c r="E1728" s="26">
        <v>157</v>
      </c>
      <c r="F1728" s="26" t="s">
        <v>293</v>
      </c>
      <c r="K1728" s="24">
        <v>56</v>
      </c>
      <c r="L1728" s="102">
        <v>46119</v>
      </c>
      <c r="M1728" s="25" t="s">
        <v>357</v>
      </c>
      <c r="N1728" s="103" t="s">
        <v>349</v>
      </c>
      <c r="O1728" s="26">
        <v>372</v>
      </c>
      <c r="P1728" s="26" t="s">
        <v>293</v>
      </c>
    </row>
    <row r="1729" spans="1:16" x14ac:dyDescent="0.3">
      <c r="A1729" s="24">
        <v>56</v>
      </c>
      <c r="B1729" s="102">
        <v>46119</v>
      </c>
      <c r="C1729" s="25" t="s">
        <v>356</v>
      </c>
      <c r="D1729" s="103" t="s">
        <v>350</v>
      </c>
      <c r="E1729" s="26">
        <v>61</v>
      </c>
      <c r="F1729" s="26" t="s">
        <v>293</v>
      </c>
      <c r="K1729" s="24">
        <v>56</v>
      </c>
      <c r="L1729" s="102">
        <v>46119</v>
      </c>
      <c r="M1729" s="25" t="s">
        <v>357</v>
      </c>
      <c r="N1729" s="103" t="s">
        <v>350</v>
      </c>
      <c r="O1729" s="26">
        <v>90</v>
      </c>
      <c r="P1729" s="26" t="s">
        <v>293</v>
      </c>
    </row>
    <row r="1730" spans="1:16" x14ac:dyDescent="0.3">
      <c r="A1730" s="24">
        <v>56</v>
      </c>
      <c r="B1730" s="102">
        <v>46119</v>
      </c>
      <c r="C1730" s="25" t="s">
        <v>356</v>
      </c>
      <c r="D1730" s="103" t="s">
        <v>122</v>
      </c>
      <c r="E1730" s="26">
        <v>46</v>
      </c>
      <c r="F1730" s="26" t="s">
        <v>293</v>
      </c>
      <c r="K1730" s="24">
        <v>56</v>
      </c>
      <c r="L1730" s="102">
        <v>46119</v>
      </c>
      <c r="M1730" s="25" t="s">
        <v>357</v>
      </c>
      <c r="N1730" s="103" t="s">
        <v>122</v>
      </c>
      <c r="O1730" s="26">
        <v>216</v>
      </c>
      <c r="P1730" s="26" t="s">
        <v>293</v>
      </c>
    </row>
    <row r="1731" spans="1:16" x14ac:dyDescent="0.3">
      <c r="A1731" s="24">
        <v>56</v>
      </c>
      <c r="B1731" s="102">
        <v>46119</v>
      </c>
      <c r="C1731" s="25" t="s">
        <v>356</v>
      </c>
      <c r="D1731" s="103" t="s">
        <v>124</v>
      </c>
      <c r="E1731" s="26">
        <v>30</v>
      </c>
      <c r="F1731" s="26" t="s">
        <v>293</v>
      </c>
      <c r="K1731" s="24">
        <v>56</v>
      </c>
      <c r="L1731" s="102">
        <v>46119</v>
      </c>
      <c r="M1731" s="25" t="s">
        <v>357</v>
      </c>
      <c r="N1731" s="103" t="s">
        <v>124</v>
      </c>
      <c r="O1731" s="26">
        <v>104</v>
      </c>
      <c r="P1731" s="26" t="s">
        <v>293</v>
      </c>
    </row>
    <row r="1732" spans="1:16" x14ac:dyDescent="0.3">
      <c r="A1732" s="24">
        <v>56</v>
      </c>
      <c r="B1732" s="102">
        <v>46119</v>
      </c>
      <c r="C1732" s="25" t="s">
        <v>356</v>
      </c>
      <c r="D1732" s="103" t="s">
        <v>351</v>
      </c>
      <c r="E1732" s="26">
        <v>0.95</v>
      </c>
      <c r="F1732" s="26" t="s">
        <v>293</v>
      </c>
      <c r="K1732" s="24">
        <v>56</v>
      </c>
      <c r="L1732" s="102">
        <v>46119</v>
      </c>
      <c r="M1732" s="25" t="s">
        <v>357</v>
      </c>
      <c r="N1732" s="103" t="s">
        <v>351</v>
      </c>
      <c r="O1732" s="26">
        <v>3.58</v>
      </c>
      <c r="P1732" s="26" t="s">
        <v>293</v>
      </c>
    </row>
    <row r="1733" spans="1:16" x14ac:dyDescent="0.3">
      <c r="A1733" s="24">
        <v>56</v>
      </c>
      <c r="B1733" s="102">
        <v>46119</v>
      </c>
      <c r="C1733" s="25" t="s">
        <v>356</v>
      </c>
      <c r="D1733" s="103" t="s">
        <v>353</v>
      </c>
      <c r="E1733" s="26">
        <v>36.200000000000003</v>
      </c>
      <c r="F1733" s="26" t="s">
        <v>293</v>
      </c>
      <c r="K1733" s="24">
        <v>56</v>
      </c>
      <c r="L1733" s="102">
        <v>46119</v>
      </c>
      <c r="M1733" s="25" t="s">
        <v>357</v>
      </c>
      <c r="N1733" s="103" t="s">
        <v>353</v>
      </c>
      <c r="O1733" s="26">
        <v>20.9</v>
      </c>
      <c r="P1733" s="26" t="s">
        <v>293</v>
      </c>
    </row>
    <row r="1734" spans="1:16" x14ac:dyDescent="0.3">
      <c r="A1734" s="24">
        <v>56</v>
      </c>
      <c r="B1734" s="102">
        <v>46119</v>
      </c>
      <c r="C1734" s="25" t="s">
        <v>356</v>
      </c>
      <c r="D1734" s="103" t="s">
        <v>133</v>
      </c>
      <c r="E1734" s="26">
        <v>145</v>
      </c>
      <c r="F1734" s="26" t="s">
        <v>293</v>
      </c>
      <c r="K1734" s="24">
        <v>56</v>
      </c>
      <c r="L1734" s="102">
        <v>46119</v>
      </c>
      <c r="M1734" s="25" t="s">
        <v>357</v>
      </c>
      <c r="N1734" s="103" t="s">
        <v>133</v>
      </c>
      <c r="O1734" s="26">
        <v>128</v>
      </c>
      <c r="P1734" s="26" t="s">
        <v>293</v>
      </c>
    </row>
    <row r="1735" spans="1:16" x14ac:dyDescent="0.3">
      <c r="A1735" s="24">
        <v>56</v>
      </c>
      <c r="B1735" s="102">
        <v>46119</v>
      </c>
      <c r="C1735" s="25" t="s">
        <v>356</v>
      </c>
      <c r="D1735" s="103" t="s">
        <v>135</v>
      </c>
      <c r="E1735" s="26">
        <v>3.8</v>
      </c>
      <c r="F1735" s="26" t="s">
        <v>293</v>
      </c>
      <c r="K1735" s="24">
        <v>56</v>
      </c>
      <c r="L1735" s="102">
        <v>46119</v>
      </c>
      <c r="M1735" s="25" t="s">
        <v>357</v>
      </c>
      <c r="N1735" s="103" t="s">
        <v>135</v>
      </c>
      <c r="O1735" s="26">
        <v>6.5</v>
      </c>
      <c r="P1735" s="26" t="s">
        <v>293</v>
      </c>
    </row>
    <row r="1736" spans="1:16" x14ac:dyDescent="0.3">
      <c r="A1736" s="24">
        <v>56</v>
      </c>
      <c r="B1736" s="102">
        <v>46119</v>
      </c>
      <c r="C1736" s="25" t="s">
        <v>356</v>
      </c>
      <c r="D1736" s="103" t="s">
        <v>136</v>
      </c>
      <c r="E1736" s="26">
        <v>115</v>
      </c>
      <c r="F1736" s="26" t="s">
        <v>293</v>
      </c>
      <c r="K1736" s="24">
        <v>56</v>
      </c>
      <c r="L1736" s="102">
        <v>46119</v>
      </c>
      <c r="M1736" s="25" t="s">
        <v>357</v>
      </c>
      <c r="N1736" s="103" t="s">
        <v>136</v>
      </c>
      <c r="O1736" s="26">
        <v>96</v>
      </c>
      <c r="P1736" s="26" t="s">
        <v>293</v>
      </c>
    </row>
    <row r="1737" spans="1:16" x14ac:dyDescent="0.3">
      <c r="A1737" s="24">
        <v>57</v>
      </c>
      <c r="B1737" s="102">
        <v>46120</v>
      </c>
      <c r="C1737" s="25" t="s">
        <v>356</v>
      </c>
      <c r="D1737" s="103" t="s">
        <v>339</v>
      </c>
      <c r="E1737" s="26">
        <v>4.53</v>
      </c>
      <c r="F1737" s="26" t="s">
        <v>293</v>
      </c>
      <c r="K1737" s="24">
        <v>57</v>
      </c>
      <c r="L1737" s="102">
        <v>46120</v>
      </c>
      <c r="M1737" s="25" t="s">
        <v>357</v>
      </c>
      <c r="N1737" s="103" t="s">
        <v>339</v>
      </c>
      <c r="O1737" s="26">
        <v>1.1299999999999999</v>
      </c>
      <c r="P1737" s="26" t="s">
        <v>293</v>
      </c>
    </row>
    <row r="1738" spans="1:16" x14ac:dyDescent="0.3">
      <c r="A1738" s="24">
        <v>57</v>
      </c>
      <c r="B1738" s="102">
        <v>46120</v>
      </c>
      <c r="C1738" s="25" t="s">
        <v>356</v>
      </c>
      <c r="D1738" s="103" t="s">
        <v>118</v>
      </c>
      <c r="E1738" s="26">
        <v>4.5</v>
      </c>
      <c r="F1738" s="26" t="s">
        <v>293</v>
      </c>
      <c r="K1738" s="24">
        <v>57</v>
      </c>
      <c r="L1738" s="102">
        <v>46120</v>
      </c>
      <c r="M1738" s="25" t="s">
        <v>357</v>
      </c>
      <c r="N1738" s="103" t="s">
        <v>118</v>
      </c>
      <c r="O1738" s="26">
        <v>9.6</v>
      </c>
      <c r="P1738" s="26" t="s">
        <v>293</v>
      </c>
    </row>
    <row r="1739" spans="1:16" x14ac:dyDescent="0.3">
      <c r="A1739" s="24">
        <v>57</v>
      </c>
      <c r="B1739" s="102">
        <v>46120</v>
      </c>
      <c r="C1739" s="25" t="s">
        <v>356</v>
      </c>
      <c r="D1739" s="103" t="s">
        <v>130</v>
      </c>
      <c r="E1739" s="26">
        <v>3.82</v>
      </c>
      <c r="F1739" s="26" t="s">
        <v>293</v>
      </c>
      <c r="K1739" s="24">
        <v>57</v>
      </c>
      <c r="L1739" s="102">
        <v>46120</v>
      </c>
      <c r="M1739" s="25" t="s">
        <v>357</v>
      </c>
      <c r="N1739" s="103" t="s">
        <v>130</v>
      </c>
      <c r="O1739" s="26">
        <v>2.4</v>
      </c>
      <c r="P1739" s="26" t="s">
        <v>293</v>
      </c>
    </row>
    <row r="1740" spans="1:16" x14ac:dyDescent="0.3">
      <c r="A1740" s="24">
        <v>57</v>
      </c>
      <c r="B1740" s="102">
        <v>46120</v>
      </c>
      <c r="C1740" s="25" t="s">
        <v>356</v>
      </c>
      <c r="D1740" s="103" t="s">
        <v>341</v>
      </c>
      <c r="E1740" s="26">
        <v>0.30099999999999999</v>
      </c>
      <c r="F1740" s="26" t="s">
        <v>293</v>
      </c>
      <c r="K1740" s="24">
        <v>57</v>
      </c>
      <c r="L1740" s="102">
        <v>46120</v>
      </c>
      <c r="M1740" s="25" t="s">
        <v>357</v>
      </c>
      <c r="N1740" s="103" t="s">
        <v>341</v>
      </c>
      <c r="O1740" s="26">
        <v>1.1000000000000001</v>
      </c>
      <c r="P1740" s="26" t="s">
        <v>293</v>
      </c>
    </row>
    <row r="1741" spans="1:16" x14ac:dyDescent="0.3">
      <c r="A1741" s="24">
        <v>57</v>
      </c>
      <c r="B1741" s="102">
        <v>46120</v>
      </c>
      <c r="C1741" s="25" t="s">
        <v>356</v>
      </c>
      <c r="D1741" s="103" t="s">
        <v>127</v>
      </c>
      <c r="E1741" s="26">
        <v>1.17</v>
      </c>
      <c r="F1741" s="26" t="s">
        <v>293</v>
      </c>
      <c r="K1741" s="24">
        <v>57</v>
      </c>
      <c r="L1741" s="102">
        <v>46120</v>
      </c>
      <c r="M1741" s="25" t="s">
        <v>357</v>
      </c>
      <c r="N1741" s="103" t="s">
        <v>127</v>
      </c>
      <c r="O1741" s="26">
        <v>4.68</v>
      </c>
      <c r="P1741" s="26" t="s">
        <v>293</v>
      </c>
    </row>
    <row r="1742" spans="1:16" x14ac:dyDescent="0.3">
      <c r="A1742" s="24">
        <v>57</v>
      </c>
      <c r="B1742" s="102">
        <v>46120</v>
      </c>
      <c r="C1742" s="25" t="s">
        <v>356</v>
      </c>
      <c r="D1742" s="103" t="s">
        <v>131</v>
      </c>
      <c r="E1742" s="26">
        <v>9</v>
      </c>
      <c r="F1742" s="26" t="s">
        <v>293</v>
      </c>
      <c r="K1742" s="24">
        <v>57</v>
      </c>
      <c r="L1742" s="102">
        <v>46120</v>
      </c>
      <c r="M1742" s="25" t="s">
        <v>357</v>
      </c>
      <c r="N1742" s="103" t="s">
        <v>131</v>
      </c>
      <c r="O1742" s="26">
        <v>12.2</v>
      </c>
      <c r="P1742" s="26" t="s">
        <v>293</v>
      </c>
    </row>
    <row r="1743" spans="1:16" x14ac:dyDescent="0.3">
      <c r="A1743" s="24">
        <v>57</v>
      </c>
      <c r="B1743" s="102">
        <v>46120</v>
      </c>
      <c r="C1743" s="25" t="s">
        <v>356</v>
      </c>
      <c r="D1743" s="103" t="s">
        <v>342</v>
      </c>
      <c r="E1743" s="26">
        <v>313</v>
      </c>
      <c r="F1743" s="26" t="s">
        <v>293</v>
      </c>
      <c r="K1743" s="24">
        <v>57</v>
      </c>
      <c r="L1743" s="102">
        <v>46120</v>
      </c>
      <c r="M1743" s="25" t="s">
        <v>357</v>
      </c>
      <c r="N1743" s="103" t="s">
        <v>342</v>
      </c>
      <c r="O1743" s="26">
        <v>194</v>
      </c>
      <c r="P1743" s="26" t="s">
        <v>293</v>
      </c>
    </row>
    <row r="1744" spans="1:16" x14ac:dyDescent="0.3">
      <c r="A1744" s="24">
        <v>57</v>
      </c>
      <c r="B1744" s="102">
        <v>46120</v>
      </c>
      <c r="C1744" s="25" t="s">
        <v>356</v>
      </c>
      <c r="D1744" s="103" t="s">
        <v>119</v>
      </c>
      <c r="E1744" s="26">
        <v>239</v>
      </c>
      <c r="F1744" s="26" t="s">
        <v>293</v>
      </c>
      <c r="K1744" s="24">
        <v>57</v>
      </c>
      <c r="L1744" s="102">
        <v>46120</v>
      </c>
      <c r="M1744" s="25" t="s">
        <v>357</v>
      </c>
      <c r="N1744" s="103" t="s">
        <v>119</v>
      </c>
      <c r="O1744" s="26">
        <v>87</v>
      </c>
      <c r="P1744" s="26" t="s">
        <v>293</v>
      </c>
    </row>
    <row r="1745" spans="1:16" x14ac:dyDescent="0.3">
      <c r="A1745" s="24">
        <v>57</v>
      </c>
      <c r="B1745" s="102">
        <v>46120</v>
      </c>
      <c r="C1745" s="25" t="s">
        <v>356</v>
      </c>
      <c r="D1745" s="103" t="s">
        <v>120</v>
      </c>
      <c r="E1745" s="26">
        <v>79</v>
      </c>
      <c r="F1745" s="26" t="s">
        <v>293</v>
      </c>
      <c r="K1745" s="24">
        <v>57</v>
      </c>
      <c r="L1745" s="102">
        <v>46120</v>
      </c>
      <c r="M1745" s="25" t="s">
        <v>357</v>
      </c>
      <c r="N1745" s="103" t="s">
        <v>120</v>
      </c>
      <c r="O1745" s="26">
        <v>27</v>
      </c>
      <c r="P1745" s="26" t="s">
        <v>293</v>
      </c>
    </row>
    <row r="1746" spans="1:16" x14ac:dyDescent="0.3">
      <c r="A1746" s="24">
        <v>57</v>
      </c>
      <c r="B1746" s="102">
        <v>46120</v>
      </c>
      <c r="C1746" s="25" t="s">
        <v>356</v>
      </c>
      <c r="D1746" s="103" t="s">
        <v>117</v>
      </c>
      <c r="E1746" s="26">
        <v>2.68</v>
      </c>
      <c r="F1746" s="26" t="s">
        <v>293</v>
      </c>
      <c r="K1746" s="24">
        <v>57</v>
      </c>
      <c r="L1746" s="102">
        <v>46120</v>
      </c>
      <c r="M1746" s="25" t="s">
        <v>357</v>
      </c>
      <c r="N1746" s="103" t="s">
        <v>117</v>
      </c>
      <c r="O1746" s="26">
        <v>6.22</v>
      </c>
      <c r="P1746" s="26" t="s">
        <v>293</v>
      </c>
    </row>
    <row r="1747" spans="1:16" x14ac:dyDescent="0.3">
      <c r="A1747" s="24">
        <v>57</v>
      </c>
      <c r="B1747" s="102">
        <v>46120</v>
      </c>
      <c r="C1747" s="25" t="s">
        <v>356</v>
      </c>
      <c r="D1747" s="103" t="s">
        <v>344</v>
      </c>
      <c r="E1747" s="26">
        <v>232</v>
      </c>
      <c r="F1747" s="26" t="s">
        <v>293</v>
      </c>
      <c r="K1747" s="24">
        <v>57</v>
      </c>
      <c r="L1747" s="102">
        <v>46120</v>
      </c>
      <c r="M1747" s="25" t="s">
        <v>357</v>
      </c>
      <c r="N1747" s="103" t="s">
        <v>344</v>
      </c>
      <c r="O1747" s="26">
        <v>68</v>
      </c>
      <c r="P1747" s="26" t="s">
        <v>293</v>
      </c>
    </row>
    <row r="1748" spans="1:16" x14ac:dyDescent="0.3">
      <c r="A1748" s="24">
        <v>57</v>
      </c>
      <c r="B1748" s="102">
        <v>46120</v>
      </c>
      <c r="C1748" s="25" t="s">
        <v>356</v>
      </c>
      <c r="D1748" s="103" t="s">
        <v>132</v>
      </c>
      <c r="E1748" s="26">
        <v>3.57</v>
      </c>
      <c r="F1748" s="26" t="s">
        <v>293</v>
      </c>
      <c r="K1748" s="24">
        <v>57</v>
      </c>
      <c r="L1748" s="102">
        <v>46120</v>
      </c>
      <c r="M1748" s="25" t="s">
        <v>357</v>
      </c>
      <c r="N1748" s="103" t="s">
        <v>132</v>
      </c>
      <c r="O1748" s="26">
        <v>7.14</v>
      </c>
      <c r="P1748" s="26" t="s">
        <v>293</v>
      </c>
    </row>
    <row r="1749" spans="1:16" x14ac:dyDescent="0.3">
      <c r="A1749" s="24">
        <v>57</v>
      </c>
      <c r="B1749" s="102">
        <v>46120</v>
      </c>
      <c r="C1749" s="25" t="s">
        <v>356</v>
      </c>
      <c r="D1749" s="103" t="s">
        <v>111</v>
      </c>
      <c r="E1749" s="26">
        <v>88</v>
      </c>
      <c r="F1749" s="26" t="s">
        <v>293</v>
      </c>
      <c r="K1749" s="24">
        <v>57</v>
      </c>
      <c r="L1749" s="102">
        <v>46120</v>
      </c>
      <c r="M1749" s="25" t="s">
        <v>357</v>
      </c>
      <c r="N1749" s="103" t="s">
        <v>111</v>
      </c>
      <c r="O1749" s="26">
        <v>279</v>
      </c>
      <c r="P1749" s="26" t="s">
        <v>293</v>
      </c>
    </row>
    <row r="1750" spans="1:16" x14ac:dyDescent="0.3">
      <c r="A1750" s="24">
        <v>57</v>
      </c>
      <c r="B1750" s="102">
        <v>46120</v>
      </c>
      <c r="C1750" s="25" t="s">
        <v>356</v>
      </c>
      <c r="D1750" s="103" t="s">
        <v>345</v>
      </c>
      <c r="E1750" s="26">
        <v>5.13</v>
      </c>
      <c r="F1750" s="26" t="s">
        <v>293</v>
      </c>
      <c r="K1750" s="24">
        <v>57</v>
      </c>
      <c r="L1750" s="102">
        <v>46120</v>
      </c>
      <c r="M1750" s="25" t="s">
        <v>357</v>
      </c>
      <c r="N1750" s="103" t="s">
        <v>345</v>
      </c>
      <c r="O1750" s="26">
        <v>9.8699999999999992</v>
      </c>
      <c r="P1750" s="26" t="s">
        <v>293</v>
      </c>
    </row>
    <row r="1751" spans="1:16" x14ac:dyDescent="0.3">
      <c r="A1751" s="24">
        <v>57</v>
      </c>
      <c r="B1751" s="102">
        <v>46120</v>
      </c>
      <c r="C1751" s="25" t="s">
        <v>356</v>
      </c>
      <c r="D1751" s="103" t="s">
        <v>347</v>
      </c>
      <c r="E1751" s="26">
        <v>2.2000000000000002</v>
      </c>
      <c r="F1751" s="26" t="s">
        <v>293</v>
      </c>
      <c r="K1751" s="24">
        <v>57</v>
      </c>
      <c r="L1751" s="102">
        <v>46120</v>
      </c>
      <c r="M1751" s="25" t="s">
        <v>357</v>
      </c>
      <c r="N1751" s="103" t="s">
        <v>347</v>
      </c>
      <c r="O1751" s="26">
        <v>5</v>
      </c>
      <c r="P1751" s="26" t="s">
        <v>293</v>
      </c>
    </row>
    <row r="1752" spans="1:16" x14ac:dyDescent="0.3">
      <c r="A1752" s="24">
        <v>57</v>
      </c>
      <c r="B1752" s="102">
        <v>46120</v>
      </c>
      <c r="C1752" s="25" t="s">
        <v>356</v>
      </c>
      <c r="D1752" s="103" t="s">
        <v>128</v>
      </c>
      <c r="E1752" s="26">
        <v>6.6</v>
      </c>
      <c r="F1752" s="26" t="s">
        <v>293</v>
      </c>
      <c r="K1752" s="24">
        <v>57</v>
      </c>
      <c r="L1752" s="102">
        <v>46120</v>
      </c>
      <c r="M1752" s="25" t="s">
        <v>357</v>
      </c>
      <c r="N1752" s="103" t="s">
        <v>128</v>
      </c>
      <c r="O1752" s="26">
        <v>4.2</v>
      </c>
      <c r="P1752" s="26" t="s">
        <v>293</v>
      </c>
    </row>
    <row r="1753" spans="1:16" x14ac:dyDescent="0.3">
      <c r="A1753" s="24">
        <v>57</v>
      </c>
      <c r="B1753" s="102">
        <v>46120</v>
      </c>
      <c r="C1753" s="25" t="s">
        <v>356</v>
      </c>
      <c r="D1753" s="103" t="s">
        <v>121</v>
      </c>
      <c r="E1753" s="26">
        <v>167</v>
      </c>
      <c r="F1753" s="26" t="s">
        <v>293</v>
      </c>
      <c r="K1753" s="24">
        <v>57</v>
      </c>
      <c r="L1753" s="102">
        <v>46120</v>
      </c>
      <c r="M1753" s="25" t="s">
        <v>357</v>
      </c>
      <c r="N1753" s="103" t="s">
        <v>121</v>
      </c>
      <c r="O1753" s="26">
        <v>80</v>
      </c>
      <c r="P1753" s="26" t="s">
        <v>293</v>
      </c>
    </row>
    <row r="1754" spans="1:16" x14ac:dyDescent="0.3">
      <c r="A1754" s="24">
        <v>57</v>
      </c>
      <c r="B1754" s="102">
        <v>46120</v>
      </c>
      <c r="C1754" s="25" t="s">
        <v>356</v>
      </c>
      <c r="D1754" s="103" t="s">
        <v>115</v>
      </c>
      <c r="E1754" s="26">
        <v>34</v>
      </c>
      <c r="F1754" s="26" t="s">
        <v>293</v>
      </c>
      <c r="K1754" s="24">
        <v>57</v>
      </c>
      <c r="L1754" s="102">
        <v>46120</v>
      </c>
      <c r="M1754" s="25" t="s">
        <v>357</v>
      </c>
      <c r="N1754" s="103" t="s">
        <v>115</v>
      </c>
      <c r="O1754" s="26">
        <v>97</v>
      </c>
      <c r="P1754" s="26" t="s">
        <v>293</v>
      </c>
    </row>
    <row r="1755" spans="1:16" x14ac:dyDescent="0.3">
      <c r="A1755" s="24">
        <v>57</v>
      </c>
      <c r="B1755" s="102">
        <v>46120</v>
      </c>
      <c r="C1755" s="25" t="s">
        <v>356</v>
      </c>
      <c r="D1755" s="103" t="s">
        <v>137</v>
      </c>
      <c r="E1755" s="26">
        <v>75</v>
      </c>
      <c r="F1755" s="26" t="s">
        <v>293</v>
      </c>
      <c r="K1755" s="24">
        <v>57</v>
      </c>
      <c r="L1755" s="102">
        <v>46120</v>
      </c>
      <c r="M1755" s="25" t="s">
        <v>357</v>
      </c>
      <c r="N1755" s="103" t="s">
        <v>137</v>
      </c>
      <c r="O1755" s="26">
        <v>485</v>
      </c>
      <c r="P1755" s="26" t="s">
        <v>293</v>
      </c>
    </row>
    <row r="1756" spans="1:16" x14ac:dyDescent="0.3">
      <c r="A1756" s="24">
        <v>57</v>
      </c>
      <c r="B1756" s="102">
        <v>46120</v>
      </c>
      <c r="C1756" s="25" t="s">
        <v>356</v>
      </c>
      <c r="D1756" s="103" t="s">
        <v>348</v>
      </c>
      <c r="E1756" s="26">
        <v>146</v>
      </c>
      <c r="F1756" s="26" t="s">
        <v>293</v>
      </c>
      <c r="K1756" s="24">
        <v>57</v>
      </c>
      <c r="L1756" s="102">
        <v>46120</v>
      </c>
      <c r="M1756" s="25" t="s">
        <v>357</v>
      </c>
      <c r="N1756" s="103" t="s">
        <v>348</v>
      </c>
      <c r="O1756" s="26">
        <v>437</v>
      </c>
      <c r="P1756" s="26" t="s">
        <v>293</v>
      </c>
    </row>
    <row r="1757" spans="1:16" x14ac:dyDescent="0.3">
      <c r="A1757" s="24">
        <v>57</v>
      </c>
      <c r="B1757" s="102">
        <v>46120</v>
      </c>
      <c r="C1757" s="25" t="s">
        <v>356</v>
      </c>
      <c r="D1757" s="103" t="s">
        <v>125</v>
      </c>
      <c r="E1757" s="26">
        <v>108</v>
      </c>
      <c r="F1757" s="26" t="s">
        <v>293</v>
      </c>
      <c r="K1757" s="24">
        <v>57</v>
      </c>
      <c r="L1757" s="102">
        <v>46120</v>
      </c>
      <c r="M1757" s="25" t="s">
        <v>357</v>
      </c>
      <c r="N1757" s="103" t="s">
        <v>125</v>
      </c>
      <c r="O1757" s="26">
        <v>420</v>
      </c>
      <c r="P1757" s="26" t="s">
        <v>293</v>
      </c>
    </row>
    <row r="1758" spans="1:16" x14ac:dyDescent="0.3">
      <c r="A1758" s="24">
        <v>57</v>
      </c>
      <c r="B1758" s="102">
        <v>46120</v>
      </c>
      <c r="C1758" s="25" t="s">
        <v>356</v>
      </c>
      <c r="D1758" s="103" t="s">
        <v>126</v>
      </c>
      <c r="E1758" s="26">
        <v>81</v>
      </c>
      <c r="F1758" s="26" t="s">
        <v>293</v>
      </c>
      <c r="K1758" s="24">
        <v>57</v>
      </c>
      <c r="L1758" s="102">
        <v>46120</v>
      </c>
      <c r="M1758" s="25" t="s">
        <v>357</v>
      </c>
      <c r="N1758" s="103" t="s">
        <v>126</v>
      </c>
      <c r="O1758" s="26">
        <v>154</v>
      </c>
      <c r="P1758" s="26" t="s">
        <v>293</v>
      </c>
    </row>
    <row r="1759" spans="1:16" x14ac:dyDescent="0.3">
      <c r="A1759" s="24">
        <v>57</v>
      </c>
      <c r="B1759" s="102">
        <v>46120</v>
      </c>
      <c r="C1759" s="25" t="s">
        <v>356</v>
      </c>
      <c r="D1759" s="103" t="s">
        <v>349</v>
      </c>
      <c r="E1759" s="26">
        <v>153</v>
      </c>
      <c r="F1759" s="26" t="s">
        <v>293</v>
      </c>
      <c r="K1759" s="24">
        <v>57</v>
      </c>
      <c r="L1759" s="102">
        <v>46120</v>
      </c>
      <c r="M1759" s="25" t="s">
        <v>357</v>
      </c>
      <c r="N1759" s="103" t="s">
        <v>349</v>
      </c>
      <c r="O1759" s="26">
        <v>365</v>
      </c>
      <c r="P1759" s="26" t="s">
        <v>293</v>
      </c>
    </row>
    <row r="1760" spans="1:16" x14ac:dyDescent="0.3">
      <c r="A1760" s="24">
        <v>57</v>
      </c>
      <c r="B1760" s="102">
        <v>46120</v>
      </c>
      <c r="C1760" s="25" t="s">
        <v>356</v>
      </c>
      <c r="D1760" s="103" t="s">
        <v>350</v>
      </c>
      <c r="E1760" s="26">
        <v>62</v>
      </c>
      <c r="F1760" s="26" t="s">
        <v>293</v>
      </c>
      <c r="K1760" s="24">
        <v>57</v>
      </c>
      <c r="L1760" s="102">
        <v>46120</v>
      </c>
      <c r="M1760" s="25" t="s">
        <v>357</v>
      </c>
      <c r="N1760" s="103" t="s">
        <v>350</v>
      </c>
      <c r="O1760" s="26">
        <v>89</v>
      </c>
      <c r="P1760" s="26" t="s">
        <v>293</v>
      </c>
    </row>
    <row r="1761" spans="1:16" x14ac:dyDescent="0.3">
      <c r="A1761" s="24">
        <v>57</v>
      </c>
      <c r="B1761" s="102">
        <v>46120</v>
      </c>
      <c r="C1761" s="25" t="s">
        <v>356</v>
      </c>
      <c r="D1761" s="103" t="s">
        <v>122</v>
      </c>
      <c r="E1761" s="26">
        <v>45</v>
      </c>
      <c r="F1761" s="26" t="s">
        <v>293</v>
      </c>
      <c r="K1761" s="24">
        <v>57</v>
      </c>
      <c r="L1761" s="102">
        <v>46120</v>
      </c>
      <c r="M1761" s="25" t="s">
        <v>357</v>
      </c>
      <c r="N1761" s="103" t="s">
        <v>122</v>
      </c>
      <c r="O1761" s="26">
        <v>217</v>
      </c>
      <c r="P1761" s="26" t="s">
        <v>293</v>
      </c>
    </row>
    <row r="1762" spans="1:16" x14ac:dyDescent="0.3">
      <c r="A1762" s="24">
        <v>57</v>
      </c>
      <c r="B1762" s="102">
        <v>46120</v>
      </c>
      <c r="C1762" s="25" t="s">
        <v>356</v>
      </c>
      <c r="D1762" s="103" t="s">
        <v>124</v>
      </c>
      <c r="E1762" s="26">
        <v>31</v>
      </c>
      <c r="F1762" s="26" t="s">
        <v>293</v>
      </c>
      <c r="K1762" s="24">
        <v>57</v>
      </c>
      <c r="L1762" s="102">
        <v>46120</v>
      </c>
      <c r="M1762" s="25" t="s">
        <v>357</v>
      </c>
      <c r="N1762" s="103" t="s">
        <v>124</v>
      </c>
      <c r="O1762" s="26">
        <v>106</v>
      </c>
      <c r="P1762" s="26" t="s">
        <v>293</v>
      </c>
    </row>
    <row r="1763" spans="1:16" x14ac:dyDescent="0.3">
      <c r="A1763" s="24">
        <v>57</v>
      </c>
      <c r="B1763" s="102">
        <v>46120</v>
      </c>
      <c r="C1763" s="25" t="s">
        <v>356</v>
      </c>
      <c r="D1763" s="103" t="s">
        <v>351</v>
      </c>
      <c r="E1763" s="26">
        <v>0.97</v>
      </c>
      <c r="F1763" s="26" t="s">
        <v>293</v>
      </c>
      <c r="K1763" s="24">
        <v>57</v>
      </c>
      <c r="L1763" s="102">
        <v>46120</v>
      </c>
      <c r="M1763" s="25" t="s">
        <v>357</v>
      </c>
      <c r="N1763" s="103" t="s">
        <v>351</v>
      </c>
      <c r="O1763" s="26">
        <v>3.62</v>
      </c>
      <c r="P1763" s="26" t="s">
        <v>293</v>
      </c>
    </row>
    <row r="1764" spans="1:16" x14ac:dyDescent="0.3">
      <c r="A1764" s="24">
        <v>57</v>
      </c>
      <c r="B1764" s="102">
        <v>46120</v>
      </c>
      <c r="C1764" s="25" t="s">
        <v>356</v>
      </c>
      <c r="D1764" s="103" t="s">
        <v>353</v>
      </c>
      <c r="E1764" s="26">
        <v>35.5</v>
      </c>
      <c r="F1764" s="26" t="s">
        <v>293</v>
      </c>
      <c r="K1764" s="24">
        <v>57</v>
      </c>
      <c r="L1764" s="102">
        <v>46120</v>
      </c>
      <c r="M1764" s="25" t="s">
        <v>357</v>
      </c>
      <c r="N1764" s="103" t="s">
        <v>353</v>
      </c>
      <c r="O1764" s="26">
        <v>17.600000000000001</v>
      </c>
      <c r="P1764" s="26" t="s">
        <v>293</v>
      </c>
    </row>
    <row r="1765" spans="1:16" x14ac:dyDescent="0.3">
      <c r="A1765" s="24">
        <v>57</v>
      </c>
      <c r="B1765" s="102">
        <v>46120</v>
      </c>
      <c r="C1765" s="25" t="s">
        <v>356</v>
      </c>
      <c r="D1765" s="103" t="s">
        <v>133</v>
      </c>
      <c r="E1765" s="26">
        <v>147</v>
      </c>
      <c r="F1765" s="26" t="s">
        <v>293</v>
      </c>
      <c r="K1765" s="24">
        <v>57</v>
      </c>
      <c r="L1765" s="102">
        <v>46120</v>
      </c>
      <c r="M1765" s="25" t="s">
        <v>357</v>
      </c>
      <c r="N1765" s="103" t="s">
        <v>133</v>
      </c>
      <c r="O1765" s="26">
        <v>127</v>
      </c>
      <c r="P1765" s="26" t="s">
        <v>293</v>
      </c>
    </row>
    <row r="1766" spans="1:16" x14ac:dyDescent="0.3">
      <c r="A1766" s="24">
        <v>57</v>
      </c>
      <c r="B1766" s="102">
        <v>46120</v>
      </c>
      <c r="C1766" s="25" t="s">
        <v>356</v>
      </c>
      <c r="D1766" s="103" t="s">
        <v>135</v>
      </c>
      <c r="E1766" s="26">
        <v>3.8</v>
      </c>
      <c r="F1766" s="26" t="s">
        <v>293</v>
      </c>
      <c r="K1766" s="24">
        <v>57</v>
      </c>
      <c r="L1766" s="102">
        <v>46120</v>
      </c>
      <c r="M1766" s="25" t="s">
        <v>357</v>
      </c>
      <c r="N1766" s="103" t="s">
        <v>135</v>
      </c>
      <c r="O1766" s="26">
        <v>6.5</v>
      </c>
      <c r="P1766" s="26" t="s">
        <v>293</v>
      </c>
    </row>
    <row r="1767" spans="1:16" x14ac:dyDescent="0.3">
      <c r="A1767" s="24">
        <v>57</v>
      </c>
      <c r="B1767" s="102">
        <v>46120</v>
      </c>
      <c r="C1767" s="25" t="s">
        <v>356</v>
      </c>
      <c r="D1767" s="103" t="s">
        <v>136</v>
      </c>
      <c r="E1767" s="26">
        <v>116</v>
      </c>
      <c r="F1767" s="26" t="s">
        <v>293</v>
      </c>
      <c r="K1767" s="24">
        <v>57</v>
      </c>
      <c r="L1767" s="102">
        <v>46120</v>
      </c>
      <c r="M1767" s="25" t="s">
        <v>357</v>
      </c>
      <c r="N1767" s="103" t="s">
        <v>136</v>
      </c>
      <c r="O1767" s="26">
        <v>96</v>
      </c>
      <c r="P1767" s="26" t="s">
        <v>293</v>
      </c>
    </row>
    <row r="1768" spans="1:16" x14ac:dyDescent="0.3">
      <c r="A1768" s="24">
        <v>58</v>
      </c>
      <c r="B1768" s="102">
        <v>46121</v>
      </c>
      <c r="C1768" s="25" t="s">
        <v>356</v>
      </c>
      <c r="D1768" s="103" t="s">
        <v>339</v>
      </c>
      <c r="E1768" s="26">
        <v>4.5999999999999996</v>
      </c>
      <c r="F1768" s="26" t="s">
        <v>293</v>
      </c>
      <c r="K1768" s="24">
        <v>58</v>
      </c>
      <c r="L1768" s="102">
        <v>46121</v>
      </c>
      <c r="M1768" s="25" t="s">
        <v>357</v>
      </c>
      <c r="N1768" s="103" t="s">
        <v>339</v>
      </c>
      <c r="O1768" s="26">
        <v>1.0900000000000001</v>
      </c>
      <c r="P1768" s="26" t="s">
        <v>293</v>
      </c>
    </row>
    <row r="1769" spans="1:16" x14ac:dyDescent="0.3">
      <c r="A1769" s="24">
        <v>58</v>
      </c>
      <c r="B1769" s="102">
        <v>46121</v>
      </c>
      <c r="C1769" s="25" t="s">
        <v>356</v>
      </c>
      <c r="D1769" s="103" t="s">
        <v>118</v>
      </c>
      <c r="E1769" s="26">
        <v>4.5</v>
      </c>
      <c r="F1769" s="26" t="s">
        <v>293</v>
      </c>
      <c r="K1769" s="24">
        <v>58</v>
      </c>
      <c r="L1769" s="102">
        <v>46121</v>
      </c>
      <c r="M1769" s="25" t="s">
        <v>357</v>
      </c>
      <c r="N1769" s="103" t="s">
        <v>118</v>
      </c>
      <c r="O1769" s="26">
        <v>9.6</v>
      </c>
      <c r="P1769" s="26" t="s">
        <v>293</v>
      </c>
    </row>
    <row r="1770" spans="1:16" x14ac:dyDescent="0.3">
      <c r="A1770" s="24">
        <v>58</v>
      </c>
      <c r="B1770" s="102">
        <v>46121</v>
      </c>
      <c r="C1770" s="25" t="s">
        <v>356</v>
      </c>
      <c r="D1770" s="103" t="s">
        <v>130</v>
      </c>
      <c r="E1770" s="26">
        <v>3.72</v>
      </c>
      <c r="F1770" s="26" t="s">
        <v>293</v>
      </c>
      <c r="K1770" s="24">
        <v>58</v>
      </c>
      <c r="L1770" s="102">
        <v>46121</v>
      </c>
      <c r="M1770" s="25" t="s">
        <v>357</v>
      </c>
      <c r="N1770" s="103" t="s">
        <v>130</v>
      </c>
      <c r="O1770" s="26">
        <v>2.37</v>
      </c>
      <c r="P1770" s="26" t="s">
        <v>293</v>
      </c>
    </row>
    <row r="1771" spans="1:16" x14ac:dyDescent="0.3">
      <c r="A1771" s="24">
        <v>58</v>
      </c>
      <c r="B1771" s="102">
        <v>46121</v>
      </c>
      <c r="C1771" s="25" t="s">
        <v>356</v>
      </c>
      <c r="D1771" s="103" t="s">
        <v>341</v>
      </c>
      <c r="E1771" s="26">
        <v>0.28999999999999998</v>
      </c>
      <c r="F1771" s="26" t="s">
        <v>293</v>
      </c>
      <c r="K1771" s="24">
        <v>58</v>
      </c>
      <c r="L1771" s="102">
        <v>46121</v>
      </c>
      <c r="M1771" s="25" t="s">
        <v>357</v>
      </c>
      <c r="N1771" s="103" t="s">
        <v>341</v>
      </c>
      <c r="O1771" s="26">
        <v>1.07</v>
      </c>
      <c r="P1771" s="26" t="s">
        <v>293</v>
      </c>
    </row>
    <row r="1772" spans="1:16" x14ac:dyDescent="0.3">
      <c r="A1772" s="24">
        <v>58</v>
      </c>
      <c r="B1772" s="102">
        <v>46121</v>
      </c>
      <c r="C1772" s="25" t="s">
        <v>356</v>
      </c>
      <c r="D1772" s="103" t="s">
        <v>127</v>
      </c>
      <c r="E1772" s="26">
        <v>1.18</v>
      </c>
      <c r="F1772" s="26" t="s">
        <v>293</v>
      </c>
      <c r="K1772" s="24">
        <v>58</v>
      </c>
      <c r="L1772" s="102">
        <v>46121</v>
      </c>
      <c r="M1772" s="25" t="s">
        <v>357</v>
      </c>
      <c r="N1772" s="103" t="s">
        <v>127</v>
      </c>
      <c r="O1772" s="26">
        <v>4.6500000000000004</v>
      </c>
      <c r="P1772" s="26" t="s">
        <v>293</v>
      </c>
    </row>
    <row r="1773" spans="1:16" x14ac:dyDescent="0.3">
      <c r="A1773" s="24">
        <v>58</v>
      </c>
      <c r="B1773" s="102">
        <v>46121</v>
      </c>
      <c r="C1773" s="25" t="s">
        <v>356</v>
      </c>
      <c r="D1773" s="103" t="s">
        <v>131</v>
      </c>
      <c r="E1773" s="26">
        <v>8.8000000000000007</v>
      </c>
      <c r="F1773" s="26" t="s">
        <v>293</v>
      </c>
      <c r="K1773" s="24">
        <v>58</v>
      </c>
      <c r="L1773" s="102">
        <v>46121</v>
      </c>
      <c r="M1773" s="25" t="s">
        <v>357</v>
      </c>
      <c r="N1773" s="103" t="s">
        <v>131</v>
      </c>
      <c r="O1773" s="26">
        <v>12.2</v>
      </c>
      <c r="P1773" s="26" t="s">
        <v>293</v>
      </c>
    </row>
    <row r="1774" spans="1:16" x14ac:dyDescent="0.3">
      <c r="A1774" s="24">
        <v>58</v>
      </c>
      <c r="B1774" s="102">
        <v>46121</v>
      </c>
      <c r="C1774" s="25" t="s">
        <v>356</v>
      </c>
      <c r="D1774" s="103" t="s">
        <v>342</v>
      </c>
      <c r="E1774" s="26">
        <v>310</v>
      </c>
      <c r="F1774" s="26" t="s">
        <v>293</v>
      </c>
      <c r="K1774" s="24">
        <v>58</v>
      </c>
      <c r="L1774" s="102">
        <v>46121</v>
      </c>
      <c r="M1774" s="25" t="s">
        <v>357</v>
      </c>
      <c r="N1774" s="103" t="s">
        <v>342</v>
      </c>
      <c r="O1774" s="26">
        <v>187</v>
      </c>
      <c r="P1774" s="26" t="s">
        <v>293</v>
      </c>
    </row>
    <row r="1775" spans="1:16" x14ac:dyDescent="0.3">
      <c r="A1775" s="24">
        <v>58</v>
      </c>
      <c r="B1775" s="102">
        <v>46121</v>
      </c>
      <c r="C1775" s="25" t="s">
        <v>356</v>
      </c>
      <c r="D1775" s="103" t="s">
        <v>119</v>
      </c>
      <c r="E1775" s="26">
        <v>241</v>
      </c>
      <c r="F1775" s="26" t="s">
        <v>293</v>
      </c>
      <c r="K1775" s="24">
        <v>58</v>
      </c>
      <c r="L1775" s="102">
        <v>46121</v>
      </c>
      <c r="M1775" s="25" t="s">
        <v>357</v>
      </c>
      <c r="N1775" s="103" t="s">
        <v>119</v>
      </c>
      <c r="O1775" s="26">
        <v>90</v>
      </c>
      <c r="P1775" s="26" t="s">
        <v>293</v>
      </c>
    </row>
    <row r="1776" spans="1:16" x14ac:dyDescent="0.3">
      <c r="A1776" s="24">
        <v>58</v>
      </c>
      <c r="B1776" s="102">
        <v>46121</v>
      </c>
      <c r="C1776" s="25" t="s">
        <v>356</v>
      </c>
      <c r="D1776" s="103" t="s">
        <v>120</v>
      </c>
      <c r="E1776" s="26">
        <v>77</v>
      </c>
      <c r="F1776" s="26" t="s">
        <v>293</v>
      </c>
      <c r="K1776" s="24">
        <v>58</v>
      </c>
      <c r="L1776" s="102">
        <v>46121</v>
      </c>
      <c r="M1776" s="25" t="s">
        <v>357</v>
      </c>
      <c r="N1776" s="103" t="s">
        <v>120</v>
      </c>
      <c r="O1776" s="26">
        <v>27</v>
      </c>
      <c r="P1776" s="26" t="s">
        <v>293</v>
      </c>
    </row>
    <row r="1777" spans="1:16" x14ac:dyDescent="0.3">
      <c r="A1777" s="24">
        <v>58</v>
      </c>
      <c r="B1777" s="102">
        <v>46121</v>
      </c>
      <c r="C1777" s="25" t="s">
        <v>356</v>
      </c>
      <c r="D1777" s="103" t="s">
        <v>117</v>
      </c>
      <c r="E1777" s="26">
        <v>2.72</v>
      </c>
      <c r="F1777" s="26" t="s">
        <v>293</v>
      </c>
      <c r="K1777" s="24">
        <v>58</v>
      </c>
      <c r="L1777" s="102">
        <v>46121</v>
      </c>
      <c r="M1777" s="25" t="s">
        <v>357</v>
      </c>
      <c r="N1777" s="103" t="s">
        <v>117</v>
      </c>
      <c r="O1777" s="26">
        <v>6.22</v>
      </c>
      <c r="P1777" s="26" t="s">
        <v>293</v>
      </c>
    </row>
    <row r="1778" spans="1:16" x14ac:dyDescent="0.3">
      <c r="A1778" s="24">
        <v>58</v>
      </c>
      <c r="B1778" s="102">
        <v>46121</v>
      </c>
      <c r="C1778" s="25" t="s">
        <v>356</v>
      </c>
      <c r="D1778" s="103" t="s">
        <v>344</v>
      </c>
      <c r="E1778" s="26">
        <v>231</v>
      </c>
      <c r="F1778" s="26" t="s">
        <v>293</v>
      </c>
      <c r="K1778" s="24">
        <v>58</v>
      </c>
      <c r="L1778" s="102">
        <v>46121</v>
      </c>
      <c r="M1778" s="25" t="s">
        <v>357</v>
      </c>
      <c r="N1778" s="103" t="s">
        <v>344</v>
      </c>
      <c r="O1778" s="26">
        <v>68</v>
      </c>
      <c r="P1778" s="26" t="s">
        <v>293</v>
      </c>
    </row>
    <row r="1779" spans="1:16" x14ac:dyDescent="0.3">
      <c r="A1779" s="24">
        <v>58</v>
      </c>
      <c r="B1779" s="102">
        <v>46121</v>
      </c>
      <c r="C1779" s="25" t="s">
        <v>356</v>
      </c>
      <c r="D1779" s="103" t="s">
        <v>132</v>
      </c>
      <c r="E1779" s="26">
        <v>3.7</v>
      </c>
      <c r="F1779" s="26" t="s">
        <v>293</v>
      </c>
      <c r="K1779" s="24">
        <v>58</v>
      </c>
      <c r="L1779" s="102">
        <v>46121</v>
      </c>
      <c r="M1779" s="25" t="s">
        <v>357</v>
      </c>
      <c r="N1779" s="103" t="s">
        <v>132</v>
      </c>
      <c r="O1779" s="26">
        <v>7.18</v>
      </c>
      <c r="P1779" s="26" t="s">
        <v>293</v>
      </c>
    </row>
    <row r="1780" spans="1:16" x14ac:dyDescent="0.3">
      <c r="A1780" s="24">
        <v>58</v>
      </c>
      <c r="B1780" s="102">
        <v>46121</v>
      </c>
      <c r="C1780" s="25" t="s">
        <v>356</v>
      </c>
      <c r="D1780" s="103" t="s">
        <v>111</v>
      </c>
      <c r="E1780" s="26">
        <v>89</v>
      </c>
      <c r="F1780" s="26" t="s">
        <v>293</v>
      </c>
      <c r="K1780" s="24">
        <v>58</v>
      </c>
      <c r="L1780" s="102">
        <v>46121</v>
      </c>
      <c r="M1780" s="25" t="s">
        <v>357</v>
      </c>
      <c r="N1780" s="103" t="s">
        <v>111</v>
      </c>
      <c r="O1780" s="26">
        <v>282</v>
      </c>
      <c r="P1780" s="26" t="s">
        <v>293</v>
      </c>
    </row>
    <row r="1781" spans="1:16" x14ac:dyDescent="0.3">
      <c r="A1781" s="24">
        <v>58</v>
      </c>
      <c r="B1781" s="102">
        <v>46121</v>
      </c>
      <c r="C1781" s="25" t="s">
        <v>356</v>
      </c>
      <c r="D1781" s="103" t="s">
        <v>345</v>
      </c>
      <c r="E1781" s="26">
        <v>5.07</v>
      </c>
      <c r="F1781" s="26" t="s">
        <v>293</v>
      </c>
      <c r="K1781" s="24">
        <v>58</v>
      </c>
      <c r="L1781" s="102">
        <v>46121</v>
      </c>
      <c r="M1781" s="25" t="s">
        <v>357</v>
      </c>
      <c r="N1781" s="103" t="s">
        <v>345</v>
      </c>
      <c r="O1781" s="26">
        <v>9.7799999999999994</v>
      </c>
      <c r="P1781" s="26" t="s">
        <v>293</v>
      </c>
    </row>
    <row r="1782" spans="1:16" x14ac:dyDescent="0.3">
      <c r="A1782" s="24">
        <v>58</v>
      </c>
      <c r="B1782" s="102">
        <v>46121</v>
      </c>
      <c r="C1782" s="25" t="s">
        <v>356</v>
      </c>
      <c r="D1782" s="103" t="s">
        <v>347</v>
      </c>
      <c r="E1782" s="26">
        <v>2.31</v>
      </c>
      <c r="F1782" s="26" t="s">
        <v>293</v>
      </c>
      <c r="K1782" s="24">
        <v>58</v>
      </c>
      <c r="L1782" s="102">
        <v>46121</v>
      </c>
      <c r="M1782" s="25" t="s">
        <v>357</v>
      </c>
      <c r="N1782" s="103" t="s">
        <v>347</v>
      </c>
      <c r="O1782" s="26">
        <v>4.8499999999999996</v>
      </c>
      <c r="P1782" s="26" t="s">
        <v>293</v>
      </c>
    </row>
    <row r="1783" spans="1:16" x14ac:dyDescent="0.3">
      <c r="A1783" s="24">
        <v>58</v>
      </c>
      <c r="B1783" s="102">
        <v>46121</v>
      </c>
      <c r="C1783" s="25" t="s">
        <v>356</v>
      </c>
      <c r="D1783" s="103" t="s">
        <v>128</v>
      </c>
      <c r="E1783" s="26">
        <v>6.8</v>
      </c>
      <c r="F1783" s="26" t="s">
        <v>293</v>
      </c>
      <c r="K1783" s="24">
        <v>58</v>
      </c>
      <c r="L1783" s="102">
        <v>46121</v>
      </c>
      <c r="M1783" s="25" t="s">
        <v>357</v>
      </c>
      <c r="N1783" s="103" t="s">
        <v>128</v>
      </c>
      <c r="O1783" s="26">
        <v>4.3</v>
      </c>
      <c r="P1783" s="26" t="s">
        <v>293</v>
      </c>
    </row>
    <row r="1784" spans="1:16" x14ac:dyDescent="0.3">
      <c r="A1784" s="24">
        <v>58</v>
      </c>
      <c r="B1784" s="102">
        <v>46121</v>
      </c>
      <c r="C1784" s="25" t="s">
        <v>356</v>
      </c>
      <c r="D1784" s="103" t="s">
        <v>121</v>
      </c>
      <c r="E1784" s="26">
        <v>165</v>
      </c>
      <c r="F1784" s="26" t="s">
        <v>293</v>
      </c>
      <c r="K1784" s="24">
        <v>58</v>
      </c>
      <c r="L1784" s="102">
        <v>46121</v>
      </c>
      <c r="M1784" s="25" t="s">
        <v>357</v>
      </c>
      <c r="N1784" s="103" t="s">
        <v>121</v>
      </c>
      <c r="O1784" s="26">
        <v>81</v>
      </c>
      <c r="P1784" s="26" t="s">
        <v>293</v>
      </c>
    </row>
    <row r="1785" spans="1:16" x14ac:dyDescent="0.3">
      <c r="A1785" s="24">
        <v>58</v>
      </c>
      <c r="B1785" s="102">
        <v>46121</v>
      </c>
      <c r="C1785" s="25" t="s">
        <v>356</v>
      </c>
      <c r="D1785" s="103" t="s">
        <v>115</v>
      </c>
      <c r="E1785" s="26">
        <v>35</v>
      </c>
      <c r="F1785" s="26" t="s">
        <v>293</v>
      </c>
      <c r="K1785" s="24">
        <v>58</v>
      </c>
      <c r="L1785" s="102">
        <v>46121</v>
      </c>
      <c r="M1785" s="25" t="s">
        <v>357</v>
      </c>
      <c r="N1785" s="103" t="s">
        <v>115</v>
      </c>
      <c r="O1785" s="26">
        <v>95</v>
      </c>
      <c r="P1785" s="26" t="s">
        <v>293</v>
      </c>
    </row>
    <row r="1786" spans="1:16" x14ac:dyDescent="0.3">
      <c r="A1786" s="24">
        <v>58</v>
      </c>
      <c r="B1786" s="102">
        <v>46121</v>
      </c>
      <c r="C1786" s="25" t="s">
        <v>356</v>
      </c>
      <c r="D1786" s="103" t="s">
        <v>137</v>
      </c>
      <c r="E1786" s="26">
        <v>75</v>
      </c>
      <c r="F1786" s="26" t="s">
        <v>293</v>
      </c>
      <c r="K1786" s="24">
        <v>58</v>
      </c>
      <c r="L1786" s="102">
        <v>46121</v>
      </c>
      <c r="M1786" s="25" t="s">
        <v>357</v>
      </c>
      <c r="N1786" s="103" t="s">
        <v>137</v>
      </c>
      <c r="O1786" s="26">
        <v>477</v>
      </c>
      <c r="P1786" s="26" t="s">
        <v>293</v>
      </c>
    </row>
    <row r="1787" spans="1:16" x14ac:dyDescent="0.3">
      <c r="A1787" s="24">
        <v>58</v>
      </c>
      <c r="B1787" s="102">
        <v>46121</v>
      </c>
      <c r="C1787" s="25" t="s">
        <v>356</v>
      </c>
      <c r="D1787" s="103" t="s">
        <v>348</v>
      </c>
      <c r="E1787" s="26">
        <v>144</v>
      </c>
      <c r="F1787" s="26" t="s">
        <v>293</v>
      </c>
      <c r="K1787" s="24">
        <v>58</v>
      </c>
      <c r="L1787" s="102">
        <v>46121</v>
      </c>
      <c r="M1787" s="25" t="s">
        <v>357</v>
      </c>
      <c r="N1787" s="103" t="s">
        <v>348</v>
      </c>
      <c r="O1787" s="26">
        <v>430</v>
      </c>
      <c r="P1787" s="26" t="s">
        <v>293</v>
      </c>
    </row>
    <row r="1788" spans="1:16" x14ac:dyDescent="0.3">
      <c r="A1788" s="24">
        <v>58</v>
      </c>
      <c r="B1788" s="102">
        <v>46121</v>
      </c>
      <c r="C1788" s="25" t="s">
        <v>356</v>
      </c>
      <c r="D1788" s="103" t="s">
        <v>125</v>
      </c>
      <c r="E1788" s="26">
        <v>113</v>
      </c>
      <c r="F1788" s="26" t="s">
        <v>293</v>
      </c>
      <c r="K1788" s="24">
        <v>58</v>
      </c>
      <c r="L1788" s="102">
        <v>46121</v>
      </c>
      <c r="M1788" s="25" t="s">
        <v>357</v>
      </c>
      <c r="N1788" s="103" t="s">
        <v>125</v>
      </c>
      <c r="O1788" s="26">
        <v>420</v>
      </c>
      <c r="P1788" s="26" t="s">
        <v>293</v>
      </c>
    </row>
    <row r="1789" spans="1:16" x14ac:dyDescent="0.3">
      <c r="A1789" s="24">
        <v>58</v>
      </c>
      <c r="B1789" s="102">
        <v>46121</v>
      </c>
      <c r="C1789" s="25" t="s">
        <v>356</v>
      </c>
      <c r="D1789" s="103" t="s">
        <v>126</v>
      </c>
      <c r="E1789" s="26">
        <v>82</v>
      </c>
      <c r="F1789" s="26" t="s">
        <v>293</v>
      </c>
      <c r="K1789" s="24">
        <v>58</v>
      </c>
      <c r="L1789" s="102">
        <v>46121</v>
      </c>
      <c r="M1789" s="25" t="s">
        <v>357</v>
      </c>
      <c r="N1789" s="103" t="s">
        <v>126</v>
      </c>
      <c r="O1789" s="26">
        <v>153</v>
      </c>
      <c r="P1789" s="26" t="s">
        <v>293</v>
      </c>
    </row>
    <row r="1790" spans="1:16" x14ac:dyDescent="0.3">
      <c r="A1790" s="24">
        <v>58</v>
      </c>
      <c r="B1790" s="102">
        <v>46121</v>
      </c>
      <c r="C1790" s="25" t="s">
        <v>356</v>
      </c>
      <c r="D1790" s="103" t="s">
        <v>349</v>
      </c>
      <c r="E1790" s="26">
        <v>168</v>
      </c>
      <c r="F1790" s="26" t="s">
        <v>293</v>
      </c>
      <c r="K1790" s="24">
        <v>58</v>
      </c>
      <c r="L1790" s="102">
        <v>46121</v>
      </c>
      <c r="M1790" s="25" t="s">
        <v>357</v>
      </c>
      <c r="N1790" s="103" t="s">
        <v>349</v>
      </c>
      <c r="O1790" s="26">
        <v>383</v>
      </c>
      <c r="P1790" s="26" t="s">
        <v>293</v>
      </c>
    </row>
    <row r="1791" spans="1:16" x14ac:dyDescent="0.3">
      <c r="A1791" s="24">
        <v>58</v>
      </c>
      <c r="B1791" s="102">
        <v>46121</v>
      </c>
      <c r="C1791" s="25" t="s">
        <v>356</v>
      </c>
      <c r="D1791" s="103" t="s">
        <v>350</v>
      </c>
      <c r="E1791" s="26">
        <v>62</v>
      </c>
      <c r="F1791" s="26" t="s">
        <v>293</v>
      </c>
      <c r="K1791" s="24">
        <v>58</v>
      </c>
      <c r="L1791" s="102">
        <v>46121</v>
      </c>
      <c r="M1791" s="25" t="s">
        <v>357</v>
      </c>
      <c r="N1791" s="103" t="s">
        <v>350</v>
      </c>
      <c r="O1791" s="26">
        <v>89</v>
      </c>
      <c r="P1791" s="26" t="s">
        <v>293</v>
      </c>
    </row>
    <row r="1792" spans="1:16" x14ac:dyDescent="0.3">
      <c r="A1792" s="24">
        <v>58</v>
      </c>
      <c r="B1792" s="102">
        <v>46121</v>
      </c>
      <c r="C1792" s="25" t="s">
        <v>356</v>
      </c>
      <c r="D1792" s="103" t="s">
        <v>122</v>
      </c>
      <c r="E1792" s="26">
        <v>46</v>
      </c>
      <c r="F1792" s="26" t="s">
        <v>293</v>
      </c>
      <c r="K1792" s="24">
        <v>58</v>
      </c>
      <c r="L1792" s="102">
        <v>46121</v>
      </c>
      <c r="M1792" s="25" t="s">
        <v>357</v>
      </c>
      <c r="N1792" s="103" t="s">
        <v>122</v>
      </c>
      <c r="O1792" s="26">
        <v>214</v>
      </c>
      <c r="P1792" s="26" t="s">
        <v>293</v>
      </c>
    </row>
    <row r="1793" spans="1:16" x14ac:dyDescent="0.3">
      <c r="A1793" s="24">
        <v>58</v>
      </c>
      <c r="B1793" s="102">
        <v>46121</v>
      </c>
      <c r="C1793" s="25" t="s">
        <v>356</v>
      </c>
      <c r="D1793" s="103" t="s">
        <v>124</v>
      </c>
      <c r="E1793" s="26">
        <v>29</v>
      </c>
      <c r="F1793" s="26" t="s">
        <v>293</v>
      </c>
      <c r="K1793" s="24">
        <v>58</v>
      </c>
      <c r="L1793" s="102">
        <v>46121</v>
      </c>
      <c r="M1793" s="25" t="s">
        <v>357</v>
      </c>
      <c r="N1793" s="103" t="s">
        <v>124</v>
      </c>
      <c r="O1793" s="26">
        <v>104</v>
      </c>
      <c r="P1793" s="26" t="s">
        <v>293</v>
      </c>
    </row>
    <row r="1794" spans="1:16" x14ac:dyDescent="0.3">
      <c r="A1794" s="24">
        <v>58</v>
      </c>
      <c r="B1794" s="102">
        <v>46121</v>
      </c>
      <c r="C1794" s="25" t="s">
        <v>356</v>
      </c>
      <c r="D1794" s="103" t="s">
        <v>351</v>
      </c>
      <c r="E1794" s="26">
        <v>0.99</v>
      </c>
      <c r="F1794" s="26" t="s">
        <v>293</v>
      </c>
      <c r="K1794" s="24">
        <v>58</v>
      </c>
      <c r="L1794" s="102">
        <v>46121</v>
      </c>
      <c r="M1794" s="25" t="s">
        <v>357</v>
      </c>
      <c r="N1794" s="103" t="s">
        <v>351</v>
      </c>
      <c r="O1794" s="26">
        <v>3.55</v>
      </c>
      <c r="P1794" s="26" t="s">
        <v>293</v>
      </c>
    </row>
    <row r="1795" spans="1:16" x14ac:dyDescent="0.3">
      <c r="A1795" s="24">
        <v>58</v>
      </c>
      <c r="B1795" s="102">
        <v>46121</v>
      </c>
      <c r="C1795" s="25" t="s">
        <v>356</v>
      </c>
      <c r="D1795" s="103" t="s">
        <v>353</v>
      </c>
      <c r="E1795" s="26">
        <v>36.6</v>
      </c>
      <c r="F1795" s="26" t="s">
        <v>293</v>
      </c>
      <c r="K1795" s="24">
        <v>58</v>
      </c>
      <c r="L1795" s="102">
        <v>46121</v>
      </c>
      <c r="M1795" s="25" t="s">
        <v>357</v>
      </c>
      <c r="N1795" s="103" t="s">
        <v>353</v>
      </c>
      <c r="O1795" s="26">
        <v>18.600000000000001</v>
      </c>
      <c r="P1795" s="26" t="s">
        <v>293</v>
      </c>
    </row>
    <row r="1796" spans="1:16" x14ac:dyDescent="0.3">
      <c r="A1796" s="24">
        <v>58</v>
      </c>
      <c r="B1796" s="102">
        <v>46121</v>
      </c>
      <c r="C1796" s="25" t="s">
        <v>356</v>
      </c>
      <c r="D1796" s="103" t="s">
        <v>133</v>
      </c>
      <c r="E1796" s="26">
        <v>146</v>
      </c>
      <c r="F1796" s="26" t="s">
        <v>293</v>
      </c>
      <c r="K1796" s="24">
        <v>58</v>
      </c>
      <c r="L1796" s="102">
        <v>46121</v>
      </c>
      <c r="M1796" s="25" t="s">
        <v>357</v>
      </c>
      <c r="N1796" s="103" t="s">
        <v>133</v>
      </c>
      <c r="O1796" s="26">
        <v>128</v>
      </c>
      <c r="P1796" s="26" t="s">
        <v>293</v>
      </c>
    </row>
    <row r="1797" spans="1:16" x14ac:dyDescent="0.3">
      <c r="A1797" s="24">
        <v>58</v>
      </c>
      <c r="B1797" s="102">
        <v>46121</v>
      </c>
      <c r="C1797" s="25" t="s">
        <v>356</v>
      </c>
      <c r="D1797" s="103" t="s">
        <v>135</v>
      </c>
      <c r="E1797" s="26">
        <v>3.8</v>
      </c>
      <c r="F1797" s="26" t="s">
        <v>293</v>
      </c>
      <c r="K1797" s="24">
        <v>58</v>
      </c>
      <c r="L1797" s="102">
        <v>46121</v>
      </c>
      <c r="M1797" s="25" t="s">
        <v>357</v>
      </c>
      <c r="N1797" s="103" t="s">
        <v>135</v>
      </c>
      <c r="O1797" s="26">
        <v>6.5</v>
      </c>
      <c r="P1797" s="26" t="s">
        <v>293</v>
      </c>
    </row>
    <row r="1798" spans="1:16" x14ac:dyDescent="0.3">
      <c r="A1798" s="24">
        <v>58</v>
      </c>
      <c r="B1798" s="102">
        <v>46121</v>
      </c>
      <c r="C1798" s="25" t="s">
        <v>356</v>
      </c>
      <c r="D1798" s="103" t="s">
        <v>136</v>
      </c>
      <c r="E1798" s="26">
        <v>114</v>
      </c>
      <c r="F1798" s="26" t="s">
        <v>293</v>
      </c>
      <c r="K1798" s="24">
        <v>58</v>
      </c>
      <c r="L1798" s="102">
        <v>46121</v>
      </c>
      <c r="M1798" s="25" t="s">
        <v>357</v>
      </c>
      <c r="N1798" s="103" t="s">
        <v>136</v>
      </c>
      <c r="O1798" s="26">
        <v>96</v>
      </c>
      <c r="P1798" s="26" t="s">
        <v>293</v>
      </c>
    </row>
    <row r="1799" spans="1:16" x14ac:dyDescent="0.3">
      <c r="A1799" s="24">
        <v>59</v>
      </c>
      <c r="B1799" s="102">
        <v>46122.377592592595</v>
      </c>
      <c r="C1799" s="25" t="s">
        <v>356</v>
      </c>
      <c r="D1799" s="103" t="s">
        <v>339</v>
      </c>
      <c r="E1799" s="26">
        <v>4.6500000000000004</v>
      </c>
      <c r="F1799" s="26" t="s">
        <v>293</v>
      </c>
      <c r="K1799" s="24">
        <v>59</v>
      </c>
      <c r="L1799" s="102">
        <v>46122.377604166664</v>
      </c>
      <c r="M1799" s="25" t="s">
        <v>357</v>
      </c>
      <c r="N1799" s="103" t="s">
        <v>339</v>
      </c>
      <c r="O1799" s="26">
        <v>1.0900000000000001</v>
      </c>
      <c r="P1799" s="26" t="s">
        <v>293</v>
      </c>
    </row>
    <row r="1800" spans="1:16" x14ac:dyDescent="0.3">
      <c r="A1800" s="24">
        <v>59</v>
      </c>
      <c r="B1800" s="102">
        <v>46122.377592592595</v>
      </c>
      <c r="C1800" s="25" t="s">
        <v>356</v>
      </c>
      <c r="D1800" s="103" t="s">
        <v>118</v>
      </c>
      <c r="E1800" s="26">
        <v>4.5</v>
      </c>
      <c r="F1800" s="26" t="s">
        <v>293</v>
      </c>
      <c r="K1800" s="24">
        <v>59</v>
      </c>
      <c r="L1800" s="102">
        <v>46122.377604166664</v>
      </c>
      <c r="M1800" s="25" t="s">
        <v>357</v>
      </c>
      <c r="N1800" s="103" t="s">
        <v>118</v>
      </c>
      <c r="O1800" s="26">
        <v>9.3000000000000007</v>
      </c>
      <c r="P1800" s="26" t="s">
        <v>293</v>
      </c>
    </row>
    <row r="1801" spans="1:16" x14ac:dyDescent="0.3">
      <c r="A1801" s="24">
        <v>59</v>
      </c>
      <c r="B1801" s="102">
        <v>46122.377592592595</v>
      </c>
      <c r="C1801" s="25" t="s">
        <v>356</v>
      </c>
      <c r="D1801" s="103" t="s">
        <v>130</v>
      </c>
      <c r="E1801" s="26">
        <v>3.84</v>
      </c>
      <c r="F1801" s="26" t="s">
        <v>293</v>
      </c>
      <c r="K1801" s="24">
        <v>59</v>
      </c>
      <c r="L1801" s="102">
        <v>46122.377604166664</v>
      </c>
      <c r="M1801" s="25" t="s">
        <v>357</v>
      </c>
      <c r="N1801" s="103" t="s">
        <v>130</v>
      </c>
      <c r="O1801" s="26">
        <v>2.42</v>
      </c>
      <c r="P1801" s="26" t="s">
        <v>293</v>
      </c>
    </row>
    <row r="1802" spans="1:16" x14ac:dyDescent="0.3">
      <c r="A1802" s="24">
        <v>59</v>
      </c>
      <c r="B1802" s="102">
        <v>46122.377592592595</v>
      </c>
      <c r="C1802" s="25" t="s">
        <v>356</v>
      </c>
      <c r="D1802" s="103" t="s">
        <v>341</v>
      </c>
      <c r="E1802" s="26">
        <v>0.28399999999999997</v>
      </c>
      <c r="F1802" s="26" t="s">
        <v>293</v>
      </c>
      <c r="K1802" s="24">
        <v>59</v>
      </c>
      <c r="L1802" s="102">
        <v>46122.377604166664</v>
      </c>
      <c r="M1802" s="25" t="s">
        <v>357</v>
      </c>
      <c r="N1802" s="103" t="s">
        <v>341</v>
      </c>
      <c r="O1802" s="26">
        <v>1.07</v>
      </c>
      <c r="P1802" s="26" t="s">
        <v>293</v>
      </c>
    </row>
    <row r="1803" spans="1:16" x14ac:dyDescent="0.3">
      <c r="A1803" s="24">
        <v>59</v>
      </c>
      <c r="B1803" s="102">
        <v>46122.377592592595</v>
      </c>
      <c r="C1803" s="25" t="s">
        <v>356</v>
      </c>
      <c r="D1803" s="103" t="s">
        <v>127</v>
      </c>
      <c r="E1803" s="26">
        <v>1.1930000000000001</v>
      </c>
      <c r="F1803" s="26" t="s">
        <v>293</v>
      </c>
      <c r="K1803" s="24">
        <v>59</v>
      </c>
      <c r="L1803" s="102">
        <v>46122.377604166664</v>
      </c>
      <c r="M1803" s="25" t="s">
        <v>357</v>
      </c>
      <c r="N1803" s="103" t="s">
        <v>127</v>
      </c>
      <c r="O1803" s="26">
        <v>4.6449999999999996</v>
      </c>
      <c r="P1803" s="26" t="s">
        <v>293</v>
      </c>
    </row>
    <row r="1804" spans="1:16" x14ac:dyDescent="0.3">
      <c r="A1804" s="24">
        <v>59</v>
      </c>
      <c r="B1804" s="102">
        <v>46122.377592592595</v>
      </c>
      <c r="C1804" s="25" t="s">
        <v>356</v>
      </c>
      <c r="D1804" s="103" t="s">
        <v>131</v>
      </c>
      <c r="E1804" s="26">
        <v>8.9</v>
      </c>
      <c r="F1804" s="26" t="s">
        <v>293</v>
      </c>
      <c r="K1804" s="24">
        <v>59</v>
      </c>
      <c r="L1804" s="102">
        <v>46122.377604166664</v>
      </c>
      <c r="M1804" s="25" t="s">
        <v>357</v>
      </c>
      <c r="N1804" s="103" t="s">
        <v>131</v>
      </c>
      <c r="O1804" s="26">
        <v>12.2</v>
      </c>
      <c r="P1804" s="26" t="s">
        <v>293</v>
      </c>
    </row>
    <row r="1805" spans="1:16" x14ac:dyDescent="0.3">
      <c r="A1805" s="24">
        <v>59</v>
      </c>
      <c r="B1805" s="102">
        <v>46122.377592592595</v>
      </c>
      <c r="C1805" s="25" t="s">
        <v>356</v>
      </c>
      <c r="D1805" s="103" t="s">
        <v>342</v>
      </c>
      <c r="E1805" s="26">
        <v>309</v>
      </c>
      <c r="F1805" s="26" t="s">
        <v>293</v>
      </c>
      <c r="K1805" s="24">
        <v>59</v>
      </c>
      <c r="L1805" s="102">
        <v>46122.377604166664</v>
      </c>
      <c r="M1805" s="25" t="s">
        <v>357</v>
      </c>
      <c r="N1805" s="103" t="s">
        <v>342</v>
      </c>
      <c r="O1805" s="26">
        <v>187</v>
      </c>
      <c r="P1805" s="26" t="s">
        <v>293</v>
      </c>
    </row>
    <row r="1806" spans="1:16" x14ac:dyDescent="0.3">
      <c r="A1806" s="24">
        <v>59</v>
      </c>
      <c r="B1806" s="102">
        <v>46122.377592592595</v>
      </c>
      <c r="C1806" s="25" t="s">
        <v>356</v>
      </c>
      <c r="D1806" s="103" t="s">
        <v>119</v>
      </c>
      <c r="E1806" s="26">
        <v>239</v>
      </c>
      <c r="F1806" s="26" t="s">
        <v>293</v>
      </c>
      <c r="K1806" s="24">
        <v>59</v>
      </c>
      <c r="L1806" s="102">
        <v>46122.377604166664</v>
      </c>
      <c r="M1806" s="25" t="s">
        <v>357</v>
      </c>
      <c r="N1806" s="103" t="s">
        <v>119</v>
      </c>
      <c r="O1806" s="26">
        <v>88</v>
      </c>
      <c r="P1806" s="26" t="s">
        <v>293</v>
      </c>
    </row>
    <row r="1807" spans="1:16" x14ac:dyDescent="0.3">
      <c r="A1807" s="24">
        <v>59</v>
      </c>
      <c r="B1807" s="102">
        <v>46122.377592592595</v>
      </c>
      <c r="C1807" s="25" t="s">
        <v>356</v>
      </c>
      <c r="D1807" s="103" t="s">
        <v>120</v>
      </c>
      <c r="E1807" s="26">
        <v>77</v>
      </c>
      <c r="F1807" s="26" t="s">
        <v>293</v>
      </c>
      <c r="K1807" s="24">
        <v>59</v>
      </c>
      <c r="L1807" s="102">
        <v>46122.377604166664</v>
      </c>
      <c r="M1807" s="25" t="s">
        <v>357</v>
      </c>
      <c r="N1807" s="103" t="s">
        <v>120</v>
      </c>
      <c r="O1807" s="26">
        <v>27</v>
      </c>
      <c r="P1807" s="26" t="s">
        <v>293</v>
      </c>
    </row>
    <row r="1808" spans="1:16" x14ac:dyDescent="0.3">
      <c r="A1808" s="24">
        <v>59</v>
      </c>
      <c r="B1808" s="102">
        <v>46122.377592592595</v>
      </c>
      <c r="C1808" s="25" t="s">
        <v>356</v>
      </c>
      <c r="D1808" s="103" t="s">
        <v>117</v>
      </c>
      <c r="E1808" s="26">
        <v>2.74</v>
      </c>
      <c r="F1808" s="26" t="s">
        <v>293</v>
      </c>
      <c r="K1808" s="24">
        <v>59</v>
      </c>
      <c r="L1808" s="102">
        <v>46122.377604166664</v>
      </c>
      <c r="M1808" s="25" t="s">
        <v>357</v>
      </c>
      <c r="N1808" s="103" t="s">
        <v>117</v>
      </c>
      <c r="O1808" s="26">
        <v>6.29</v>
      </c>
      <c r="P1808" s="26" t="s">
        <v>293</v>
      </c>
    </row>
    <row r="1809" spans="1:16" x14ac:dyDescent="0.3">
      <c r="A1809" s="24">
        <v>59</v>
      </c>
      <c r="B1809" s="102">
        <v>46122.377592592595</v>
      </c>
      <c r="C1809" s="25" t="s">
        <v>356</v>
      </c>
      <c r="D1809" s="103" t="s">
        <v>344</v>
      </c>
      <c r="E1809" s="26">
        <v>232</v>
      </c>
      <c r="F1809" s="26" t="s">
        <v>293</v>
      </c>
      <c r="K1809" s="24">
        <v>59</v>
      </c>
      <c r="L1809" s="102">
        <v>46122.377604166664</v>
      </c>
      <c r="M1809" s="25" t="s">
        <v>357</v>
      </c>
      <c r="N1809" s="103" t="s">
        <v>344</v>
      </c>
      <c r="O1809" s="26">
        <v>68</v>
      </c>
      <c r="P1809" s="26" t="s">
        <v>293</v>
      </c>
    </row>
    <row r="1810" spans="1:16" x14ac:dyDescent="0.3">
      <c r="A1810" s="24">
        <v>59</v>
      </c>
      <c r="B1810" s="102">
        <v>46122.377592592595</v>
      </c>
      <c r="C1810" s="25" t="s">
        <v>356</v>
      </c>
      <c r="D1810" s="103" t="s">
        <v>132</v>
      </c>
      <c r="E1810" s="26">
        <v>3.52</v>
      </c>
      <c r="F1810" s="26" t="s">
        <v>293</v>
      </c>
      <c r="K1810" s="24">
        <v>59</v>
      </c>
      <c r="L1810" s="102">
        <v>46122.377604166664</v>
      </c>
      <c r="M1810" s="25" t="s">
        <v>357</v>
      </c>
      <c r="N1810" s="103" t="s">
        <v>132</v>
      </c>
      <c r="O1810" s="26">
        <v>7.26</v>
      </c>
      <c r="P1810" s="26" t="s">
        <v>293</v>
      </c>
    </row>
    <row r="1811" spans="1:16" x14ac:dyDescent="0.3">
      <c r="A1811" s="24">
        <v>59</v>
      </c>
      <c r="B1811" s="102">
        <v>46122.377592592595</v>
      </c>
      <c r="C1811" s="25" t="s">
        <v>356</v>
      </c>
      <c r="D1811" s="103" t="s">
        <v>111</v>
      </c>
      <c r="E1811" s="26">
        <v>89</v>
      </c>
      <c r="F1811" s="26" t="s">
        <v>293</v>
      </c>
      <c r="K1811" s="24">
        <v>59</v>
      </c>
      <c r="L1811" s="102">
        <v>46122.377604166664</v>
      </c>
      <c r="M1811" s="25" t="s">
        <v>357</v>
      </c>
      <c r="N1811" s="103" t="s">
        <v>111</v>
      </c>
      <c r="O1811" s="26">
        <v>283</v>
      </c>
      <c r="P1811" s="26" t="s">
        <v>293</v>
      </c>
    </row>
    <row r="1812" spans="1:16" x14ac:dyDescent="0.3">
      <c r="A1812" s="24">
        <v>59</v>
      </c>
      <c r="B1812" s="102">
        <v>46122.377592592595</v>
      </c>
      <c r="C1812" s="25" t="s">
        <v>356</v>
      </c>
      <c r="D1812" s="103" t="s">
        <v>345</v>
      </c>
      <c r="E1812" s="26">
        <v>5.07</v>
      </c>
      <c r="F1812" s="26" t="s">
        <v>293</v>
      </c>
      <c r="K1812" s="24">
        <v>59</v>
      </c>
      <c r="L1812" s="102">
        <v>46122.377604166664</v>
      </c>
      <c r="M1812" s="25" t="s">
        <v>357</v>
      </c>
      <c r="N1812" s="103" t="s">
        <v>345</v>
      </c>
      <c r="O1812" s="26">
        <v>9.9</v>
      </c>
      <c r="P1812" s="26" t="s">
        <v>293</v>
      </c>
    </row>
    <row r="1813" spans="1:16" x14ac:dyDescent="0.3">
      <c r="A1813" s="24">
        <v>59</v>
      </c>
      <c r="B1813" s="102">
        <v>46122.377592592595</v>
      </c>
      <c r="C1813" s="25" t="s">
        <v>356</v>
      </c>
      <c r="D1813" s="103" t="s">
        <v>347</v>
      </c>
      <c r="E1813" s="26">
        <v>2.17</v>
      </c>
      <c r="F1813" s="26" t="s">
        <v>293</v>
      </c>
      <c r="K1813" s="24">
        <v>59</v>
      </c>
      <c r="L1813" s="102">
        <v>46122.377604166664</v>
      </c>
      <c r="M1813" s="25" t="s">
        <v>357</v>
      </c>
      <c r="N1813" s="103" t="s">
        <v>347</v>
      </c>
      <c r="O1813" s="26">
        <v>4.84</v>
      </c>
      <c r="P1813" s="26" t="s">
        <v>293</v>
      </c>
    </row>
    <row r="1814" spans="1:16" x14ac:dyDescent="0.3">
      <c r="A1814" s="24">
        <v>59</v>
      </c>
      <c r="B1814" s="102">
        <v>46122.377592592595</v>
      </c>
      <c r="C1814" s="25" t="s">
        <v>356</v>
      </c>
      <c r="D1814" s="103" t="s">
        <v>128</v>
      </c>
      <c r="E1814" s="26">
        <v>7</v>
      </c>
      <c r="F1814" s="26" t="s">
        <v>293</v>
      </c>
      <c r="K1814" s="24">
        <v>59</v>
      </c>
      <c r="L1814" s="102">
        <v>46122.377604166664</v>
      </c>
      <c r="M1814" s="25" t="s">
        <v>357</v>
      </c>
      <c r="N1814" s="103" t="s">
        <v>128</v>
      </c>
      <c r="O1814" s="26">
        <v>4.4000000000000004</v>
      </c>
      <c r="P1814" s="26" t="s">
        <v>293</v>
      </c>
    </row>
    <row r="1815" spans="1:16" x14ac:dyDescent="0.3">
      <c r="A1815" s="24">
        <v>59</v>
      </c>
      <c r="B1815" s="102">
        <v>46122.377592592595</v>
      </c>
      <c r="C1815" s="25" t="s">
        <v>356</v>
      </c>
      <c r="D1815" s="103" t="s">
        <v>121</v>
      </c>
      <c r="E1815" s="26">
        <v>164</v>
      </c>
      <c r="F1815" s="26" t="s">
        <v>293</v>
      </c>
      <c r="K1815" s="24">
        <v>59</v>
      </c>
      <c r="L1815" s="102">
        <v>46122.377604166664</v>
      </c>
      <c r="M1815" s="25" t="s">
        <v>357</v>
      </c>
      <c r="N1815" s="103" t="s">
        <v>121</v>
      </c>
      <c r="O1815" s="26">
        <v>80</v>
      </c>
      <c r="P1815" s="26" t="s">
        <v>293</v>
      </c>
    </row>
    <row r="1816" spans="1:16" x14ac:dyDescent="0.3">
      <c r="A1816" s="24">
        <v>59</v>
      </c>
      <c r="B1816" s="102">
        <v>46122.377592592595</v>
      </c>
      <c r="C1816" s="25" t="s">
        <v>356</v>
      </c>
      <c r="D1816" s="103" t="s">
        <v>115</v>
      </c>
      <c r="E1816" s="26">
        <v>36</v>
      </c>
      <c r="F1816" s="26" t="s">
        <v>293</v>
      </c>
      <c r="K1816" s="24">
        <v>59</v>
      </c>
      <c r="L1816" s="102">
        <v>46122.377604166664</v>
      </c>
      <c r="M1816" s="25" t="s">
        <v>357</v>
      </c>
      <c r="N1816" s="103" t="s">
        <v>115</v>
      </c>
      <c r="O1816" s="26">
        <v>94</v>
      </c>
      <c r="P1816" s="26" t="s">
        <v>293</v>
      </c>
    </row>
    <row r="1817" spans="1:16" x14ac:dyDescent="0.3">
      <c r="A1817" s="24">
        <v>59</v>
      </c>
      <c r="B1817" s="102">
        <v>46122.377592592595</v>
      </c>
      <c r="C1817" s="25" t="s">
        <v>356</v>
      </c>
      <c r="D1817" s="103" t="s">
        <v>137</v>
      </c>
      <c r="E1817" s="26">
        <v>75</v>
      </c>
      <c r="F1817" s="26" t="s">
        <v>293</v>
      </c>
      <c r="K1817" s="24">
        <v>59</v>
      </c>
      <c r="L1817" s="102">
        <v>46122.377604166664</v>
      </c>
      <c r="M1817" s="25" t="s">
        <v>357</v>
      </c>
      <c r="N1817" s="103" t="s">
        <v>137</v>
      </c>
      <c r="O1817" s="26">
        <v>484</v>
      </c>
      <c r="P1817" s="26" t="s">
        <v>293</v>
      </c>
    </row>
    <row r="1818" spans="1:16" x14ac:dyDescent="0.3">
      <c r="A1818" s="24">
        <v>59</v>
      </c>
      <c r="B1818" s="102">
        <v>46122.377592592595</v>
      </c>
      <c r="C1818" s="25" t="s">
        <v>356</v>
      </c>
      <c r="D1818" s="103" t="s">
        <v>348</v>
      </c>
      <c r="E1818" s="26">
        <v>144</v>
      </c>
      <c r="F1818" s="26" t="s">
        <v>293</v>
      </c>
      <c r="K1818" s="24">
        <v>59</v>
      </c>
      <c r="L1818" s="102">
        <v>46122.377604166664</v>
      </c>
      <c r="M1818" s="25" t="s">
        <v>357</v>
      </c>
      <c r="N1818" s="103" t="s">
        <v>348</v>
      </c>
      <c r="O1818" s="26">
        <v>428</v>
      </c>
      <c r="P1818" s="26" t="s">
        <v>293</v>
      </c>
    </row>
    <row r="1819" spans="1:16" x14ac:dyDescent="0.3">
      <c r="A1819" s="24">
        <v>59</v>
      </c>
      <c r="B1819" s="102">
        <v>46122.377592592595</v>
      </c>
      <c r="C1819" s="25" t="s">
        <v>356</v>
      </c>
      <c r="D1819" s="103" t="s">
        <v>125</v>
      </c>
      <c r="E1819" s="26">
        <v>114</v>
      </c>
      <c r="F1819" s="26" t="s">
        <v>293</v>
      </c>
      <c r="K1819" s="24">
        <v>59</v>
      </c>
      <c r="L1819" s="102">
        <v>46122.377604166664</v>
      </c>
      <c r="M1819" s="25" t="s">
        <v>357</v>
      </c>
      <c r="N1819" s="103" t="s">
        <v>125</v>
      </c>
      <c r="O1819" s="26">
        <v>424</v>
      </c>
      <c r="P1819" s="26" t="s">
        <v>293</v>
      </c>
    </row>
    <row r="1820" spans="1:16" x14ac:dyDescent="0.3">
      <c r="A1820" s="24">
        <v>59</v>
      </c>
      <c r="B1820" s="102">
        <v>46122.377592592595</v>
      </c>
      <c r="C1820" s="25" t="s">
        <v>356</v>
      </c>
      <c r="D1820" s="103" t="s">
        <v>126</v>
      </c>
      <c r="E1820" s="26">
        <v>82</v>
      </c>
      <c r="F1820" s="26" t="s">
        <v>293</v>
      </c>
      <c r="K1820" s="24">
        <v>59</v>
      </c>
      <c r="L1820" s="102">
        <v>46122.377604166664</v>
      </c>
      <c r="M1820" s="25" t="s">
        <v>357</v>
      </c>
      <c r="N1820" s="103" t="s">
        <v>126</v>
      </c>
      <c r="O1820" s="26">
        <v>152</v>
      </c>
      <c r="P1820" s="26" t="s">
        <v>293</v>
      </c>
    </row>
    <row r="1821" spans="1:16" x14ac:dyDescent="0.3">
      <c r="A1821" s="24">
        <v>59</v>
      </c>
      <c r="B1821" s="102">
        <v>46122.377592592595</v>
      </c>
      <c r="C1821" s="25" t="s">
        <v>356</v>
      </c>
      <c r="D1821" s="103" t="s">
        <v>349</v>
      </c>
      <c r="E1821" s="26">
        <v>159</v>
      </c>
      <c r="F1821" s="26" t="s">
        <v>293</v>
      </c>
      <c r="K1821" s="24">
        <v>59</v>
      </c>
      <c r="L1821" s="102">
        <v>46122.377604166664</v>
      </c>
      <c r="M1821" s="25" t="s">
        <v>357</v>
      </c>
      <c r="N1821" s="103" t="s">
        <v>349</v>
      </c>
      <c r="O1821" s="26">
        <v>370</v>
      </c>
      <c r="P1821" s="26" t="s">
        <v>293</v>
      </c>
    </row>
    <row r="1822" spans="1:16" x14ac:dyDescent="0.3">
      <c r="A1822" s="24">
        <v>59</v>
      </c>
      <c r="B1822" s="102">
        <v>46122.377592592595</v>
      </c>
      <c r="C1822" s="25" t="s">
        <v>356</v>
      </c>
      <c r="D1822" s="103" t="s">
        <v>350</v>
      </c>
      <c r="E1822" s="26">
        <v>63</v>
      </c>
      <c r="F1822" s="26" t="s">
        <v>293</v>
      </c>
      <c r="K1822" s="24">
        <v>59</v>
      </c>
      <c r="L1822" s="102">
        <v>46122.377604166664</v>
      </c>
      <c r="M1822" s="25" t="s">
        <v>357</v>
      </c>
      <c r="N1822" s="103" t="s">
        <v>350</v>
      </c>
      <c r="O1822" s="26">
        <v>90</v>
      </c>
      <c r="P1822" s="26" t="s">
        <v>293</v>
      </c>
    </row>
    <row r="1823" spans="1:16" x14ac:dyDescent="0.3">
      <c r="A1823" s="24">
        <v>59</v>
      </c>
      <c r="B1823" s="102">
        <v>46122.377592592595</v>
      </c>
      <c r="C1823" s="25" t="s">
        <v>356</v>
      </c>
      <c r="D1823" s="103" t="s">
        <v>122</v>
      </c>
      <c r="E1823" s="26">
        <v>46</v>
      </c>
      <c r="F1823" s="26" t="s">
        <v>293</v>
      </c>
      <c r="K1823" s="24">
        <v>59</v>
      </c>
      <c r="L1823" s="102">
        <v>46122.377604166664</v>
      </c>
      <c r="M1823" s="25" t="s">
        <v>357</v>
      </c>
      <c r="N1823" s="103" t="s">
        <v>122</v>
      </c>
      <c r="O1823" s="26">
        <v>213</v>
      </c>
      <c r="P1823" s="26" t="s">
        <v>293</v>
      </c>
    </row>
    <row r="1824" spans="1:16" x14ac:dyDescent="0.3">
      <c r="A1824" s="24">
        <v>59</v>
      </c>
      <c r="B1824" s="102">
        <v>46122.377592592595</v>
      </c>
      <c r="C1824" s="25" t="s">
        <v>356</v>
      </c>
      <c r="D1824" s="103" t="s">
        <v>124</v>
      </c>
      <c r="E1824" s="26">
        <v>29</v>
      </c>
      <c r="F1824" s="26" t="s">
        <v>293</v>
      </c>
      <c r="K1824" s="24">
        <v>59</v>
      </c>
      <c r="L1824" s="102">
        <v>46122.377604166664</v>
      </c>
      <c r="M1824" s="25" t="s">
        <v>357</v>
      </c>
      <c r="N1824" s="103" t="s">
        <v>124</v>
      </c>
      <c r="O1824" s="26">
        <v>102</v>
      </c>
      <c r="P1824" s="26" t="s">
        <v>293</v>
      </c>
    </row>
    <row r="1825" spans="1:16" x14ac:dyDescent="0.3">
      <c r="A1825" s="24">
        <v>59</v>
      </c>
      <c r="B1825" s="102">
        <v>46122.377592592595</v>
      </c>
      <c r="C1825" s="25" t="s">
        <v>356</v>
      </c>
      <c r="D1825" s="103" t="s">
        <v>351</v>
      </c>
      <c r="E1825" s="26">
        <v>0.92</v>
      </c>
      <c r="F1825" s="26" t="s">
        <v>293</v>
      </c>
      <c r="K1825" s="24">
        <v>59</v>
      </c>
      <c r="L1825" s="102">
        <v>46122.377604166664</v>
      </c>
      <c r="M1825" s="25" t="s">
        <v>357</v>
      </c>
      <c r="N1825" s="103" t="s">
        <v>351</v>
      </c>
      <c r="O1825" s="26">
        <v>3.52</v>
      </c>
      <c r="P1825" s="26" t="s">
        <v>293</v>
      </c>
    </row>
    <row r="1826" spans="1:16" x14ac:dyDescent="0.3">
      <c r="A1826" s="24">
        <v>59</v>
      </c>
      <c r="B1826" s="102">
        <v>46122.377592592595</v>
      </c>
      <c r="C1826" s="25" t="s">
        <v>356</v>
      </c>
      <c r="D1826" s="103" t="s">
        <v>353</v>
      </c>
      <c r="E1826" s="26">
        <v>38.299999999999997</v>
      </c>
      <c r="F1826" s="26" t="s">
        <v>293</v>
      </c>
      <c r="K1826" s="24">
        <v>59</v>
      </c>
      <c r="L1826" s="102">
        <v>46122.377604166664</v>
      </c>
      <c r="M1826" s="25" t="s">
        <v>357</v>
      </c>
      <c r="N1826" s="103" t="s">
        <v>353</v>
      </c>
      <c r="O1826" s="26">
        <v>20.5</v>
      </c>
      <c r="P1826" s="26" t="s">
        <v>293</v>
      </c>
    </row>
    <row r="1827" spans="1:16" x14ac:dyDescent="0.3">
      <c r="A1827" s="24">
        <v>59</v>
      </c>
      <c r="B1827" s="102">
        <v>46122.377592592595</v>
      </c>
      <c r="C1827" s="25" t="s">
        <v>356</v>
      </c>
      <c r="D1827" s="103" t="s">
        <v>133</v>
      </c>
      <c r="E1827" s="26">
        <v>148</v>
      </c>
      <c r="F1827" s="26" t="s">
        <v>293</v>
      </c>
      <c r="K1827" s="24">
        <v>59</v>
      </c>
      <c r="L1827" s="102">
        <v>46122.377604166664</v>
      </c>
      <c r="M1827" s="25" t="s">
        <v>357</v>
      </c>
      <c r="N1827" s="103" t="s">
        <v>133</v>
      </c>
      <c r="O1827" s="26">
        <v>128</v>
      </c>
      <c r="P1827" s="26" t="s">
        <v>293</v>
      </c>
    </row>
    <row r="1828" spans="1:16" x14ac:dyDescent="0.3">
      <c r="A1828" s="24">
        <v>59</v>
      </c>
      <c r="B1828" s="102">
        <v>46122.377592592595</v>
      </c>
      <c r="C1828" s="25" t="s">
        <v>356</v>
      </c>
      <c r="D1828" s="103" t="s">
        <v>135</v>
      </c>
      <c r="E1828" s="26">
        <v>3.8</v>
      </c>
      <c r="F1828" s="26" t="s">
        <v>293</v>
      </c>
      <c r="K1828" s="24">
        <v>59</v>
      </c>
      <c r="L1828" s="102">
        <v>46122.377604166664</v>
      </c>
      <c r="M1828" s="25" t="s">
        <v>357</v>
      </c>
      <c r="N1828" s="103" t="s">
        <v>135</v>
      </c>
      <c r="O1828" s="26">
        <v>6.5</v>
      </c>
      <c r="P1828" s="26" t="s">
        <v>293</v>
      </c>
    </row>
    <row r="1829" spans="1:16" x14ac:dyDescent="0.3">
      <c r="A1829" s="24">
        <v>59</v>
      </c>
      <c r="B1829" s="102">
        <v>46122.377592592595</v>
      </c>
      <c r="C1829" s="25" t="s">
        <v>356</v>
      </c>
      <c r="D1829" s="103" t="s">
        <v>136</v>
      </c>
      <c r="E1829" s="26">
        <v>113</v>
      </c>
      <c r="F1829" s="26" t="s">
        <v>293</v>
      </c>
      <c r="K1829" s="24">
        <v>59</v>
      </c>
      <c r="L1829" s="102">
        <v>46122.377604166664</v>
      </c>
      <c r="M1829" s="25" t="s">
        <v>357</v>
      </c>
      <c r="N1829" s="103" t="s">
        <v>136</v>
      </c>
      <c r="O1829" s="26">
        <v>95</v>
      </c>
      <c r="P1829" s="26" t="s">
        <v>293</v>
      </c>
    </row>
    <row r="1830" spans="1:16" x14ac:dyDescent="0.3">
      <c r="A1830" s="24">
        <v>60</v>
      </c>
      <c r="B1830" s="102">
        <v>46125.360960648148</v>
      </c>
      <c r="C1830" s="25" t="s">
        <v>356</v>
      </c>
      <c r="D1830" s="103" t="s">
        <v>339</v>
      </c>
      <c r="E1830" s="26">
        <v>4.72</v>
      </c>
      <c r="F1830" s="26" t="s">
        <v>293</v>
      </c>
      <c r="K1830" s="24">
        <v>60</v>
      </c>
      <c r="L1830" s="102">
        <v>46125.363923611112</v>
      </c>
      <c r="M1830" s="25" t="s">
        <v>357</v>
      </c>
      <c r="N1830" s="103" t="s">
        <v>339</v>
      </c>
      <c r="O1830" s="26">
        <v>1.19</v>
      </c>
      <c r="P1830" s="26" t="s">
        <v>293</v>
      </c>
    </row>
    <row r="1831" spans="1:16" x14ac:dyDescent="0.3">
      <c r="A1831" s="24">
        <v>60</v>
      </c>
      <c r="B1831" s="102">
        <v>46125.360960648148</v>
      </c>
      <c r="C1831" s="25" t="s">
        <v>356</v>
      </c>
      <c r="D1831" s="103" t="s">
        <v>118</v>
      </c>
      <c r="E1831" s="26">
        <v>4.5999999999999996</v>
      </c>
      <c r="F1831" s="26" t="s">
        <v>293</v>
      </c>
      <c r="K1831" s="24">
        <v>60</v>
      </c>
      <c r="L1831" s="102">
        <v>46125.363923611112</v>
      </c>
      <c r="M1831" s="25" t="s">
        <v>357</v>
      </c>
      <c r="N1831" s="103" t="s">
        <v>118</v>
      </c>
      <c r="O1831" s="26">
        <v>9.6</v>
      </c>
      <c r="P1831" s="26" t="s">
        <v>293</v>
      </c>
    </row>
    <row r="1832" spans="1:16" x14ac:dyDescent="0.3">
      <c r="A1832" s="24">
        <v>60</v>
      </c>
      <c r="B1832" s="102">
        <v>46125.360960648148</v>
      </c>
      <c r="C1832" s="25" t="s">
        <v>356</v>
      </c>
      <c r="D1832" s="103" t="s">
        <v>130</v>
      </c>
      <c r="E1832" s="26">
        <v>3.8</v>
      </c>
      <c r="F1832" s="26" t="s">
        <v>293</v>
      </c>
      <c r="K1832" s="24">
        <v>60</v>
      </c>
      <c r="L1832" s="102">
        <v>46125.363923611112</v>
      </c>
      <c r="M1832" s="25" t="s">
        <v>357</v>
      </c>
      <c r="N1832" s="103" t="s">
        <v>130</v>
      </c>
      <c r="O1832" s="26">
        <v>2.4</v>
      </c>
      <c r="P1832" s="26" t="s">
        <v>293</v>
      </c>
    </row>
    <row r="1833" spans="1:16" x14ac:dyDescent="0.3">
      <c r="A1833" s="24">
        <v>60</v>
      </c>
      <c r="B1833" s="102">
        <v>46125.360960648148</v>
      </c>
      <c r="C1833" s="25" t="s">
        <v>356</v>
      </c>
      <c r="D1833" s="103" t="s">
        <v>341</v>
      </c>
      <c r="E1833" s="26">
        <v>0.312</v>
      </c>
      <c r="F1833" s="26" t="s">
        <v>293</v>
      </c>
      <c r="K1833" s="24">
        <v>60</v>
      </c>
      <c r="L1833" s="102">
        <v>46125.363923611112</v>
      </c>
      <c r="M1833" s="25" t="s">
        <v>357</v>
      </c>
      <c r="N1833" s="103" t="s">
        <v>341</v>
      </c>
      <c r="O1833" s="26">
        <v>1.167</v>
      </c>
      <c r="P1833" s="26" t="s">
        <v>293</v>
      </c>
    </row>
    <row r="1834" spans="1:16" x14ac:dyDescent="0.3">
      <c r="A1834" s="24">
        <v>60</v>
      </c>
      <c r="B1834" s="102">
        <v>46125.360960648148</v>
      </c>
      <c r="C1834" s="25" t="s">
        <v>356</v>
      </c>
      <c r="D1834" s="103" t="s">
        <v>127</v>
      </c>
      <c r="E1834" s="26">
        <v>1.2270000000000001</v>
      </c>
      <c r="F1834" s="26" t="s">
        <v>293</v>
      </c>
      <c r="K1834" s="24">
        <v>60</v>
      </c>
      <c r="L1834" s="102">
        <v>46125.363923611112</v>
      </c>
      <c r="M1834" s="25" t="s">
        <v>357</v>
      </c>
      <c r="N1834" s="103" t="s">
        <v>127</v>
      </c>
      <c r="O1834" s="26">
        <v>4.6390000000000002</v>
      </c>
      <c r="P1834" s="26" t="s">
        <v>293</v>
      </c>
    </row>
    <row r="1835" spans="1:16" x14ac:dyDescent="0.3">
      <c r="A1835" s="24">
        <v>60</v>
      </c>
      <c r="B1835" s="102">
        <v>46125.360960648148</v>
      </c>
      <c r="C1835" s="25" t="s">
        <v>356</v>
      </c>
      <c r="D1835" s="103" t="s">
        <v>131</v>
      </c>
      <c r="E1835" s="26">
        <v>9.1</v>
      </c>
      <c r="F1835" s="26" t="s">
        <v>293</v>
      </c>
      <c r="K1835" s="24">
        <v>60</v>
      </c>
      <c r="L1835" s="102">
        <v>46125.363923611112</v>
      </c>
      <c r="M1835" s="25" t="s">
        <v>357</v>
      </c>
      <c r="N1835" s="103" t="s">
        <v>131</v>
      </c>
      <c r="O1835" s="26">
        <v>12.4</v>
      </c>
      <c r="P1835" s="26" t="s">
        <v>293</v>
      </c>
    </row>
    <row r="1836" spans="1:16" x14ac:dyDescent="0.3">
      <c r="A1836" s="24">
        <v>60</v>
      </c>
      <c r="B1836" s="102">
        <v>46125.360960648148</v>
      </c>
      <c r="C1836" s="25" t="s">
        <v>356</v>
      </c>
      <c r="D1836" s="103" t="s">
        <v>342</v>
      </c>
      <c r="E1836" s="26">
        <v>310</v>
      </c>
      <c r="F1836" s="26" t="s">
        <v>293</v>
      </c>
      <c r="K1836" s="24">
        <v>60</v>
      </c>
      <c r="L1836" s="102">
        <v>46125.363923611112</v>
      </c>
      <c r="M1836" s="25" t="s">
        <v>357</v>
      </c>
      <c r="N1836" s="103" t="s">
        <v>342</v>
      </c>
      <c r="O1836" s="26">
        <v>190</v>
      </c>
      <c r="P1836" s="26" t="s">
        <v>293</v>
      </c>
    </row>
    <row r="1837" spans="1:16" x14ac:dyDescent="0.3">
      <c r="A1837" s="24">
        <v>60</v>
      </c>
      <c r="B1837" s="102">
        <v>46125.360960648148</v>
      </c>
      <c r="C1837" s="25" t="s">
        <v>356</v>
      </c>
      <c r="D1837" s="103" t="s">
        <v>119</v>
      </c>
      <c r="E1837" s="26">
        <v>239</v>
      </c>
      <c r="F1837" s="26" t="s">
        <v>293</v>
      </c>
      <c r="K1837" s="24">
        <v>60</v>
      </c>
      <c r="L1837" s="102">
        <v>46125.363923611112</v>
      </c>
      <c r="M1837" s="25" t="s">
        <v>357</v>
      </c>
      <c r="N1837" s="103" t="s">
        <v>119</v>
      </c>
      <c r="O1837" s="26">
        <v>88</v>
      </c>
      <c r="P1837" s="26" t="s">
        <v>293</v>
      </c>
    </row>
    <row r="1838" spans="1:16" x14ac:dyDescent="0.3">
      <c r="A1838" s="24">
        <v>60</v>
      </c>
      <c r="B1838" s="102">
        <v>46125.360960648148</v>
      </c>
      <c r="C1838" s="25" t="s">
        <v>356</v>
      </c>
      <c r="D1838" s="103" t="s">
        <v>120</v>
      </c>
      <c r="E1838" s="26">
        <v>77</v>
      </c>
      <c r="F1838" s="26" t="s">
        <v>293</v>
      </c>
      <c r="K1838" s="24">
        <v>60</v>
      </c>
      <c r="L1838" s="102">
        <v>46125.363923611112</v>
      </c>
      <c r="M1838" s="25" t="s">
        <v>357</v>
      </c>
      <c r="N1838" s="103" t="s">
        <v>120</v>
      </c>
      <c r="O1838" s="26">
        <v>27</v>
      </c>
      <c r="P1838" s="26" t="s">
        <v>293</v>
      </c>
    </row>
    <row r="1839" spans="1:16" x14ac:dyDescent="0.3">
      <c r="A1839" s="24">
        <v>60</v>
      </c>
      <c r="B1839" s="102">
        <v>46125.360960648148</v>
      </c>
      <c r="C1839" s="25" t="s">
        <v>356</v>
      </c>
      <c r="D1839" s="103" t="s">
        <v>117</v>
      </c>
      <c r="E1839" s="26">
        <v>2.67</v>
      </c>
      <c r="F1839" s="26" t="s">
        <v>293</v>
      </c>
      <c r="K1839" s="24">
        <v>60</v>
      </c>
      <c r="L1839" s="102">
        <v>46125.363923611112</v>
      </c>
      <c r="M1839" s="25" t="s">
        <v>357</v>
      </c>
      <c r="N1839" s="103" t="s">
        <v>117</v>
      </c>
      <c r="O1839" s="26">
        <v>6.24</v>
      </c>
      <c r="P1839" s="26" t="s">
        <v>293</v>
      </c>
    </row>
    <row r="1840" spans="1:16" x14ac:dyDescent="0.3">
      <c r="A1840" s="24">
        <v>60</v>
      </c>
      <c r="B1840" s="102">
        <v>46125.360960648148</v>
      </c>
      <c r="C1840" s="25" t="s">
        <v>356</v>
      </c>
      <c r="D1840" s="103" t="s">
        <v>344</v>
      </c>
      <c r="E1840" s="26">
        <v>232</v>
      </c>
      <c r="F1840" s="26" t="s">
        <v>293</v>
      </c>
      <c r="K1840" s="24">
        <v>60</v>
      </c>
      <c r="L1840" s="102">
        <v>46125.363923611112</v>
      </c>
      <c r="M1840" s="25" t="s">
        <v>357</v>
      </c>
      <c r="N1840" s="103" t="s">
        <v>344</v>
      </c>
      <c r="O1840" s="26">
        <v>68</v>
      </c>
      <c r="P1840" s="26" t="s">
        <v>293</v>
      </c>
    </row>
    <row r="1841" spans="1:16" x14ac:dyDescent="0.3">
      <c r="A1841" s="24">
        <v>60</v>
      </c>
      <c r="B1841" s="102">
        <v>46125.360960648148</v>
      </c>
      <c r="C1841" s="25" t="s">
        <v>356</v>
      </c>
      <c r="D1841" s="103" t="s">
        <v>132</v>
      </c>
      <c r="E1841" s="26">
        <v>3.46</v>
      </c>
      <c r="F1841" s="26" t="s">
        <v>293</v>
      </c>
      <c r="K1841" s="24">
        <v>60</v>
      </c>
      <c r="L1841" s="102">
        <v>46125.363923611112</v>
      </c>
      <c r="M1841" s="25" t="s">
        <v>357</v>
      </c>
      <c r="N1841" s="103" t="s">
        <v>132</v>
      </c>
      <c r="O1841" s="26">
        <v>7.19</v>
      </c>
      <c r="P1841" s="26" t="s">
        <v>293</v>
      </c>
    </row>
    <row r="1842" spans="1:16" x14ac:dyDescent="0.3">
      <c r="A1842" s="24">
        <v>60</v>
      </c>
      <c r="B1842" s="102">
        <v>46125.360960648148</v>
      </c>
      <c r="C1842" s="25" t="s">
        <v>356</v>
      </c>
      <c r="D1842" s="103" t="s">
        <v>111</v>
      </c>
      <c r="E1842" s="26">
        <v>90</v>
      </c>
      <c r="F1842" s="26" t="s">
        <v>293</v>
      </c>
      <c r="K1842" s="24">
        <v>60</v>
      </c>
      <c r="L1842" s="102">
        <v>46125.363923611112</v>
      </c>
      <c r="M1842" s="25" t="s">
        <v>357</v>
      </c>
      <c r="N1842" s="103" t="s">
        <v>111</v>
      </c>
      <c r="O1842" s="26">
        <v>281</v>
      </c>
      <c r="P1842" s="26" t="s">
        <v>293</v>
      </c>
    </row>
    <row r="1843" spans="1:16" x14ac:dyDescent="0.3">
      <c r="A1843" s="24">
        <v>60</v>
      </c>
      <c r="B1843" s="102">
        <v>46125.360960648148</v>
      </c>
      <c r="C1843" s="25" t="s">
        <v>356</v>
      </c>
      <c r="D1843" s="103" t="s">
        <v>345</v>
      </c>
      <c r="E1843" s="26">
        <v>5.3</v>
      </c>
      <c r="F1843" s="26" t="s">
        <v>293</v>
      </c>
      <c r="K1843" s="24">
        <v>60</v>
      </c>
      <c r="L1843" s="102">
        <v>46125.363923611112</v>
      </c>
      <c r="M1843" s="25" t="s">
        <v>357</v>
      </c>
      <c r="N1843" s="103" t="s">
        <v>345</v>
      </c>
      <c r="O1843" s="26">
        <v>10.02</v>
      </c>
      <c r="P1843" s="26" t="s">
        <v>293</v>
      </c>
    </row>
    <row r="1844" spans="1:16" x14ac:dyDescent="0.3">
      <c r="A1844" s="24">
        <v>60</v>
      </c>
      <c r="B1844" s="102">
        <v>46125.360960648148</v>
      </c>
      <c r="C1844" s="25" t="s">
        <v>356</v>
      </c>
      <c r="D1844" s="103" t="s">
        <v>347</v>
      </c>
      <c r="E1844" s="26">
        <v>2.2799999999999998</v>
      </c>
      <c r="F1844" s="26" t="s">
        <v>293</v>
      </c>
      <c r="K1844" s="24">
        <v>60</v>
      </c>
      <c r="L1844" s="102">
        <v>46125.363923611112</v>
      </c>
      <c r="M1844" s="25" t="s">
        <v>357</v>
      </c>
      <c r="N1844" s="103" t="s">
        <v>347</v>
      </c>
      <c r="O1844" s="26">
        <v>4.9400000000000004</v>
      </c>
      <c r="P1844" s="26" t="s">
        <v>293</v>
      </c>
    </row>
    <row r="1845" spans="1:16" x14ac:dyDescent="0.3">
      <c r="A1845" s="24">
        <v>60</v>
      </c>
      <c r="B1845" s="102">
        <v>46125.360960648148</v>
      </c>
      <c r="C1845" s="25" t="s">
        <v>356</v>
      </c>
      <c r="D1845" s="103" t="s">
        <v>128</v>
      </c>
      <c r="E1845" s="26">
        <v>6.8</v>
      </c>
      <c r="F1845" s="26" t="s">
        <v>293</v>
      </c>
      <c r="K1845" s="24">
        <v>60</v>
      </c>
      <c r="L1845" s="102">
        <v>46125.363923611112</v>
      </c>
      <c r="M1845" s="25" t="s">
        <v>357</v>
      </c>
      <c r="N1845" s="103" t="s">
        <v>128</v>
      </c>
      <c r="O1845" s="26">
        <v>4.2</v>
      </c>
      <c r="P1845" s="26" t="s">
        <v>293</v>
      </c>
    </row>
    <row r="1846" spans="1:16" x14ac:dyDescent="0.3">
      <c r="A1846" s="24">
        <v>60</v>
      </c>
      <c r="B1846" s="102">
        <v>46125.360960648148</v>
      </c>
      <c r="C1846" s="25" t="s">
        <v>356</v>
      </c>
      <c r="D1846" s="103" t="s">
        <v>121</v>
      </c>
      <c r="E1846" s="26">
        <v>159</v>
      </c>
      <c r="F1846" s="26" t="s">
        <v>293</v>
      </c>
      <c r="K1846" s="24">
        <v>60</v>
      </c>
      <c r="L1846" s="102">
        <v>46125.363923611112</v>
      </c>
      <c r="M1846" s="25" t="s">
        <v>357</v>
      </c>
      <c r="N1846" s="103" t="s">
        <v>121</v>
      </c>
      <c r="O1846" s="26">
        <v>79</v>
      </c>
      <c r="P1846" s="26" t="s">
        <v>293</v>
      </c>
    </row>
    <row r="1847" spans="1:16" x14ac:dyDescent="0.3">
      <c r="A1847" s="24">
        <v>60</v>
      </c>
      <c r="B1847" s="102">
        <v>46125.360960648148</v>
      </c>
      <c r="C1847" s="25" t="s">
        <v>356</v>
      </c>
      <c r="D1847" s="103" t="s">
        <v>115</v>
      </c>
      <c r="E1847" s="26">
        <v>33</v>
      </c>
      <c r="F1847" s="26" t="s">
        <v>293</v>
      </c>
      <c r="K1847" s="24">
        <v>60</v>
      </c>
      <c r="L1847" s="102">
        <v>46125.363923611112</v>
      </c>
      <c r="M1847" s="25" t="s">
        <v>357</v>
      </c>
      <c r="N1847" s="103" t="s">
        <v>115</v>
      </c>
      <c r="O1847" s="26">
        <v>94</v>
      </c>
      <c r="P1847" s="26" t="s">
        <v>293</v>
      </c>
    </row>
    <row r="1848" spans="1:16" x14ac:dyDescent="0.3">
      <c r="A1848" s="24">
        <v>60</v>
      </c>
      <c r="B1848" s="102">
        <v>46125.360960648148</v>
      </c>
      <c r="C1848" s="25" t="s">
        <v>356</v>
      </c>
      <c r="D1848" s="103" t="s">
        <v>137</v>
      </c>
      <c r="E1848" s="26">
        <v>74</v>
      </c>
      <c r="F1848" s="26" t="s">
        <v>293</v>
      </c>
      <c r="K1848" s="24">
        <v>60</v>
      </c>
      <c r="L1848" s="102">
        <v>46125.363923611112</v>
      </c>
      <c r="M1848" s="25" t="s">
        <v>357</v>
      </c>
      <c r="N1848" s="103" t="s">
        <v>137</v>
      </c>
      <c r="O1848" s="26">
        <v>483</v>
      </c>
      <c r="P1848" s="26" t="s">
        <v>293</v>
      </c>
    </row>
    <row r="1849" spans="1:16" x14ac:dyDescent="0.3">
      <c r="A1849" s="24">
        <v>60</v>
      </c>
      <c r="B1849" s="102">
        <v>46125.360960648148</v>
      </c>
      <c r="C1849" s="25" t="s">
        <v>356</v>
      </c>
      <c r="D1849" s="103" t="s">
        <v>348</v>
      </c>
      <c r="E1849" s="26">
        <v>143</v>
      </c>
      <c r="F1849" s="26" t="s">
        <v>293</v>
      </c>
      <c r="K1849" s="24">
        <v>60</v>
      </c>
      <c r="L1849" s="102">
        <v>46125.363923611112</v>
      </c>
      <c r="M1849" s="25" t="s">
        <v>357</v>
      </c>
      <c r="N1849" s="103" t="s">
        <v>348</v>
      </c>
      <c r="O1849" s="26">
        <v>427</v>
      </c>
      <c r="P1849" s="26" t="s">
        <v>293</v>
      </c>
    </row>
    <row r="1850" spans="1:16" x14ac:dyDescent="0.3">
      <c r="A1850" s="24">
        <v>60</v>
      </c>
      <c r="B1850" s="102">
        <v>46125.360960648148</v>
      </c>
      <c r="C1850" s="25" t="s">
        <v>356</v>
      </c>
      <c r="D1850" s="103" t="s">
        <v>125</v>
      </c>
      <c r="E1850" s="26">
        <v>101</v>
      </c>
      <c r="F1850" s="26" t="s">
        <v>293</v>
      </c>
      <c r="K1850" s="24">
        <v>60</v>
      </c>
      <c r="L1850" s="102">
        <v>46125.363923611112</v>
      </c>
      <c r="M1850" s="25" t="s">
        <v>357</v>
      </c>
      <c r="N1850" s="103" t="s">
        <v>125</v>
      </c>
      <c r="O1850" s="26">
        <v>423</v>
      </c>
      <c r="P1850" s="26" t="s">
        <v>293</v>
      </c>
    </row>
    <row r="1851" spans="1:16" x14ac:dyDescent="0.3">
      <c r="A1851" s="24">
        <v>60</v>
      </c>
      <c r="B1851" s="102">
        <v>46125.360960648148</v>
      </c>
      <c r="C1851" s="25" t="s">
        <v>356</v>
      </c>
      <c r="D1851" s="103" t="s">
        <v>126</v>
      </c>
      <c r="E1851" s="26">
        <v>80</v>
      </c>
      <c r="F1851" s="26" t="s">
        <v>293</v>
      </c>
      <c r="K1851" s="24">
        <v>60</v>
      </c>
      <c r="L1851" s="102">
        <v>46125.363923611112</v>
      </c>
      <c r="M1851" s="25" t="s">
        <v>357</v>
      </c>
      <c r="N1851" s="103" t="s">
        <v>126</v>
      </c>
      <c r="O1851" s="26">
        <v>150</v>
      </c>
      <c r="P1851" s="26" t="s">
        <v>293</v>
      </c>
    </row>
    <row r="1852" spans="1:16" x14ac:dyDescent="0.3">
      <c r="A1852" s="24">
        <v>60</v>
      </c>
      <c r="B1852" s="102">
        <v>46125.360960648148</v>
      </c>
      <c r="C1852" s="25" t="s">
        <v>356</v>
      </c>
      <c r="D1852" s="103" t="s">
        <v>349</v>
      </c>
      <c r="E1852" s="26">
        <v>165</v>
      </c>
      <c r="F1852" s="26" t="s">
        <v>293</v>
      </c>
      <c r="K1852" s="24">
        <v>60</v>
      </c>
      <c r="L1852" s="102">
        <v>46125.363923611112</v>
      </c>
      <c r="M1852" s="25" t="s">
        <v>357</v>
      </c>
      <c r="N1852" s="103" t="s">
        <v>349</v>
      </c>
      <c r="O1852" s="26">
        <v>379</v>
      </c>
      <c r="P1852" s="26" t="s">
        <v>293</v>
      </c>
    </row>
    <row r="1853" spans="1:16" x14ac:dyDescent="0.3">
      <c r="A1853" s="24">
        <v>60</v>
      </c>
      <c r="B1853" s="102">
        <v>46125.360960648148</v>
      </c>
      <c r="C1853" s="25" t="s">
        <v>356</v>
      </c>
      <c r="D1853" s="103" t="s">
        <v>350</v>
      </c>
      <c r="E1853" s="26">
        <v>62</v>
      </c>
      <c r="F1853" s="26" t="s">
        <v>293</v>
      </c>
      <c r="K1853" s="24">
        <v>60</v>
      </c>
      <c r="L1853" s="102">
        <v>46125.363923611112</v>
      </c>
      <c r="M1853" s="25" t="s">
        <v>357</v>
      </c>
      <c r="N1853" s="103" t="s">
        <v>350</v>
      </c>
      <c r="O1853" s="26">
        <v>84</v>
      </c>
      <c r="P1853" s="26" t="s">
        <v>293</v>
      </c>
    </row>
    <row r="1854" spans="1:16" x14ac:dyDescent="0.3">
      <c r="A1854" s="24">
        <v>60</v>
      </c>
      <c r="B1854" s="102">
        <v>46125.360960648148</v>
      </c>
      <c r="C1854" s="25" t="s">
        <v>356</v>
      </c>
      <c r="D1854" s="103" t="s">
        <v>122</v>
      </c>
      <c r="E1854" s="26">
        <v>47</v>
      </c>
      <c r="F1854" s="26" t="s">
        <v>293</v>
      </c>
      <c r="K1854" s="24">
        <v>60</v>
      </c>
      <c r="L1854" s="102">
        <v>46125.363923611112</v>
      </c>
      <c r="M1854" s="25" t="s">
        <v>357</v>
      </c>
      <c r="N1854" s="103" t="s">
        <v>122</v>
      </c>
      <c r="O1854" s="26">
        <v>210</v>
      </c>
      <c r="P1854" s="26" t="s">
        <v>293</v>
      </c>
    </row>
    <row r="1855" spans="1:16" x14ac:dyDescent="0.3">
      <c r="A1855" s="24">
        <v>60</v>
      </c>
      <c r="B1855" s="102">
        <v>46125.360960648148</v>
      </c>
      <c r="C1855" s="25" t="s">
        <v>356</v>
      </c>
      <c r="D1855" s="103" t="s">
        <v>124</v>
      </c>
      <c r="E1855" s="26">
        <v>29</v>
      </c>
      <c r="F1855" s="26" t="s">
        <v>293</v>
      </c>
      <c r="K1855" s="24">
        <v>60</v>
      </c>
      <c r="L1855" s="102">
        <v>46125.363923611112</v>
      </c>
      <c r="M1855" s="25" t="s">
        <v>357</v>
      </c>
      <c r="N1855" s="103" t="s">
        <v>124</v>
      </c>
      <c r="O1855" s="26">
        <v>103</v>
      </c>
      <c r="P1855" s="26" t="s">
        <v>293</v>
      </c>
    </row>
    <row r="1856" spans="1:16" x14ac:dyDescent="0.3">
      <c r="A1856" s="24">
        <v>60</v>
      </c>
      <c r="B1856" s="102">
        <v>46125.360960648148</v>
      </c>
      <c r="C1856" s="25" t="s">
        <v>356</v>
      </c>
      <c r="D1856" s="103" t="s">
        <v>351</v>
      </c>
      <c r="E1856" s="26">
        <v>0.94</v>
      </c>
      <c r="F1856" s="26" t="s">
        <v>293</v>
      </c>
      <c r="K1856" s="24">
        <v>60</v>
      </c>
      <c r="L1856" s="102">
        <v>46125.363923611112</v>
      </c>
      <c r="M1856" s="25" t="s">
        <v>357</v>
      </c>
      <c r="N1856" s="103" t="s">
        <v>351</v>
      </c>
      <c r="O1856" s="26">
        <v>3.6</v>
      </c>
      <c r="P1856" s="26" t="s">
        <v>293</v>
      </c>
    </row>
    <row r="1857" spans="1:16" x14ac:dyDescent="0.3">
      <c r="A1857" s="24">
        <v>60</v>
      </c>
      <c r="B1857" s="102">
        <v>46125.360960648148</v>
      </c>
      <c r="C1857" s="25" t="s">
        <v>356</v>
      </c>
      <c r="D1857" s="103" t="s">
        <v>353</v>
      </c>
      <c r="E1857" s="26">
        <v>34.700000000000003</v>
      </c>
      <c r="F1857" s="26" t="s">
        <v>293</v>
      </c>
      <c r="K1857" s="24">
        <v>60</v>
      </c>
      <c r="L1857" s="102">
        <v>46125.363923611112</v>
      </c>
      <c r="M1857" s="25" t="s">
        <v>357</v>
      </c>
      <c r="N1857" s="103" t="s">
        <v>353</v>
      </c>
      <c r="O1857" s="26">
        <v>16.7</v>
      </c>
      <c r="P1857" s="26" t="s">
        <v>293</v>
      </c>
    </row>
    <row r="1858" spans="1:16" x14ac:dyDescent="0.3">
      <c r="A1858" s="24">
        <v>60</v>
      </c>
      <c r="B1858" s="102">
        <v>46125.360960648148</v>
      </c>
      <c r="C1858" s="25" t="s">
        <v>356</v>
      </c>
      <c r="D1858" s="103" t="s">
        <v>133</v>
      </c>
      <c r="E1858" s="26">
        <v>147</v>
      </c>
      <c r="F1858" s="26" t="s">
        <v>293</v>
      </c>
      <c r="K1858" s="24">
        <v>60</v>
      </c>
      <c r="L1858" s="102">
        <v>46125.363923611112</v>
      </c>
      <c r="M1858" s="25" t="s">
        <v>357</v>
      </c>
      <c r="N1858" s="103" t="s">
        <v>133</v>
      </c>
      <c r="O1858" s="26">
        <v>126</v>
      </c>
      <c r="P1858" s="26" t="s">
        <v>293</v>
      </c>
    </row>
    <row r="1859" spans="1:16" x14ac:dyDescent="0.3">
      <c r="A1859" s="24">
        <v>60</v>
      </c>
      <c r="B1859" s="102">
        <v>46125.360960648148</v>
      </c>
      <c r="C1859" s="25" t="s">
        <v>356</v>
      </c>
      <c r="D1859" s="103" t="s">
        <v>135</v>
      </c>
      <c r="E1859" s="26">
        <v>3.8</v>
      </c>
      <c r="F1859" s="26" t="s">
        <v>293</v>
      </c>
      <c r="K1859" s="24">
        <v>60</v>
      </c>
      <c r="L1859" s="102">
        <v>46125.363923611112</v>
      </c>
      <c r="M1859" s="25" t="s">
        <v>357</v>
      </c>
      <c r="N1859" s="103" t="s">
        <v>135</v>
      </c>
      <c r="O1859" s="26">
        <v>6.4</v>
      </c>
      <c r="P1859" s="26" t="s">
        <v>293</v>
      </c>
    </row>
    <row r="1860" spans="1:16" x14ac:dyDescent="0.3">
      <c r="A1860" s="24">
        <v>60</v>
      </c>
      <c r="B1860" s="102">
        <v>46125.360960648148</v>
      </c>
      <c r="C1860" s="25" t="s">
        <v>356</v>
      </c>
      <c r="D1860" s="103" t="s">
        <v>136</v>
      </c>
      <c r="E1860" s="26">
        <v>114</v>
      </c>
      <c r="F1860" s="26" t="s">
        <v>293</v>
      </c>
      <c r="K1860" s="24">
        <v>60</v>
      </c>
      <c r="L1860" s="102">
        <v>46125.363923611112</v>
      </c>
      <c r="M1860" s="25" t="s">
        <v>357</v>
      </c>
      <c r="N1860" s="103" t="s">
        <v>136</v>
      </c>
      <c r="O1860" s="26">
        <v>95</v>
      </c>
      <c r="P1860" s="26" t="s">
        <v>293</v>
      </c>
    </row>
    <row r="1861" spans="1:16" x14ac:dyDescent="0.3">
      <c r="A1861" s="24">
        <v>61</v>
      </c>
      <c r="B1861" s="102">
        <v>46126.350127314814</v>
      </c>
      <c r="C1861" s="25" t="s">
        <v>356</v>
      </c>
      <c r="D1861" s="103" t="s">
        <v>339</v>
      </c>
      <c r="E1861" s="26">
        <v>4.7300000000000004</v>
      </c>
      <c r="F1861" s="26" t="s">
        <v>293</v>
      </c>
      <c r="K1861" s="24">
        <v>61</v>
      </c>
      <c r="L1861" s="102">
        <v>46126.354050925926</v>
      </c>
      <c r="M1861" s="25" t="s">
        <v>357</v>
      </c>
      <c r="N1861" s="103" t="s">
        <v>339</v>
      </c>
      <c r="O1861" s="26">
        <v>1.1299999999999999</v>
      </c>
      <c r="P1861" s="26" t="s">
        <v>293</v>
      </c>
    </row>
    <row r="1862" spans="1:16" x14ac:dyDescent="0.3">
      <c r="A1862" s="24">
        <v>61</v>
      </c>
      <c r="B1862" s="102">
        <v>46126.350127314814</v>
      </c>
      <c r="C1862" s="25" t="s">
        <v>356</v>
      </c>
      <c r="D1862" s="103" t="s">
        <v>118</v>
      </c>
      <c r="E1862" s="26">
        <v>4.5</v>
      </c>
      <c r="F1862" s="26" t="s">
        <v>293</v>
      </c>
      <c r="K1862" s="24">
        <v>61</v>
      </c>
      <c r="L1862" s="102">
        <v>46126.354050925926</v>
      </c>
      <c r="M1862" s="25" t="s">
        <v>357</v>
      </c>
      <c r="N1862" s="103" t="s">
        <v>118</v>
      </c>
      <c r="O1862" s="26">
        <v>9.6</v>
      </c>
      <c r="P1862" s="26" t="s">
        <v>293</v>
      </c>
    </row>
    <row r="1863" spans="1:16" x14ac:dyDescent="0.3">
      <c r="A1863" s="24">
        <v>61</v>
      </c>
      <c r="B1863" s="102">
        <v>46126.350127314814</v>
      </c>
      <c r="C1863" s="25" t="s">
        <v>356</v>
      </c>
      <c r="D1863" s="103" t="s">
        <v>130</v>
      </c>
      <c r="E1863" s="26">
        <v>3.89</v>
      </c>
      <c r="F1863" s="26" t="s">
        <v>293</v>
      </c>
      <c r="K1863" s="24">
        <v>61</v>
      </c>
      <c r="L1863" s="102">
        <v>46126.354050925926</v>
      </c>
      <c r="M1863" s="25" t="s">
        <v>357</v>
      </c>
      <c r="N1863" s="103" t="s">
        <v>130</v>
      </c>
      <c r="O1863" s="26">
        <v>2.46</v>
      </c>
      <c r="P1863" s="26" t="s">
        <v>293</v>
      </c>
    </row>
    <row r="1864" spans="1:16" x14ac:dyDescent="0.3">
      <c r="A1864" s="24">
        <v>61</v>
      </c>
      <c r="B1864" s="102">
        <v>46126.350127314814</v>
      </c>
      <c r="C1864" s="25" t="s">
        <v>356</v>
      </c>
      <c r="D1864" s="103" t="s">
        <v>341</v>
      </c>
      <c r="E1864" s="26">
        <v>0.29599999999999999</v>
      </c>
      <c r="F1864" s="26" t="s">
        <v>293</v>
      </c>
      <c r="K1864" s="24">
        <v>61</v>
      </c>
      <c r="L1864" s="102">
        <v>46126.354050925926</v>
      </c>
      <c r="M1864" s="25" t="s">
        <v>357</v>
      </c>
      <c r="N1864" s="103" t="s">
        <v>341</v>
      </c>
      <c r="O1864" s="26">
        <v>1.18</v>
      </c>
      <c r="P1864" s="26" t="s">
        <v>293</v>
      </c>
    </row>
    <row r="1865" spans="1:16" x14ac:dyDescent="0.3">
      <c r="A1865" s="24">
        <v>61</v>
      </c>
      <c r="B1865" s="102">
        <v>46126.350127314814</v>
      </c>
      <c r="C1865" s="25" t="s">
        <v>356</v>
      </c>
      <c r="D1865" s="103" t="s">
        <v>127</v>
      </c>
      <c r="E1865" s="26">
        <v>1.1850000000000001</v>
      </c>
      <c r="F1865" s="26" t="s">
        <v>293</v>
      </c>
      <c r="K1865" s="24">
        <v>61</v>
      </c>
      <c r="L1865" s="102">
        <v>46126.354050925926</v>
      </c>
      <c r="M1865" s="25" t="s">
        <v>357</v>
      </c>
      <c r="N1865" s="103" t="s">
        <v>127</v>
      </c>
      <c r="O1865" s="26">
        <v>4.6369999999999996</v>
      </c>
      <c r="P1865" s="26" t="s">
        <v>293</v>
      </c>
    </row>
    <row r="1866" spans="1:16" x14ac:dyDescent="0.3">
      <c r="A1866" s="24">
        <v>61</v>
      </c>
      <c r="B1866" s="102">
        <v>46126.350127314814</v>
      </c>
      <c r="C1866" s="25" t="s">
        <v>356</v>
      </c>
      <c r="D1866" s="103" t="s">
        <v>131</v>
      </c>
      <c r="E1866" s="26">
        <v>8.8000000000000007</v>
      </c>
      <c r="F1866" s="26" t="s">
        <v>293</v>
      </c>
      <c r="K1866" s="24">
        <v>61</v>
      </c>
      <c r="L1866" s="102">
        <v>46126.354050925926</v>
      </c>
      <c r="M1866" s="25" t="s">
        <v>357</v>
      </c>
      <c r="N1866" s="103" t="s">
        <v>131</v>
      </c>
      <c r="O1866" s="26">
        <v>11.9</v>
      </c>
      <c r="P1866" s="26" t="s">
        <v>293</v>
      </c>
    </row>
    <row r="1867" spans="1:16" x14ac:dyDescent="0.3">
      <c r="A1867" s="24">
        <v>61</v>
      </c>
      <c r="B1867" s="102">
        <v>46126.350127314814</v>
      </c>
      <c r="C1867" s="25" t="s">
        <v>356</v>
      </c>
      <c r="D1867" s="103" t="s">
        <v>342</v>
      </c>
      <c r="E1867" s="26">
        <v>333</v>
      </c>
      <c r="F1867" s="26" t="s">
        <v>293</v>
      </c>
      <c r="K1867" s="24">
        <v>61</v>
      </c>
      <c r="L1867" s="102">
        <v>46126.354050925926</v>
      </c>
      <c r="M1867" s="25" t="s">
        <v>357</v>
      </c>
      <c r="N1867" s="103" t="s">
        <v>342</v>
      </c>
      <c r="O1867" s="26">
        <v>205</v>
      </c>
      <c r="P1867" s="26" t="s">
        <v>293</v>
      </c>
    </row>
    <row r="1868" spans="1:16" x14ac:dyDescent="0.3">
      <c r="A1868" s="24">
        <v>61</v>
      </c>
      <c r="B1868" s="102">
        <v>46126.350127314814</v>
      </c>
      <c r="C1868" s="25" t="s">
        <v>356</v>
      </c>
      <c r="D1868" s="103" t="s">
        <v>119</v>
      </c>
      <c r="E1868" s="26">
        <v>235</v>
      </c>
      <c r="F1868" s="26" t="s">
        <v>293</v>
      </c>
      <c r="K1868" s="24">
        <v>61</v>
      </c>
      <c r="L1868" s="102">
        <v>46126.354050925926</v>
      </c>
      <c r="M1868" s="25" t="s">
        <v>357</v>
      </c>
      <c r="N1868" s="103" t="s">
        <v>119</v>
      </c>
      <c r="O1868" s="26">
        <v>90</v>
      </c>
      <c r="P1868" s="26" t="s">
        <v>293</v>
      </c>
    </row>
    <row r="1869" spans="1:16" x14ac:dyDescent="0.3">
      <c r="A1869" s="24">
        <v>61</v>
      </c>
      <c r="B1869" s="102">
        <v>46126.350127314814</v>
      </c>
      <c r="C1869" s="25" t="s">
        <v>356</v>
      </c>
      <c r="D1869" s="103" t="s">
        <v>120</v>
      </c>
      <c r="E1869" s="26">
        <v>77</v>
      </c>
      <c r="F1869" s="26" t="s">
        <v>293</v>
      </c>
      <c r="K1869" s="24">
        <v>61</v>
      </c>
      <c r="L1869" s="102">
        <v>46126.354050925926</v>
      </c>
      <c r="M1869" s="25" t="s">
        <v>357</v>
      </c>
      <c r="N1869" s="103" t="s">
        <v>120</v>
      </c>
      <c r="O1869" s="26">
        <v>27</v>
      </c>
      <c r="P1869" s="26" t="s">
        <v>293</v>
      </c>
    </row>
    <row r="1870" spans="1:16" x14ac:dyDescent="0.3">
      <c r="A1870" s="24">
        <v>61</v>
      </c>
      <c r="B1870" s="102">
        <v>46126.350127314814</v>
      </c>
      <c r="C1870" s="25" t="s">
        <v>356</v>
      </c>
      <c r="D1870" s="103" t="s">
        <v>117</v>
      </c>
      <c r="E1870" s="26">
        <v>2.71</v>
      </c>
      <c r="F1870" s="26" t="s">
        <v>293</v>
      </c>
      <c r="K1870" s="24">
        <v>61</v>
      </c>
      <c r="L1870" s="102">
        <v>46126.354050925926</v>
      </c>
      <c r="M1870" s="25" t="s">
        <v>357</v>
      </c>
      <c r="N1870" s="103" t="s">
        <v>117</v>
      </c>
      <c r="O1870" s="26">
        <v>6.24</v>
      </c>
      <c r="P1870" s="26" t="s">
        <v>293</v>
      </c>
    </row>
    <row r="1871" spans="1:16" x14ac:dyDescent="0.3">
      <c r="A1871" s="24">
        <v>61</v>
      </c>
      <c r="B1871" s="102">
        <v>46126.350127314814</v>
      </c>
      <c r="C1871" s="25" t="s">
        <v>356</v>
      </c>
      <c r="D1871" s="103" t="s">
        <v>344</v>
      </c>
      <c r="E1871" s="26">
        <v>233</v>
      </c>
      <c r="F1871" s="26" t="s">
        <v>293</v>
      </c>
      <c r="K1871" s="24">
        <v>61</v>
      </c>
      <c r="L1871" s="102">
        <v>46126.354050925926</v>
      </c>
      <c r="M1871" s="25" t="s">
        <v>357</v>
      </c>
      <c r="N1871" s="103" t="s">
        <v>344</v>
      </c>
      <c r="O1871" s="26">
        <v>70</v>
      </c>
      <c r="P1871" s="26" t="s">
        <v>293</v>
      </c>
    </row>
    <row r="1872" spans="1:16" x14ac:dyDescent="0.3">
      <c r="A1872" s="24">
        <v>61</v>
      </c>
      <c r="B1872" s="102">
        <v>46126.350127314814</v>
      </c>
      <c r="C1872" s="25" t="s">
        <v>356</v>
      </c>
      <c r="D1872" s="103" t="s">
        <v>132</v>
      </c>
      <c r="E1872" s="26">
        <v>3.47</v>
      </c>
      <c r="F1872" s="26" t="s">
        <v>293</v>
      </c>
      <c r="K1872" s="24">
        <v>61</v>
      </c>
      <c r="L1872" s="102">
        <v>46126.354050925926</v>
      </c>
      <c r="M1872" s="25" t="s">
        <v>357</v>
      </c>
      <c r="N1872" s="103" t="s">
        <v>132</v>
      </c>
      <c r="O1872" s="26">
        <v>7.12</v>
      </c>
      <c r="P1872" s="26" t="s">
        <v>293</v>
      </c>
    </row>
    <row r="1873" spans="1:16" x14ac:dyDescent="0.3">
      <c r="A1873" s="24">
        <v>61</v>
      </c>
      <c r="B1873" s="102">
        <v>46126.350127314814</v>
      </c>
      <c r="C1873" s="25" t="s">
        <v>356</v>
      </c>
      <c r="D1873" s="103" t="s">
        <v>111</v>
      </c>
      <c r="E1873" s="26">
        <v>90</v>
      </c>
      <c r="F1873" s="26" t="s">
        <v>293</v>
      </c>
      <c r="K1873" s="24">
        <v>61</v>
      </c>
      <c r="L1873" s="102">
        <v>46126.354050925926</v>
      </c>
      <c r="M1873" s="25" t="s">
        <v>357</v>
      </c>
      <c r="N1873" s="103" t="s">
        <v>111</v>
      </c>
      <c r="O1873" s="26">
        <v>286</v>
      </c>
      <c r="P1873" s="26" t="s">
        <v>293</v>
      </c>
    </row>
    <row r="1874" spans="1:16" x14ac:dyDescent="0.3">
      <c r="A1874" s="24">
        <v>61</v>
      </c>
      <c r="B1874" s="102">
        <v>46126.350127314814</v>
      </c>
      <c r="C1874" s="25" t="s">
        <v>356</v>
      </c>
      <c r="D1874" s="103" t="s">
        <v>345</v>
      </c>
      <c r="E1874" s="26">
        <v>5</v>
      </c>
      <c r="F1874" s="26" t="s">
        <v>293</v>
      </c>
      <c r="K1874" s="24">
        <v>61</v>
      </c>
      <c r="L1874" s="102">
        <v>46126.354050925926</v>
      </c>
      <c r="M1874" s="25" t="s">
        <v>357</v>
      </c>
      <c r="N1874" s="103" t="s">
        <v>345</v>
      </c>
      <c r="O1874" s="26">
        <v>9.9</v>
      </c>
      <c r="P1874" s="26" t="s">
        <v>293</v>
      </c>
    </row>
    <row r="1875" spans="1:16" x14ac:dyDescent="0.3">
      <c r="A1875" s="24">
        <v>61</v>
      </c>
      <c r="B1875" s="102">
        <v>46126.350127314814</v>
      </c>
      <c r="C1875" s="25" t="s">
        <v>356</v>
      </c>
      <c r="D1875" s="103" t="s">
        <v>347</v>
      </c>
      <c r="E1875" s="26">
        <v>2.2000000000000002</v>
      </c>
      <c r="F1875" s="26" t="s">
        <v>293</v>
      </c>
      <c r="K1875" s="24">
        <v>61</v>
      </c>
      <c r="L1875" s="102">
        <v>46126.354050925926</v>
      </c>
      <c r="M1875" s="25" t="s">
        <v>357</v>
      </c>
      <c r="N1875" s="103" t="s">
        <v>347</v>
      </c>
      <c r="O1875" s="26">
        <v>4.74</v>
      </c>
      <c r="P1875" s="26" t="s">
        <v>293</v>
      </c>
    </row>
    <row r="1876" spans="1:16" x14ac:dyDescent="0.3">
      <c r="A1876" s="24">
        <v>61</v>
      </c>
      <c r="B1876" s="102">
        <v>46126.350127314814</v>
      </c>
      <c r="C1876" s="25" t="s">
        <v>356</v>
      </c>
      <c r="D1876" s="103" t="s">
        <v>128</v>
      </c>
      <c r="E1876" s="26">
        <v>6.8</v>
      </c>
      <c r="F1876" s="26" t="s">
        <v>293</v>
      </c>
      <c r="K1876" s="24">
        <v>61</v>
      </c>
      <c r="L1876" s="102">
        <v>46126.354050925926</v>
      </c>
      <c r="M1876" s="25" t="s">
        <v>357</v>
      </c>
      <c r="N1876" s="103" t="s">
        <v>128</v>
      </c>
      <c r="O1876" s="26">
        <v>4.4000000000000004</v>
      </c>
      <c r="P1876" s="26" t="s">
        <v>293</v>
      </c>
    </row>
    <row r="1877" spans="1:16" x14ac:dyDescent="0.3">
      <c r="A1877" s="24">
        <v>61</v>
      </c>
      <c r="B1877" s="102">
        <v>46126.350127314814</v>
      </c>
      <c r="C1877" s="25" t="s">
        <v>356</v>
      </c>
      <c r="D1877" s="103" t="s">
        <v>121</v>
      </c>
      <c r="E1877" s="26">
        <v>159</v>
      </c>
      <c r="F1877" s="26" t="s">
        <v>293</v>
      </c>
      <c r="K1877" s="24">
        <v>61</v>
      </c>
      <c r="L1877" s="102">
        <v>46126.354050925926</v>
      </c>
      <c r="M1877" s="25" t="s">
        <v>357</v>
      </c>
      <c r="N1877" s="103" t="s">
        <v>121</v>
      </c>
      <c r="O1877" s="26">
        <v>79</v>
      </c>
      <c r="P1877" s="26" t="s">
        <v>293</v>
      </c>
    </row>
    <row r="1878" spans="1:16" x14ac:dyDescent="0.3">
      <c r="A1878" s="24">
        <v>61</v>
      </c>
      <c r="B1878" s="102">
        <v>46126.350127314814</v>
      </c>
      <c r="C1878" s="25" t="s">
        <v>356</v>
      </c>
      <c r="D1878" s="103" t="s">
        <v>115</v>
      </c>
      <c r="E1878" s="26">
        <v>33</v>
      </c>
      <c r="F1878" s="26" t="s">
        <v>293</v>
      </c>
      <c r="K1878" s="24">
        <v>61</v>
      </c>
      <c r="L1878" s="102">
        <v>46126.354050925926</v>
      </c>
      <c r="M1878" s="25" t="s">
        <v>357</v>
      </c>
      <c r="N1878" s="103" t="s">
        <v>115</v>
      </c>
      <c r="O1878" s="26">
        <v>96</v>
      </c>
      <c r="P1878" s="26" t="s">
        <v>293</v>
      </c>
    </row>
    <row r="1879" spans="1:16" x14ac:dyDescent="0.3">
      <c r="A1879" s="24">
        <v>61</v>
      </c>
      <c r="B1879" s="102">
        <v>46126.350127314814</v>
      </c>
      <c r="C1879" s="25" t="s">
        <v>356</v>
      </c>
      <c r="D1879" s="103" t="s">
        <v>137</v>
      </c>
      <c r="E1879" s="26">
        <v>75</v>
      </c>
      <c r="F1879" s="26" t="s">
        <v>293</v>
      </c>
      <c r="K1879" s="24">
        <v>61</v>
      </c>
      <c r="L1879" s="102">
        <v>46126.354050925926</v>
      </c>
      <c r="M1879" s="25" t="s">
        <v>357</v>
      </c>
      <c r="N1879" s="103" t="s">
        <v>137</v>
      </c>
      <c r="O1879" s="26">
        <v>475</v>
      </c>
      <c r="P1879" s="26" t="s">
        <v>293</v>
      </c>
    </row>
    <row r="1880" spans="1:16" x14ac:dyDescent="0.3">
      <c r="A1880" s="24">
        <v>61</v>
      </c>
      <c r="B1880" s="102">
        <v>46126.350127314814</v>
      </c>
      <c r="C1880" s="25" t="s">
        <v>356</v>
      </c>
      <c r="D1880" s="103" t="s">
        <v>348</v>
      </c>
      <c r="E1880" s="26">
        <v>142</v>
      </c>
      <c r="F1880" s="26" t="s">
        <v>293</v>
      </c>
      <c r="K1880" s="24">
        <v>61</v>
      </c>
      <c r="L1880" s="102">
        <v>46126.354050925926</v>
      </c>
      <c r="M1880" s="25" t="s">
        <v>357</v>
      </c>
      <c r="N1880" s="103" t="s">
        <v>348</v>
      </c>
      <c r="O1880" s="26">
        <v>435</v>
      </c>
      <c r="P1880" s="26" t="s">
        <v>293</v>
      </c>
    </row>
    <row r="1881" spans="1:16" x14ac:dyDescent="0.3">
      <c r="A1881" s="24">
        <v>61</v>
      </c>
      <c r="B1881" s="102">
        <v>46126.350127314814</v>
      </c>
      <c r="C1881" s="25" t="s">
        <v>356</v>
      </c>
      <c r="D1881" s="103" t="s">
        <v>125</v>
      </c>
      <c r="E1881" s="26">
        <v>101</v>
      </c>
      <c r="F1881" s="26" t="s">
        <v>293</v>
      </c>
      <c r="K1881" s="24">
        <v>61</v>
      </c>
      <c r="L1881" s="102">
        <v>46126.354050925926</v>
      </c>
      <c r="M1881" s="25" t="s">
        <v>357</v>
      </c>
      <c r="N1881" s="103" t="s">
        <v>125</v>
      </c>
      <c r="O1881" s="26">
        <v>423</v>
      </c>
      <c r="P1881" s="26" t="s">
        <v>293</v>
      </c>
    </row>
    <row r="1882" spans="1:16" x14ac:dyDescent="0.3">
      <c r="A1882" s="24">
        <v>61</v>
      </c>
      <c r="B1882" s="102">
        <v>46126.350127314814</v>
      </c>
      <c r="C1882" s="25" t="s">
        <v>356</v>
      </c>
      <c r="D1882" s="103" t="s">
        <v>126</v>
      </c>
      <c r="E1882" s="26">
        <v>79</v>
      </c>
      <c r="F1882" s="26" t="s">
        <v>293</v>
      </c>
      <c r="K1882" s="24">
        <v>61</v>
      </c>
      <c r="L1882" s="102">
        <v>46126.354050925926</v>
      </c>
      <c r="M1882" s="25" t="s">
        <v>357</v>
      </c>
      <c r="N1882" s="103" t="s">
        <v>126</v>
      </c>
      <c r="O1882" s="26">
        <v>154</v>
      </c>
      <c r="P1882" s="26" t="s">
        <v>293</v>
      </c>
    </row>
    <row r="1883" spans="1:16" x14ac:dyDescent="0.3">
      <c r="A1883" s="24">
        <v>61</v>
      </c>
      <c r="B1883" s="102">
        <v>46126.350127314814</v>
      </c>
      <c r="C1883" s="25" t="s">
        <v>356</v>
      </c>
      <c r="D1883" s="103" t="s">
        <v>349</v>
      </c>
      <c r="E1883" s="26">
        <v>156</v>
      </c>
      <c r="F1883" s="26" t="s">
        <v>293</v>
      </c>
      <c r="K1883" s="24">
        <v>61</v>
      </c>
      <c r="L1883" s="102">
        <v>46126.354050925926</v>
      </c>
      <c r="M1883" s="25" t="s">
        <v>357</v>
      </c>
      <c r="N1883" s="103" t="s">
        <v>349</v>
      </c>
      <c r="O1883" s="26">
        <v>382</v>
      </c>
      <c r="P1883" s="26" t="s">
        <v>293</v>
      </c>
    </row>
    <row r="1884" spans="1:16" x14ac:dyDescent="0.3">
      <c r="A1884" s="24">
        <v>61</v>
      </c>
      <c r="B1884" s="102">
        <v>46126.350127314814</v>
      </c>
      <c r="C1884" s="25" t="s">
        <v>356</v>
      </c>
      <c r="D1884" s="103" t="s">
        <v>350</v>
      </c>
      <c r="E1884" s="26">
        <v>63</v>
      </c>
      <c r="F1884" s="26" t="s">
        <v>293</v>
      </c>
      <c r="K1884" s="24">
        <v>61</v>
      </c>
      <c r="L1884" s="102">
        <v>46126.354050925926</v>
      </c>
      <c r="M1884" s="25" t="s">
        <v>357</v>
      </c>
      <c r="N1884" s="103" t="s">
        <v>350</v>
      </c>
      <c r="O1884" s="26">
        <v>85</v>
      </c>
      <c r="P1884" s="26" t="s">
        <v>293</v>
      </c>
    </row>
    <row r="1885" spans="1:16" x14ac:dyDescent="0.3">
      <c r="A1885" s="24">
        <v>61</v>
      </c>
      <c r="B1885" s="102">
        <v>46126.350127314814</v>
      </c>
      <c r="C1885" s="25" t="s">
        <v>356</v>
      </c>
      <c r="D1885" s="103" t="s">
        <v>122</v>
      </c>
      <c r="E1885" s="26">
        <v>46</v>
      </c>
      <c r="F1885" s="26" t="s">
        <v>293</v>
      </c>
      <c r="K1885" s="24">
        <v>61</v>
      </c>
      <c r="L1885" s="102">
        <v>46126.354050925926</v>
      </c>
      <c r="M1885" s="25" t="s">
        <v>357</v>
      </c>
      <c r="N1885" s="103" t="s">
        <v>122</v>
      </c>
      <c r="O1885" s="26">
        <v>225</v>
      </c>
      <c r="P1885" s="26" t="s">
        <v>293</v>
      </c>
    </row>
    <row r="1886" spans="1:16" x14ac:dyDescent="0.3">
      <c r="A1886" s="24">
        <v>61</v>
      </c>
      <c r="B1886" s="102">
        <v>46126.350127314814</v>
      </c>
      <c r="C1886" s="25" t="s">
        <v>356</v>
      </c>
      <c r="D1886" s="103" t="s">
        <v>124</v>
      </c>
      <c r="E1886" s="26">
        <v>31</v>
      </c>
      <c r="F1886" s="26" t="s">
        <v>293</v>
      </c>
      <c r="K1886" s="24">
        <v>61</v>
      </c>
      <c r="L1886" s="102">
        <v>46126.354050925926</v>
      </c>
      <c r="M1886" s="25" t="s">
        <v>357</v>
      </c>
      <c r="N1886" s="103" t="s">
        <v>124</v>
      </c>
      <c r="O1886" s="26">
        <v>102</v>
      </c>
      <c r="P1886" s="26" t="s">
        <v>293</v>
      </c>
    </row>
    <row r="1887" spans="1:16" x14ac:dyDescent="0.3">
      <c r="A1887" s="24">
        <v>61</v>
      </c>
      <c r="B1887" s="102">
        <v>46126.350127314814</v>
      </c>
      <c r="C1887" s="25" t="s">
        <v>356</v>
      </c>
      <c r="D1887" s="103" t="s">
        <v>351</v>
      </c>
      <c r="E1887" s="26">
        <v>0.95</v>
      </c>
      <c r="F1887" s="26" t="s">
        <v>293</v>
      </c>
      <c r="K1887" s="24">
        <v>61</v>
      </c>
      <c r="L1887" s="102">
        <v>46126.354050925926</v>
      </c>
      <c r="M1887" s="25" t="s">
        <v>357</v>
      </c>
      <c r="N1887" s="103" t="s">
        <v>351</v>
      </c>
      <c r="O1887" s="26">
        <v>3.6</v>
      </c>
      <c r="P1887" s="26" t="s">
        <v>293</v>
      </c>
    </row>
    <row r="1888" spans="1:16" x14ac:dyDescent="0.3">
      <c r="A1888" s="24">
        <v>61</v>
      </c>
      <c r="B1888" s="102">
        <v>46126.350127314814</v>
      </c>
      <c r="C1888" s="25" t="s">
        <v>356</v>
      </c>
      <c r="D1888" s="103" t="s">
        <v>353</v>
      </c>
      <c r="E1888" s="26">
        <v>38.700000000000003</v>
      </c>
      <c r="F1888" s="26" t="s">
        <v>293</v>
      </c>
      <c r="K1888" s="24">
        <v>61</v>
      </c>
      <c r="L1888" s="102">
        <v>46126.354050925926</v>
      </c>
      <c r="M1888" s="25" t="s">
        <v>357</v>
      </c>
      <c r="N1888" s="103" t="s">
        <v>353</v>
      </c>
      <c r="O1888" s="26">
        <v>21.8</v>
      </c>
      <c r="P1888" s="26" t="s">
        <v>293</v>
      </c>
    </row>
    <row r="1889" spans="1:16" x14ac:dyDescent="0.3">
      <c r="A1889" s="24">
        <v>61</v>
      </c>
      <c r="B1889" s="102">
        <v>46126.350127314814</v>
      </c>
      <c r="C1889" s="25" t="s">
        <v>356</v>
      </c>
      <c r="D1889" s="103" t="s">
        <v>133</v>
      </c>
      <c r="E1889" s="26">
        <v>147</v>
      </c>
      <c r="F1889" s="26" t="s">
        <v>293</v>
      </c>
      <c r="K1889" s="24">
        <v>61</v>
      </c>
      <c r="L1889" s="102">
        <v>46126.354050925926</v>
      </c>
      <c r="M1889" s="25" t="s">
        <v>357</v>
      </c>
      <c r="N1889" s="103" t="s">
        <v>133</v>
      </c>
      <c r="O1889" s="26">
        <v>127</v>
      </c>
      <c r="P1889" s="26" t="s">
        <v>293</v>
      </c>
    </row>
    <row r="1890" spans="1:16" x14ac:dyDescent="0.3">
      <c r="A1890" s="24">
        <v>61</v>
      </c>
      <c r="B1890" s="102">
        <v>46126.350127314814</v>
      </c>
      <c r="C1890" s="25" t="s">
        <v>356</v>
      </c>
      <c r="D1890" s="103" t="s">
        <v>135</v>
      </c>
      <c r="E1890" s="26">
        <v>3.8</v>
      </c>
      <c r="F1890" s="26" t="s">
        <v>293</v>
      </c>
      <c r="K1890" s="24">
        <v>61</v>
      </c>
      <c r="L1890" s="102">
        <v>46126.354050925926</v>
      </c>
      <c r="M1890" s="25" t="s">
        <v>357</v>
      </c>
      <c r="N1890" s="103" t="s">
        <v>135</v>
      </c>
      <c r="O1890" s="26">
        <v>6.4</v>
      </c>
      <c r="P1890" s="26" t="s">
        <v>293</v>
      </c>
    </row>
    <row r="1891" spans="1:16" x14ac:dyDescent="0.3">
      <c r="A1891" s="24">
        <v>61</v>
      </c>
      <c r="B1891" s="102">
        <v>46126.350127314814</v>
      </c>
      <c r="C1891" s="25" t="s">
        <v>356</v>
      </c>
      <c r="D1891" s="103" t="s">
        <v>136</v>
      </c>
      <c r="E1891" s="26">
        <v>117</v>
      </c>
      <c r="F1891" s="26" t="s">
        <v>293</v>
      </c>
      <c r="K1891" s="24">
        <v>61</v>
      </c>
      <c r="L1891" s="102">
        <v>46126.354050925926</v>
      </c>
      <c r="M1891" s="25" t="s">
        <v>357</v>
      </c>
      <c r="N1891" s="103" t="s">
        <v>136</v>
      </c>
      <c r="O1891" s="26">
        <v>94</v>
      </c>
      <c r="P1891" s="26" t="s">
        <v>293</v>
      </c>
    </row>
    <row r="1892" spans="1:16" x14ac:dyDescent="0.3">
      <c r="A1892" s="24">
        <v>62</v>
      </c>
      <c r="B1892" s="102">
        <v>46127</v>
      </c>
      <c r="C1892" s="25" t="s">
        <v>356</v>
      </c>
      <c r="D1892" s="103" t="s">
        <v>339</v>
      </c>
      <c r="E1892" s="26">
        <v>4.68</v>
      </c>
      <c r="F1892" s="26" t="s">
        <v>293</v>
      </c>
      <c r="K1892" s="24">
        <v>62</v>
      </c>
      <c r="L1892" s="102">
        <v>46127</v>
      </c>
      <c r="M1892" s="25" t="s">
        <v>357</v>
      </c>
      <c r="N1892" s="103" t="s">
        <v>339</v>
      </c>
      <c r="O1892" s="26">
        <v>1.1599999999999999</v>
      </c>
      <c r="P1892" s="26" t="s">
        <v>293</v>
      </c>
    </row>
    <row r="1893" spans="1:16" x14ac:dyDescent="0.3">
      <c r="A1893" s="24">
        <v>62</v>
      </c>
      <c r="B1893" s="102">
        <v>46127</v>
      </c>
      <c r="C1893" s="25" t="s">
        <v>356</v>
      </c>
      <c r="D1893" s="103" t="s">
        <v>118</v>
      </c>
      <c r="E1893" s="26">
        <v>4.5999999999999996</v>
      </c>
      <c r="F1893" s="26" t="s">
        <v>293</v>
      </c>
      <c r="K1893" s="24">
        <v>62</v>
      </c>
      <c r="L1893" s="102">
        <v>46127</v>
      </c>
      <c r="M1893" s="25" t="s">
        <v>357</v>
      </c>
      <c r="N1893" s="103" t="s">
        <v>118</v>
      </c>
      <c r="O1893" s="26">
        <v>9.5</v>
      </c>
      <c r="P1893" s="26" t="s">
        <v>293</v>
      </c>
    </row>
    <row r="1894" spans="1:16" x14ac:dyDescent="0.3">
      <c r="A1894" s="24">
        <v>62</v>
      </c>
      <c r="B1894" s="102">
        <v>46127</v>
      </c>
      <c r="C1894" s="25" t="s">
        <v>356</v>
      </c>
      <c r="D1894" s="103" t="s">
        <v>130</v>
      </c>
      <c r="E1894" s="26">
        <v>3.88</v>
      </c>
      <c r="F1894" s="26" t="s">
        <v>293</v>
      </c>
      <c r="K1894" s="24">
        <v>62</v>
      </c>
      <c r="L1894" s="102">
        <v>46127</v>
      </c>
      <c r="M1894" s="25" t="s">
        <v>357</v>
      </c>
      <c r="N1894" s="103" t="s">
        <v>130</v>
      </c>
      <c r="O1894" s="26">
        <v>2.4700000000000002</v>
      </c>
      <c r="P1894" s="26" t="s">
        <v>293</v>
      </c>
    </row>
    <row r="1895" spans="1:16" x14ac:dyDescent="0.3">
      <c r="A1895" s="24">
        <v>62</v>
      </c>
      <c r="B1895" s="102">
        <v>46127</v>
      </c>
      <c r="C1895" s="25" t="s">
        <v>356</v>
      </c>
      <c r="D1895" s="103" t="s">
        <v>341</v>
      </c>
      <c r="E1895" s="26">
        <v>0.31</v>
      </c>
      <c r="F1895" s="26" t="s">
        <v>293</v>
      </c>
      <c r="K1895" s="24">
        <v>62</v>
      </c>
      <c r="L1895" s="102">
        <v>46127</v>
      </c>
      <c r="M1895" s="25" t="s">
        <v>357</v>
      </c>
      <c r="N1895" s="103" t="s">
        <v>341</v>
      </c>
      <c r="O1895" s="26">
        <v>1.18</v>
      </c>
      <c r="P1895" s="26" t="s">
        <v>293</v>
      </c>
    </row>
    <row r="1896" spans="1:16" x14ac:dyDescent="0.3">
      <c r="A1896" s="24">
        <v>62</v>
      </c>
      <c r="B1896" s="102">
        <v>46127</v>
      </c>
      <c r="C1896" s="25" t="s">
        <v>356</v>
      </c>
      <c r="D1896" s="103" t="s">
        <v>127</v>
      </c>
      <c r="E1896" s="26">
        <v>1.17</v>
      </c>
      <c r="F1896" s="26" t="s">
        <v>293</v>
      </c>
      <c r="K1896" s="24">
        <v>62</v>
      </c>
      <c r="L1896" s="102">
        <v>46127</v>
      </c>
      <c r="M1896" s="25" t="s">
        <v>357</v>
      </c>
      <c r="N1896" s="103" t="s">
        <v>127</v>
      </c>
      <c r="O1896" s="26">
        <v>4.5999999999999996</v>
      </c>
      <c r="P1896" s="26" t="s">
        <v>293</v>
      </c>
    </row>
    <row r="1897" spans="1:16" x14ac:dyDescent="0.3">
      <c r="A1897" s="24">
        <v>62</v>
      </c>
      <c r="B1897" s="102">
        <v>46127</v>
      </c>
      <c r="C1897" s="25" t="s">
        <v>356</v>
      </c>
      <c r="D1897" s="103" t="s">
        <v>131</v>
      </c>
      <c r="E1897" s="26">
        <v>8.6999999999999993</v>
      </c>
      <c r="F1897" s="26" t="s">
        <v>293</v>
      </c>
      <c r="K1897" s="24">
        <v>62</v>
      </c>
      <c r="L1897" s="102">
        <v>46127</v>
      </c>
      <c r="M1897" s="25" t="s">
        <v>357</v>
      </c>
      <c r="N1897" s="103" t="s">
        <v>131</v>
      </c>
      <c r="O1897" s="26">
        <v>11.9</v>
      </c>
      <c r="P1897" s="26" t="s">
        <v>293</v>
      </c>
    </row>
    <row r="1898" spans="1:16" x14ac:dyDescent="0.3">
      <c r="A1898" s="24">
        <v>62</v>
      </c>
      <c r="B1898" s="102">
        <v>46127</v>
      </c>
      <c r="C1898" s="25" t="s">
        <v>356</v>
      </c>
      <c r="D1898" s="103" t="s">
        <v>342</v>
      </c>
      <c r="E1898" s="26">
        <v>335</v>
      </c>
      <c r="F1898" s="26" t="s">
        <v>293</v>
      </c>
      <c r="K1898" s="24">
        <v>62</v>
      </c>
      <c r="L1898" s="102">
        <v>46127</v>
      </c>
      <c r="M1898" s="25" t="s">
        <v>357</v>
      </c>
      <c r="N1898" s="103" t="s">
        <v>342</v>
      </c>
      <c r="O1898" s="26">
        <v>203</v>
      </c>
      <c r="P1898" s="26" t="s">
        <v>293</v>
      </c>
    </row>
    <row r="1899" spans="1:16" x14ac:dyDescent="0.3">
      <c r="A1899" s="24">
        <v>62</v>
      </c>
      <c r="B1899" s="102">
        <v>46127</v>
      </c>
      <c r="C1899" s="25" t="s">
        <v>356</v>
      </c>
      <c r="D1899" s="103" t="s">
        <v>119</v>
      </c>
      <c r="E1899" s="26">
        <v>236</v>
      </c>
      <c r="F1899" s="26" t="s">
        <v>293</v>
      </c>
      <c r="K1899" s="24">
        <v>62</v>
      </c>
      <c r="L1899" s="102">
        <v>46127</v>
      </c>
      <c r="M1899" s="25" t="s">
        <v>357</v>
      </c>
      <c r="N1899" s="103" t="s">
        <v>119</v>
      </c>
      <c r="O1899" s="26">
        <v>90</v>
      </c>
      <c r="P1899" s="26" t="s">
        <v>293</v>
      </c>
    </row>
    <row r="1900" spans="1:16" x14ac:dyDescent="0.3">
      <c r="A1900" s="24">
        <v>62</v>
      </c>
      <c r="B1900" s="102">
        <v>46127</v>
      </c>
      <c r="C1900" s="25" t="s">
        <v>356</v>
      </c>
      <c r="D1900" s="103" t="s">
        <v>120</v>
      </c>
      <c r="E1900" s="26">
        <v>76</v>
      </c>
      <c r="F1900" s="26" t="s">
        <v>293</v>
      </c>
      <c r="K1900" s="24">
        <v>62</v>
      </c>
      <c r="L1900" s="102">
        <v>46127</v>
      </c>
      <c r="M1900" s="25" t="s">
        <v>357</v>
      </c>
      <c r="N1900" s="103" t="s">
        <v>120</v>
      </c>
      <c r="O1900" s="26">
        <v>27</v>
      </c>
      <c r="P1900" s="26" t="s">
        <v>293</v>
      </c>
    </row>
    <row r="1901" spans="1:16" x14ac:dyDescent="0.3">
      <c r="A1901" s="24">
        <v>62</v>
      </c>
      <c r="B1901" s="102">
        <v>46127</v>
      </c>
      <c r="C1901" s="25" t="s">
        <v>356</v>
      </c>
      <c r="D1901" s="103" t="s">
        <v>117</v>
      </c>
      <c r="E1901" s="26">
        <v>2.68</v>
      </c>
      <c r="F1901" s="26" t="s">
        <v>293</v>
      </c>
      <c r="K1901" s="24">
        <v>62</v>
      </c>
      <c r="L1901" s="102">
        <v>46127</v>
      </c>
      <c r="M1901" s="25" t="s">
        <v>357</v>
      </c>
      <c r="N1901" s="103" t="s">
        <v>117</v>
      </c>
      <c r="O1901" s="26">
        <v>6.22</v>
      </c>
      <c r="P1901" s="26" t="s">
        <v>293</v>
      </c>
    </row>
    <row r="1902" spans="1:16" x14ac:dyDescent="0.3">
      <c r="A1902" s="24">
        <v>62</v>
      </c>
      <c r="B1902" s="102">
        <v>46127</v>
      </c>
      <c r="C1902" s="25" t="s">
        <v>356</v>
      </c>
      <c r="D1902" s="103" t="s">
        <v>344</v>
      </c>
      <c r="E1902" s="26">
        <v>233</v>
      </c>
      <c r="F1902" s="26" t="s">
        <v>293</v>
      </c>
      <c r="K1902" s="24">
        <v>62</v>
      </c>
      <c r="L1902" s="102">
        <v>46127</v>
      </c>
      <c r="M1902" s="25" t="s">
        <v>357</v>
      </c>
      <c r="N1902" s="103" t="s">
        <v>344</v>
      </c>
      <c r="O1902" s="26">
        <v>69</v>
      </c>
      <c r="P1902" s="26" t="s">
        <v>293</v>
      </c>
    </row>
    <row r="1903" spans="1:16" x14ac:dyDescent="0.3">
      <c r="A1903" s="24">
        <v>62</v>
      </c>
      <c r="B1903" s="102">
        <v>46127</v>
      </c>
      <c r="C1903" s="25" t="s">
        <v>356</v>
      </c>
      <c r="D1903" s="103" t="s">
        <v>132</v>
      </c>
      <c r="E1903" s="26">
        <v>3.53</v>
      </c>
      <c r="F1903" s="26" t="s">
        <v>293</v>
      </c>
      <c r="K1903" s="24">
        <v>62</v>
      </c>
      <c r="L1903" s="102">
        <v>46127</v>
      </c>
      <c r="M1903" s="25" t="s">
        <v>357</v>
      </c>
      <c r="N1903" s="103" t="s">
        <v>132</v>
      </c>
      <c r="O1903" s="26">
        <v>7.2</v>
      </c>
      <c r="P1903" s="26" t="s">
        <v>293</v>
      </c>
    </row>
    <row r="1904" spans="1:16" x14ac:dyDescent="0.3">
      <c r="A1904" s="24">
        <v>62</v>
      </c>
      <c r="B1904" s="102">
        <v>46127</v>
      </c>
      <c r="C1904" s="25" t="s">
        <v>356</v>
      </c>
      <c r="D1904" s="103" t="s">
        <v>111</v>
      </c>
      <c r="E1904" s="26">
        <v>89</v>
      </c>
      <c r="F1904" s="26" t="s">
        <v>293</v>
      </c>
      <c r="K1904" s="24">
        <v>62</v>
      </c>
      <c r="L1904" s="102">
        <v>46127</v>
      </c>
      <c r="M1904" s="25" t="s">
        <v>357</v>
      </c>
      <c r="N1904" s="103" t="s">
        <v>111</v>
      </c>
      <c r="O1904" s="26">
        <v>281</v>
      </c>
      <c r="P1904" s="26" t="s">
        <v>293</v>
      </c>
    </row>
    <row r="1905" spans="1:16" x14ac:dyDescent="0.3">
      <c r="A1905" s="24">
        <v>62</v>
      </c>
      <c r="B1905" s="102">
        <v>46127</v>
      </c>
      <c r="C1905" s="25" t="s">
        <v>356</v>
      </c>
      <c r="D1905" s="103" t="s">
        <v>345</v>
      </c>
      <c r="E1905" s="26">
        <v>5.0999999999999996</v>
      </c>
      <c r="F1905" s="26" t="s">
        <v>293</v>
      </c>
      <c r="K1905" s="24">
        <v>62</v>
      </c>
      <c r="L1905" s="102">
        <v>46127</v>
      </c>
      <c r="M1905" s="25" t="s">
        <v>357</v>
      </c>
      <c r="N1905" s="103" t="s">
        <v>345</v>
      </c>
      <c r="O1905" s="26">
        <v>9.89</v>
      </c>
      <c r="P1905" s="26" t="s">
        <v>293</v>
      </c>
    </row>
    <row r="1906" spans="1:16" x14ac:dyDescent="0.3">
      <c r="A1906" s="24">
        <v>62</v>
      </c>
      <c r="B1906" s="102">
        <v>46127</v>
      </c>
      <c r="C1906" s="25" t="s">
        <v>356</v>
      </c>
      <c r="D1906" s="103" t="s">
        <v>347</v>
      </c>
      <c r="E1906" s="26">
        <v>2.16</v>
      </c>
      <c r="F1906" s="26" t="s">
        <v>293</v>
      </c>
      <c r="K1906" s="24">
        <v>62</v>
      </c>
      <c r="L1906" s="102">
        <v>46127</v>
      </c>
      <c r="M1906" s="25" t="s">
        <v>357</v>
      </c>
      <c r="N1906" s="103" t="s">
        <v>347</v>
      </c>
      <c r="O1906" s="26">
        <v>4.72</v>
      </c>
      <c r="P1906" s="26" t="s">
        <v>293</v>
      </c>
    </row>
    <row r="1907" spans="1:16" x14ac:dyDescent="0.3">
      <c r="A1907" s="24">
        <v>62</v>
      </c>
      <c r="B1907" s="102">
        <v>46127</v>
      </c>
      <c r="C1907" s="25" t="s">
        <v>356</v>
      </c>
      <c r="D1907" s="103" t="s">
        <v>128</v>
      </c>
      <c r="E1907" s="26">
        <v>6.8</v>
      </c>
      <c r="F1907" s="26" t="s">
        <v>293</v>
      </c>
      <c r="K1907" s="24">
        <v>62</v>
      </c>
      <c r="L1907" s="102">
        <v>46127</v>
      </c>
      <c r="M1907" s="25" t="s">
        <v>357</v>
      </c>
      <c r="N1907" s="103" t="s">
        <v>128</v>
      </c>
      <c r="O1907" s="26">
        <v>4.4000000000000004</v>
      </c>
      <c r="P1907" s="26" t="s">
        <v>293</v>
      </c>
    </row>
    <row r="1908" spans="1:16" x14ac:dyDescent="0.3">
      <c r="A1908" s="24">
        <v>62</v>
      </c>
      <c r="B1908" s="102">
        <v>46127</v>
      </c>
      <c r="C1908" s="25" t="s">
        <v>356</v>
      </c>
      <c r="D1908" s="103" t="s">
        <v>121</v>
      </c>
      <c r="E1908" s="26">
        <v>159</v>
      </c>
      <c r="F1908" s="26" t="s">
        <v>293</v>
      </c>
      <c r="K1908" s="24">
        <v>62</v>
      </c>
      <c r="L1908" s="102">
        <v>46127</v>
      </c>
      <c r="M1908" s="25" t="s">
        <v>357</v>
      </c>
      <c r="N1908" s="103" t="s">
        <v>121</v>
      </c>
      <c r="O1908" s="26">
        <v>80</v>
      </c>
      <c r="P1908" s="26" t="s">
        <v>293</v>
      </c>
    </row>
    <row r="1909" spans="1:16" x14ac:dyDescent="0.3">
      <c r="A1909" s="24">
        <v>62</v>
      </c>
      <c r="B1909" s="102">
        <v>46127</v>
      </c>
      <c r="C1909" s="25" t="s">
        <v>356</v>
      </c>
      <c r="D1909" s="103" t="s">
        <v>115</v>
      </c>
      <c r="E1909" s="26">
        <v>33</v>
      </c>
      <c r="F1909" s="26" t="s">
        <v>293</v>
      </c>
      <c r="K1909" s="24">
        <v>62</v>
      </c>
      <c r="L1909" s="102">
        <v>46127</v>
      </c>
      <c r="M1909" s="25" t="s">
        <v>357</v>
      </c>
      <c r="N1909" s="103" t="s">
        <v>115</v>
      </c>
      <c r="O1909" s="26">
        <v>94</v>
      </c>
      <c r="P1909" s="26" t="s">
        <v>293</v>
      </c>
    </row>
    <row r="1910" spans="1:16" x14ac:dyDescent="0.3">
      <c r="A1910" s="24">
        <v>62</v>
      </c>
      <c r="B1910" s="102">
        <v>46127</v>
      </c>
      <c r="C1910" s="25" t="s">
        <v>356</v>
      </c>
      <c r="D1910" s="103" t="s">
        <v>137</v>
      </c>
      <c r="E1910" s="26">
        <v>74</v>
      </c>
      <c r="F1910" s="26" t="s">
        <v>293</v>
      </c>
      <c r="K1910" s="24">
        <v>62</v>
      </c>
      <c r="L1910" s="102">
        <v>46127</v>
      </c>
      <c r="M1910" s="25" t="s">
        <v>357</v>
      </c>
      <c r="N1910" s="103" t="s">
        <v>137</v>
      </c>
      <c r="O1910" s="26">
        <v>484</v>
      </c>
      <c r="P1910" s="26" t="s">
        <v>293</v>
      </c>
    </row>
    <row r="1911" spans="1:16" x14ac:dyDescent="0.3">
      <c r="A1911" s="24">
        <v>62</v>
      </c>
      <c r="B1911" s="102">
        <v>46127</v>
      </c>
      <c r="C1911" s="25" t="s">
        <v>356</v>
      </c>
      <c r="D1911" s="103" t="s">
        <v>348</v>
      </c>
      <c r="E1911" s="26">
        <v>139</v>
      </c>
      <c r="F1911" s="26" t="s">
        <v>293</v>
      </c>
      <c r="K1911" s="24">
        <v>62</v>
      </c>
      <c r="L1911" s="102">
        <v>46127</v>
      </c>
      <c r="M1911" s="25" t="s">
        <v>357</v>
      </c>
      <c r="N1911" s="103" t="s">
        <v>348</v>
      </c>
      <c r="O1911" s="26">
        <v>431</v>
      </c>
      <c r="P1911" s="26" t="s">
        <v>293</v>
      </c>
    </row>
    <row r="1912" spans="1:16" x14ac:dyDescent="0.3">
      <c r="A1912" s="24">
        <v>62</v>
      </c>
      <c r="B1912" s="102">
        <v>46127</v>
      </c>
      <c r="C1912" s="25" t="s">
        <v>356</v>
      </c>
      <c r="D1912" s="103" t="s">
        <v>125</v>
      </c>
      <c r="E1912" s="26">
        <v>105</v>
      </c>
      <c r="F1912" s="26" t="s">
        <v>293</v>
      </c>
      <c r="K1912" s="24">
        <v>62</v>
      </c>
      <c r="L1912" s="102">
        <v>46127</v>
      </c>
      <c r="M1912" s="25" t="s">
        <v>357</v>
      </c>
      <c r="N1912" s="103" t="s">
        <v>125</v>
      </c>
      <c r="O1912" s="26">
        <v>416</v>
      </c>
      <c r="P1912" s="26" t="s">
        <v>293</v>
      </c>
    </row>
    <row r="1913" spans="1:16" x14ac:dyDescent="0.3">
      <c r="A1913" s="24">
        <v>62</v>
      </c>
      <c r="B1913" s="102">
        <v>46127</v>
      </c>
      <c r="C1913" s="25" t="s">
        <v>356</v>
      </c>
      <c r="D1913" s="103" t="s">
        <v>126</v>
      </c>
      <c r="E1913" s="26">
        <v>80</v>
      </c>
      <c r="F1913" s="26" t="s">
        <v>293</v>
      </c>
      <c r="K1913" s="24">
        <v>62</v>
      </c>
      <c r="L1913" s="102">
        <v>46127</v>
      </c>
      <c r="M1913" s="25" t="s">
        <v>357</v>
      </c>
      <c r="N1913" s="103" t="s">
        <v>126</v>
      </c>
      <c r="O1913" s="26">
        <v>154</v>
      </c>
      <c r="P1913" s="26" t="s">
        <v>293</v>
      </c>
    </row>
    <row r="1914" spans="1:16" x14ac:dyDescent="0.3">
      <c r="A1914" s="24">
        <v>62</v>
      </c>
      <c r="B1914" s="102">
        <v>46127</v>
      </c>
      <c r="C1914" s="25" t="s">
        <v>356</v>
      </c>
      <c r="D1914" s="103" t="s">
        <v>349</v>
      </c>
      <c r="E1914" s="26">
        <v>141</v>
      </c>
      <c r="F1914" s="26" t="s">
        <v>293</v>
      </c>
      <c r="K1914" s="24">
        <v>62</v>
      </c>
      <c r="L1914" s="102">
        <v>46127</v>
      </c>
      <c r="M1914" s="25" t="s">
        <v>357</v>
      </c>
      <c r="N1914" s="103" t="s">
        <v>349</v>
      </c>
      <c r="O1914" s="26">
        <v>351</v>
      </c>
      <c r="P1914" s="26" t="s">
        <v>293</v>
      </c>
    </row>
    <row r="1915" spans="1:16" x14ac:dyDescent="0.3">
      <c r="A1915" s="24">
        <v>62</v>
      </c>
      <c r="B1915" s="102">
        <v>46127</v>
      </c>
      <c r="C1915" s="25" t="s">
        <v>356</v>
      </c>
      <c r="D1915" s="103" t="s">
        <v>350</v>
      </c>
      <c r="E1915" s="26">
        <v>58</v>
      </c>
      <c r="F1915" s="26" t="s">
        <v>293</v>
      </c>
      <c r="K1915" s="24">
        <v>62</v>
      </c>
      <c r="L1915" s="102">
        <v>46127</v>
      </c>
      <c r="M1915" s="25" t="s">
        <v>357</v>
      </c>
      <c r="N1915" s="103" t="s">
        <v>350</v>
      </c>
      <c r="O1915" s="26">
        <v>84</v>
      </c>
      <c r="P1915" s="26" t="s">
        <v>293</v>
      </c>
    </row>
    <row r="1916" spans="1:16" x14ac:dyDescent="0.3">
      <c r="A1916" s="24">
        <v>62</v>
      </c>
      <c r="B1916" s="102">
        <v>46127</v>
      </c>
      <c r="C1916" s="25" t="s">
        <v>356</v>
      </c>
      <c r="D1916" s="103" t="s">
        <v>122</v>
      </c>
      <c r="E1916" s="26">
        <v>45</v>
      </c>
      <c r="F1916" s="26" t="s">
        <v>293</v>
      </c>
      <c r="K1916" s="24">
        <v>62</v>
      </c>
      <c r="L1916" s="102">
        <v>46127</v>
      </c>
      <c r="M1916" s="25" t="s">
        <v>357</v>
      </c>
      <c r="N1916" s="103" t="s">
        <v>122</v>
      </c>
      <c r="O1916" s="26">
        <v>222</v>
      </c>
      <c r="P1916" s="26" t="s">
        <v>293</v>
      </c>
    </row>
    <row r="1917" spans="1:16" x14ac:dyDescent="0.3">
      <c r="A1917" s="24">
        <v>62</v>
      </c>
      <c r="B1917" s="102">
        <v>46127</v>
      </c>
      <c r="C1917" s="25" t="s">
        <v>356</v>
      </c>
      <c r="D1917" s="103" t="s">
        <v>124</v>
      </c>
      <c r="E1917" s="26">
        <v>29</v>
      </c>
      <c r="F1917" s="26" t="s">
        <v>293</v>
      </c>
      <c r="K1917" s="24">
        <v>62</v>
      </c>
      <c r="L1917" s="102">
        <v>46127</v>
      </c>
      <c r="M1917" s="25" t="s">
        <v>357</v>
      </c>
      <c r="N1917" s="103" t="s">
        <v>124</v>
      </c>
      <c r="O1917" s="26">
        <v>104</v>
      </c>
      <c r="P1917" s="26" t="s">
        <v>293</v>
      </c>
    </row>
    <row r="1918" spans="1:16" x14ac:dyDescent="0.3">
      <c r="A1918" s="24">
        <v>62</v>
      </c>
      <c r="B1918" s="102">
        <v>46127</v>
      </c>
      <c r="C1918" s="25" t="s">
        <v>356</v>
      </c>
      <c r="D1918" s="103" t="s">
        <v>351</v>
      </c>
      <c r="E1918" s="26">
        <v>0.97</v>
      </c>
      <c r="F1918" s="26" t="s">
        <v>293</v>
      </c>
      <c r="K1918" s="24">
        <v>62</v>
      </c>
      <c r="L1918" s="102">
        <v>46127</v>
      </c>
      <c r="M1918" s="25" t="s">
        <v>357</v>
      </c>
      <c r="N1918" s="103" t="s">
        <v>351</v>
      </c>
      <c r="O1918" s="26">
        <v>3.56</v>
      </c>
      <c r="P1918" s="26" t="s">
        <v>293</v>
      </c>
    </row>
    <row r="1919" spans="1:16" x14ac:dyDescent="0.3">
      <c r="A1919" s="24">
        <v>62</v>
      </c>
      <c r="B1919" s="102">
        <v>46127</v>
      </c>
      <c r="C1919" s="25" t="s">
        <v>356</v>
      </c>
      <c r="D1919" s="103" t="s">
        <v>353</v>
      </c>
      <c r="E1919" s="26">
        <v>35.9</v>
      </c>
      <c r="F1919" s="26" t="s">
        <v>293</v>
      </c>
      <c r="K1919" s="24">
        <v>62</v>
      </c>
      <c r="L1919" s="102">
        <v>46127</v>
      </c>
      <c r="M1919" s="25" t="s">
        <v>357</v>
      </c>
      <c r="N1919" s="103" t="s">
        <v>353</v>
      </c>
      <c r="O1919" s="26">
        <v>19.7</v>
      </c>
      <c r="P1919" s="26" t="s">
        <v>293</v>
      </c>
    </row>
    <row r="1920" spans="1:16" x14ac:dyDescent="0.3">
      <c r="A1920" s="24">
        <v>62</v>
      </c>
      <c r="B1920" s="102">
        <v>46127</v>
      </c>
      <c r="C1920" s="25" t="s">
        <v>356</v>
      </c>
      <c r="D1920" s="103" t="s">
        <v>133</v>
      </c>
      <c r="E1920" s="26">
        <v>145</v>
      </c>
      <c r="F1920" s="26" t="s">
        <v>293</v>
      </c>
      <c r="K1920" s="24">
        <v>62</v>
      </c>
      <c r="L1920" s="102">
        <v>46127</v>
      </c>
      <c r="M1920" s="25" t="s">
        <v>357</v>
      </c>
      <c r="N1920" s="103" t="s">
        <v>133</v>
      </c>
      <c r="O1920" s="26">
        <v>127</v>
      </c>
      <c r="P1920" s="26" t="s">
        <v>293</v>
      </c>
    </row>
    <row r="1921" spans="1:16" x14ac:dyDescent="0.3">
      <c r="A1921" s="24">
        <v>62</v>
      </c>
      <c r="B1921" s="102">
        <v>46127</v>
      </c>
      <c r="C1921" s="25" t="s">
        <v>356</v>
      </c>
      <c r="D1921" s="103" t="s">
        <v>135</v>
      </c>
      <c r="E1921" s="26">
        <v>3.8</v>
      </c>
      <c r="F1921" s="26" t="s">
        <v>293</v>
      </c>
      <c r="K1921" s="24">
        <v>62</v>
      </c>
      <c r="L1921" s="102">
        <v>46127</v>
      </c>
      <c r="M1921" s="25" t="s">
        <v>357</v>
      </c>
      <c r="N1921" s="103" t="s">
        <v>135</v>
      </c>
      <c r="O1921" s="26">
        <v>6.5</v>
      </c>
      <c r="P1921" s="26" t="s">
        <v>293</v>
      </c>
    </row>
    <row r="1922" spans="1:16" x14ac:dyDescent="0.3">
      <c r="A1922" s="24">
        <v>62</v>
      </c>
      <c r="B1922" s="102">
        <v>46127</v>
      </c>
      <c r="C1922" s="25" t="s">
        <v>356</v>
      </c>
      <c r="D1922" s="103" t="s">
        <v>136</v>
      </c>
      <c r="E1922" s="26">
        <v>116</v>
      </c>
      <c r="F1922" s="26" t="s">
        <v>293</v>
      </c>
      <c r="K1922" s="24">
        <v>62</v>
      </c>
      <c r="L1922" s="102">
        <v>46127</v>
      </c>
      <c r="M1922" s="25" t="s">
        <v>357</v>
      </c>
      <c r="N1922" s="103" t="s">
        <v>136</v>
      </c>
      <c r="O1922" s="26">
        <v>94</v>
      </c>
      <c r="P1922" s="26" t="s">
        <v>293</v>
      </c>
    </row>
    <row r="1923" spans="1:16" x14ac:dyDescent="0.3">
      <c r="A1923" s="24">
        <v>63</v>
      </c>
      <c r="B1923" s="102">
        <v>46128</v>
      </c>
      <c r="C1923" s="25" t="s">
        <v>356</v>
      </c>
      <c r="D1923" s="103" t="s">
        <v>339</v>
      </c>
      <c r="E1923" s="26">
        <v>4.5599999999999996</v>
      </c>
      <c r="F1923" s="26" t="s">
        <v>293</v>
      </c>
      <c r="K1923" s="24">
        <v>63</v>
      </c>
      <c r="L1923" s="102">
        <v>46128</v>
      </c>
      <c r="M1923" s="25" t="s">
        <v>357</v>
      </c>
      <c r="N1923" s="103" t="s">
        <v>339</v>
      </c>
      <c r="O1923" s="26">
        <v>1.06</v>
      </c>
      <c r="P1923" s="26" t="s">
        <v>293</v>
      </c>
    </row>
    <row r="1924" spans="1:16" x14ac:dyDescent="0.3">
      <c r="A1924" s="24">
        <v>63</v>
      </c>
      <c r="B1924" s="102">
        <v>46128</v>
      </c>
      <c r="C1924" s="25" t="s">
        <v>356</v>
      </c>
      <c r="D1924" s="103" t="s">
        <v>118</v>
      </c>
      <c r="E1924" s="26">
        <v>4.5</v>
      </c>
      <c r="F1924" s="26" t="s">
        <v>293</v>
      </c>
      <c r="K1924" s="24">
        <v>63</v>
      </c>
      <c r="L1924" s="102">
        <v>46128</v>
      </c>
      <c r="M1924" s="25" t="s">
        <v>357</v>
      </c>
      <c r="N1924" s="103" t="s">
        <v>118</v>
      </c>
      <c r="O1924" s="26">
        <v>9.6999999999999993</v>
      </c>
      <c r="P1924" s="26" t="s">
        <v>293</v>
      </c>
    </row>
    <row r="1925" spans="1:16" x14ac:dyDescent="0.3">
      <c r="A1925" s="24">
        <v>63</v>
      </c>
      <c r="B1925" s="102">
        <v>46128</v>
      </c>
      <c r="C1925" s="25" t="s">
        <v>356</v>
      </c>
      <c r="D1925" s="103" t="s">
        <v>130</v>
      </c>
      <c r="E1925" s="26">
        <v>3.85</v>
      </c>
      <c r="F1925" s="26" t="s">
        <v>293</v>
      </c>
      <c r="K1925" s="24">
        <v>63</v>
      </c>
      <c r="L1925" s="102">
        <v>46128</v>
      </c>
      <c r="M1925" s="25" t="s">
        <v>357</v>
      </c>
      <c r="N1925" s="103" t="s">
        <v>130</v>
      </c>
      <c r="O1925" s="26">
        <v>2.44</v>
      </c>
      <c r="P1925" s="26" t="s">
        <v>293</v>
      </c>
    </row>
    <row r="1926" spans="1:16" x14ac:dyDescent="0.3">
      <c r="A1926" s="24">
        <v>63</v>
      </c>
      <c r="B1926" s="102">
        <v>46128</v>
      </c>
      <c r="C1926" s="25" t="s">
        <v>356</v>
      </c>
      <c r="D1926" s="103" t="s">
        <v>341</v>
      </c>
      <c r="E1926" s="26">
        <v>0.32</v>
      </c>
      <c r="F1926" s="26" t="s">
        <v>293</v>
      </c>
      <c r="K1926" s="24">
        <v>63</v>
      </c>
      <c r="L1926" s="102">
        <v>46128</v>
      </c>
      <c r="M1926" s="25" t="s">
        <v>357</v>
      </c>
      <c r="N1926" s="103" t="s">
        <v>341</v>
      </c>
      <c r="O1926" s="26">
        <v>1.1299999999999999</v>
      </c>
      <c r="P1926" s="26" t="s">
        <v>293</v>
      </c>
    </row>
    <row r="1927" spans="1:16" x14ac:dyDescent="0.3">
      <c r="A1927" s="24">
        <v>63</v>
      </c>
      <c r="B1927" s="102">
        <v>46128</v>
      </c>
      <c r="C1927" s="25" t="s">
        <v>356</v>
      </c>
      <c r="D1927" s="103" t="s">
        <v>127</v>
      </c>
      <c r="E1927" s="26">
        <v>1.17</v>
      </c>
      <c r="F1927" s="26" t="s">
        <v>293</v>
      </c>
      <c r="K1927" s="24">
        <v>63</v>
      </c>
      <c r="L1927" s="102">
        <v>46128</v>
      </c>
      <c r="M1927" s="25" t="s">
        <v>357</v>
      </c>
      <c r="N1927" s="103" t="s">
        <v>127</v>
      </c>
      <c r="O1927" s="26">
        <v>4.59</v>
      </c>
      <c r="P1927" s="26" t="s">
        <v>293</v>
      </c>
    </row>
    <row r="1928" spans="1:16" x14ac:dyDescent="0.3">
      <c r="A1928" s="24">
        <v>63</v>
      </c>
      <c r="B1928" s="102">
        <v>46128</v>
      </c>
      <c r="C1928" s="25" t="s">
        <v>356</v>
      </c>
      <c r="D1928" s="103" t="s">
        <v>131</v>
      </c>
      <c r="E1928" s="26">
        <v>8.6999999999999993</v>
      </c>
      <c r="F1928" s="26" t="s">
        <v>293</v>
      </c>
      <c r="K1928" s="24">
        <v>63</v>
      </c>
      <c r="L1928" s="102">
        <v>46128</v>
      </c>
      <c r="M1928" s="25" t="s">
        <v>357</v>
      </c>
      <c r="N1928" s="103" t="s">
        <v>131</v>
      </c>
      <c r="O1928" s="26">
        <v>12.1</v>
      </c>
      <c r="P1928" s="26" t="s">
        <v>293</v>
      </c>
    </row>
    <row r="1929" spans="1:16" x14ac:dyDescent="0.3">
      <c r="A1929" s="24">
        <v>63</v>
      </c>
      <c r="B1929" s="102">
        <v>46128</v>
      </c>
      <c r="C1929" s="25" t="s">
        <v>356</v>
      </c>
      <c r="D1929" s="103" t="s">
        <v>342</v>
      </c>
      <c r="E1929" s="26">
        <v>359</v>
      </c>
      <c r="F1929" s="26" t="s">
        <v>293</v>
      </c>
      <c r="K1929" s="24">
        <v>63</v>
      </c>
      <c r="L1929" s="102">
        <v>46128</v>
      </c>
      <c r="M1929" s="25" t="s">
        <v>357</v>
      </c>
      <c r="N1929" s="103" t="s">
        <v>342</v>
      </c>
      <c r="O1929" s="26">
        <v>214</v>
      </c>
      <c r="P1929" s="26" t="s">
        <v>293</v>
      </c>
    </row>
    <row r="1930" spans="1:16" x14ac:dyDescent="0.3">
      <c r="A1930" s="24">
        <v>63</v>
      </c>
      <c r="B1930" s="102">
        <v>46128</v>
      </c>
      <c r="C1930" s="25" t="s">
        <v>356</v>
      </c>
      <c r="D1930" s="103" t="s">
        <v>119</v>
      </c>
      <c r="E1930" s="26">
        <v>236</v>
      </c>
      <c r="F1930" s="26" t="s">
        <v>293</v>
      </c>
      <c r="K1930" s="24">
        <v>63</v>
      </c>
      <c r="L1930" s="102">
        <v>46128</v>
      </c>
      <c r="M1930" s="25" t="s">
        <v>357</v>
      </c>
      <c r="N1930" s="103" t="s">
        <v>119</v>
      </c>
      <c r="O1930" s="26">
        <v>88</v>
      </c>
      <c r="P1930" s="26" t="s">
        <v>293</v>
      </c>
    </row>
    <row r="1931" spans="1:16" x14ac:dyDescent="0.3">
      <c r="A1931" s="24">
        <v>63</v>
      </c>
      <c r="B1931" s="102">
        <v>46128</v>
      </c>
      <c r="C1931" s="25" t="s">
        <v>356</v>
      </c>
      <c r="D1931" s="103" t="s">
        <v>120</v>
      </c>
      <c r="E1931" s="26">
        <v>77</v>
      </c>
      <c r="F1931" s="26" t="s">
        <v>293</v>
      </c>
      <c r="K1931" s="24">
        <v>63</v>
      </c>
      <c r="L1931" s="102">
        <v>46128</v>
      </c>
      <c r="M1931" s="25" t="s">
        <v>357</v>
      </c>
      <c r="N1931" s="103" t="s">
        <v>120</v>
      </c>
      <c r="O1931" s="26">
        <v>27</v>
      </c>
      <c r="P1931" s="26" t="s">
        <v>293</v>
      </c>
    </row>
    <row r="1932" spans="1:16" x14ac:dyDescent="0.3">
      <c r="A1932" s="24">
        <v>63</v>
      </c>
      <c r="B1932" s="102">
        <v>46128</v>
      </c>
      <c r="C1932" s="25" t="s">
        <v>356</v>
      </c>
      <c r="D1932" s="103" t="s">
        <v>117</v>
      </c>
      <c r="E1932" s="26">
        <v>2.64</v>
      </c>
      <c r="F1932" s="26" t="s">
        <v>293</v>
      </c>
      <c r="K1932" s="24">
        <v>63</v>
      </c>
      <c r="L1932" s="102">
        <v>46128</v>
      </c>
      <c r="M1932" s="25" t="s">
        <v>357</v>
      </c>
      <c r="N1932" s="103" t="s">
        <v>117</v>
      </c>
      <c r="O1932" s="26">
        <v>6.17</v>
      </c>
      <c r="P1932" s="26" t="s">
        <v>293</v>
      </c>
    </row>
    <row r="1933" spans="1:16" x14ac:dyDescent="0.3">
      <c r="A1933" s="24">
        <v>63</v>
      </c>
      <c r="B1933" s="102">
        <v>46128</v>
      </c>
      <c r="C1933" s="25" t="s">
        <v>356</v>
      </c>
      <c r="D1933" s="103" t="s">
        <v>344</v>
      </c>
      <c r="E1933" s="26">
        <v>233</v>
      </c>
      <c r="F1933" s="26" t="s">
        <v>293</v>
      </c>
      <c r="K1933" s="24">
        <v>63</v>
      </c>
      <c r="L1933" s="102">
        <v>46128</v>
      </c>
      <c r="M1933" s="25" t="s">
        <v>357</v>
      </c>
      <c r="N1933" s="103" t="s">
        <v>344</v>
      </c>
      <c r="O1933" s="26">
        <v>69</v>
      </c>
      <c r="P1933" s="26" t="s">
        <v>293</v>
      </c>
    </row>
    <row r="1934" spans="1:16" x14ac:dyDescent="0.3">
      <c r="A1934" s="24">
        <v>63</v>
      </c>
      <c r="B1934" s="102">
        <v>46128</v>
      </c>
      <c r="C1934" s="25" t="s">
        <v>356</v>
      </c>
      <c r="D1934" s="103" t="s">
        <v>132</v>
      </c>
      <c r="E1934" s="26">
        <v>3.45</v>
      </c>
      <c r="F1934" s="26" t="s">
        <v>293</v>
      </c>
      <c r="K1934" s="24">
        <v>63</v>
      </c>
      <c r="L1934" s="102">
        <v>46128</v>
      </c>
      <c r="M1934" s="25" t="s">
        <v>357</v>
      </c>
      <c r="N1934" s="103" t="s">
        <v>132</v>
      </c>
      <c r="O1934" s="26">
        <v>7.19</v>
      </c>
      <c r="P1934" s="26" t="s">
        <v>293</v>
      </c>
    </row>
    <row r="1935" spans="1:16" x14ac:dyDescent="0.3">
      <c r="A1935" s="24">
        <v>63</v>
      </c>
      <c r="B1935" s="102">
        <v>46128</v>
      </c>
      <c r="C1935" s="25" t="s">
        <v>356</v>
      </c>
      <c r="D1935" s="103" t="s">
        <v>111</v>
      </c>
      <c r="E1935" s="26">
        <v>89</v>
      </c>
      <c r="F1935" s="26" t="s">
        <v>293</v>
      </c>
      <c r="K1935" s="24">
        <v>63</v>
      </c>
      <c r="L1935" s="102">
        <v>46128</v>
      </c>
      <c r="M1935" s="25" t="s">
        <v>357</v>
      </c>
      <c r="N1935" s="103" t="s">
        <v>111</v>
      </c>
      <c r="O1935" s="26">
        <v>283</v>
      </c>
      <c r="P1935" s="26" t="s">
        <v>293</v>
      </c>
    </row>
    <row r="1936" spans="1:16" x14ac:dyDescent="0.3">
      <c r="A1936" s="24">
        <v>63</v>
      </c>
      <c r="B1936" s="102">
        <v>46128</v>
      </c>
      <c r="C1936" s="25" t="s">
        <v>356</v>
      </c>
      <c r="D1936" s="103" t="s">
        <v>345</v>
      </c>
      <c r="E1936" s="26">
        <v>5.25</v>
      </c>
      <c r="F1936" s="26" t="s">
        <v>293</v>
      </c>
      <c r="K1936" s="24">
        <v>63</v>
      </c>
      <c r="L1936" s="102">
        <v>46128</v>
      </c>
      <c r="M1936" s="25" t="s">
        <v>357</v>
      </c>
      <c r="N1936" s="103" t="s">
        <v>345</v>
      </c>
      <c r="O1936" s="26">
        <v>9.89</v>
      </c>
      <c r="P1936" s="26" t="s">
        <v>293</v>
      </c>
    </row>
    <row r="1937" spans="1:16" x14ac:dyDescent="0.3">
      <c r="A1937" s="24">
        <v>63</v>
      </c>
      <c r="B1937" s="102">
        <v>46128</v>
      </c>
      <c r="C1937" s="25" t="s">
        <v>356</v>
      </c>
      <c r="D1937" s="103" t="s">
        <v>347</v>
      </c>
      <c r="E1937" s="26">
        <v>2.1800000000000002</v>
      </c>
      <c r="F1937" s="26" t="s">
        <v>293</v>
      </c>
      <c r="K1937" s="24">
        <v>63</v>
      </c>
      <c r="L1937" s="102">
        <v>46128</v>
      </c>
      <c r="M1937" s="25" t="s">
        <v>357</v>
      </c>
      <c r="N1937" s="103" t="s">
        <v>347</v>
      </c>
      <c r="O1937" s="26">
        <v>4.8499999999999996</v>
      </c>
      <c r="P1937" s="26" t="s">
        <v>293</v>
      </c>
    </row>
    <row r="1938" spans="1:16" x14ac:dyDescent="0.3">
      <c r="A1938" s="24">
        <v>63</v>
      </c>
      <c r="B1938" s="102">
        <v>46128</v>
      </c>
      <c r="C1938" s="25" t="s">
        <v>356</v>
      </c>
      <c r="D1938" s="103" t="s">
        <v>128</v>
      </c>
      <c r="E1938" s="26">
        <v>6.7</v>
      </c>
      <c r="F1938" s="26" t="s">
        <v>293</v>
      </c>
      <c r="K1938" s="24">
        <v>63</v>
      </c>
      <c r="L1938" s="102">
        <v>46128</v>
      </c>
      <c r="M1938" s="25" t="s">
        <v>357</v>
      </c>
      <c r="N1938" s="103" t="s">
        <v>128</v>
      </c>
      <c r="O1938" s="26">
        <v>4.5</v>
      </c>
      <c r="P1938" s="26" t="s">
        <v>293</v>
      </c>
    </row>
    <row r="1939" spans="1:16" x14ac:dyDescent="0.3">
      <c r="A1939" s="24">
        <v>63</v>
      </c>
      <c r="B1939" s="102">
        <v>46128</v>
      </c>
      <c r="C1939" s="25" t="s">
        <v>356</v>
      </c>
      <c r="D1939" s="103" t="s">
        <v>121</v>
      </c>
      <c r="E1939" s="26">
        <v>159</v>
      </c>
      <c r="F1939" s="26" t="s">
        <v>293</v>
      </c>
      <c r="K1939" s="24">
        <v>63</v>
      </c>
      <c r="L1939" s="102">
        <v>46128</v>
      </c>
      <c r="M1939" s="25" t="s">
        <v>357</v>
      </c>
      <c r="N1939" s="103" t="s">
        <v>121</v>
      </c>
      <c r="O1939" s="26">
        <v>82</v>
      </c>
      <c r="P1939" s="26" t="s">
        <v>293</v>
      </c>
    </row>
    <row r="1940" spans="1:16" x14ac:dyDescent="0.3">
      <c r="A1940" s="24">
        <v>63</v>
      </c>
      <c r="B1940" s="102">
        <v>46128</v>
      </c>
      <c r="C1940" s="25" t="s">
        <v>356</v>
      </c>
      <c r="D1940" s="103" t="s">
        <v>115</v>
      </c>
      <c r="E1940" s="26">
        <v>33</v>
      </c>
      <c r="F1940" s="26" t="s">
        <v>293</v>
      </c>
      <c r="K1940" s="24">
        <v>63</v>
      </c>
      <c r="L1940" s="102">
        <v>46128</v>
      </c>
      <c r="M1940" s="25" t="s">
        <v>357</v>
      </c>
      <c r="N1940" s="103" t="s">
        <v>115</v>
      </c>
      <c r="O1940" s="26">
        <v>94</v>
      </c>
      <c r="P1940" s="26" t="s">
        <v>293</v>
      </c>
    </row>
    <row r="1941" spans="1:16" x14ac:dyDescent="0.3">
      <c r="A1941" s="24">
        <v>63</v>
      </c>
      <c r="B1941" s="102">
        <v>46128</v>
      </c>
      <c r="C1941" s="25" t="s">
        <v>356</v>
      </c>
      <c r="D1941" s="103" t="s">
        <v>137</v>
      </c>
      <c r="E1941" s="26">
        <v>74</v>
      </c>
      <c r="F1941" s="26" t="s">
        <v>293</v>
      </c>
      <c r="K1941" s="24">
        <v>63</v>
      </c>
      <c r="L1941" s="102">
        <v>46128</v>
      </c>
      <c r="M1941" s="25" t="s">
        <v>357</v>
      </c>
      <c r="N1941" s="103" t="s">
        <v>137</v>
      </c>
      <c r="O1941" s="26">
        <v>489</v>
      </c>
      <c r="P1941" s="26" t="s">
        <v>293</v>
      </c>
    </row>
    <row r="1942" spans="1:16" x14ac:dyDescent="0.3">
      <c r="A1942" s="24">
        <v>63</v>
      </c>
      <c r="B1942" s="102">
        <v>46128</v>
      </c>
      <c r="C1942" s="25" t="s">
        <v>356</v>
      </c>
      <c r="D1942" s="103" t="s">
        <v>348</v>
      </c>
      <c r="E1942" s="26">
        <v>141</v>
      </c>
      <c r="F1942" s="26" t="s">
        <v>293</v>
      </c>
      <c r="K1942" s="24">
        <v>63</v>
      </c>
      <c r="L1942" s="102">
        <v>46128</v>
      </c>
      <c r="M1942" s="25" t="s">
        <v>357</v>
      </c>
      <c r="N1942" s="103" t="s">
        <v>348</v>
      </c>
      <c r="O1942" s="26">
        <v>436</v>
      </c>
      <c r="P1942" s="26" t="s">
        <v>293</v>
      </c>
    </row>
    <row r="1943" spans="1:16" x14ac:dyDescent="0.3">
      <c r="A1943" s="24">
        <v>63</v>
      </c>
      <c r="B1943" s="102">
        <v>46128</v>
      </c>
      <c r="C1943" s="25" t="s">
        <v>356</v>
      </c>
      <c r="D1943" s="103" t="s">
        <v>125</v>
      </c>
      <c r="E1943" s="26">
        <v>108</v>
      </c>
      <c r="F1943" s="26" t="s">
        <v>293</v>
      </c>
      <c r="K1943" s="24">
        <v>63</v>
      </c>
      <c r="L1943" s="102">
        <v>46128</v>
      </c>
      <c r="M1943" s="25" t="s">
        <v>357</v>
      </c>
      <c r="N1943" s="103" t="s">
        <v>125</v>
      </c>
      <c r="O1943" s="26">
        <v>419</v>
      </c>
      <c r="P1943" s="26" t="s">
        <v>293</v>
      </c>
    </row>
    <row r="1944" spans="1:16" x14ac:dyDescent="0.3">
      <c r="A1944" s="24">
        <v>63</v>
      </c>
      <c r="B1944" s="102">
        <v>46128</v>
      </c>
      <c r="C1944" s="25" t="s">
        <v>356</v>
      </c>
      <c r="D1944" s="103" t="s">
        <v>126</v>
      </c>
      <c r="E1944" s="26">
        <v>80</v>
      </c>
      <c r="F1944" s="26" t="s">
        <v>293</v>
      </c>
      <c r="K1944" s="24">
        <v>63</v>
      </c>
      <c r="L1944" s="102">
        <v>46128</v>
      </c>
      <c r="M1944" s="25" t="s">
        <v>357</v>
      </c>
      <c r="N1944" s="103" t="s">
        <v>126</v>
      </c>
      <c r="O1944" s="26">
        <v>152</v>
      </c>
      <c r="P1944" s="26" t="s">
        <v>293</v>
      </c>
    </row>
    <row r="1945" spans="1:16" x14ac:dyDescent="0.3">
      <c r="A1945" s="24">
        <v>63</v>
      </c>
      <c r="B1945" s="102">
        <v>46128</v>
      </c>
      <c r="C1945" s="25" t="s">
        <v>356</v>
      </c>
      <c r="D1945" s="103" t="s">
        <v>349</v>
      </c>
      <c r="E1945" s="26">
        <v>158</v>
      </c>
      <c r="F1945" s="26" t="s">
        <v>293</v>
      </c>
      <c r="K1945" s="24">
        <v>63</v>
      </c>
      <c r="L1945" s="102">
        <v>46128</v>
      </c>
      <c r="M1945" s="25" t="s">
        <v>357</v>
      </c>
      <c r="N1945" s="103" t="s">
        <v>349</v>
      </c>
      <c r="O1945" s="26">
        <v>378</v>
      </c>
      <c r="P1945" s="26" t="s">
        <v>293</v>
      </c>
    </row>
    <row r="1946" spans="1:16" x14ac:dyDescent="0.3">
      <c r="A1946" s="24">
        <v>63</v>
      </c>
      <c r="B1946" s="102">
        <v>46128</v>
      </c>
      <c r="C1946" s="25" t="s">
        <v>356</v>
      </c>
      <c r="D1946" s="103" t="s">
        <v>350</v>
      </c>
      <c r="E1946" s="26">
        <v>57</v>
      </c>
      <c r="F1946" s="26" t="s">
        <v>293</v>
      </c>
      <c r="K1946" s="24">
        <v>63</v>
      </c>
      <c r="L1946" s="102">
        <v>46128</v>
      </c>
      <c r="M1946" s="25" t="s">
        <v>357</v>
      </c>
      <c r="N1946" s="103" t="s">
        <v>350</v>
      </c>
      <c r="O1946" s="26">
        <v>84</v>
      </c>
      <c r="P1946" s="26" t="s">
        <v>293</v>
      </c>
    </row>
    <row r="1947" spans="1:16" x14ac:dyDescent="0.3">
      <c r="A1947" s="24">
        <v>63</v>
      </c>
      <c r="B1947" s="102">
        <v>46128</v>
      </c>
      <c r="C1947" s="25" t="s">
        <v>356</v>
      </c>
      <c r="D1947" s="103" t="s">
        <v>122</v>
      </c>
      <c r="E1947" s="26">
        <v>45</v>
      </c>
      <c r="F1947" s="26" t="s">
        <v>293</v>
      </c>
      <c r="K1947" s="24">
        <v>63</v>
      </c>
      <c r="L1947" s="102">
        <v>46128</v>
      </c>
      <c r="M1947" s="25" t="s">
        <v>357</v>
      </c>
      <c r="N1947" s="103" t="s">
        <v>122</v>
      </c>
      <c r="O1947" s="26">
        <v>215</v>
      </c>
      <c r="P1947" s="26" t="s">
        <v>293</v>
      </c>
    </row>
    <row r="1948" spans="1:16" x14ac:dyDescent="0.3">
      <c r="A1948" s="24">
        <v>63</v>
      </c>
      <c r="B1948" s="102">
        <v>46128</v>
      </c>
      <c r="C1948" s="25" t="s">
        <v>356</v>
      </c>
      <c r="D1948" s="103" t="s">
        <v>124</v>
      </c>
      <c r="E1948" s="26">
        <v>30</v>
      </c>
      <c r="F1948" s="26" t="s">
        <v>293</v>
      </c>
      <c r="K1948" s="24">
        <v>63</v>
      </c>
      <c r="L1948" s="102">
        <v>46128</v>
      </c>
      <c r="M1948" s="25" t="s">
        <v>357</v>
      </c>
      <c r="N1948" s="103" t="s">
        <v>124</v>
      </c>
      <c r="O1948" s="26">
        <v>105</v>
      </c>
      <c r="P1948" s="26" t="s">
        <v>293</v>
      </c>
    </row>
    <row r="1949" spans="1:16" x14ac:dyDescent="0.3">
      <c r="A1949" s="24">
        <v>63</v>
      </c>
      <c r="B1949" s="102">
        <v>46128</v>
      </c>
      <c r="C1949" s="25" t="s">
        <v>356</v>
      </c>
      <c r="D1949" s="103" t="s">
        <v>351</v>
      </c>
      <c r="E1949" s="26">
        <v>0.95</v>
      </c>
      <c r="F1949" s="26" t="s">
        <v>293</v>
      </c>
      <c r="K1949" s="24">
        <v>63</v>
      </c>
      <c r="L1949" s="102">
        <v>46128</v>
      </c>
      <c r="M1949" s="25" t="s">
        <v>357</v>
      </c>
      <c r="N1949" s="103" t="s">
        <v>351</v>
      </c>
      <c r="O1949" s="26">
        <v>3.6</v>
      </c>
      <c r="P1949" s="26" t="s">
        <v>293</v>
      </c>
    </row>
    <row r="1950" spans="1:16" x14ac:dyDescent="0.3">
      <c r="A1950" s="24">
        <v>63</v>
      </c>
      <c r="B1950" s="102">
        <v>46128</v>
      </c>
      <c r="C1950" s="25" t="s">
        <v>356</v>
      </c>
      <c r="D1950" s="103" t="s">
        <v>353</v>
      </c>
      <c r="E1950" s="26">
        <v>37.299999999999997</v>
      </c>
      <c r="F1950" s="26" t="s">
        <v>293</v>
      </c>
      <c r="K1950" s="24">
        <v>63</v>
      </c>
      <c r="L1950" s="102">
        <v>46128</v>
      </c>
      <c r="M1950" s="25" t="s">
        <v>357</v>
      </c>
      <c r="N1950" s="103" t="s">
        <v>353</v>
      </c>
      <c r="O1950" s="26">
        <v>21.1</v>
      </c>
      <c r="P1950" s="26" t="s">
        <v>293</v>
      </c>
    </row>
    <row r="1951" spans="1:16" x14ac:dyDescent="0.3">
      <c r="A1951" s="24">
        <v>63</v>
      </c>
      <c r="B1951" s="102">
        <v>46128</v>
      </c>
      <c r="C1951" s="25" t="s">
        <v>356</v>
      </c>
      <c r="D1951" s="103" t="s">
        <v>133</v>
      </c>
      <c r="E1951" s="26">
        <v>145</v>
      </c>
      <c r="F1951" s="26" t="s">
        <v>293</v>
      </c>
      <c r="K1951" s="24">
        <v>63</v>
      </c>
      <c r="L1951" s="102">
        <v>46128</v>
      </c>
      <c r="M1951" s="25" t="s">
        <v>357</v>
      </c>
      <c r="N1951" s="103" t="s">
        <v>133</v>
      </c>
      <c r="O1951" s="26">
        <v>127</v>
      </c>
      <c r="P1951" s="26" t="s">
        <v>293</v>
      </c>
    </row>
    <row r="1952" spans="1:16" x14ac:dyDescent="0.3">
      <c r="A1952" s="24">
        <v>63</v>
      </c>
      <c r="B1952" s="102">
        <v>46128</v>
      </c>
      <c r="C1952" s="25" t="s">
        <v>356</v>
      </c>
      <c r="D1952" s="103" t="s">
        <v>135</v>
      </c>
      <c r="E1952" s="26">
        <v>3.7</v>
      </c>
      <c r="F1952" s="26" t="s">
        <v>293</v>
      </c>
      <c r="K1952" s="24">
        <v>63</v>
      </c>
      <c r="L1952" s="102">
        <v>46128</v>
      </c>
      <c r="M1952" s="25" t="s">
        <v>357</v>
      </c>
      <c r="N1952" s="103" t="s">
        <v>135</v>
      </c>
      <c r="O1952" s="26">
        <v>6.4</v>
      </c>
      <c r="P1952" s="26" t="s">
        <v>293</v>
      </c>
    </row>
    <row r="1953" spans="1:16" x14ac:dyDescent="0.3">
      <c r="A1953" s="24">
        <v>63</v>
      </c>
      <c r="B1953" s="102">
        <v>46128</v>
      </c>
      <c r="C1953" s="25" t="s">
        <v>356</v>
      </c>
      <c r="D1953" s="103" t="s">
        <v>136</v>
      </c>
      <c r="E1953" s="26">
        <v>115</v>
      </c>
      <c r="F1953" s="26" t="s">
        <v>293</v>
      </c>
      <c r="K1953" s="24">
        <v>63</v>
      </c>
      <c r="L1953" s="102">
        <v>46128</v>
      </c>
      <c r="M1953" s="25" t="s">
        <v>357</v>
      </c>
      <c r="N1953" s="103" t="s">
        <v>136</v>
      </c>
      <c r="O1953" s="26">
        <v>93</v>
      </c>
      <c r="P1953" s="26" t="s">
        <v>293</v>
      </c>
    </row>
    <row r="1954" spans="1:16" x14ac:dyDescent="0.3">
      <c r="A1954" s="24">
        <v>64</v>
      </c>
      <c r="B1954" s="102">
        <v>46129</v>
      </c>
      <c r="C1954" s="25" t="s">
        <v>356</v>
      </c>
      <c r="D1954" s="103" t="s">
        <v>339</v>
      </c>
      <c r="E1954" s="26">
        <v>4.62</v>
      </c>
      <c r="F1954" s="26" t="s">
        <v>293</v>
      </c>
      <c r="K1954" s="24">
        <v>64</v>
      </c>
      <c r="L1954" s="102">
        <v>46129</v>
      </c>
      <c r="M1954" s="25" t="s">
        <v>357</v>
      </c>
      <c r="N1954" s="103" t="s">
        <v>339</v>
      </c>
      <c r="O1954" s="26">
        <v>1.1200000000000001</v>
      </c>
      <c r="P1954" s="26" t="s">
        <v>293</v>
      </c>
    </row>
    <row r="1955" spans="1:16" x14ac:dyDescent="0.3">
      <c r="A1955" s="24">
        <v>64</v>
      </c>
      <c r="B1955" s="102">
        <v>46129</v>
      </c>
      <c r="C1955" s="25" t="s">
        <v>356</v>
      </c>
      <c r="D1955" s="103" t="s">
        <v>118</v>
      </c>
      <c r="E1955" s="26">
        <v>4.5</v>
      </c>
      <c r="F1955" s="26" t="s">
        <v>293</v>
      </c>
      <c r="K1955" s="24">
        <v>64</v>
      </c>
      <c r="L1955" s="102">
        <v>46129</v>
      </c>
      <c r="M1955" s="25" t="s">
        <v>357</v>
      </c>
      <c r="N1955" s="103" t="s">
        <v>118</v>
      </c>
      <c r="O1955" s="26">
        <v>9.6999999999999993</v>
      </c>
      <c r="P1955" s="26" t="s">
        <v>293</v>
      </c>
    </row>
    <row r="1956" spans="1:16" x14ac:dyDescent="0.3">
      <c r="A1956" s="24">
        <v>64</v>
      </c>
      <c r="B1956" s="102">
        <v>46129</v>
      </c>
      <c r="C1956" s="25" t="s">
        <v>356</v>
      </c>
      <c r="D1956" s="103" t="s">
        <v>130</v>
      </c>
      <c r="E1956" s="26">
        <v>3.97</v>
      </c>
      <c r="F1956" s="26" t="s">
        <v>293</v>
      </c>
      <c r="K1956" s="24">
        <v>64</v>
      </c>
      <c r="L1956" s="102">
        <v>46129</v>
      </c>
      <c r="M1956" s="25" t="s">
        <v>357</v>
      </c>
      <c r="N1956" s="103" t="s">
        <v>130</v>
      </c>
      <c r="O1956" s="26">
        <v>2.4700000000000002</v>
      </c>
      <c r="P1956" s="26" t="s">
        <v>293</v>
      </c>
    </row>
    <row r="1957" spans="1:16" x14ac:dyDescent="0.3">
      <c r="A1957" s="24">
        <v>64</v>
      </c>
      <c r="B1957" s="102">
        <v>46129</v>
      </c>
      <c r="C1957" s="25" t="s">
        <v>356</v>
      </c>
      <c r="D1957" s="103" t="s">
        <v>341</v>
      </c>
      <c r="E1957" s="26">
        <v>0.32</v>
      </c>
      <c r="F1957" s="26" t="s">
        <v>293</v>
      </c>
      <c r="K1957" s="24">
        <v>64</v>
      </c>
      <c r="L1957" s="102">
        <v>46129</v>
      </c>
      <c r="M1957" s="25" t="s">
        <v>357</v>
      </c>
      <c r="N1957" s="103" t="s">
        <v>341</v>
      </c>
      <c r="O1957" s="26">
        <v>1.1599999999999999</v>
      </c>
      <c r="P1957" s="26" t="s">
        <v>293</v>
      </c>
    </row>
    <row r="1958" spans="1:16" x14ac:dyDescent="0.3">
      <c r="A1958" s="24">
        <v>64</v>
      </c>
      <c r="B1958" s="102">
        <v>46129</v>
      </c>
      <c r="C1958" s="25" t="s">
        <v>356</v>
      </c>
      <c r="D1958" s="103" t="s">
        <v>127</v>
      </c>
      <c r="E1958" s="26">
        <v>1.18</v>
      </c>
      <c r="F1958" s="26" t="s">
        <v>293</v>
      </c>
      <c r="K1958" s="24">
        <v>64</v>
      </c>
      <c r="L1958" s="102">
        <v>46129</v>
      </c>
      <c r="M1958" s="25" t="s">
        <v>357</v>
      </c>
      <c r="N1958" s="103" t="s">
        <v>127</v>
      </c>
      <c r="O1958" s="26">
        <v>4.5599999999999996</v>
      </c>
      <c r="P1958" s="26" t="s">
        <v>293</v>
      </c>
    </row>
    <row r="1959" spans="1:16" x14ac:dyDescent="0.3">
      <c r="A1959" s="24">
        <v>64</v>
      </c>
      <c r="B1959" s="102">
        <v>46129</v>
      </c>
      <c r="C1959" s="25" t="s">
        <v>356</v>
      </c>
      <c r="D1959" s="103" t="s">
        <v>131</v>
      </c>
      <c r="E1959" s="26">
        <v>8.9</v>
      </c>
      <c r="F1959" s="26" t="s">
        <v>293</v>
      </c>
      <c r="K1959" s="24">
        <v>64</v>
      </c>
      <c r="L1959" s="102">
        <v>46129</v>
      </c>
      <c r="M1959" s="25" t="s">
        <v>357</v>
      </c>
      <c r="N1959" s="103" t="s">
        <v>131</v>
      </c>
      <c r="O1959" s="26">
        <v>12.1</v>
      </c>
      <c r="P1959" s="26" t="s">
        <v>293</v>
      </c>
    </row>
    <row r="1960" spans="1:16" x14ac:dyDescent="0.3">
      <c r="A1960" s="24">
        <v>64</v>
      </c>
      <c r="B1960" s="102">
        <v>46129</v>
      </c>
      <c r="C1960" s="25" t="s">
        <v>356</v>
      </c>
      <c r="D1960" s="103" t="s">
        <v>342</v>
      </c>
      <c r="E1960" s="26">
        <v>353</v>
      </c>
      <c r="F1960" s="26" t="s">
        <v>293</v>
      </c>
      <c r="K1960" s="24">
        <v>64</v>
      </c>
      <c r="L1960" s="102">
        <v>46129</v>
      </c>
      <c r="M1960" s="25" t="s">
        <v>357</v>
      </c>
      <c r="N1960" s="103" t="s">
        <v>342</v>
      </c>
      <c r="O1960" s="26">
        <v>216</v>
      </c>
      <c r="P1960" s="26" t="s">
        <v>293</v>
      </c>
    </row>
    <row r="1961" spans="1:16" x14ac:dyDescent="0.3">
      <c r="A1961" s="24">
        <v>64</v>
      </c>
      <c r="B1961" s="102">
        <v>46129</v>
      </c>
      <c r="C1961" s="25" t="s">
        <v>356</v>
      </c>
      <c r="D1961" s="103" t="s">
        <v>119</v>
      </c>
      <c r="E1961" s="26">
        <v>237</v>
      </c>
      <c r="F1961" s="26" t="s">
        <v>293</v>
      </c>
      <c r="K1961" s="24">
        <v>64</v>
      </c>
      <c r="L1961" s="102">
        <v>46129</v>
      </c>
      <c r="M1961" s="25" t="s">
        <v>357</v>
      </c>
      <c r="N1961" s="103" t="s">
        <v>119</v>
      </c>
      <c r="O1961" s="26">
        <v>90</v>
      </c>
      <c r="P1961" s="26" t="s">
        <v>293</v>
      </c>
    </row>
    <row r="1962" spans="1:16" x14ac:dyDescent="0.3">
      <c r="A1962" s="24">
        <v>64</v>
      </c>
      <c r="B1962" s="102">
        <v>46129</v>
      </c>
      <c r="C1962" s="25" t="s">
        <v>356</v>
      </c>
      <c r="D1962" s="103" t="s">
        <v>120</v>
      </c>
      <c r="E1962" s="26">
        <v>77</v>
      </c>
      <c r="F1962" s="26" t="s">
        <v>293</v>
      </c>
      <c r="K1962" s="24">
        <v>64</v>
      </c>
      <c r="L1962" s="102">
        <v>46129</v>
      </c>
      <c r="M1962" s="25" t="s">
        <v>357</v>
      </c>
      <c r="N1962" s="103" t="s">
        <v>120</v>
      </c>
      <c r="O1962" s="26">
        <v>27</v>
      </c>
      <c r="P1962" s="26" t="s">
        <v>293</v>
      </c>
    </row>
    <row r="1963" spans="1:16" x14ac:dyDescent="0.3">
      <c r="A1963" s="24">
        <v>64</v>
      </c>
      <c r="B1963" s="102">
        <v>46129</v>
      </c>
      <c r="C1963" s="25" t="s">
        <v>356</v>
      </c>
      <c r="D1963" s="103" t="s">
        <v>117</v>
      </c>
      <c r="E1963" s="26">
        <v>2.61</v>
      </c>
      <c r="F1963" s="26" t="s">
        <v>293</v>
      </c>
      <c r="K1963" s="24">
        <v>64</v>
      </c>
      <c r="L1963" s="102">
        <v>46129</v>
      </c>
      <c r="M1963" s="25" t="s">
        <v>357</v>
      </c>
      <c r="N1963" s="103" t="s">
        <v>117</v>
      </c>
      <c r="O1963" s="26">
        <v>6.2</v>
      </c>
      <c r="P1963" s="26" t="s">
        <v>293</v>
      </c>
    </row>
    <row r="1964" spans="1:16" x14ac:dyDescent="0.3">
      <c r="A1964" s="24">
        <v>64</v>
      </c>
      <c r="B1964" s="102">
        <v>46129</v>
      </c>
      <c r="C1964" s="25" t="s">
        <v>356</v>
      </c>
      <c r="D1964" s="103" t="s">
        <v>344</v>
      </c>
      <c r="E1964" s="26">
        <v>232</v>
      </c>
      <c r="F1964" s="26" t="s">
        <v>293</v>
      </c>
      <c r="K1964" s="24">
        <v>64</v>
      </c>
      <c r="L1964" s="102">
        <v>46129</v>
      </c>
      <c r="M1964" s="25" t="s">
        <v>357</v>
      </c>
      <c r="N1964" s="103" t="s">
        <v>344</v>
      </c>
      <c r="O1964" s="26">
        <v>69</v>
      </c>
      <c r="P1964" s="26" t="s">
        <v>293</v>
      </c>
    </row>
    <row r="1965" spans="1:16" x14ac:dyDescent="0.3">
      <c r="A1965" s="24">
        <v>64</v>
      </c>
      <c r="B1965" s="102">
        <v>46129</v>
      </c>
      <c r="C1965" s="25" t="s">
        <v>356</v>
      </c>
      <c r="D1965" s="103" t="s">
        <v>132</v>
      </c>
      <c r="E1965" s="26">
        <v>3.54</v>
      </c>
      <c r="F1965" s="26" t="s">
        <v>293</v>
      </c>
      <c r="K1965" s="24">
        <v>64</v>
      </c>
      <c r="L1965" s="102">
        <v>46129</v>
      </c>
      <c r="M1965" s="25" t="s">
        <v>357</v>
      </c>
      <c r="N1965" s="103" t="s">
        <v>132</v>
      </c>
      <c r="O1965" s="26">
        <v>7.15</v>
      </c>
      <c r="P1965" s="26" t="s">
        <v>293</v>
      </c>
    </row>
    <row r="1966" spans="1:16" x14ac:dyDescent="0.3">
      <c r="A1966" s="24">
        <v>64</v>
      </c>
      <c r="B1966" s="102">
        <v>46129</v>
      </c>
      <c r="C1966" s="25" t="s">
        <v>356</v>
      </c>
      <c r="D1966" s="103" t="s">
        <v>111</v>
      </c>
      <c r="E1966" s="26">
        <v>89</v>
      </c>
      <c r="F1966" s="26" t="s">
        <v>293</v>
      </c>
      <c r="K1966" s="24">
        <v>64</v>
      </c>
      <c r="L1966" s="102">
        <v>46129</v>
      </c>
      <c r="M1966" s="25" t="s">
        <v>357</v>
      </c>
      <c r="N1966" s="103" t="s">
        <v>111</v>
      </c>
      <c r="O1966" s="26">
        <v>282</v>
      </c>
      <c r="P1966" s="26" t="s">
        <v>293</v>
      </c>
    </row>
    <row r="1967" spans="1:16" x14ac:dyDescent="0.3">
      <c r="A1967" s="24">
        <v>64</v>
      </c>
      <c r="B1967" s="102">
        <v>46129</v>
      </c>
      <c r="C1967" s="25" t="s">
        <v>356</v>
      </c>
      <c r="D1967" s="103" t="s">
        <v>345</v>
      </c>
      <c r="E1967" s="26">
        <v>5.0999999999999996</v>
      </c>
      <c r="F1967" s="26" t="s">
        <v>293</v>
      </c>
      <c r="K1967" s="24">
        <v>64</v>
      </c>
      <c r="L1967" s="102">
        <v>46129</v>
      </c>
      <c r="M1967" s="25" t="s">
        <v>357</v>
      </c>
      <c r="N1967" s="103" t="s">
        <v>345</v>
      </c>
      <c r="O1967" s="26">
        <v>9.9499999999999993</v>
      </c>
      <c r="P1967" s="26" t="s">
        <v>293</v>
      </c>
    </row>
    <row r="1968" spans="1:16" x14ac:dyDescent="0.3">
      <c r="A1968" s="24">
        <v>64</v>
      </c>
      <c r="B1968" s="102">
        <v>46129</v>
      </c>
      <c r="C1968" s="25" t="s">
        <v>356</v>
      </c>
      <c r="D1968" s="103" t="s">
        <v>347</v>
      </c>
      <c r="E1968" s="26">
        <v>2.2799999999999998</v>
      </c>
      <c r="F1968" s="26" t="s">
        <v>293</v>
      </c>
      <c r="K1968" s="24">
        <v>64</v>
      </c>
      <c r="L1968" s="102">
        <v>46129</v>
      </c>
      <c r="M1968" s="25" t="s">
        <v>357</v>
      </c>
      <c r="N1968" s="103" t="s">
        <v>347</v>
      </c>
      <c r="O1968" s="26">
        <v>4.7699999999999996</v>
      </c>
      <c r="P1968" s="26" t="s">
        <v>293</v>
      </c>
    </row>
    <row r="1969" spans="1:16" x14ac:dyDescent="0.3">
      <c r="A1969" s="24">
        <v>64</v>
      </c>
      <c r="B1969" s="102">
        <v>46129</v>
      </c>
      <c r="C1969" s="25" t="s">
        <v>356</v>
      </c>
      <c r="D1969" s="103" t="s">
        <v>128</v>
      </c>
      <c r="E1969" s="26">
        <v>6.8</v>
      </c>
      <c r="F1969" s="26" t="s">
        <v>293</v>
      </c>
      <c r="K1969" s="24">
        <v>64</v>
      </c>
      <c r="L1969" s="102">
        <v>46129</v>
      </c>
      <c r="M1969" s="25" t="s">
        <v>357</v>
      </c>
      <c r="N1969" s="103" t="s">
        <v>128</v>
      </c>
      <c r="O1969" s="26">
        <v>4.4000000000000004</v>
      </c>
      <c r="P1969" s="26" t="s">
        <v>293</v>
      </c>
    </row>
    <row r="1970" spans="1:16" x14ac:dyDescent="0.3">
      <c r="A1970" s="24">
        <v>64</v>
      </c>
      <c r="B1970" s="102">
        <v>46129</v>
      </c>
      <c r="C1970" s="25" t="s">
        <v>356</v>
      </c>
      <c r="D1970" s="103" t="s">
        <v>121</v>
      </c>
      <c r="E1970" s="26">
        <v>160</v>
      </c>
      <c r="F1970" s="26" t="s">
        <v>293</v>
      </c>
      <c r="K1970" s="24">
        <v>64</v>
      </c>
      <c r="L1970" s="102">
        <v>46129</v>
      </c>
      <c r="M1970" s="25" t="s">
        <v>357</v>
      </c>
      <c r="N1970" s="103" t="s">
        <v>121</v>
      </c>
      <c r="O1970" s="26">
        <v>80</v>
      </c>
      <c r="P1970" s="26" t="s">
        <v>293</v>
      </c>
    </row>
    <row r="1971" spans="1:16" x14ac:dyDescent="0.3">
      <c r="A1971" s="24">
        <v>64</v>
      </c>
      <c r="B1971" s="102">
        <v>46129</v>
      </c>
      <c r="C1971" s="25" t="s">
        <v>356</v>
      </c>
      <c r="D1971" s="103" t="s">
        <v>115</v>
      </c>
      <c r="E1971" s="26">
        <v>34</v>
      </c>
      <c r="F1971" s="26" t="s">
        <v>293</v>
      </c>
      <c r="K1971" s="24">
        <v>64</v>
      </c>
      <c r="L1971" s="102">
        <v>46129</v>
      </c>
      <c r="M1971" s="25" t="s">
        <v>357</v>
      </c>
      <c r="N1971" s="103" t="s">
        <v>115</v>
      </c>
      <c r="O1971" s="26">
        <v>94</v>
      </c>
      <c r="P1971" s="26" t="s">
        <v>293</v>
      </c>
    </row>
    <row r="1972" spans="1:16" x14ac:dyDescent="0.3">
      <c r="A1972" s="24">
        <v>64</v>
      </c>
      <c r="B1972" s="102">
        <v>46129</v>
      </c>
      <c r="C1972" s="25" t="s">
        <v>356</v>
      </c>
      <c r="D1972" s="103" t="s">
        <v>137</v>
      </c>
      <c r="E1972" s="26">
        <v>75</v>
      </c>
      <c r="F1972" s="26" t="s">
        <v>293</v>
      </c>
      <c r="K1972" s="24">
        <v>64</v>
      </c>
      <c r="L1972" s="102">
        <v>46129</v>
      </c>
      <c r="M1972" s="25" t="s">
        <v>357</v>
      </c>
      <c r="N1972" s="103" t="s">
        <v>137</v>
      </c>
      <c r="O1972" s="26">
        <v>486</v>
      </c>
      <c r="P1972" s="26" t="s">
        <v>293</v>
      </c>
    </row>
    <row r="1973" spans="1:16" x14ac:dyDescent="0.3">
      <c r="A1973" s="24">
        <v>64</v>
      </c>
      <c r="B1973" s="102">
        <v>46129</v>
      </c>
      <c r="C1973" s="25" t="s">
        <v>356</v>
      </c>
      <c r="D1973" s="103" t="s">
        <v>348</v>
      </c>
      <c r="E1973" s="26">
        <v>139</v>
      </c>
      <c r="F1973" s="26" t="s">
        <v>293</v>
      </c>
      <c r="K1973" s="24">
        <v>64</v>
      </c>
      <c r="L1973" s="102">
        <v>46129</v>
      </c>
      <c r="M1973" s="25" t="s">
        <v>357</v>
      </c>
      <c r="N1973" s="103" t="s">
        <v>348</v>
      </c>
      <c r="O1973" s="26">
        <v>435</v>
      </c>
      <c r="P1973" s="26" t="s">
        <v>293</v>
      </c>
    </row>
    <row r="1974" spans="1:16" x14ac:dyDescent="0.3">
      <c r="A1974" s="24">
        <v>64</v>
      </c>
      <c r="B1974" s="102">
        <v>46129</v>
      </c>
      <c r="C1974" s="25" t="s">
        <v>356</v>
      </c>
      <c r="D1974" s="103" t="s">
        <v>125</v>
      </c>
      <c r="E1974" s="26">
        <v>104</v>
      </c>
      <c r="F1974" s="26" t="s">
        <v>293</v>
      </c>
      <c r="K1974" s="24">
        <v>64</v>
      </c>
      <c r="L1974" s="102">
        <v>46129</v>
      </c>
      <c r="M1974" s="25" t="s">
        <v>357</v>
      </c>
      <c r="N1974" s="103" t="s">
        <v>125</v>
      </c>
      <c r="O1974" s="26">
        <v>428</v>
      </c>
      <c r="P1974" s="26" t="s">
        <v>293</v>
      </c>
    </row>
    <row r="1975" spans="1:16" x14ac:dyDescent="0.3">
      <c r="A1975" s="24">
        <v>64</v>
      </c>
      <c r="B1975" s="102">
        <v>46129</v>
      </c>
      <c r="C1975" s="25" t="s">
        <v>356</v>
      </c>
      <c r="D1975" s="103" t="s">
        <v>126</v>
      </c>
      <c r="E1975" s="26">
        <v>80</v>
      </c>
      <c r="F1975" s="26" t="s">
        <v>293</v>
      </c>
      <c r="K1975" s="24">
        <v>64</v>
      </c>
      <c r="L1975" s="102">
        <v>46129</v>
      </c>
      <c r="M1975" s="25" t="s">
        <v>357</v>
      </c>
      <c r="N1975" s="103" t="s">
        <v>126</v>
      </c>
      <c r="O1975" s="26">
        <v>156</v>
      </c>
      <c r="P1975" s="26" t="s">
        <v>293</v>
      </c>
    </row>
    <row r="1976" spans="1:16" x14ac:dyDescent="0.3">
      <c r="A1976" s="24">
        <v>64</v>
      </c>
      <c r="B1976" s="102">
        <v>46129</v>
      </c>
      <c r="C1976" s="25" t="s">
        <v>356</v>
      </c>
      <c r="D1976" s="103" t="s">
        <v>349</v>
      </c>
      <c r="E1976" s="26">
        <v>153</v>
      </c>
      <c r="F1976" s="26" t="s">
        <v>293</v>
      </c>
      <c r="K1976" s="24">
        <v>64</v>
      </c>
      <c r="L1976" s="102">
        <v>46129</v>
      </c>
      <c r="M1976" s="25" t="s">
        <v>357</v>
      </c>
      <c r="N1976" s="103" t="s">
        <v>349</v>
      </c>
      <c r="O1976" s="26">
        <v>362</v>
      </c>
      <c r="P1976" s="26" t="s">
        <v>293</v>
      </c>
    </row>
    <row r="1977" spans="1:16" x14ac:dyDescent="0.3">
      <c r="A1977" s="24">
        <v>64</v>
      </c>
      <c r="B1977" s="102">
        <v>46129</v>
      </c>
      <c r="C1977" s="25" t="s">
        <v>356</v>
      </c>
      <c r="D1977" s="103" t="s">
        <v>350</v>
      </c>
      <c r="E1977" s="26">
        <v>57</v>
      </c>
      <c r="F1977" s="26" t="s">
        <v>293</v>
      </c>
      <c r="K1977" s="24">
        <v>64</v>
      </c>
      <c r="L1977" s="102">
        <v>46129</v>
      </c>
      <c r="M1977" s="25" t="s">
        <v>357</v>
      </c>
      <c r="N1977" s="103" t="s">
        <v>350</v>
      </c>
      <c r="O1977" s="26">
        <v>83</v>
      </c>
      <c r="P1977" s="26" t="s">
        <v>293</v>
      </c>
    </row>
    <row r="1978" spans="1:16" x14ac:dyDescent="0.3">
      <c r="A1978" s="24">
        <v>64</v>
      </c>
      <c r="B1978" s="102">
        <v>46129</v>
      </c>
      <c r="C1978" s="25" t="s">
        <v>356</v>
      </c>
      <c r="D1978" s="103" t="s">
        <v>122</v>
      </c>
      <c r="E1978" s="26">
        <v>46</v>
      </c>
      <c r="F1978" s="26" t="s">
        <v>293</v>
      </c>
      <c r="K1978" s="24">
        <v>64</v>
      </c>
      <c r="L1978" s="102">
        <v>46129</v>
      </c>
      <c r="M1978" s="25" t="s">
        <v>357</v>
      </c>
      <c r="N1978" s="103" t="s">
        <v>122</v>
      </c>
      <c r="O1978" s="26">
        <v>214</v>
      </c>
      <c r="P1978" s="26" t="s">
        <v>293</v>
      </c>
    </row>
    <row r="1979" spans="1:16" x14ac:dyDescent="0.3">
      <c r="A1979" s="24">
        <v>64</v>
      </c>
      <c r="B1979" s="102">
        <v>46129</v>
      </c>
      <c r="C1979" s="25" t="s">
        <v>356</v>
      </c>
      <c r="D1979" s="103" t="s">
        <v>124</v>
      </c>
      <c r="E1979" s="26">
        <v>29</v>
      </c>
      <c r="F1979" s="26" t="s">
        <v>293</v>
      </c>
      <c r="K1979" s="24">
        <v>64</v>
      </c>
      <c r="L1979" s="102">
        <v>46129</v>
      </c>
      <c r="M1979" s="25" t="s">
        <v>357</v>
      </c>
      <c r="N1979" s="103" t="s">
        <v>124</v>
      </c>
      <c r="O1979" s="26">
        <v>104</v>
      </c>
      <c r="P1979" s="26" t="s">
        <v>293</v>
      </c>
    </row>
    <row r="1980" spans="1:16" x14ac:dyDescent="0.3">
      <c r="A1980" s="24">
        <v>64</v>
      </c>
      <c r="B1980" s="102">
        <v>46129</v>
      </c>
      <c r="C1980" s="25" t="s">
        <v>356</v>
      </c>
      <c r="D1980" s="103" t="s">
        <v>351</v>
      </c>
      <c r="E1980" s="26">
        <v>0.93</v>
      </c>
      <c r="F1980" s="26" t="s">
        <v>293</v>
      </c>
      <c r="K1980" s="24">
        <v>64</v>
      </c>
      <c r="L1980" s="102">
        <v>46129</v>
      </c>
      <c r="M1980" s="25" t="s">
        <v>357</v>
      </c>
      <c r="N1980" s="103" t="s">
        <v>351</v>
      </c>
      <c r="O1980" s="26">
        <v>3.56</v>
      </c>
      <c r="P1980" s="26" t="s">
        <v>293</v>
      </c>
    </row>
    <row r="1981" spans="1:16" x14ac:dyDescent="0.3">
      <c r="A1981" s="24">
        <v>64</v>
      </c>
      <c r="B1981" s="102">
        <v>46129</v>
      </c>
      <c r="C1981" s="25" t="s">
        <v>356</v>
      </c>
      <c r="D1981" s="103" t="s">
        <v>353</v>
      </c>
      <c r="E1981" s="26">
        <v>35.5</v>
      </c>
      <c r="F1981" s="26" t="s">
        <v>293</v>
      </c>
      <c r="K1981" s="24">
        <v>64</v>
      </c>
      <c r="L1981" s="102">
        <v>46129</v>
      </c>
      <c r="M1981" s="25" t="s">
        <v>357</v>
      </c>
      <c r="N1981" s="103" t="s">
        <v>353</v>
      </c>
      <c r="O1981" s="26">
        <v>19.8</v>
      </c>
      <c r="P1981" s="26" t="s">
        <v>293</v>
      </c>
    </row>
    <row r="1982" spans="1:16" x14ac:dyDescent="0.3">
      <c r="A1982" s="24">
        <v>64</v>
      </c>
      <c r="B1982" s="102">
        <v>46129</v>
      </c>
      <c r="C1982" s="25" t="s">
        <v>356</v>
      </c>
      <c r="D1982" s="103" t="s">
        <v>133</v>
      </c>
      <c r="E1982" s="26">
        <v>145</v>
      </c>
      <c r="F1982" s="26" t="s">
        <v>293</v>
      </c>
      <c r="K1982" s="24">
        <v>64</v>
      </c>
      <c r="L1982" s="102">
        <v>46129</v>
      </c>
      <c r="M1982" s="25" t="s">
        <v>357</v>
      </c>
      <c r="N1982" s="103" t="s">
        <v>133</v>
      </c>
      <c r="O1982" s="26">
        <v>127</v>
      </c>
      <c r="P1982" s="26" t="s">
        <v>293</v>
      </c>
    </row>
    <row r="1983" spans="1:16" x14ac:dyDescent="0.3">
      <c r="A1983" s="24">
        <v>64</v>
      </c>
      <c r="B1983" s="102">
        <v>46129</v>
      </c>
      <c r="C1983" s="25" t="s">
        <v>356</v>
      </c>
      <c r="D1983" s="103" t="s">
        <v>135</v>
      </c>
      <c r="E1983" s="26">
        <v>3.7</v>
      </c>
      <c r="F1983" s="26" t="s">
        <v>293</v>
      </c>
      <c r="K1983" s="24">
        <v>64</v>
      </c>
      <c r="L1983" s="102">
        <v>46129</v>
      </c>
      <c r="M1983" s="25" t="s">
        <v>357</v>
      </c>
      <c r="N1983" s="103" t="s">
        <v>135</v>
      </c>
      <c r="O1983" s="26">
        <v>6.4</v>
      </c>
      <c r="P1983" s="26" t="s">
        <v>293</v>
      </c>
    </row>
    <row r="1984" spans="1:16" x14ac:dyDescent="0.3">
      <c r="A1984" s="24">
        <v>64</v>
      </c>
      <c r="B1984" s="102">
        <v>46129</v>
      </c>
      <c r="C1984" s="25" t="s">
        <v>356</v>
      </c>
      <c r="D1984" s="103" t="s">
        <v>136</v>
      </c>
      <c r="E1984" s="26">
        <v>116</v>
      </c>
      <c r="F1984" s="26" t="s">
        <v>293</v>
      </c>
      <c r="K1984" s="24">
        <v>64</v>
      </c>
      <c r="L1984" s="102">
        <v>46129</v>
      </c>
      <c r="M1984" s="25" t="s">
        <v>357</v>
      </c>
      <c r="N1984" s="103" t="s">
        <v>136</v>
      </c>
      <c r="O1984" s="26">
        <v>94</v>
      </c>
      <c r="P1984" s="26" t="s">
        <v>293</v>
      </c>
    </row>
    <row r="1985" spans="1:16" x14ac:dyDescent="0.3">
      <c r="A1985" s="24">
        <v>65</v>
      </c>
      <c r="B1985" s="102">
        <v>46134</v>
      </c>
      <c r="C1985" s="25" t="s">
        <v>356</v>
      </c>
      <c r="D1985" s="103" t="s">
        <v>339</v>
      </c>
      <c r="E1985" s="26">
        <v>4.6500000000000004</v>
      </c>
      <c r="F1985" s="26" t="s">
        <v>293</v>
      </c>
      <c r="K1985" s="24">
        <v>65</v>
      </c>
      <c r="L1985" s="102">
        <v>46134</v>
      </c>
      <c r="M1985" s="25" t="s">
        <v>357</v>
      </c>
      <c r="N1985" s="103" t="s">
        <v>339</v>
      </c>
      <c r="O1985" s="26">
        <v>1.18</v>
      </c>
      <c r="P1985" s="26" t="s">
        <v>293</v>
      </c>
    </row>
    <row r="1986" spans="1:16" x14ac:dyDescent="0.3">
      <c r="A1986" s="24">
        <v>65</v>
      </c>
      <c r="B1986" s="102">
        <v>46134</v>
      </c>
      <c r="C1986" s="25" t="s">
        <v>356</v>
      </c>
      <c r="D1986" s="103" t="s">
        <v>118</v>
      </c>
      <c r="E1986" s="26">
        <v>4.5</v>
      </c>
      <c r="F1986" s="26" t="s">
        <v>293</v>
      </c>
      <c r="K1986" s="24">
        <v>65</v>
      </c>
      <c r="L1986" s="102">
        <v>46134</v>
      </c>
      <c r="M1986" s="25" t="s">
        <v>357</v>
      </c>
      <c r="N1986" s="103" t="s">
        <v>118</v>
      </c>
      <c r="O1986" s="26">
        <v>9.5</v>
      </c>
      <c r="P1986" s="26" t="s">
        <v>293</v>
      </c>
    </row>
    <row r="1987" spans="1:16" x14ac:dyDescent="0.3">
      <c r="A1987" s="24">
        <v>65</v>
      </c>
      <c r="B1987" s="102">
        <v>46134</v>
      </c>
      <c r="C1987" s="25" t="s">
        <v>356</v>
      </c>
      <c r="D1987" s="103" t="s">
        <v>130</v>
      </c>
      <c r="E1987" s="26">
        <v>3.79</v>
      </c>
      <c r="F1987" s="26" t="s">
        <v>293</v>
      </c>
      <c r="K1987" s="24">
        <v>65</v>
      </c>
      <c r="L1987" s="102">
        <v>46134</v>
      </c>
      <c r="M1987" s="25" t="s">
        <v>357</v>
      </c>
      <c r="N1987" s="103" t="s">
        <v>130</v>
      </c>
      <c r="O1987" s="26">
        <v>2.4300000000000002</v>
      </c>
      <c r="P1987" s="26" t="s">
        <v>293</v>
      </c>
    </row>
    <row r="1988" spans="1:16" x14ac:dyDescent="0.3">
      <c r="A1988" s="24">
        <v>65</v>
      </c>
      <c r="B1988" s="102">
        <v>46134</v>
      </c>
      <c r="C1988" s="25" t="s">
        <v>356</v>
      </c>
      <c r="D1988" s="103" t="s">
        <v>341</v>
      </c>
      <c r="E1988" s="26">
        <v>0.31</v>
      </c>
      <c r="F1988" s="26" t="s">
        <v>293</v>
      </c>
      <c r="K1988" s="24">
        <v>65</v>
      </c>
      <c r="L1988" s="102">
        <v>46134</v>
      </c>
      <c r="M1988" s="25" t="s">
        <v>357</v>
      </c>
      <c r="N1988" s="103" t="s">
        <v>341</v>
      </c>
      <c r="O1988" s="26">
        <v>1.1399999999999999</v>
      </c>
      <c r="P1988" s="26" t="s">
        <v>293</v>
      </c>
    </row>
    <row r="1989" spans="1:16" x14ac:dyDescent="0.3">
      <c r="A1989" s="24">
        <v>65</v>
      </c>
      <c r="B1989" s="102">
        <v>46134</v>
      </c>
      <c r="C1989" s="25" t="s">
        <v>356</v>
      </c>
      <c r="D1989" s="103" t="s">
        <v>127</v>
      </c>
      <c r="E1989" s="26">
        <v>1.21</v>
      </c>
      <c r="F1989" s="26" t="s">
        <v>293</v>
      </c>
      <c r="K1989" s="24">
        <v>65</v>
      </c>
      <c r="L1989" s="102">
        <v>46134</v>
      </c>
      <c r="M1989" s="25" t="s">
        <v>357</v>
      </c>
      <c r="N1989" s="103" t="s">
        <v>127</v>
      </c>
      <c r="O1989" s="26">
        <v>4.5999999999999996</v>
      </c>
      <c r="P1989" s="26" t="s">
        <v>293</v>
      </c>
    </row>
    <row r="1990" spans="1:16" x14ac:dyDescent="0.3">
      <c r="A1990" s="24">
        <v>65</v>
      </c>
      <c r="B1990" s="102">
        <v>46134</v>
      </c>
      <c r="C1990" s="25" t="s">
        <v>356</v>
      </c>
      <c r="D1990" s="103" t="s">
        <v>131</v>
      </c>
      <c r="E1990" s="26">
        <v>8.9</v>
      </c>
      <c r="F1990" s="26" t="s">
        <v>293</v>
      </c>
      <c r="K1990" s="24">
        <v>65</v>
      </c>
      <c r="L1990" s="102">
        <v>46134</v>
      </c>
      <c r="M1990" s="25" t="s">
        <v>357</v>
      </c>
      <c r="N1990" s="103" t="s">
        <v>131</v>
      </c>
      <c r="O1990" s="26">
        <v>12.1</v>
      </c>
      <c r="P1990" s="26" t="s">
        <v>293</v>
      </c>
    </row>
    <row r="1991" spans="1:16" x14ac:dyDescent="0.3">
      <c r="A1991" s="24">
        <v>65</v>
      </c>
      <c r="B1991" s="102">
        <v>46134</v>
      </c>
      <c r="C1991" s="25" t="s">
        <v>356</v>
      </c>
      <c r="D1991" s="103" t="s">
        <v>342</v>
      </c>
      <c r="E1991" s="26">
        <v>361</v>
      </c>
      <c r="F1991" s="26" t="s">
        <v>293</v>
      </c>
      <c r="K1991" s="24">
        <v>65</v>
      </c>
      <c r="L1991" s="102">
        <v>46134</v>
      </c>
      <c r="M1991" s="25" t="s">
        <v>357</v>
      </c>
      <c r="N1991" s="103" t="s">
        <v>342</v>
      </c>
      <c r="O1991" s="26">
        <v>215</v>
      </c>
      <c r="P1991" s="26" t="s">
        <v>293</v>
      </c>
    </row>
    <row r="1992" spans="1:16" x14ac:dyDescent="0.3">
      <c r="A1992" s="24">
        <v>65</v>
      </c>
      <c r="B1992" s="102">
        <v>46134</v>
      </c>
      <c r="C1992" s="25" t="s">
        <v>356</v>
      </c>
      <c r="D1992" s="103" t="s">
        <v>119</v>
      </c>
      <c r="E1992" s="26">
        <v>240</v>
      </c>
      <c r="F1992" s="26" t="s">
        <v>293</v>
      </c>
      <c r="K1992" s="24">
        <v>65</v>
      </c>
      <c r="L1992" s="102">
        <v>46134</v>
      </c>
      <c r="M1992" s="25" t="s">
        <v>357</v>
      </c>
      <c r="N1992" s="103" t="s">
        <v>119</v>
      </c>
      <c r="O1992" s="26">
        <v>90</v>
      </c>
      <c r="P1992" s="26" t="s">
        <v>293</v>
      </c>
    </row>
    <row r="1993" spans="1:16" x14ac:dyDescent="0.3">
      <c r="A1993" s="24">
        <v>65</v>
      </c>
      <c r="B1993" s="102">
        <v>46134</v>
      </c>
      <c r="C1993" s="25" t="s">
        <v>356</v>
      </c>
      <c r="D1993" s="103" t="s">
        <v>120</v>
      </c>
      <c r="E1993" s="26">
        <v>77</v>
      </c>
      <c r="F1993" s="26" t="s">
        <v>293</v>
      </c>
      <c r="K1993" s="24">
        <v>65</v>
      </c>
      <c r="L1993" s="102">
        <v>46134</v>
      </c>
      <c r="M1993" s="25" t="s">
        <v>357</v>
      </c>
      <c r="N1993" s="103" t="s">
        <v>120</v>
      </c>
      <c r="O1993" s="26">
        <v>27</v>
      </c>
      <c r="P1993" s="26" t="s">
        <v>293</v>
      </c>
    </row>
    <row r="1994" spans="1:16" x14ac:dyDescent="0.3">
      <c r="A1994" s="24">
        <v>65</v>
      </c>
      <c r="B1994" s="102">
        <v>46134</v>
      </c>
      <c r="C1994" s="25" t="s">
        <v>356</v>
      </c>
      <c r="D1994" s="103" t="s">
        <v>117</v>
      </c>
      <c r="E1994" s="26">
        <v>2.86</v>
      </c>
      <c r="F1994" s="26" t="s">
        <v>293</v>
      </c>
      <c r="K1994" s="24">
        <v>65</v>
      </c>
      <c r="L1994" s="102">
        <v>46134</v>
      </c>
      <c r="M1994" s="25" t="s">
        <v>357</v>
      </c>
      <c r="N1994" s="103" t="s">
        <v>117</v>
      </c>
      <c r="O1994" s="26">
        <v>6.4</v>
      </c>
      <c r="P1994" s="26" t="s">
        <v>293</v>
      </c>
    </row>
    <row r="1995" spans="1:16" x14ac:dyDescent="0.3">
      <c r="A1995" s="24">
        <v>65</v>
      </c>
      <c r="B1995" s="102">
        <v>46134</v>
      </c>
      <c r="C1995" s="25" t="s">
        <v>356</v>
      </c>
      <c r="D1995" s="103" t="s">
        <v>344</v>
      </c>
      <c r="E1995" s="26">
        <v>230</v>
      </c>
      <c r="F1995" s="26" t="s">
        <v>293</v>
      </c>
      <c r="K1995" s="24">
        <v>65</v>
      </c>
      <c r="L1995" s="102">
        <v>46134</v>
      </c>
      <c r="M1995" s="25" t="s">
        <v>357</v>
      </c>
      <c r="N1995" s="103" t="s">
        <v>344</v>
      </c>
      <c r="O1995" s="26">
        <v>70</v>
      </c>
      <c r="P1995" s="26" t="s">
        <v>293</v>
      </c>
    </row>
    <row r="1996" spans="1:16" x14ac:dyDescent="0.3">
      <c r="A1996" s="24">
        <v>65</v>
      </c>
      <c r="B1996" s="102">
        <v>46134</v>
      </c>
      <c r="C1996" s="25" t="s">
        <v>356</v>
      </c>
      <c r="D1996" s="103" t="s">
        <v>132</v>
      </c>
      <c r="E1996" s="26">
        <v>3.5</v>
      </c>
      <c r="F1996" s="26" t="s">
        <v>293</v>
      </c>
      <c r="K1996" s="24">
        <v>65</v>
      </c>
      <c r="L1996" s="102">
        <v>46134</v>
      </c>
      <c r="M1996" s="25" t="s">
        <v>357</v>
      </c>
      <c r="N1996" s="103" t="s">
        <v>132</v>
      </c>
      <c r="O1996" s="26">
        <v>6.97</v>
      </c>
      <c r="P1996" s="26" t="s">
        <v>293</v>
      </c>
    </row>
    <row r="1997" spans="1:16" x14ac:dyDescent="0.3">
      <c r="A1997" s="24">
        <v>65</v>
      </c>
      <c r="B1997" s="102">
        <v>46134</v>
      </c>
      <c r="C1997" s="25" t="s">
        <v>356</v>
      </c>
      <c r="D1997" s="103" t="s">
        <v>111</v>
      </c>
      <c r="E1997" s="26">
        <v>89</v>
      </c>
      <c r="F1997" s="26" t="s">
        <v>293</v>
      </c>
      <c r="K1997" s="24">
        <v>65</v>
      </c>
      <c r="L1997" s="102">
        <v>46134</v>
      </c>
      <c r="M1997" s="25" t="s">
        <v>357</v>
      </c>
      <c r="N1997" s="103" t="s">
        <v>111</v>
      </c>
      <c r="O1997" s="26">
        <v>281</v>
      </c>
      <c r="P1997" s="26" t="s">
        <v>293</v>
      </c>
    </row>
    <row r="1998" spans="1:16" x14ac:dyDescent="0.3">
      <c r="A1998" s="24">
        <v>65</v>
      </c>
      <c r="B1998" s="102">
        <v>46134</v>
      </c>
      <c r="C1998" s="25" t="s">
        <v>356</v>
      </c>
      <c r="D1998" s="103" t="s">
        <v>345</v>
      </c>
      <c r="E1998" s="26">
        <v>5.3</v>
      </c>
      <c r="F1998" s="26" t="s">
        <v>293</v>
      </c>
      <c r="K1998" s="24">
        <v>65</v>
      </c>
      <c r="L1998" s="102">
        <v>46134</v>
      </c>
      <c r="M1998" s="25" t="s">
        <v>357</v>
      </c>
      <c r="N1998" s="103" t="s">
        <v>345</v>
      </c>
      <c r="O1998" s="26">
        <v>10</v>
      </c>
      <c r="P1998" s="26" t="s">
        <v>293</v>
      </c>
    </row>
    <row r="1999" spans="1:16" x14ac:dyDescent="0.3">
      <c r="A1999" s="24">
        <v>65</v>
      </c>
      <c r="B1999" s="102">
        <v>46134</v>
      </c>
      <c r="C1999" s="25" t="s">
        <v>356</v>
      </c>
      <c r="D1999" s="103" t="s">
        <v>347</v>
      </c>
      <c r="E1999" s="26">
        <v>2.29</v>
      </c>
      <c r="F1999" s="26" t="s">
        <v>293</v>
      </c>
      <c r="K1999" s="24">
        <v>65</v>
      </c>
      <c r="L1999" s="102">
        <v>46134</v>
      </c>
      <c r="M1999" s="25" t="s">
        <v>357</v>
      </c>
      <c r="N1999" s="103" t="s">
        <v>347</v>
      </c>
      <c r="O1999" s="26">
        <v>4.8600000000000003</v>
      </c>
      <c r="P1999" s="26" t="s">
        <v>293</v>
      </c>
    </row>
    <row r="2000" spans="1:16" x14ac:dyDescent="0.3">
      <c r="A2000" s="24">
        <v>65</v>
      </c>
      <c r="B2000" s="102">
        <v>46134</v>
      </c>
      <c r="C2000" s="25" t="s">
        <v>356</v>
      </c>
      <c r="D2000" s="103" t="s">
        <v>128</v>
      </c>
      <c r="E2000" s="26">
        <v>6.79</v>
      </c>
      <c r="F2000" s="26" t="s">
        <v>293</v>
      </c>
      <c r="K2000" s="24">
        <v>65</v>
      </c>
      <c r="L2000" s="102">
        <v>46134</v>
      </c>
      <c r="M2000" s="25" t="s">
        <v>357</v>
      </c>
      <c r="N2000" s="103" t="s">
        <v>128</v>
      </c>
      <c r="O2000" s="26">
        <v>4.4000000000000004</v>
      </c>
      <c r="P2000" s="26" t="s">
        <v>293</v>
      </c>
    </row>
    <row r="2001" spans="1:16" x14ac:dyDescent="0.3">
      <c r="A2001" s="24">
        <v>65</v>
      </c>
      <c r="B2001" s="102">
        <v>46134</v>
      </c>
      <c r="C2001" s="25" t="s">
        <v>356</v>
      </c>
      <c r="D2001" s="103" t="s">
        <v>121</v>
      </c>
      <c r="E2001" s="26">
        <v>160</v>
      </c>
      <c r="F2001" s="26" t="s">
        <v>293</v>
      </c>
      <c r="K2001" s="24">
        <v>65</v>
      </c>
      <c r="L2001" s="102">
        <v>46134</v>
      </c>
      <c r="M2001" s="25" t="s">
        <v>357</v>
      </c>
      <c r="N2001" s="103" t="s">
        <v>121</v>
      </c>
      <c r="O2001" s="26">
        <v>78</v>
      </c>
      <c r="P2001" s="26" t="s">
        <v>293</v>
      </c>
    </row>
    <row r="2002" spans="1:16" x14ac:dyDescent="0.3">
      <c r="A2002" s="24">
        <v>65</v>
      </c>
      <c r="B2002" s="102">
        <v>46134</v>
      </c>
      <c r="C2002" s="25" t="s">
        <v>356</v>
      </c>
      <c r="D2002" s="103" t="s">
        <v>115</v>
      </c>
      <c r="E2002" s="26">
        <v>34</v>
      </c>
      <c r="F2002" s="26" t="s">
        <v>293</v>
      </c>
      <c r="K2002" s="24">
        <v>65</v>
      </c>
      <c r="L2002" s="102">
        <v>46134</v>
      </c>
      <c r="M2002" s="25" t="s">
        <v>357</v>
      </c>
      <c r="N2002" s="103" t="s">
        <v>115</v>
      </c>
      <c r="O2002" s="26">
        <v>96</v>
      </c>
      <c r="P2002" s="26" t="s">
        <v>293</v>
      </c>
    </row>
    <row r="2003" spans="1:16" x14ac:dyDescent="0.3">
      <c r="A2003" s="24">
        <v>65</v>
      </c>
      <c r="B2003" s="102">
        <v>46134</v>
      </c>
      <c r="C2003" s="25" t="s">
        <v>356</v>
      </c>
      <c r="D2003" s="103" t="s">
        <v>137</v>
      </c>
      <c r="E2003" s="26">
        <v>74</v>
      </c>
      <c r="F2003" s="26" t="s">
        <v>293</v>
      </c>
      <c r="K2003" s="24">
        <v>65</v>
      </c>
      <c r="L2003" s="102">
        <v>46134</v>
      </c>
      <c r="M2003" s="25" t="s">
        <v>357</v>
      </c>
      <c r="N2003" s="103" t="s">
        <v>137</v>
      </c>
      <c r="O2003" s="26">
        <v>486</v>
      </c>
      <c r="P2003" s="26" t="s">
        <v>293</v>
      </c>
    </row>
    <row r="2004" spans="1:16" x14ac:dyDescent="0.3">
      <c r="A2004" s="24">
        <v>65</v>
      </c>
      <c r="B2004" s="102">
        <v>46134</v>
      </c>
      <c r="C2004" s="25" t="s">
        <v>356</v>
      </c>
      <c r="D2004" s="103" t="s">
        <v>348</v>
      </c>
      <c r="E2004" s="26">
        <v>139</v>
      </c>
      <c r="F2004" s="26" t="s">
        <v>293</v>
      </c>
      <c r="K2004" s="24">
        <v>65</v>
      </c>
      <c r="L2004" s="102">
        <v>46134</v>
      </c>
      <c r="M2004" s="25" t="s">
        <v>357</v>
      </c>
      <c r="N2004" s="103" t="s">
        <v>348</v>
      </c>
      <c r="O2004" s="26">
        <v>424</v>
      </c>
      <c r="P2004" s="26" t="s">
        <v>293</v>
      </c>
    </row>
    <row r="2005" spans="1:16" x14ac:dyDescent="0.3">
      <c r="A2005" s="24">
        <v>65</v>
      </c>
      <c r="B2005" s="102">
        <v>46134</v>
      </c>
      <c r="C2005" s="25" t="s">
        <v>356</v>
      </c>
      <c r="D2005" s="103" t="s">
        <v>125</v>
      </c>
      <c r="E2005" s="26">
        <v>103</v>
      </c>
      <c r="F2005" s="26" t="s">
        <v>293</v>
      </c>
      <c r="K2005" s="24">
        <v>65</v>
      </c>
      <c r="L2005" s="102">
        <v>46134</v>
      </c>
      <c r="M2005" s="25" t="s">
        <v>357</v>
      </c>
      <c r="N2005" s="103" t="s">
        <v>125</v>
      </c>
      <c r="O2005" s="26">
        <v>419</v>
      </c>
      <c r="P2005" s="26" t="s">
        <v>293</v>
      </c>
    </row>
    <row r="2006" spans="1:16" x14ac:dyDescent="0.3">
      <c r="A2006" s="24">
        <v>65</v>
      </c>
      <c r="B2006" s="102">
        <v>46134</v>
      </c>
      <c r="C2006" s="25" t="s">
        <v>356</v>
      </c>
      <c r="D2006" s="103" t="s">
        <v>126</v>
      </c>
      <c r="E2006" s="26">
        <v>79</v>
      </c>
      <c r="F2006" s="26" t="s">
        <v>293</v>
      </c>
      <c r="K2006" s="24">
        <v>65</v>
      </c>
      <c r="L2006" s="102">
        <v>46134</v>
      </c>
      <c r="M2006" s="25" t="s">
        <v>357</v>
      </c>
      <c r="N2006" s="103" t="s">
        <v>126</v>
      </c>
      <c r="O2006" s="26">
        <v>153</v>
      </c>
      <c r="P2006" s="26" t="s">
        <v>293</v>
      </c>
    </row>
    <row r="2007" spans="1:16" x14ac:dyDescent="0.3">
      <c r="A2007" s="24">
        <v>65</v>
      </c>
      <c r="B2007" s="102">
        <v>46134</v>
      </c>
      <c r="C2007" s="25" t="s">
        <v>356</v>
      </c>
      <c r="D2007" s="103" t="s">
        <v>349</v>
      </c>
      <c r="E2007" s="26">
        <v>165</v>
      </c>
      <c r="F2007" s="26" t="s">
        <v>293</v>
      </c>
      <c r="K2007" s="24">
        <v>65</v>
      </c>
      <c r="L2007" s="102">
        <v>46134</v>
      </c>
      <c r="M2007" s="25" t="s">
        <v>357</v>
      </c>
      <c r="N2007" s="103" t="s">
        <v>349</v>
      </c>
      <c r="O2007" s="26">
        <v>380</v>
      </c>
      <c r="P2007" s="26" t="s">
        <v>293</v>
      </c>
    </row>
    <row r="2008" spans="1:16" x14ac:dyDescent="0.3">
      <c r="A2008" s="24">
        <v>65</v>
      </c>
      <c r="B2008" s="102">
        <v>46134</v>
      </c>
      <c r="C2008" s="25" t="s">
        <v>356</v>
      </c>
      <c r="D2008" s="103" t="s">
        <v>350</v>
      </c>
      <c r="E2008" s="26">
        <v>58</v>
      </c>
      <c r="F2008" s="26" t="s">
        <v>293</v>
      </c>
      <c r="K2008" s="24">
        <v>65</v>
      </c>
      <c r="L2008" s="102">
        <v>46134</v>
      </c>
      <c r="M2008" s="25" t="s">
        <v>357</v>
      </c>
      <c r="N2008" s="103" t="s">
        <v>350</v>
      </c>
      <c r="O2008" s="26">
        <v>84</v>
      </c>
      <c r="P2008" s="26" t="s">
        <v>293</v>
      </c>
    </row>
    <row r="2009" spans="1:16" x14ac:dyDescent="0.3">
      <c r="A2009" s="24">
        <v>65</v>
      </c>
      <c r="B2009" s="102">
        <v>46134</v>
      </c>
      <c r="C2009" s="25" t="s">
        <v>356</v>
      </c>
      <c r="D2009" s="103" t="s">
        <v>122</v>
      </c>
      <c r="E2009" s="26">
        <v>47</v>
      </c>
      <c r="F2009" s="26" t="s">
        <v>293</v>
      </c>
      <c r="K2009" s="24">
        <v>65</v>
      </c>
      <c r="L2009" s="102">
        <v>46134</v>
      </c>
      <c r="M2009" s="25" t="s">
        <v>357</v>
      </c>
      <c r="N2009" s="103" t="s">
        <v>122</v>
      </c>
      <c r="O2009" s="26">
        <v>216</v>
      </c>
      <c r="P2009" s="26" t="s">
        <v>293</v>
      </c>
    </row>
    <row r="2010" spans="1:16" x14ac:dyDescent="0.3">
      <c r="A2010" s="24">
        <v>65</v>
      </c>
      <c r="B2010" s="102">
        <v>46134</v>
      </c>
      <c r="C2010" s="25" t="s">
        <v>356</v>
      </c>
      <c r="D2010" s="103" t="s">
        <v>124</v>
      </c>
      <c r="E2010" s="26">
        <v>30</v>
      </c>
      <c r="F2010" s="26" t="s">
        <v>293</v>
      </c>
      <c r="K2010" s="24">
        <v>65</v>
      </c>
      <c r="L2010" s="102">
        <v>46134</v>
      </c>
      <c r="M2010" s="25" t="s">
        <v>357</v>
      </c>
      <c r="N2010" s="103" t="s">
        <v>124</v>
      </c>
      <c r="O2010" s="26">
        <v>103</v>
      </c>
      <c r="P2010" s="26" t="s">
        <v>293</v>
      </c>
    </row>
    <row r="2011" spans="1:16" x14ac:dyDescent="0.3">
      <c r="A2011" s="24">
        <v>65</v>
      </c>
      <c r="B2011" s="102">
        <v>46134</v>
      </c>
      <c r="C2011" s="25" t="s">
        <v>356</v>
      </c>
      <c r="D2011" s="103" t="s">
        <v>351</v>
      </c>
      <c r="E2011" s="26">
        <v>0.95</v>
      </c>
      <c r="F2011" s="26" t="s">
        <v>293</v>
      </c>
      <c r="K2011" s="24">
        <v>65</v>
      </c>
      <c r="L2011" s="102">
        <v>46134</v>
      </c>
      <c r="M2011" s="25" t="s">
        <v>357</v>
      </c>
      <c r="N2011" s="103" t="s">
        <v>351</v>
      </c>
      <c r="O2011" s="26">
        <v>3.54</v>
      </c>
      <c r="P2011" s="26" t="s">
        <v>293</v>
      </c>
    </row>
    <row r="2012" spans="1:16" x14ac:dyDescent="0.3">
      <c r="A2012" s="24">
        <v>65</v>
      </c>
      <c r="B2012" s="102">
        <v>46134</v>
      </c>
      <c r="C2012" s="25" t="s">
        <v>356</v>
      </c>
      <c r="D2012" s="103" t="s">
        <v>353</v>
      </c>
      <c r="E2012" s="26">
        <v>34.1</v>
      </c>
      <c r="F2012" s="26" t="s">
        <v>293</v>
      </c>
      <c r="K2012" s="24">
        <v>65</v>
      </c>
      <c r="L2012" s="102">
        <v>46134</v>
      </c>
      <c r="M2012" s="25" t="s">
        <v>357</v>
      </c>
      <c r="N2012" s="103" t="s">
        <v>353</v>
      </c>
      <c r="O2012" s="26">
        <v>16.399999999999999</v>
      </c>
      <c r="P2012" s="26" t="s">
        <v>293</v>
      </c>
    </row>
    <row r="2013" spans="1:16" x14ac:dyDescent="0.3">
      <c r="A2013" s="24">
        <v>65</v>
      </c>
      <c r="B2013" s="102">
        <v>46134</v>
      </c>
      <c r="C2013" s="25" t="s">
        <v>356</v>
      </c>
      <c r="D2013" s="103" t="s">
        <v>133</v>
      </c>
      <c r="E2013" s="26">
        <v>144</v>
      </c>
      <c r="F2013" s="26" t="s">
        <v>293</v>
      </c>
      <c r="K2013" s="24">
        <v>65</v>
      </c>
      <c r="L2013" s="102">
        <v>46134</v>
      </c>
      <c r="M2013" s="25" t="s">
        <v>357</v>
      </c>
      <c r="N2013" s="103" t="s">
        <v>133</v>
      </c>
      <c r="O2013" s="26">
        <v>125</v>
      </c>
      <c r="P2013" s="26" t="s">
        <v>293</v>
      </c>
    </row>
    <row r="2014" spans="1:16" x14ac:dyDescent="0.3">
      <c r="A2014" s="24">
        <v>65</v>
      </c>
      <c r="B2014" s="102">
        <v>46134</v>
      </c>
      <c r="C2014" s="25" t="s">
        <v>356</v>
      </c>
      <c r="D2014" s="103" t="s">
        <v>135</v>
      </c>
      <c r="E2014" s="26">
        <v>3.7</v>
      </c>
      <c r="F2014" s="26" t="s">
        <v>293</v>
      </c>
      <c r="K2014" s="24">
        <v>65</v>
      </c>
      <c r="L2014" s="102">
        <v>46134</v>
      </c>
      <c r="M2014" s="25" t="s">
        <v>357</v>
      </c>
      <c r="N2014" s="103" t="s">
        <v>135</v>
      </c>
      <c r="O2014" s="26">
        <v>6.3</v>
      </c>
      <c r="P2014" s="26" t="s">
        <v>293</v>
      </c>
    </row>
    <row r="2015" spans="1:16" x14ac:dyDescent="0.3">
      <c r="A2015" s="24">
        <v>65</v>
      </c>
      <c r="B2015" s="102">
        <v>46134</v>
      </c>
      <c r="C2015" s="25" t="s">
        <v>356</v>
      </c>
      <c r="D2015" s="103" t="s">
        <v>136</v>
      </c>
      <c r="E2015" s="26">
        <v>119</v>
      </c>
      <c r="F2015" s="26" t="s">
        <v>293</v>
      </c>
      <c r="K2015" s="24">
        <v>65</v>
      </c>
      <c r="L2015" s="102">
        <v>46134</v>
      </c>
      <c r="M2015" s="25" t="s">
        <v>357</v>
      </c>
      <c r="N2015" s="103" t="s">
        <v>136</v>
      </c>
      <c r="O2015" s="26">
        <v>94</v>
      </c>
      <c r="P2015" s="26" t="s">
        <v>293</v>
      </c>
    </row>
    <row r="2016" spans="1:16" x14ac:dyDescent="0.3">
      <c r="A2016" s="24">
        <v>66</v>
      </c>
      <c r="B2016" s="102">
        <v>46136</v>
      </c>
      <c r="C2016" s="25" t="s">
        <v>356</v>
      </c>
      <c r="D2016" s="103" t="s">
        <v>339</v>
      </c>
      <c r="E2016" s="26">
        <v>4.6500000000000004</v>
      </c>
      <c r="F2016" s="26" t="s">
        <v>293</v>
      </c>
      <c r="K2016" s="24">
        <v>66</v>
      </c>
      <c r="L2016" s="102">
        <v>46136</v>
      </c>
      <c r="M2016" s="25" t="s">
        <v>357</v>
      </c>
      <c r="N2016" s="103" t="s">
        <v>339</v>
      </c>
      <c r="O2016" s="26">
        <v>1.07</v>
      </c>
      <c r="P2016" s="26" t="s">
        <v>293</v>
      </c>
    </row>
    <row r="2017" spans="1:16" x14ac:dyDescent="0.3">
      <c r="A2017" s="24">
        <v>66</v>
      </c>
      <c r="B2017" s="102">
        <v>46136</v>
      </c>
      <c r="C2017" s="25" t="s">
        <v>356</v>
      </c>
      <c r="D2017" s="103" t="s">
        <v>118</v>
      </c>
      <c r="E2017" s="26">
        <v>4.5999999999999996</v>
      </c>
      <c r="F2017" s="26" t="s">
        <v>293</v>
      </c>
      <c r="K2017" s="24">
        <v>66</v>
      </c>
      <c r="L2017" s="102">
        <v>46136</v>
      </c>
      <c r="M2017" s="25" t="s">
        <v>357</v>
      </c>
      <c r="N2017" s="103" t="s">
        <v>118</v>
      </c>
      <c r="O2017" s="26">
        <v>9.5</v>
      </c>
      <c r="P2017" s="26" t="s">
        <v>293</v>
      </c>
    </row>
    <row r="2018" spans="1:16" x14ac:dyDescent="0.3">
      <c r="A2018" s="24">
        <v>66</v>
      </c>
      <c r="B2018" s="102">
        <v>46136</v>
      </c>
      <c r="C2018" s="25" t="s">
        <v>356</v>
      </c>
      <c r="D2018" s="103" t="s">
        <v>130</v>
      </c>
      <c r="E2018" s="26">
        <v>3.8</v>
      </c>
      <c r="F2018" s="26" t="s">
        <v>293</v>
      </c>
      <c r="K2018" s="24">
        <v>66</v>
      </c>
      <c r="L2018" s="102">
        <v>46136</v>
      </c>
      <c r="M2018" s="25" t="s">
        <v>357</v>
      </c>
      <c r="N2018" s="103" t="s">
        <v>130</v>
      </c>
      <c r="O2018" s="26">
        <v>2.4</v>
      </c>
      <c r="P2018" s="26" t="s">
        <v>293</v>
      </c>
    </row>
    <row r="2019" spans="1:16" x14ac:dyDescent="0.3">
      <c r="A2019" s="24">
        <v>66</v>
      </c>
      <c r="B2019" s="102">
        <v>46136</v>
      </c>
      <c r="C2019" s="25" t="s">
        <v>356</v>
      </c>
      <c r="D2019" s="103" t="s">
        <v>341</v>
      </c>
      <c r="E2019" s="26">
        <v>0.32</v>
      </c>
      <c r="F2019" s="26" t="s">
        <v>293</v>
      </c>
      <c r="K2019" s="24">
        <v>66</v>
      </c>
      <c r="L2019" s="102">
        <v>46136</v>
      </c>
      <c r="M2019" s="25" t="s">
        <v>357</v>
      </c>
      <c r="N2019" s="103" t="s">
        <v>341</v>
      </c>
      <c r="O2019" s="26">
        <v>1.18</v>
      </c>
      <c r="P2019" s="26" t="s">
        <v>293</v>
      </c>
    </row>
    <row r="2020" spans="1:16" x14ac:dyDescent="0.3">
      <c r="A2020" s="24">
        <v>66</v>
      </c>
      <c r="B2020" s="102">
        <v>46136</v>
      </c>
      <c r="C2020" s="25" t="s">
        <v>356</v>
      </c>
      <c r="D2020" s="103" t="s">
        <v>127</v>
      </c>
      <c r="E2020" s="26">
        <v>1.18</v>
      </c>
      <c r="F2020" s="26" t="s">
        <v>293</v>
      </c>
      <c r="K2020" s="24">
        <v>66</v>
      </c>
      <c r="L2020" s="102">
        <v>46136</v>
      </c>
      <c r="M2020" s="25" t="s">
        <v>357</v>
      </c>
      <c r="N2020" s="103" t="s">
        <v>127</v>
      </c>
      <c r="O2020" s="26">
        <v>4.4800000000000004</v>
      </c>
      <c r="P2020" s="26" t="s">
        <v>293</v>
      </c>
    </row>
    <row r="2021" spans="1:16" x14ac:dyDescent="0.3">
      <c r="A2021" s="24">
        <v>66</v>
      </c>
      <c r="B2021" s="102">
        <v>46136</v>
      </c>
      <c r="C2021" s="25" t="s">
        <v>356</v>
      </c>
      <c r="D2021" s="103" t="s">
        <v>131</v>
      </c>
      <c r="E2021" s="26">
        <v>8.8000000000000007</v>
      </c>
      <c r="F2021" s="26" t="s">
        <v>293</v>
      </c>
      <c r="K2021" s="24">
        <v>66</v>
      </c>
      <c r="L2021" s="102">
        <v>46136</v>
      </c>
      <c r="M2021" s="25" t="s">
        <v>357</v>
      </c>
      <c r="N2021" s="103" t="s">
        <v>131</v>
      </c>
      <c r="O2021" s="26">
        <v>12.2</v>
      </c>
      <c r="P2021" s="26" t="s">
        <v>293</v>
      </c>
    </row>
    <row r="2022" spans="1:16" x14ac:dyDescent="0.3">
      <c r="A2022" s="24">
        <v>66</v>
      </c>
      <c r="B2022" s="102">
        <v>46136</v>
      </c>
      <c r="C2022" s="25" t="s">
        <v>356</v>
      </c>
      <c r="D2022" s="103" t="s">
        <v>342</v>
      </c>
      <c r="E2022" s="26">
        <v>364</v>
      </c>
      <c r="F2022" s="26" t="s">
        <v>293</v>
      </c>
      <c r="K2022" s="24">
        <v>66</v>
      </c>
      <c r="L2022" s="102">
        <v>46136</v>
      </c>
      <c r="M2022" s="25" t="s">
        <v>357</v>
      </c>
      <c r="N2022" s="103" t="s">
        <v>342</v>
      </c>
      <c r="O2022" s="26">
        <v>218</v>
      </c>
      <c r="P2022" s="26" t="s">
        <v>293</v>
      </c>
    </row>
    <row r="2023" spans="1:16" x14ac:dyDescent="0.3">
      <c r="A2023" s="24">
        <v>66</v>
      </c>
      <c r="B2023" s="102">
        <v>46136</v>
      </c>
      <c r="C2023" s="25" t="s">
        <v>356</v>
      </c>
      <c r="D2023" s="103" t="s">
        <v>119</v>
      </c>
      <c r="E2023" s="26">
        <v>236</v>
      </c>
      <c r="F2023" s="26" t="s">
        <v>293</v>
      </c>
      <c r="K2023" s="24">
        <v>66</v>
      </c>
      <c r="L2023" s="102">
        <v>46136</v>
      </c>
      <c r="M2023" s="25" t="s">
        <v>357</v>
      </c>
      <c r="N2023" s="103" t="s">
        <v>119</v>
      </c>
      <c r="O2023" s="26">
        <v>88</v>
      </c>
      <c r="P2023" s="26" t="s">
        <v>293</v>
      </c>
    </row>
    <row r="2024" spans="1:16" x14ac:dyDescent="0.3">
      <c r="A2024" s="24">
        <v>66</v>
      </c>
      <c r="B2024" s="102">
        <v>46136</v>
      </c>
      <c r="C2024" s="25" t="s">
        <v>356</v>
      </c>
      <c r="D2024" s="103" t="s">
        <v>120</v>
      </c>
      <c r="E2024" s="26">
        <v>74</v>
      </c>
      <c r="F2024" s="26" t="s">
        <v>293</v>
      </c>
      <c r="K2024" s="24">
        <v>66</v>
      </c>
      <c r="L2024" s="102">
        <v>46136</v>
      </c>
      <c r="M2024" s="25" t="s">
        <v>357</v>
      </c>
      <c r="N2024" s="103" t="s">
        <v>120</v>
      </c>
      <c r="O2024" s="26">
        <v>27</v>
      </c>
      <c r="P2024" s="26" t="s">
        <v>293</v>
      </c>
    </row>
    <row r="2025" spans="1:16" x14ac:dyDescent="0.3">
      <c r="A2025" s="24">
        <v>66</v>
      </c>
      <c r="B2025" s="102">
        <v>46136</v>
      </c>
      <c r="C2025" s="25" t="s">
        <v>356</v>
      </c>
      <c r="D2025" s="103" t="s">
        <v>117</v>
      </c>
      <c r="E2025" s="26">
        <v>2.65</v>
      </c>
      <c r="F2025" s="26" t="s">
        <v>293</v>
      </c>
      <c r="K2025" s="24">
        <v>66</v>
      </c>
      <c r="L2025" s="102">
        <v>46136</v>
      </c>
      <c r="M2025" s="25" t="s">
        <v>357</v>
      </c>
      <c r="N2025" s="103" t="s">
        <v>117</v>
      </c>
      <c r="O2025" s="26">
        <v>6.2</v>
      </c>
      <c r="P2025" s="26" t="s">
        <v>293</v>
      </c>
    </row>
    <row r="2026" spans="1:16" x14ac:dyDescent="0.3">
      <c r="A2026" s="24">
        <v>66</v>
      </c>
      <c r="B2026" s="102">
        <v>46136</v>
      </c>
      <c r="C2026" s="25" t="s">
        <v>356</v>
      </c>
      <c r="D2026" s="103" t="s">
        <v>344</v>
      </c>
      <c r="E2026" s="26">
        <v>230</v>
      </c>
      <c r="F2026" s="26" t="s">
        <v>293</v>
      </c>
      <c r="K2026" s="24">
        <v>66</v>
      </c>
      <c r="L2026" s="102">
        <v>46136</v>
      </c>
      <c r="M2026" s="25" t="s">
        <v>357</v>
      </c>
      <c r="N2026" s="103" t="s">
        <v>344</v>
      </c>
      <c r="O2026" s="26">
        <v>69</v>
      </c>
      <c r="P2026" s="26" t="s">
        <v>293</v>
      </c>
    </row>
    <row r="2027" spans="1:16" x14ac:dyDescent="0.3">
      <c r="A2027" s="24">
        <v>66</v>
      </c>
      <c r="B2027" s="102">
        <v>46136</v>
      </c>
      <c r="C2027" s="25" t="s">
        <v>356</v>
      </c>
      <c r="D2027" s="103" t="s">
        <v>132</v>
      </c>
      <c r="E2027" s="26">
        <v>3.61</v>
      </c>
      <c r="F2027" s="26" t="s">
        <v>293</v>
      </c>
      <c r="K2027" s="24">
        <v>66</v>
      </c>
      <c r="L2027" s="102">
        <v>46136</v>
      </c>
      <c r="M2027" s="25" t="s">
        <v>357</v>
      </c>
      <c r="N2027" s="103" t="s">
        <v>132</v>
      </c>
      <c r="O2027" s="26">
        <v>7.1</v>
      </c>
      <c r="P2027" s="26" t="s">
        <v>293</v>
      </c>
    </row>
    <row r="2028" spans="1:16" x14ac:dyDescent="0.3">
      <c r="A2028" s="24">
        <v>66</v>
      </c>
      <c r="B2028" s="102">
        <v>46136</v>
      </c>
      <c r="C2028" s="25" t="s">
        <v>356</v>
      </c>
      <c r="D2028" s="103" t="s">
        <v>111</v>
      </c>
      <c r="E2028" s="26">
        <v>88</v>
      </c>
      <c r="F2028" s="26" t="s">
        <v>293</v>
      </c>
      <c r="K2028" s="24">
        <v>66</v>
      </c>
      <c r="L2028" s="102">
        <v>46136</v>
      </c>
      <c r="M2028" s="25" t="s">
        <v>357</v>
      </c>
      <c r="N2028" s="103" t="s">
        <v>111</v>
      </c>
      <c r="O2028" s="26">
        <v>279</v>
      </c>
      <c r="P2028" s="26" t="s">
        <v>293</v>
      </c>
    </row>
    <row r="2029" spans="1:16" x14ac:dyDescent="0.3">
      <c r="A2029" s="24">
        <v>66</v>
      </c>
      <c r="B2029" s="102">
        <v>46136</v>
      </c>
      <c r="C2029" s="25" t="s">
        <v>356</v>
      </c>
      <c r="D2029" s="103" t="s">
        <v>345</v>
      </c>
      <c r="E2029" s="26">
        <v>5.31</v>
      </c>
      <c r="F2029" s="26" t="s">
        <v>293</v>
      </c>
      <c r="K2029" s="24">
        <v>66</v>
      </c>
      <c r="L2029" s="102">
        <v>46136</v>
      </c>
      <c r="M2029" s="25" t="s">
        <v>357</v>
      </c>
      <c r="N2029" s="103" t="s">
        <v>345</v>
      </c>
      <c r="O2029" s="26">
        <v>9.85</v>
      </c>
      <c r="P2029" s="26" t="s">
        <v>293</v>
      </c>
    </row>
    <row r="2030" spans="1:16" x14ac:dyDescent="0.3">
      <c r="A2030" s="24">
        <v>66</v>
      </c>
      <c r="B2030" s="102">
        <v>46136</v>
      </c>
      <c r="C2030" s="25" t="s">
        <v>356</v>
      </c>
      <c r="D2030" s="103" t="s">
        <v>347</v>
      </c>
      <c r="E2030" s="26">
        <v>2.29</v>
      </c>
      <c r="F2030" s="26" t="s">
        <v>293</v>
      </c>
      <c r="K2030" s="24">
        <v>66</v>
      </c>
      <c r="L2030" s="102">
        <v>46136</v>
      </c>
      <c r="M2030" s="25" t="s">
        <v>357</v>
      </c>
      <c r="N2030" s="103" t="s">
        <v>347</v>
      </c>
      <c r="O2030" s="26">
        <v>4.84</v>
      </c>
      <c r="P2030" s="26" t="s">
        <v>293</v>
      </c>
    </row>
    <row r="2031" spans="1:16" x14ac:dyDescent="0.3">
      <c r="A2031" s="24">
        <v>66</v>
      </c>
      <c r="B2031" s="102">
        <v>46136</v>
      </c>
      <c r="C2031" s="25" t="s">
        <v>356</v>
      </c>
      <c r="D2031" s="103" t="s">
        <v>128</v>
      </c>
      <c r="E2031" s="26">
        <v>7</v>
      </c>
      <c r="F2031" s="26" t="s">
        <v>293</v>
      </c>
      <c r="K2031" s="24">
        <v>66</v>
      </c>
      <c r="L2031" s="102">
        <v>46136</v>
      </c>
      <c r="M2031" s="25" t="s">
        <v>357</v>
      </c>
      <c r="N2031" s="103" t="s">
        <v>128</v>
      </c>
      <c r="O2031" s="26">
        <v>4.5</v>
      </c>
      <c r="P2031" s="26" t="s">
        <v>293</v>
      </c>
    </row>
    <row r="2032" spans="1:16" x14ac:dyDescent="0.3">
      <c r="A2032" s="24">
        <v>66</v>
      </c>
      <c r="B2032" s="102">
        <v>46136</v>
      </c>
      <c r="C2032" s="25" t="s">
        <v>356</v>
      </c>
      <c r="D2032" s="103" t="s">
        <v>121</v>
      </c>
      <c r="E2032" s="26">
        <v>157</v>
      </c>
      <c r="F2032" s="26" t="s">
        <v>293</v>
      </c>
      <c r="K2032" s="24">
        <v>66</v>
      </c>
      <c r="L2032" s="102">
        <v>46136</v>
      </c>
      <c r="M2032" s="25" t="s">
        <v>357</v>
      </c>
      <c r="N2032" s="103" t="s">
        <v>121</v>
      </c>
      <c r="O2032" s="26">
        <v>79</v>
      </c>
      <c r="P2032" s="26" t="s">
        <v>293</v>
      </c>
    </row>
    <row r="2033" spans="1:16" x14ac:dyDescent="0.3">
      <c r="A2033" s="24">
        <v>66</v>
      </c>
      <c r="B2033" s="102">
        <v>46136</v>
      </c>
      <c r="C2033" s="25" t="s">
        <v>356</v>
      </c>
      <c r="D2033" s="103" t="s">
        <v>115</v>
      </c>
      <c r="E2033" s="26">
        <v>34</v>
      </c>
      <c r="F2033" s="26" t="s">
        <v>293</v>
      </c>
      <c r="K2033" s="24">
        <v>66</v>
      </c>
      <c r="L2033" s="102">
        <v>46136</v>
      </c>
      <c r="M2033" s="25" t="s">
        <v>357</v>
      </c>
      <c r="N2033" s="103" t="s">
        <v>115</v>
      </c>
      <c r="O2033" s="26">
        <v>98</v>
      </c>
      <c r="P2033" s="26" t="s">
        <v>293</v>
      </c>
    </row>
    <row r="2034" spans="1:16" x14ac:dyDescent="0.3">
      <c r="A2034" s="24">
        <v>66</v>
      </c>
      <c r="B2034" s="102">
        <v>46136</v>
      </c>
      <c r="C2034" s="25" t="s">
        <v>356</v>
      </c>
      <c r="D2034" s="103" t="s">
        <v>137</v>
      </c>
      <c r="E2034" s="26">
        <v>74</v>
      </c>
      <c r="F2034" s="26" t="s">
        <v>293</v>
      </c>
      <c r="K2034" s="24">
        <v>66</v>
      </c>
      <c r="L2034" s="102">
        <v>46136</v>
      </c>
      <c r="M2034" s="25" t="s">
        <v>357</v>
      </c>
      <c r="N2034" s="103" t="s">
        <v>137</v>
      </c>
      <c r="O2034" s="26">
        <v>481</v>
      </c>
      <c r="P2034" s="26" t="s">
        <v>293</v>
      </c>
    </row>
    <row r="2035" spans="1:16" x14ac:dyDescent="0.3">
      <c r="A2035" s="24">
        <v>66</v>
      </c>
      <c r="B2035" s="102">
        <v>46136</v>
      </c>
      <c r="C2035" s="25" t="s">
        <v>356</v>
      </c>
      <c r="D2035" s="103" t="s">
        <v>348</v>
      </c>
      <c r="E2035" s="26">
        <v>141</v>
      </c>
      <c r="F2035" s="26" t="s">
        <v>293</v>
      </c>
      <c r="K2035" s="24">
        <v>66</v>
      </c>
      <c r="L2035" s="102">
        <v>46136</v>
      </c>
      <c r="M2035" s="25" t="s">
        <v>357</v>
      </c>
      <c r="N2035" s="103" t="s">
        <v>348</v>
      </c>
      <c r="O2035" s="26">
        <v>423</v>
      </c>
      <c r="P2035" s="26" t="s">
        <v>293</v>
      </c>
    </row>
    <row r="2036" spans="1:16" x14ac:dyDescent="0.3">
      <c r="A2036" s="24">
        <v>66</v>
      </c>
      <c r="B2036" s="102">
        <v>46136</v>
      </c>
      <c r="C2036" s="25" t="s">
        <v>356</v>
      </c>
      <c r="D2036" s="103" t="s">
        <v>125</v>
      </c>
      <c r="E2036" s="26">
        <v>101</v>
      </c>
      <c r="F2036" s="26" t="s">
        <v>293</v>
      </c>
      <c r="K2036" s="24">
        <v>66</v>
      </c>
      <c r="L2036" s="102">
        <v>46136</v>
      </c>
      <c r="M2036" s="25" t="s">
        <v>357</v>
      </c>
      <c r="N2036" s="103" t="s">
        <v>125</v>
      </c>
      <c r="O2036" s="26">
        <v>421</v>
      </c>
      <c r="P2036" s="26" t="s">
        <v>293</v>
      </c>
    </row>
    <row r="2037" spans="1:16" x14ac:dyDescent="0.3">
      <c r="A2037" s="24">
        <v>66</v>
      </c>
      <c r="B2037" s="102">
        <v>46136</v>
      </c>
      <c r="C2037" s="25" t="s">
        <v>356</v>
      </c>
      <c r="D2037" s="103" t="s">
        <v>126</v>
      </c>
      <c r="E2037" s="26">
        <v>80</v>
      </c>
      <c r="F2037" s="26" t="s">
        <v>293</v>
      </c>
      <c r="K2037" s="24">
        <v>66</v>
      </c>
      <c r="L2037" s="102">
        <v>46136</v>
      </c>
      <c r="M2037" s="25" t="s">
        <v>357</v>
      </c>
      <c r="N2037" s="103" t="s">
        <v>126</v>
      </c>
      <c r="O2037" s="26">
        <v>152</v>
      </c>
      <c r="P2037" s="26" t="s">
        <v>293</v>
      </c>
    </row>
    <row r="2038" spans="1:16" x14ac:dyDescent="0.3">
      <c r="A2038" s="24">
        <v>66</v>
      </c>
      <c r="B2038" s="102">
        <v>46136</v>
      </c>
      <c r="C2038" s="25" t="s">
        <v>356</v>
      </c>
      <c r="D2038" s="103" t="s">
        <v>349</v>
      </c>
      <c r="E2038" s="26">
        <v>159</v>
      </c>
      <c r="F2038" s="26" t="s">
        <v>293</v>
      </c>
      <c r="K2038" s="24">
        <v>66</v>
      </c>
      <c r="L2038" s="102">
        <v>46136</v>
      </c>
      <c r="M2038" s="25" t="s">
        <v>357</v>
      </c>
      <c r="N2038" s="103" t="s">
        <v>349</v>
      </c>
      <c r="O2038" s="26">
        <v>375</v>
      </c>
      <c r="P2038" s="26" t="s">
        <v>293</v>
      </c>
    </row>
    <row r="2039" spans="1:16" x14ac:dyDescent="0.3">
      <c r="A2039" s="24">
        <v>66</v>
      </c>
      <c r="B2039" s="102">
        <v>46136</v>
      </c>
      <c r="C2039" s="25" t="s">
        <v>356</v>
      </c>
      <c r="D2039" s="103" t="s">
        <v>350</v>
      </c>
      <c r="E2039" s="26">
        <v>58</v>
      </c>
      <c r="F2039" s="26" t="s">
        <v>293</v>
      </c>
      <c r="K2039" s="24">
        <v>66</v>
      </c>
      <c r="L2039" s="102">
        <v>46136</v>
      </c>
      <c r="M2039" s="25" t="s">
        <v>357</v>
      </c>
      <c r="N2039" s="103" t="s">
        <v>350</v>
      </c>
      <c r="O2039" s="26">
        <v>84</v>
      </c>
      <c r="P2039" s="26" t="s">
        <v>293</v>
      </c>
    </row>
    <row r="2040" spans="1:16" x14ac:dyDescent="0.3">
      <c r="A2040" s="24">
        <v>66</v>
      </c>
      <c r="B2040" s="102">
        <v>46136</v>
      </c>
      <c r="C2040" s="25" t="s">
        <v>356</v>
      </c>
      <c r="D2040" s="103" t="s">
        <v>122</v>
      </c>
      <c r="E2040" s="26">
        <v>47</v>
      </c>
      <c r="F2040" s="26" t="s">
        <v>293</v>
      </c>
      <c r="K2040" s="24">
        <v>66</v>
      </c>
      <c r="L2040" s="102">
        <v>46136</v>
      </c>
      <c r="M2040" s="25" t="s">
        <v>357</v>
      </c>
      <c r="N2040" s="103" t="s">
        <v>122</v>
      </c>
      <c r="O2040" s="26">
        <v>211</v>
      </c>
      <c r="P2040" s="26" t="s">
        <v>293</v>
      </c>
    </row>
    <row r="2041" spans="1:16" x14ac:dyDescent="0.3">
      <c r="A2041" s="24">
        <v>66</v>
      </c>
      <c r="B2041" s="102">
        <v>46136</v>
      </c>
      <c r="C2041" s="25" t="s">
        <v>356</v>
      </c>
      <c r="D2041" s="103" t="s">
        <v>124</v>
      </c>
      <c r="E2041" s="26">
        <v>30</v>
      </c>
      <c r="F2041" s="26" t="s">
        <v>293</v>
      </c>
      <c r="K2041" s="24">
        <v>66</v>
      </c>
      <c r="L2041" s="102">
        <v>46136</v>
      </c>
      <c r="M2041" s="25" t="s">
        <v>357</v>
      </c>
      <c r="N2041" s="103" t="s">
        <v>124</v>
      </c>
      <c r="O2041" s="26">
        <v>101</v>
      </c>
      <c r="P2041" s="26" t="s">
        <v>293</v>
      </c>
    </row>
    <row r="2042" spans="1:16" x14ac:dyDescent="0.3">
      <c r="A2042" s="24">
        <v>66</v>
      </c>
      <c r="B2042" s="102">
        <v>46136</v>
      </c>
      <c r="C2042" s="25" t="s">
        <v>356</v>
      </c>
      <c r="D2042" s="103" t="s">
        <v>351</v>
      </c>
      <c r="E2042" s="26">
        <v>0.95</v>
      </c>
      <c r="F2042" s="26" t="s">
        <v>293</v>
      </c>
      <c r="K2042" s="24">
        <v>66</v>
      </c>
      <c r="L2042" s="102">
        <v>46136</v>
      </c>
      <c r="M2042" s="25" t="s">
        <v>357</v>
      </c>
      <c r="N2042" s="103" t="s">
        <v>351</v>
      </c>
      <c r="O2042" s="26">
        <v>3.63</v>
      </c>
      <c r="P2042" s="26" t="s">
        <v>293</v>
      </c>
    </row>
    <row r="2043" spans="1:16" x14ac:dyDescent="0.3">
      <c r="A2043" s="24">
        <v>66</v>
      </c>
      <c r="B2043" s="102">
        <v>46136</v>
      </c>
      <c r="C2043" s="25" t="s">
        <v>356</v>
      </c>
      <c r="D2043" s="103" t="s">
        <v>353</v>
      </c>
      <c r="E2043" s="26">
        <v>34.700000000000003</v>
      </c>
      <c r="F2043" s="26" t="s">
        <v>293</v>
      </c>
      <c r="K2043" s="24">
        <v>66</v>
      </c>
      <c r="L2043" s="102">
        <v>46136</v>
      </c>
      <c r="M2043" s="25" t="s">
        <v>357</v>
      </c>
      <c r="N2043" s="103" t="s">
        <v>353</v>
      </c>
      <c r="O2043" s="26">
        <v>17.3</v>
      </c>
      <c r="P2043" s="26" t="s">
        <v>293</v>
      </c>
    </row>
    <row r="2044" spans="1:16" x14ac:dyDescent="0.3">
      <c r="A2044" s="24">
        <v>66</v>
      </c>
      <c r="B2044" s="102">
        <v>46136</v>
      </c>
      <c r="C2044" s="25" t="s">
        <v>356</v>
      </c>
      <c r="D2044" s="103" t="s">
        <v>133</v>
      </c>
      <c r="E2044" s="26">
        <v>145</v>
      </c>
      <c r="F2044" s="26" t="s">
        <v>293</v>
      </c>
      <c r="K2044" s="24">
        <v>66</v>
      </c>
      <c r="L2044" s="102">
        <v>46136</v>
      </c>
      <c r="M2044" s="25" t="s">
        <v>357</v>
      </c>
      <c r="N2044" s="103" t="s">
        <v>133</v>
      </c>
      <c r="O2044" s="26">
        <v>126</v>
      </c>
      <c r="P2044" s="26" t="s">
        <v>293</v>
      </c>
    </row>
    <row r="2045" spans="1:16" x14ac:dyDescent="0.3">
      <c r="A2045" s="24">
        <v>66</v>
      </c>
      <c r="B2045" s="102">
        <v>46136</v>
      </c>
      <c r="C2045" s="25" t="s">
        <v>356</v>
      </c>
      <c r="D2045" s="103" t="s">
        <v>135</v>
      </c>
      <c r="E2045" s="26">
        <v>3.7</v>
      </c>
      <c r="F2045" s="26" t="s">
        <v>293</v>
      </c>
      <c r="K2045" s="24">
        <v>66</v>
      </c>
      <c r="L2045" s="102">
        <v>46136</v>
      </c>
      <c r="M2045" s="25" t="s">
        <v>357</v>
      </c>
      <c r="N2045" s="103" t="s">
        <v>135</v>
      </c>
      <c r="O2045" s="26">
        <v>6.4</v>
      </c>
      <c r="P2045" s="26" t="s">
        <v>293</v>
      </c>
    </row>
    <row r="2046" spans="1:16" x14ac:dyDescent="0.3">
      <c r="A2046" s="24">
        <v>66</v>
      </c>
      <c r="B2046" s="102">
        <v>46136</v>
      </c>
      <c r="C2046" s="25" t="s">
        <v>356</v>
      </c>
      <c r="D2046" s="103" t="s">
        <v>136</v>
      </c>
      <c r="E2046" s="26">
        <v>116</v>
      </c>
      <c r="F2046" s="26" t="s">
        <v>293</v>
      </c>
      <c r="K2046" s="24">
        <v>66</v>
      </c>
      <c r="L2046" s="102">
        <v>46136</v>
      </c>
      <c r="M2046" s="25" t="s">
        <v>357</v>
      </c>
      <c r="N2046" s="103" t="s">
        <v>136</v>
      </c>
      <c r="O2046" s="26">
        <v>93</v>
      </c>
      <c r="P2046" s="26" t="s">
        <v>293</v>
      </c>
    </row>
    <row r="2047" spans="1:16" x14ac:dyDescent="0.3">
      <c r="A2047" s="24">
        <v>67</v>
      </c>
      <c r="B2047" s="102">
        <v>46139</v>
      </c>
      <c r="C2047" s="25" t="s">
        <v>356</v>
      </c>
      <c r="D2047" s="103" t="s">
        <v>339</v>
      </c>
      <c r="E2047" s="26">
        <v>4.63</v>
      </c>
      <c r="F2047" s="26" t="s">
        <v>293</v>
      </c>
      <c r="K2047" s="24">
        <v>67</v>
      </c>
      <c r="L2047" s="102">
        <v>46139</v>
      </c>
      <c r="M2047" s="25" t="s">
        <v>357</v>
      </c>
      <c r="N2047" s="103" t="s">
        <v>339</v>
      </c>
      <c r="O2047" s="26">
        <v>1.1000000000000001</v>
      </c>
      <c r="P2047" s="26" t="s">
        <v>293</v>
      </c>
    </row>
    <row r="2048" spans="1:16" x14ac:dyDescent="0.3">
      <c r="A2048" s="24">
        <v>67</v>
      </c>
      <c r="B2048" s="102">
        <v>46139</v>
      </c>
      <c r="C2048" s="25" t="s">
        <v>356</v>
      </c>
      <c r="D2048" s="103" t="s">
        <v>118</v>
      </c>
      <c r="E2048" s="26">
        <v>4.5</v>
      </c>
      <c r="F2048" s="26" t="s">
        <v>293</v>
      </c>
      <c r="K2048" s="24">
        <v>67</v>
      </c>
      <c r="L2048" s="102">
        <v>46139</v>
      </c>
      <c r="M2048" s="25" t="s">
        <v>357</v>
      </c>
      <c r="N2048" s="103" t="s">
        <v>118</v>
      </c>
      <c r="O2048" s="26">
        <v>9.5</v>
      </c>
      <c r="P2048" s="26" t="s">
        <v>293</v>
      </c>
    </row>
    <row r="2049" spans="1:16" x14ac:dyDescent="0.3">
      <c r="A2049" s="24">
        <v>67</v>
      </c>
      <c r="B2049" s="102">
        <v>46139</v>
      </c>
      <c r="C2049" s="25" t="s">
        <v>356</v>
      </c>
      <c r="D2049" s="103" t="s">
        <v>130</v>
      </c>
      <c r="E2049" s="26">
        <v>3.79</v>
      </c>
      <c r="F2049" s="26" t="s">
        <v>293</v>
      </c>
      <c r="K2049" s="24">
        <v>67</v>
      </c>
      <c r="L2049" s="102">
        <v>46139</v>
      </c>
      <c r="M2049" s="25" t="s">
        <v>357</v>
      </c>
      <c r="N2049" s="103" t="s">
        <v>130</v>
      </c>
      <c r="O2049" s="26">
        <v>2.39</v>
      </c>
      <c r="P2049" s="26" t="s">
        <v>293</v>
      </c>
    </row>
    <row r="2050" spans="1:16" x14ac:dyDescent="0.3">
      <c r="A2050" s="24">
        <v>67</v>
      </c>
      <c r="B2050" s="102">
        <v>46139</v>
      </c>
      <c r="C2050" s="25" t="s">
        <v>356</v>
      </c>
      <c r="D2050" s="103" t="s">
        <v>341</v>
      </c>
      <c r="E2050" s="26">
        <v>0.30399999999999999</v>
      </c>
      <c r="F2050" s="26" t="s">
        <v>293</v>
      </c>
      <c r="K2050" s="24">
        <v>67</v>
      </c>
      <c r="L2050" s="102">
        <v>46139</v>
      </c>
      <c r="M2050" s="25" t="s">
        <v>357</v>
      </c>
      <c r="N2050" s="103" t="s">
        <v>341</v>
      </c>
      <c r="O2050" s="26">
        <v>1.1399999999999999</v>
      </c>
      <c r="P2050" s="26" t="s">
        <v>293</v>
      </c>
    </row>
    <row r="2051" spans="1:16" x14ac:dyDescent="0.3">
      <c r="A2051" s="24">
        <v>67</v>
      </c>
      <c r="B2051" s="102">
        <v>46139</v>
      </c>
      <c r="C2051" s="25" t="s">
        <v>356</v>
      </c>
      <c r="D2051" s="103" t="s">
        <v>127</v>
      </c>
      <c r="E2051" s="26">
        <v>1.19</v>
      </c>
      <c r="F2051" s="26" t="s">
        <v>293</v>
      </c>
      <c r="K2051" s="24">
        <v>67</v>
      </c>
      <c r="L2051" s="102">
        <v>46139</v>
      </c>
      <c r="M2051" s="25" t="s">
        <v>357</v>
      </c>
      <c r="N2051" s="103" t="s">
        <v>127</v>
      </c>
      <c r="O2051" s="26">
        <v>4.46</v>
      </c>
      <c r="P2051" s="26" t="s">
        <v>293</v>
      </c>
    </row>
    <row r="2052" spans="1:16" x14ac:dyDescent="0.3">
      <c r="A2052" s="24">
        <v>67</v>
      </c>
      <c r="B2052" s="102">
        <v>46139</v>
      </c>
      <c r="C2052" s="25" t="s">
        <v>356</v>
      </c>
      <c r="D2052" s="103" t="s">
        <v>131</v>
      </c>
      <c r="E2052" s="26">
        <v>8.9</v>
      </c>
      <c r="F2052" s="26" t="s">
        <v>293</v>
      </c>
      <c r="K2052" s="24">
        <v>67</v>
      </c>
      <c r="L2052" s="102">
        <v>46139</v>
      </c>
      <c r="M2052" s="25" t="s">
        <v>357</v>
      </c>
      <c r="N2052" s="103" t="s">
        <v>131</v>
      </c>
      <c r="O2052" s="26">
        <v>12.1</v>
      </c>
      <c r="P2052" s="26" t="s">
        <v>293</v>
      </c>
    </row>
    <row r="2053" spans="1:16" x14ac:dyDescent="0.3">
      <c r="A2053" s="24">
        <v>67</v>
      </c>
      <c r="B2053" s="102">
        <v>46139</v>
      </c>
      <c r="C2053" s="25" t="s">
        <v>356</v>
      </c>
      <c r="D2053" s="103" t="s">
        <v>342</v>
      </c>
      <c r="E2053" s="26">
        <v>365</v>
      </c>
      <c r="F2053" s="26" t="s">
        <v>293</v>
      </c>
      <c r="K2053" s="24">
        <v>67</v>
      </c>
      <c r="L2053" s="102">
        <v>46139</v>
      </c>
      <c r="M2053" s="25" t="s">
        <v>357</v>
      </c>
      <c r="N2053" s="103" t="s">
        <v>342</v>
      </c>
      <c r="O2053" s="26">
        <v>217</v>
      </c>
      <c r="P2053" s="26" t="s">
        <v>293</v>
      </c>
    </row>
    <row r="2054" spans="1:16" x14ac:dyDescent="0.3">
      <c r="A2054" s="24">
        <v>67</v>
      </c>
      <c r="B2054" s="102">
        <v>46139</v>
      </c>
      <c r="C2054" s="25" t="s">
        <v>356</v>
      </c>
      <c r="D2054" s="103" t="s">
        <v>119</v>
      </c>
      <c r="E2054" s="26">
        <v>236</v>
      </c>
      <c r="F2054" s="26" t="s">
        <v>293</v>
      </c>
      <c r="K2054" s="24">
        <v>67</v>
      </c>
      <c r="L2054" s="102">
        <v>46139</v>
      </c>
      <c r="M2054" s="25" t="s">
        <v>357</v>
      </c>
      <c r="N2054" s="103" t="s">
        <v>119</v>
      </c>
      <c r="O2054" s="26">
        <v>90</v>
      </c>
      <c r="P2054" s="26" t="s">
        <v>293</v>
      </c>
    </row>
    <row r="2055" spans="1:16" x14ac:dyDescent="0.3">
      <c r="A2055" s="24">
        <v>67</v>
      </c>
      <c r="B2055" s="102">
        <v>46139</v>
      </c>
      <c r="C2055" s="25" t="s">
        <v>356</v>
      </c>
      <c r="D2055" s="103" t="s">
        <v>120</v>
      </c>
      <c r="E2055" s="26">
        <v>74</v>
      </c>
      <c r="F2055" s="26" t="s">
        <v>293</v>
      </c>
      <c r="K2055" s="24">
        <v>67</v>
      </c>
      <c r="L2055" s="102">
        <v>46139</v>
      </c>
      <c r="M2055" s="25" t="s">
        <v>357</v>
      </c>
      <c r="N2055" s="103" t="s">
        <v>120</v>
      </c>
      <c r="O2055" s="26">
        <v>27</v>
      </c>
      <c r="P2055" s="26" t="s">
        <v>293</v>
      </c>
    </row>
    <row r="2056" spans="1:16" x14ac:dyDescent="0.3">
      <c r="A2056" s="24">
        <v>67</v>
      </c>
      <c r="B2056" s="102">
        <v>46139</v>
      </c>
      <c r="C2056" s="25" t="s">
        <v>356</v>
      </c>
      <c r="D2056" s="103" t="s">
        <v>117</v>
      </c>
      <c r="E2056" s="26">
        <v>2.78</v>
      </c>
      <c r="F2056" s="26" t="s">
        <v>293</v>
      </c>
      <c r="K2056" s="24">
        <v>67</v>
      </c>
      <c r="L2056" s="102">
        <v>46139</v>
      </c>
      <c r="M2056" s="25" t="s">
        <v>357</v>
      </c>
      <c r="N2056" s="103" t="s">
        <v>117</v>
      </c>
      <c r="O2056" s="26">
        <v>6.36</v>
      </c>
      <c r="P2056" s="26" t="s">
        <v>293</v>
      </c>
    </row>
    <row r="2057" spans="1:16" x14ac:dyDescent="0.3">
      <c r="A2057" s="24">
        <v>67</v>
      </c>
      <c r="B2057" s="102">
        <v>46139</v>
      </c>
      <c r="C2057" s="25" t="s">
        <v>356</v>
      </c>
      <c r="D2057" s="103" t="s">
        <v>344</v>
      </c>
      <c r="E2057" s="26">
        <v>230</v>
      </c>
      <c r="F2057" s="26" t="s">
        <v>293</v>
      </c>
      <c r="K2057" s="24">
        <v>67</v>
      </c>
      <c r="L2057" s="102">
        <v>46139</v>
      </c>
      <c r="M2057" s="25" t="s">
        <v>357</v>
      </c>
      <c r="N2057" s="103" t="s">
        <v>344</v>
      </c>
      <c r="O2057" s="26">
        <v>70</v>
      </c>
      <c r="P2057" s="26" t="s">
        <v>293</v>
      </c>
    </row>
    <row r="2058" spans="1:16" x14ac:dyDescent="0.3">
      <c r="A2058" s="24">
        <v>67</v>
      </c>
      <c r="B2058" s="102">
        <v>46139</v>
      </c>
      <c r="C2058" s="25" t="s">
        <v>356</v>
      </c>
      <c r="D2058" s="103" t="s">
        <v>132</v>
      </c>
      <c r="E2058" s="26">
        <v>3.53</v>
      </c>
      <c r="F2058" s="26" t="s">
        <v>293</v>
      </c>
      <c r="K2058" s="24">
        <v>67</v>
      </c>
      <c r="L2058" s="102">
        <v>46139</v>
      </c>
      <c r="M2058" s="25" t="s">
        <v>357</v>
      </c>
      <c r="N2058" s="103" t="s">
        <v>132</v>
      </c>
      <c r="O2058" s="26">
        <v>7.15</v>
      </c>
      <c r="P2058" s="26" t="s">
        <v>293</v>
      </c>
    </row>
    <row r="2059" spans="1:16" x14ac:dyDescent="0.3">
      <c r="A2059" s="24">
        <v>67</v>
      </c>
      <c r="B2059" s="102">
        <v>46139</v>
      </c>
      <c r="C2059" s="25" t="s">
        <v>356</v>
      </c>
      <c r="D2059" s="103" t="s">
        <v>111</v>
      </c>
      <c r="E2059" s="26">
        <v>89</v>
      </c>
      <c r="F2059" s="26" t="s">
        <v>293</v>
      </c>
      <c r="K2059" s="24">
        <v>67</v>
      </c>
      <c r="L2059" s="102">
        <v>46139</v>
      </c>
      <c r="M2059" s="25" t="s">
        <v>357</v>
      </c>
      <c r="N2059" s="103" t="s">
        <v>111</v>
      </c>
      <c r="O2059" s="26">
        <v>281</v>
      </c>
      <c r="P2059" s="26" t="s">
        <v>293</v>
      </c>
    </row>
    <row r="2060" spans="1:16" x14ac:dyDescent="0.3">
      <c r="A2060" s="24">
        <v>67</v>
      </c>
      <c r="B2060" s="102">
        <v>46139</v>
      </c>
      <c r="C2060" s="25" t="s">
        <v>356</v>
      </c>
      <c r="D2060" s="103" t="s">
        <v>345</v>
      </c>
      <c r="E2060" s="26">
        <v>5.21</v>
      </c>
      <c r="F2060" s="26" t="s">
        <v>293</v>
      </c>
      <c r="K2060" s="24">
        <v>67</v>
      </c>
      <c r="L2060" s="102">
        <v>46139</v>
      </c>
      <c r="M2060" s="25" t="s">
        <v>357</v>
      </c>
      <c r="N2060" s="103" t="s">
        <v>345</v>
      </c>
      <c r="O2060" s="26">
        <v>9.9499999999999993</v>
      </c>
      <c r="P2060" s="26" t="s">
        <v>293</v>
      </c>
    </row>
    <row r="2061" spans="1:16" x14ac:dyDescent="0.3">
      <c r="A2061" s="24">
        <v>67</v>
      </c>
      <c r="B2061" s="102">
        <v>46139</v>
      </c>
      <c r="C2061" s="25" t="s">
        <v>356</v>
      </c>
      <c r="D2061" s="103" t="s">
        <v>347</v>
      </c>
      <c r="E2061" s="26">
        <v>2.2999999999999998</v>
      </c>
      <c r="F2061" s="26" t="s">
        <v>293</v>
      </c>
      <c r="K2061" s="24">
        <v>67</v>
      </c>
      <c r="L2061" s="102">
        <v>46139</v>
      </c>
      <c r="M2061" s="25" t="s">
        <v>357</v>
      </c>
      <c r="N2061" s="103" t="s">
        <v>347</v>
      </c>
      <c r="O2061" s="26">
        <v>4.7699999999999996</v>
      </c>
      <c r="P2061" s="26" t="s">
        <v>293</v>
      </c>
    </row>
    <row r="2062" spans="1:16" x14ac:dyDescent="0.3">
      <c r="A2062" s="24">
        <v>67</v>
      </c>
      <c r="B2062" s="102">
        <v>46139</v>
      </c>
      <c r="C2062" s="25" t="s">
        <v>356</v>
      </c>
      <c r="D2062" s="103" t="s">
        <v>128</v>
      </c>
      <c r="E2062" s="26">
        <v>7</v>
      </c>
      <c r="F2062" s="26" t="s">
        <v>293</v>
      </c>
      <c r="K2062" s="24">
        <v>67</v>
      </c>
      <c r="L2062" s="102">
        <v>46139</v>
      </c>
      <c r="M2062" s="25" t="s">
        <v>357</v>
      </c>
      <c r="N2062" s="103" t="s">
        <v>128</v>
      </c>
      <c r="O2062" s="26">
        <v>4.5</v>
      </c>
      <c r="P2062" s="26" t="s">
        <v>293</v>
      </c>
    </row>
    <row r="2063" spans="1:16" x14ac:dyDescent="0.3">
      <c r="A2063" s="24">
        <v>67</v>
      </c>
      <c r="B2063" s="102">
        <v>46139</v>
      </c>
      <c r="C2063" s="25" t="s">
        <v>356</v>
      </c>
      <c r="D2063" s="103" t="s">
        <v>121</v>
      </c>
      <c r="E2063" s="26">
        <v>163</v>
      </c>
      <c r="F2063" s="26" t="s">
        <v>293</v>
      </c>
      <c r="K2063" s="24">
        <v>67</v>
      </c>
      <c r="L2063" s="102">
        <v>46139</v>
      </c>
      <c r="M2063" s="25" t="s">
        <v>357</v>
      </c>
      <c r="N2063" s="103" t="s">
        <v>121</v>
      </c>
      <c r="O2063" s="26">
        <v>81</v>
      </c>
      <c r="P2063" s="26" t="s">
        <v>293</v>
      </c>
    </row>
    <row r="2064" spans="1:16" x14ac:dyDescent="0.3">
      <c r="A2064" s="24">
        <v>67</v>
      </c>
      <c r="B2064" s="102">
        <v>46139</v>
      </c>
      <c r="C2064" s="25" t="s">
        <v>356</v>
      </c>
      <c r="D2064" s="103" t="s">
        <v>115</v>
      </c>
      <c r="E2064" s="26">
        <v>32</v>
      </c>
      <c r="F2064" s="26" t="s">
        <v>293</v>
      </c>
      <c r="K2064" s="24">
        <v>67</v>
      </c>
      <c r="L2064" s="102">
        <v>46139</v>
      </c>
      <c r="M2064" s="25" t="s">
        <v>357</v>
      </c>
      <c r="N2064" s="103" t="s">
        <v>115</v>
      </c>
      <c r="O2064" s="26">
        <v>94</v>
      </c>
      <c r="P2064" s="26" t="s">
        <v>293</v>
      </c>
    </row>
    <row r="2065" spans="1:16" x14ac:dyDescent="0.3">
      <c r="A2065" s="24">
        <v>67</v>
      </c>
      <c r="B2065" s="102">
        <v>46139</v>
      </c>
      <c r="C2065" s="25" t="s">
        <v>356</v>
      </c>
      <c r="D2065" s="103" t="s">
        <v>137</v>
      </c>
      <c r="E2065" s="26">
        <v>75</v>
      </c>
      <c r="F2065" s="26" t="s">
        <v>293</v>
      </c>
      <c r="K2065" s="24">
        <v>67</v>
      </c>
      <c r="L2065" s="102">
        <v>46139</v>
      </c>
      <c r="M2065" s="25" t="s">
        <v>357</v>
      </c>
      <c r="N2065" s="103" t="s">
        <v>137</v>
      </c>
      <c r="O2065" s="26">
        <v>484</v>
      </c>
      <c r="P2065" s="26" t="s">
        <v>293</v>
      </c>
    </row>
    <row r="2066" spans="1:16" x14ac:dyDescent="0.3">
      <c r="A2066" s="24">
        <v>67</v>
      </c>
      <c r="B2066" s="102">
        <v>46139</v>
      </c>
      <c r="C2066" s="25" t="s">
        <v>356</v>
      </c>
      <c r="D2066" s="103" t="s">
        <v>348</v>
      </c>
      <c r="E2066" s="26">
        <v>139</v>
      </c>
      <c r="F2066" s="26" t="s">
        <v>293</v>
      </c>
      <c r="K2066" s="24">
        <v>67</v>
      </c>
      <c r="L2066" s="102">
        <v>46139</v>
      </c>
      <c r="M2066" s="25" t="s">
        <v>357</v>
      </c>
      <c r="N2066" s="103" t="s">
        <v>348</v>
      </c>
      <c r="O2066" s="26">
        <v>424</v>
      </c>
      <c r="P2066" s="26" t="s">
        <v>293</v>
      </c>
    </row>
    <row r="2067" spans="1:16" x14ac:dyDescent="0.3">
      <c r="A2067" s="24">
        <v>67</v>
      </c>
      <c r="B2067" s="102">
        <v>46139</v>
      </c>
      <c r="C2067" s="25" t="s">
        <v>356</v>
      </c>
      <c r="D2067" s="103" t="s">
        <v>125</v>
      </c>
      <c r="E2067" s="26">
        <v>105</v>
      </c>
      <c r="F2067" s="26" t="s">
        <v>293</v>
      </c>
      <c r="K2067" s="24">
        <v>67</v>
      </c>
      <c r="L2067" s="102">
        <v>46139</v>
      </c>
      <c r="M2067" s="25" t="s">
        <v>357</v>
      </c>
      <c r="N2067" s="103" t="s">
        <v>125</v>
      </c>
      <c r="O2067" s="26">
        <v>425</v>
      </c>
      <c r="P2067" s="26" t="s">
        <v>293</v>
      </c>
    </row>
    <row r="2068" spans="1:16" x14ac:dyDescent="0.3">
      <c r="A2068" s="24">
        <v>67</v>
      </c>
      <c r="B2068" s="102">
        <v>46139</v>
      </c>
      <c r="C2068" s="25" t="s">
        <v>356</v>
      </c>
      <c r="D2068" s="103" t="s">
        <v>126</v>
      </c>
      <c r="E2068" s="26">
        <v>81</v>
      </c>
      <c r="F2068" s="26" t="s">
        <v>293</v>
      </c>
      <c r="K2068" s="24">
        <v>67</v>
      </c>
      <c r="L2068" s="102">
        <v>46139</v>
      </c>
      <c r="M2068" s="25" t="s">
        <v>357</v>
      </c>
      <c r="N2068" s="103" t="s">
        <v>126</v>
      </c>
      <c r="O2068" s="26">
        <v>152</v>
      </c>
      <c r="P2068" s="26" t="s">
        <v>293</v>
      </c>
    </row>
    <row r="2069" spans="1:16" x14ac:dyDescent="0.3">
      <c r="A2069" s="24">
        <v>67</v>
      </c>
      <c r="B2069" s="102">
        <v>46139</v>
      </c>
      <c r="C2069" s="25" t="s">
        <v>356</v>
      </c>
      <c r="D2069" s="103" t="s">
        <v>349</v>
      </c>
      <c r="E2069" s="26">
        <v>161</v>
      </c>
      <c r="F2069" s="26" t="s">
        <v>293</v>
      </c>
      <c r="K2069" s="24">
        <v>67</v>
      </c>
      <c r="L2069" s="102">
        <v>46139</v>
      </c>
      <c r="M2069" s="25" t="s">
        <v>357</v>
      </c>
      <c r="N2069" s="103" t="s">
        <v>349</v>
      </c>
      <c r="O2069" s="26">
        <v>382</v>
      </c>
      <c r="P2069" s="26" t="s">
        <v>293</v>
      </c>
    </row>
    <row r="2070" spans="1:16" x14ac:dyDescent="0.3">
      <c r="A2070" s="24">
        <v>67</v>
      </c>
      <c r="B2070" s="102">
        <v>46139</v>
      </c>
      <c r="C2070" s="25" t="s">
        <v>356</v>
      </c>
      <c r="D2070" s="103" t="s">
        <v>350</v>
      </c>
      <c r="E2070" s="26">
        <v>57</v>
      </c>
      <c r="F2070" s="26" t="s">
        <v>293</v>
      </c>
      <c r="K2070" s="24">
        <v>67</v>
      </c>
      <c r="L2070" s="102">
        <v>46139</v>
      </c>
      <c r="M2070" s="25" t="s">
        <v>357</v>
      </c>
      <c r="N2070" s="103" t="s">
        <v>350</v>
      </c>
      <c r="O2070" s="26">
        <v>83</v>
      </c>
      <c r="P2070" s="26" t="s">
        <v>293</v>
      </c>
    </row>
    <row r="2071" spans="1:16" x14ac:dyDescent="0.3">
      <c r="A2071" s="24">
        <v>67</v>
      </c>
      <c r="B2071" s="102">
        <v>46139</v>
      </c>
      <c r="C2071" s="25" t="s">
        <v>356</v>
      </c>
      <c r="D2071" s="103" t="s">
        <v>122</v>
      </c>
      <c r="E2071" s="26">
        <v>46</v>
      </c>
      <c r="F2071" s="26" t="s">
        <v>293</v>
      </c>
      <c r="K2071" s="24">
        <v>67</v>
      </c>
      <c r="L2071" s="102">
        <v>46139</v>
      </c>
      <c r="M2071" s="25" t="s">
        <v>357</v>
      </c>
      <c r="N2071" s="103" t="s">
        <v>122</v>
      </c>
      <c r="O2071" s="26">
        <v>209</v>
      </c>
      <c r="P2071" s="26" t="s">
        <v>293</v>
      </c>
    </row>
    <row r="2072" spans="1:16" x14ac:dyDescent="0.3">
      <c r="A2072" s="24">
        <v>67</v>
      </c>
      <c r="B2072" s="102">
        <v>46139</v>
      </c>
      <c r="C2072" s="25" t="s">
        <v>356</v>
      </c>
      <c r="D2072" s="103" t="s">
        <v>124</v>
      </c>
      <c r="E2072" s="26">
        <v>29</v>
      </c>
      <c r="F2072" s="26" t="s">
        <v>293</v>
      </c>
      <c r="K2072" s="24">
        <v>67</v>
      </c>
      <c r="L2072" s="102">
        <v>46139</v>
      </c>
      <c r="M2072" s="25" t="s">
        <v>357</v>
      </c>
      <c r="N2072" s="103" t="s">
        <v>124</v>
      </c>
      <c r="O2072" s="26">
        <v>99</v>
      </c>
      <c r="P2072" s="26" t="s">
        <v>293</v>
      </c>
    </row>
    <row r="2073" spans="1:16" x14ac:dyDescent="0.3">
      <c r="A2073" s="24">
        <v>67</v>
      </c>
      <c r="B2073" s="102">
        <v>46139</v>
      </c>
      <c r="C2073" s="25" t="s">
        <v>356</v>
      </c>
      <c r="D2073" s="103" t="s">
        <v>351</v>
      </c>
      <c r="E2073" s="26">
        <v>0.94</v>
      </c>
      <c r="F2073" s="26" t="s">
        <v>293</v>
      </c>
      <c r="K2073" s="24">
        <v>67</v>
      </c>
      <c r="L2073" s="102">
        <v>46139</v>
      </c>
      <c r="M2073" s="25" t="s">
        <v>357</v>
      </c>
      <c r="N2073" s="103" t="s">
        <v>351</v>
      </c>
      <c r="O2073" s="26">
        <v>3.6</v>
      </c>
      <c r="P2073" s="26" t="s">
        <v>293</v>
      </c>
    </row>
    <row r="2074" spans="1:16" x14ac:dyDescent="0.3">
      <c r="A2074" s="24">
        <v>67</v>
      </c>
      <c r="B2074" s="102">
        <v>46139</v>
      </c>
      <c r="C2074" s="25" t="s">
        <v>356</v>
      </c>
      <c r="D2074" s="103" t="s">
        <v>353</v>
      </c>
      <c r="E2074" s="26">
        <v>33.9</v>
      </c>
      <c r="F2074" s="26" t="s">
        <v>293</v>
      </c>
      <c r="K2074" s="24">
        <v>67</v>
      </c>
      <c r="L2074" s="102">
        <v>46139</v>
      </c>
      <c r="M2074" s="25" t="s">
        <v>357</v>
      </c>
      <c r="N2074" s="103" t="s">
        <v>353</v>
      </c>
      <c r="O2074" s="26">
        <v>16.8</v>
      </c>
      <c r="P2074" s="26" t="s">
        <v>293</v>
      </c>
    </row>
    <row r="2075" spans="1:16" x14ac:dyDescent="0.3">
      <c r="A2075" s="24">
        <v>67</v>
      </c>
      <c r="B2075" s="102">
        <v>46139</v>
      </c>
      <c r="C2075" s="25" t="s">
        <v>356</v>
      </c>
      <c r="D2075" s="103" t="s">
        <v>133</v>
      </c>
      <c r="E2075" s="26">
        <v>143</v>
      </c>
      <c r="F2075" s="26" t="s">
        <v>293</v>
      </c>
      <c r="K2075" s="24">
        <v>67</v>
      </c>
      <c r="L2075" s="102">
        <v>46139</v>
      </c>
      <c r="M2075" s="25" t="s">
        <v>357</v>
      </c>
      <c r="N2075" s="103" t="s">
        <v>133</v>
      </c>
      <c r="O2075" s="26">
        <v>125</v>
      </c>
      <c r="P2075" s="26" t="s">
        <v>293</v>
      </c>
    </row>
    <row r="2076" spans="1:16" x14ac:dyDescent="0.3">
      <c r="A2076" s="24">
        <v>67</v>
      </c>
      <c r="B2076" s="102">
        <v>46139</v>
      </c>
      <c r="C2076" s="25" t="s">
        <v>356</v>
      </c>
      <c r="D2076" s="103" t="s">
        <v>135</v>
      </c>
      <c r="E2076" s="26">
        <v>3.7</v>
      </c>
      <c r="F2076" s="26" t="s">
        <v>293</v>
      </c>
      <c r="K2076" s="24">
        <v>67</v>
      </c>
      <c r="L2076" s="102">
        <v>46139</v>
      </c>
      <c r="M2076" s="25" t="s">
        <v>357</v>
      </c>
      <c r="N2076" s="103" t="s">
        <v>135</v>
      </c>
      <c r="O2076" s="26">
        <v>6.3</v>
      </c>
      <c r="P2076" s="26" t="s">
        <v>293</v>
      </c>
    </row>
    <row r="2077" spans="1:16" x14ac:dyDescent="0.3">
      <c r="A2077" s="24">
        <v>67</v>
      </c>
      <c r="B2077" s="102">
        <v>46139</v>
      </c>
      <c r="C2077" s="25" t="s">
        <v>356</v>
      </c>
      <c r="D2077" s="103" t="s">
        <v>136</v>
      </c>
      <c r="E2077" s="26">
        <v>115</v>
      </c>
      <c r="F2077" s="26" t="s">
        <v>293</v>
      </c>
      <c r="K2077" s="24">
        <v>67</v>
      </c>
      <c r="L2077" s="102">
        <v>46139</v>
      </c>
      <c r="M2077" s="25" t="s">
        <v>357</v>
      </c>
      <c r="N2077" s="103" t="s">
        <v>136</v>
      </c>
      <c r="O2077" s="26">
        <v>94</v>
      </c>
      <c r="P2077" s="26" t="s">
        <v>293</v>
      </c>
    </row>
    <row r="2078" spans="1:16" x14ac:dyDescent="0.3">
      <c r="A2078" s="24">
        <v>68</v>
      </c>
      <c r="B2078" s="102">
        <v>46140</v>
      </c>
      <c r="C2078" s="25" t="s">
        <v>356</v>
      </c>
      <c r="D2078" s="103" t="s">
        <v>339</v>
      </c>
      <c r="E2078" s="26">
        <v>4.53</v>
      </c>
      <c r="F2078" s="26" t="s">
        <v>293</v>
      </c>
      <c r="K2078" s="24">
        <v>68</v>
      </c>
      <c r="L2078" s="102">
        <v>46140</v>
      </c>
      <c r="M2078" s="25" t="s">
        <v>357</v>
      </c>
      <c r="N2078" s="103" t="s">
        <v>339</v>
      </c>
      <c r="O2078" s="26">
        <v>1.07</v>
      </c>
      <c r="P2078" s="26" t="s">
        <v>293</v>
      </c>
    </row>
    <row r="2079" spans="1:16" x14ac:dyDescent="0.3">
      <c r="A2079" s="24">
        <v>68</v>
      </c>
      <c r="B2079" s="102">
        <v>46140</v>
      </c>
      <c r="C2079" s="25" t="s">
        <v>356</v>
      </c>
      <c r="D2079" s="103" t="s">
        <v>118</v>
      </c>
      <c r="E2079" s="26">
        <v>4.4000000000000004</v>
      </c>
      <c r="F2079" s="26" t="s">
        <v>293</v>
      </c>
      <c r="K2079" s="24">
        <v>68</v>
      </c>
      <c r="L2079" s="102">
        <v>46140</v>
      </c>
      <c r="M2079" s="25" t="s">
        <v>357</v>
      </c>
      <c r="N2079" s="103" t="s">
        <v>118</v>
      </c>
      <c r="O2079" s="26">
        <v>9.4</v>
      </c>
      <c r="P2079" s="26" t="s">
        <v>293</v>
      </c>
    </row>
    <row r="2080" spans="1:16" x14ac:dyDescent="0.3">
      <c r="A2080" s="24">
        <v>68</v>
      </c>
      <c r="B2080" s="102">
        <v>46140</v>
      </c>
      <c r="C2080" s="25" t="s">
        <v>356</v>
      </c>
      <c r="D2080" s="103" t="s">
        <v>130</v>
      </c>
      <c r="E2080" s="26">
        <v>3.78</v>
      </c>
      <c r="F2080" s="26" t="s">
        <v>293</v>
      </c>
      <c r="K2080" s="24">
        <v>68</v>
      </c>
      <c r="L2080" s="102">
        <v>46140</v>
      </c>
      <c r="M2080" s="25" t="s">
        <v>357</v>
      </c>
      <c r="N2080" s="103" t="s">
        <v>130</v>
      </c>
      <c r="O2080" s="26">
        <v>2.5099999999999998</v>
      </c>
      <c r="P2080" s="26" t="s">
        <v>293</v>
      </c>
    </row>
    <row r="2081" spans="1:16" x14ac:dyDescent="0.3">
      <c r="A2081" s="24">
        <v>68</v>
      </c>
      <c r="B2081" s="102">
        <v>46140</v>
      </c>
      <c r="C2081" s="25" t="s">
        <v>356</v>
      </c>
      <c r="D2081" s="103" t="s">
        <v>341</v>
      </c>
      <c r="E2081" s="26">
        <v>0.31</v>
      </c>
      <c r="F2081" s="26" t="s">
        <v>293</v>
      </c>
      <c r="K2081" s="24">
        <v>68</v>
      </c>
      <c r="L2081" s="102">
        <v>46140</v>
      </c>
      <c r="M2081" s="25" t="s">
        <v>357</v>
      </c>
      <c r="N2081" s="103" t="s">
        <v>341</v>
      </c>
      <c r="O2081" s="26">
        <v>1.1399999999999999</v>
      </c>
      <c r="P2081" s="26" t="s">
        <v>293</v>
      </c>
    </row>
    <row r="2082" spans="1:16" x14ac:dyDescent="0.3">
      <c r="A2082" s="24">
        <v>68</v>
      </c>
      <c r="B2082" s="102">
        <v>46140</v>
      </c>
      <c r="C2082" s="25" t="s">
        <v>356</v>
      </c>
      <c r="D2082" s="103" t="s">
        <v>127</v>
      </c>
      <c r="E2082" s="26">
        <v>1.1499999999999999</v>
      </c>
      <c r="F2082" s="26" t="s">
        <v>293</v>
      </c>
      <c r="K2082" s="24">
        <v>68</v>
      </c>
      <c r="L2082" s="102">
        <v>46140</v>
      </c>
      <c r="M2082" s="25" t="s">
        <v>357</v>
      </c>
      <c r="N2082" s="103" t="s">
        <v>127</v>
      </c>
      <c r="O2082" s="26">
        <v>4.5</v>
      </c>
      <c r="P2082" s="26" t="s">
        <v>293</v>
      </c>
    </row>
    <row r="2083" spans="1:16" x14ac:dyDescent="0.3">
      <c r="A2083" s="24">
        <v>68</v>
      </c>
      <c r="B2083" s="102">
        <v>46140</v>
      </c>
      <c r="C2083" s="25" t="s">
        <v>356</v>
      </c>
      <c r="D2083" s="103" t="s">
        <v>131</v>
      </c>
      <c r="E2083" s="26">
        <v>8.6999999999999993</v>
      </c>
      <c r="F2083" s="26" t="s">
        <v>293</v>
      </c>
      <c r="K2083" s="24">
        <v>68</v>
      </c>
      <c r="L2083" s="102">
        <v>46140</v>
      </c>
      <c r="M2083" s="25" t="s">
        <v>357</v>
      </c>
      <c r="N2083" s="103" t="s">
        <v>131</v>
      </c>
      <c r="O2083" s="26">
        <v>11.8</v>
      </c>
      <c r="P2083" s="26" t="s">
        <v>293</v>
      </c>
    </row>
    <row r="2084" spans="1:16" x14ac:dyDescent="0.3">
      <c r="A2084" s="24">
        <v>68</v>
      </c>
      <c r="B2084" s="102">
        <v>46140</v>
      </c>
      <c r="C2084" s="25" t="s">
        <v>356</v>
      </c>
      <c r="D2084" s="103" t="s">
        <v>342</v>
      </c>
      <c r="E2084" s="26">
        <v>347</v>
      </c>
      <c r="F2084" s="26" t="s">
        <v>293</v>
      </c>
      <c r="K2084" s="24">
        <v>68</v>
      </c>
      <c r="L2084" s="102">
        <v>46140</v>
      </c>
      <c r="M2084" s="25" t="s">
        <v>357</v>
      </c>
      <c r="N2084" s="103" t="s">
        <v>342</v>
      </c>
      <c r="O2084" s="26">
        <v>210</v>
      </c>
      <c r="P2084" s="26" t="s">
        <v>293</v>
      </c>
    </row>
    <row r="2085" spans="1:16" x14ac:dyDescent="0.3">
      <c r="A2085" s="24">
        <v>68</v>
      </c>
      <c r="B2085" s="102">
        <v>46140</v>
      </c>
      <c r="C2085" s="25" t="s">
        <v>356</v>
      </c>
      <c r="D2085" s="103" t="s">
        <v>119</v>
      </c>
      <c r="E2085" s="26">
        <v>233</v>
      </c>
      <c r="F2085" s="26" t="s">
        <v>293</v>
      </c>
      <c r="K2085" s="24">
        <v>68</v>
      </c>
      <c r="L2085" s="102">
        <v>46140</v>
      </c>
      <c r="M2085" s="25" t="s">
        <v>357</v>
      </c>
      <c r="N2085" s="103" t="s">
        <v>119</v>
      </c>
      <c r="O2085" s="26">
        <v>89</v>
      </c>
      <c r="P2085" s="26" t="s">
        <v>293</v>
      </c>
    </row>
    <row r="2086" spans="1:16" x14ac:dyDescent="0.3">
      <c r="A2086" s="24">
        <v>68</v>
      </c>
      <c r="B2086" s="102">
        <v>46140</v>
      </c>
      <c r="C2086" s="25" t="s">
        <v>356</v>
      </c>
      <c r="D2086" s="103" t="s">
        <v>120</v>
      </c>
      <c r="E2086" s="26">
        <v>76</v>
      </c>
      <c r="F2086" s="26" t="s">
        <v>293</v>
      </c>
      <c r="K2086" s="24">
        <v>68</v>
      </c>
      <c r="L2086" s="102">
        <v>46140</v>
      </c>
      <c r="M2086" s="25" t="s">
        <v>357</v>
      </c>
      <c r="N2086" s="103" t="s">
        <v>120</v>
      </c>
      <c r="O2086" s="26">
        <v>26</v>
      </c>
      <c r="P2086" s="26" t="s">
        <v>293</v>
      </c>
    </row>
    <row r="2087" spans="1:16" x14ac:dyDescent="0.3">
      <c r="A2087" s="24">
        <v>68</v>
      </c>
      <c r="B2087" s="102">
        <v>46140</v>
      </c>
      <c r="C2087" s="25" t="s">
        <v>356</v>
      </c>
      <c r="D2087" s="103" t="s">
        <v>117</v>
      </c>
      <c r="E2087" s="26">
        <v>2.68</v>
      </c>
      <c r="F2087" s="26" t="s">
        <v>293</v>
      </c>
      <c r="K2087" s="24">
        <v>68</v>
      </c>
      <c r="L2087" s="102">
        <v>46140</v>
      </c>
      <c r="M2087" s="25" t="s">
        <v>357</v>
      </c>
      <c r="N2087" s="103" t="s">
        <v>117</v>
      </c>
      <c r="O2087" s="26">
        <v>6.15</v>
      </c>
      <c r="P2087" s="26" t="s">
        <v>293</v>
      </c>
    </row>
    <row r="2088" spans="1:16" x14ac:dyDescent="0.3">
      <c r="A2088" s="24">
        <v>68</v>
      </c>
      <c r="B2088" s="102">
        <v>46140</v>
      </c>
      <c r="C2088" s="25" t="s">
        <v>356</v>
      </c>
      <c r="D2088" s="103" t="s">
        <v>344</v>
      </c>
      <c r="E2088" s="26">
        <v>230</v>
      </c>
      <c r="F2088" s="26" t="s">
        <v>293</v>
      </c>
      <c r="K2088" s="24">
        <v>68</v>
      </c>
      <c r="L2088" s="102">
        <v>46140</v>
      </c>
      <c r="M2088" s="25" t="s">
        <v>357</v>
      </c>
      <c r="N2088" s="103" t="s">
        <v>344</v>
      </c>
      <c r="O2088" s="26">
        <v>70</v>
      </c>
      <c r="P2088" s="26" t="s">
        <v>293</v>
      </c>
    </row>
    <row r="2089" spans="1:16" x14ac:dyDescent="0.3">
      <c r="A2089" s="24">
        <v>68</v>
      </c>
      <c r="B2089" s="102">
        <v>46140</v>
      </c>
      <c r="C2089" s="25" t="s">
        <v>356</v>
      </c>
      <c r="D2089" s="103" t="s">
        <v>132</v>
      </c>
      <c r="E2089" s="26">
        <v>3.52</v>
      </c>
      <c r="F2089" s="26" t="s">
        <v>293</v>
      </c>
      <c r="K2089" s="24">
        <v>68</v>
      </c>
      <c r="L2089" s="102">
        <v>46140</v>
      </c>
      <c r="M2089" s="25" t="s">
        <v>357</v>
      </c>
      <c r="N2089" s="103" t="s">
        <v>132</v>
      </c>
      <c r="O2089" s="26">
        <v>7.11</v>
      </c>
      <c r="P2089" s="26" t="s">
        <v>293</v>
      </c>
    </row>
    <row r="2090" spans="1:16" x14ac:dyDescent="0.3">
      <c r="A2090" s="24">
        <v>68</v>
      </c>
      <c r="B2090" s="102">
        <v>46140</v>
      </c>
      <c r="C2090" s="25" t="s">
        <v>356</v>
      </c>
      <c r="D2090" s="103" t="s">
        <v>111</v>
      </c>
      <c r="E2090" s="26">
        <v>88</v>
      </c>
      <c r="F2090" s="26" t="s">
        <v>293</v>
      </c>
      <c r="K2090" s="24">
        <v>68</v>
      </c>
      <c r="L2090" s="102">
        <v>46140</v>
      </c>
      <c r="M2090" s="25" t="s">
        <v>357</v>
      </c>
      <c r="N2090" s="103" t="s">
        <v>111</v>
      </c>
      <c r="O2090" s="26">
        <v>279</v>
      </c>
      <c r="P2090" s="26" t="s">
        <v>293</v>
      </c>
    </row>
    <row r="2091" spans="1:16" x14ac:dyDescent="0.3">
      <c r="A2091" s="24">
        <v>68</v>
      </c>
      <c r="B2091" s="102">
        <v>46140</v>
      </c>
      <c r="C2091" s="25" t="s">
        <v>356</v>
      </c>
      <c r="D2091" s="103" t="s">
        <v>345</v>
      </c>
      <c r="E2091" s="26">
        <v>5.21</v>
      </c>
      <c r="F2091" s="26" t="s">
        <v>293</v>
      </c>
      <c r="K2091" s="24">
        <v>68</v>
      </c>
      <c r="L2091" s="102">
        <v>46140</v>
      </c>
      <c r="M2091" s="25" t="s">
        <v>357</v>
      </c>
      <c r="N2091" s="103" t="s">
        <v>345</v>
      </c>
      <c r="O2091" s="26">
        <v>9.8699999999999992</v>
      </c>
      <c r="P2091" s="26" t="s">
        <v>293</v>
      </c>
    </row>
    <row r="2092" spans="1:16" x14ac:dyDescent="0.3">
      <c r="A2092" s="24">
        <v>68</v>
      </c>
      <c r="B2092" s="102">
        <v>46140</v>
      </c>
      <c r="C2092" s="25" t="s">
        <v>356</v>
      </c>
      <c r="D2092" s="103" t="s">
        <v>347</v>
      </c>
      <c r="E2092" s="26">
        <v>2.2999999999999998</v>
      </c>
      <c r="F2092" s="26" t="s">
        <v>293</v>
      </c>
      <c r="K2092" s="24">
        <v>68</v>
      </c>
      <c r="L2092" s="102">
        <v>46140</v>
      </c>
      <c r="M2092" s="25" t="s">
        <v>357</v>
      </c>
      <c r="N2092" s="103" t="s">
        <v>347</v>
      </c>
      <c r="O2092" s="26">
        <v>4.83</v>
      </c>
      <c r="P2092" s="26" t="s">
        <v>293</v>
      </c>
    </row>
    <row r="2093" spans="1:16" x14ac:dyDescent="0.3">
      <c r="A2093" s="24">
        <v>68</v>
      </c>
      <c r="B2093" s="102">
        <v>46140</v>
      </c>
      <c r="C2093" s="25" t="s">
        <v>356</v>
      </c>
      <c r="D2093" s="103" t="s">
        <v>128</v>
      </c>
      <c r="E2093" s="26">
        <v>7</v>
      </c>
      <c r="F2093" s="26" t="s">
        <v>293</v>
      </c>
      <c r="K2093" s="24">
        <v>68</v>
      </c>
      <c r="L2093" s="102">
        <v>46140</v>
      </c>
      <c r="M2093" s="25" t="s">
        <v>357</v>
      </c>
      <c r="N2093" s="103" t="s">
        <v>128</v>
      </c>
      <c r="O2093" s="26">
        <v>4.5</v>
      </c>
      <c r="P2093" s="26" t="s">
        <v>293</v>
      </c>
    </row>
    <row r="2094" spans="1:16" x14ac:dyDescent="0.3">
      <c r="A2094" s="24">
        <v>68</v>
      </c>
      <c r="B2094" s="102">
        <v>46140</v>
      </c>
      <c r="C2094" s="25" t="s">
        <v>356</v>
      </c>
      <c r="D2094" s="103" t="s">
        <v>121</v>
      </c>
      <c r="E2094" s="26">
        <v>161</v>
      </c>
      <c r="F2094" s="26" t="s">
        <v>293</v>
      </c>
      <c r="K2094" s="24">
        <v>68</v>
      </c>
      <c r="L2094" s="102">
        <v>46140</v>
      </c>
      <c r="M2094" s="25" t="s">
        <v>357</v>
      </c>
      <c r="N2094" s="103" t="s">
        <v>121</v>
      </c>
      <c r="O2094" s="26">
        <v>80</v>
      </c>
      <c r="P2094" s="26" t="s">
        <v>293</v>
      </c>
    </row>
    <row r="2095" spans="1:16" x14ac:dyDescent="0.3">
      <c r="A2095" s="24">
        <v>68</v>
      </c>
      <c r="B2095" s="102">
        <v>46140</v>
      </c>
      <c r="C2095" s="25" t="s">
        <v>356</v>
      </c>
      <c r="D2095" s="103" t="s">
        <v>115</v>
      </c>
      <c r="E2095" s="26">
        <v>33</v>
      </c>
      <c r="F2095" s="26" t="s">
        <v>293</v>
      </c>
      <c r="K2095" s="24">
        <v>68</v>
      </c>
      <c r="L2095" s="102">
        <v>46140</v>
      </c>
      <c r="M2095" s="25" t="s">
        <v>357</v>
      </c>
      <c r="N2095" s="103" t="s">
        <v>115</v>
      </c>
      <c r="O2095" s="26">
        <v>96</v>
      </c>
      <c r="P2095" s="26" t="s">
        <v>293</v>
      </c>
    </row>
    <row r="2096" spans="1:16" x14ac:dyDescent="0.3">
      <c r="A2096" s="24">
        <v>68</v>
      </c>
      <c r="B2096" s="102">
        <v>46140</v>
      </c>
      <c r="C2096" s="25" t="s">
        <v>356</v>
      </c>
      <c r="D2096" s="103" t="s">
        <v>137</v>
      </c>
      <c r="E2096" s="26">
        <v>74</v>
      </c>
      <c r="F2096" s="26" t="s">
        <v>293</v>
      </c>
      <c r="K2096" s="24">
        <v>68</v>
      </c>
      <c r="L2096" s="102">
        <v>46140</v>
      </c>
      <c r="M2096" s="25" t="s">
        <v>357</v>
      </c>
      <c r="N2096" s="103" t="s">
        <v>137</v>
      </c>
      <c r="O2096" s="26">
        <v>475</v>
      </c>
      <c r="P2096" s="26" t="s">
        <v>293</v>
      </c>
    </row>
    <row r="2097" spans="1:16" x14ac:dyDescent="0.3">
      <c r="A2097" s="24">
        <v>68</v>
      </c>
      <c r="B2097" s="102">
        <v>46140</v>
      </c>
      <c r="C2097" s="25" t="s">
        <v>356</v>
      </c>
      <c r="D2097" s="103" t="s">
        <v>348</v>
      </c>
      <c r="E2097" s="26">
        <v>138</v>
      </c>
      <c r="F2097" s="26" t="s">
        <v>293</v>
      </c>
      <c r="K2097" s="24">
        <v>68</v>
      </c>
      <c r="L2097" s="102">
        <v>46140</v>
      </c>
      <c r="M2097" s="25" t="s">
        <v>357</v>
      </c>
      <c r="N2097" s="103" t="s">
        <v>348</v>
      </c>
      <c r="O2097" s="26">
        <v>420</v>
      </c>
      <c r="P2097" s="26" t="s">
        <v>293</v>
      </c>
    </row>
    <row r="2098" spans="1:16" x14ac:dyDescent="0.3">
      <c r="A2098" s="24">
        <v>68</v>
      </c>
      <c r="B2098" s="102">
        <v>46140</v>
      </c>
      <c r="C2098" s="25" t="s">
        <v>356</v>
      </c>
      <c r="D2098" s="103" t="s">
        <v>125</v>
      </c>
      <c r="E2098" s="26">
        <v>105</v>
      </c>
      <c r="F2098" s="26" t="s">
        <v>293</v>
      </c>
      <c r="K2098" s="24">
        <v>68</v>
      </c>
      <c r="L2098" s="102">
        <v>46140</v>
      </c>
      <c r="M2098" s="25" t="s">
        <v>357</v>
      </c>
      <c r="N2098" s="103" t="s">
        <v>125</v>
      </c>
      <c r="O2098" s="26">
        <v>422</v>
      </c>
      <c r="P2098" s="26" t="s">
        <v>293</v>
      </c>
    </row>
    <row r="2099" spans="1:16" x14ac:dyDescent="0.3">
      <c r="A2099" s="24">
        <v>68</v>
      </c>
      <c r="B2099" s="102">
        <v>46140</v>
      </c>
      <c r="C2099" s="25" t="s">
        <v>356</v>
      </c>
      <c r="D2099" s="103" t="s">
        <v>126</v>
      </c>
      <c r="E2099" s="26">
        <v>80</v>
      </c>
      <c r="F2099" s="26" t="s">
        <v>293</v>
      </c>
      <c r="K2099" s="24">
        <v>68</v>
      </c>
      <c r="L2099" s="102">
        <v>46140</v>
      </c>
      <c r="M2099" s="25" t="s">
        <v>357</v>
      </c>
      <c r="N2099" s="103" t="s">
        <v>126</v>
      </c>
      <c r="O2099" s="26">
        <v>153</v>
      </c>
      <c r="P2099" s="26" t="s">
        <v>293</v>
      </c>
    </row>
    <row r="2100" spans="1:16" x14ac:dyDescent="0.3">
      <c r="A2100" s="24">
        <v>68</v>
      </c>
      <c r="B2100" s="102">
        <v>46140</v>
      </c>
      <c r="C2100" s="25" t="s">
        <v>356</v>
      </c>
      <c r="D2100" s="103" t="s">
        <v>349</v>
      </c>
      <c r="E2100" s="26">
        <v>151</v>
      </c>
      <c r="F2100" s="26" t="s">
        <v>293</v>
      </c>
      <c r="K2100" s="24">
        <v>68</v>
      </c>
      <c r="L2100" s="102">
        <v>46140</v>
      </c>
      <c r="M2100" s="25" t="s">
        <v>357</v>
      </c>
      <c r="N2100" s="103" t="s">
        <v>349</v>
      </c>
      <c r="O2100" s="26">
        <v>363</v>
      </c>
      <c r="P2100" s="26" t="s">
        <v>293</v>
      </c>
    </row>
    <row r="2101" spans="1:16" x14ac:dyDescent="0.3">
      <c r="A2101" s="24">
        <v>68</v>
      </c>
      <c r="B2101" s="102">
        <v>46140</v>
      </c>
      <c r="C2101" s="25" t="s">
        <v>356</v>
      </c>
      <c r="D2101" s="103" t="s">
        <v>350</v>
      </c>
      <c r="E2101" s="26">
        <v>58</v>
      </c>
      <c r="F2101" s="26" t="s">
        <v>293</v>
      </c>
      <c r="K2101" s="24">
        <v>68</v>
      </c>
      <c r="L2101" s="102">
        <v>46140</v>
      </c>
      <c r="M2101" s="25" t="s">
        <v>357</v>
      </c>
      <c r="N2101" s="103" t="s">
        <v>350</v>
      </c>
      <c r="O2101" s="26">
        <v>83</v>
      </c>
      <c r="P2101" s="26" t="s">
        <v>293</v>
      </c>
    </row>
    <row r="2102" spans="1:16" x14ac:dyDescent="0.3">
      <c r="A2102" s="24">
        <v>68</v>
      </c>
      <c r="B2102" s="102">
        <v>46140</v>
      </c>
      <c r="C2102" s="25" t="s">
        <v>356</v>
      </c>
      <c r="D2102" s="103" t="s">
        <v>122</v>
      </c>
      <c r="E2102" s="26">
        <v>45</v>
      </c>
      <c r="F2102" s="26" t="s">
        <v>293</v>
      </c>
      <c r="K2102" s="24">
        <v>68</v>
      </c>
      <c r="L2102" s="102">
        <v>46140</v>
      </c>
      <c r="M2102" s="25" t="s">
        <v>357</v>
      </c>
      <c r="N2102" s="103" t="s">
        <v>122</v>
      </c>
      <c r="O2102" s="26">
        <v>211</v>
      </c>
      <c r="P2102" s="26" t="s">
        <v>293</v>
      </c>
    </row>
    <row r="2103" spans="1:16" x14ac:dyDescent="0.3">
      <c r="A2103" s="24">
        <v>68</v>
      </c>
      <c r="B2103" s="102">
        <v>46140</v>
      </c>
      <c r="C2103" s="25" t="s">
        <v>356</v>
      </c>
      <c r="D2103" s="103" t="s">
        <v>124</v>
      </c>
      <c r="E2103" s="26">
        <v>28</v>
      </c>
      <c r="F2103" s="26" t="s">
        <v>293</v>
      </c>
      <c r="K2103" s="24">
        <v>68</v>
      </c>
      <c r="L2103" s="102">
        <v>46140</v>
      </c>
      <c r="M2103" s="25" t="s">
        <v>357</v>
      </c>
      <c r="N2103" s="103" t="s">
        <v>124</v>
      </c>
      <c r="O2103" s="26">
        <v>98</v>
      </c>
      <c r="P2103" s="26" t="s">
        <v>293</v>
      </c>
    </row>
    <row r="2104" spans="1:16" x14ac:dyDescent="0.3">
      <c r="A2104" s="24">
        <v>68</v>
      </c>
      <c r="B2104" s="102">
        <v>46140</v>
      </c>
      <c r="C2104" s="25" t="s">
        <v>356</v>
      </c>
      <c r="D2104" s="103" t="s">
        <v>351</v>
      </c>
      <c r="E2104" s="26">
        <v>0.95</v>
      </c>
      <c r="F2104" s="26" t="s">
        <v>293</v>
      </c>
      <c r="K2104" s="24">
        <v>68</v>
      </c>
      <c r="L2104" s="102">
        <v>46140</v>
      </c>
      <c r="M2104" s="25" t="s">
        <v>357</v>
      </c>
      <c r="N2104" s="103" t="s">
        <v>351</v>
      </c>
      <c r="O2104" s="26">
        <v>3.59</v>
      </c>
      <c r="P2104" s="26" t="s">
        <v>293</v>
      </c>
    </row>
    <row r="2105" spans="1:16" x14ac:dyDescent="0.3">
      <c r="A2105" s="24">
        <v>68</v>
      </c>
      <c r="B2105" s="102">
        <v>46140</v>
      </c>
      <c r="C2105" s="25" t="s">
        <v>356</v>
      </c>
      <c r="D2105" s="103" t="s">
        <v>353</v>
      </c>
      <c r="E2105" s="26">
        <v>36.1</v>
      </c>
      <c r="F2105" s="26" t="s">
        <v>293</v>
      </c>
      <c r="K2105" s="24">
        <v>68</v>
      </c>
      <c r="L2105" s="102">
        <v>46140</v>
      </c>
      <c r="M2105" s="25" t="s">
        <v>357</v>
      </c>
      <c r="N2105" s="103" t="s">
        <v>353</v>
      </c>
      <c r="O2105" s="26">
        <v>19.3</v>
      </c>
      <c r="P2105" s="26" t="s">
        <v>293</v>
      </c>
    </row>
    <row r="2106" spans="1:16" x14ac:dyDescent="0.3">
      <c r="A2106" s="24">
        <v>68</v>
      </c>
      <c r="B2106" s="102">
        <v>46140</v>
      </c>
      <c r="C2106" s="25" t="s">
        <v>356</v>
      </c>
      <c r="D2106" s="103" t="s">
        <v>133</v>
      </c>
      <c r="E2106" s="26">
        <v>144</v>
      </c>
      <c r="F2106" s="26" t="s">
        <v>293</v>
      </c>
      <c r="K2106" s="24">
        <v>68</v>
      </c>
      <c r="L2106" s="102">
        <v>46140</v>
      </c>
      <c r="M2106" s="25" t="s">
        <v>357</v>
      </c>
      <c r="N2106" s="103" t="s">
        <v>133</v>
      </c>
      <c r="O2106" s="26">
        <v>125</v>
      </c>
      <c r="P2106" s="26" t="s">
        <v>293</v>
      </c>
    </row>
    <row r="2107" spans="1:16" x14ac:dyDescent="0.3">
      <c r="A2107" s="24">
        <v>68</v>
      </c>
      <c r="B2107" s="102">
        <v>46140</v>
      </c>
      <c r="C2107" s="25" t="s">
        <v>356</v>
      </c>
      <c r="D2107" s="103" t="s">
        <v>135</v>
      </c>
      <c r="E2107" s="26">
        <v>3.7</v>
      </c>
      <c r="F2107" s="26" t="s">
        <v>293</v>
      </c>
      <c r="K2107" s="24">
        <v>68</v>
      </c>
      <c r="L2107" s="102">
        <v>46140</v>
      </c>
      <c r="M2107" s="25" t="s">
        <v>357</v>
      </c>
      <c r="N2107" s="103" t="s">
        <v>135</v>
      </c>
      <c r="O2107" s="26">
        <v>6.4</v>
      </c>
      <c r="P2107" s="26" t="s">
        <v>293</v>
      </c>
    </row>
    <row r="2108" spans="1:16" x14ac:dyDescent="0.3">
      <c r="A2108" s="24">
        <v>68</v>
      </c>
      <c r="B2108" s="102">
        <v>46140</v>
      </c>
      <c r="C2108" s="25" t="s">
        <v>356</v>
      </c>
      <c r="D2108" s="103" t="s">
        <v>136</v>
      </c>
      <c r="E2108" s="26">
        <v>116</v>
      </c>
      <c r="F2108" s="26" t="s">
        <v>293</v>
      </c>
      <c r="K2108" s="24">
        <v>68</v>
      </c>
      <c r="L2108" s="102">
        <v>46140</v>
      </c>
      <c r="M2108" s="25" t="s">
        <v>357</v>
      </c>
      <c r="N2108" s="103" t="s">
        <v>136</v>
      </c>
      <c r="O2108" s="26">
        <v>92</v>
      </c>
      <c r="P2108" s="26" t="s">
        <v>293</v>
      </c>
    </row>
    <row r="2109" spans="1:16" x14ac:dyDescent="0.3">
      <c r="A2109" s="24">
        <v>69</v>
      </c>
      <c r="B2109" s="102">
        <v>46141</v>
      </c>
      <c r="C2109" s="25" t="s">
        <v>356</v>
      </c>
      <c r="D2109" s="103" t="s">
        <v>339</v>
      </c>
      <c r="E2109" s="26">
        <v>4.55</v>
      </c>
      <c r="F2109" s="26" t="s">
        <v>293</v>
      </c>
      <c r="K2109" s="24">
        <v>69</v>
      </c>
      <c r="L2109" s="102">
        <v>46141</v>
      </c>
      <c r="M2109" s="25" t="s">
        <v>357</v>
      </c>
      <c r="N2109" s="103" t="s">
        <v>339</v>
      </c>
      <c r="O2109" s="26">
        <v>1.26</v>
      </c>
      <c r="P2109" s="26" t="s">
        <v>293</v>
      </c>
    </row>
    <row r="2110" spans="1:16" x14ac:dyDescent="0.3">
      <c r="A2110" s="24">
        <v>69</v>
      </c>
      <c r="B2110" s="102">
        <v>46141</v>
      </c>
      <c r="C2110" s="25" t="s">
        <v>356</v>
      </c>
      <c r="D2110" s="103" t="s">
        <v>118</v>
      </c>
      <c r="E2110" s="26">
        <v>4.5999999999999996</v>
      </c>
      <c r="F2110" s="26" t="s">
        <v>293</v>
      </c>
      <c r="K2110" s="24">
        <v>69</v>
      </c>
      <c r="L2110" s="102">
        <v>46141</v>
      </c>
      <c r="M2110" s="25" t="s">
        <v>357</v>
      </c>
      <c r="N2110" s="103" t="s">
        <v>118</v>
      </c>
      <c r="O2110" s="26">
        <v>9.5</v>
      </c>
      <c r="P2110" s="26" t="s">
        <v>293</v>
      </c>
    </row>
    <row r="2111" spans="1:16" x14ac:dyDescent="0.3">
      <c r="A2111" s="24">
        <v>69</v>
      </c>
      <c r="B2111" s="102">
        <v>46141</v>
      </c>
      <c r="C2111" s="25" t="s">
        <v>356</v>
      </c>
      <c r="D2111" s="103" t="s">
        <v>130</v>
      </c>
      <c r="E2111" s="26">
        <v>3.94</v>
      </c>
      <c r="F2111" s="26" t="s">
        <v>293</v>
      </c>
      <c r="K2111" s="24">
        <v>69</v>
      </c>
      <c r="L2111" s="102">
        <v>46141</v>
      </c>
      <c r="M2111" s="25" t="s">
        <v>357</v>
      </c>
      <c r="N2111" s="103" t="s">
        <v>130</v>
      </c>
      <c r="O2111" s="26">
        <v>2.5</v>
      </c>
      <c r="P2111" s="26" t="s">
        <v>293</v>
      </c>
    </row>
    <row r="2112" spans="1:16" x14ac:dyDescent="0.3">
      <c r="A2112" s="24">
        <v>69</v>
      </c>
      <c r="B2112" s="102">
        <v>46141</v>
      </c>
      <c r="C2112" s="25" t="s">
        <v>356</v>
      </c>
      <c r="D2112" s="103" t="s">
        <v>341</v>
      </c>
      <c r="E2112" s="26">
        <v>0.32</v>
      </c>
      <c r="F2112" s="26" t="s">
        <v>293</v>
      </c>
      <c r="K2112" s="24">
        <v>69</v>
      </c>
      <c r="L2112" s="102">
        <v>46141</v>
      </c>
      <c r="M2112" s="25" t="s">
        <v>357</v>
      </c>
      <c r="N2112" s="103" t="s">
        <v>341</v>
      </c>
      <c r="O2112" s="26">
        <v>1.17</v>
      </c>
      <c r="P2112" s="26" t="s">
        <v>293</v>
      </c>
    </row>
    <row r="2113" spans="1:16" x14ac:dyDescent="0.3">
      <c r="A2113" s="24">
        <v>69</v>
      </c>
      <c r="B2113" s="102">
        <v>46141</v>
      </c>
      <c r="C2113" s="25" t="s">
        <v>356</v>
      </c>
      <c r="D2113" s="103" t="s">
        <v>127</v>
      </c>
      <c r="E2113" s="26">
        <v>1.1599999999999999</v>
      </c>
      <c r="F2113" s="26" t="s">
        <v>293</v>
      </c>
      <c r="K2113" s="24">
        <v>69</v>
      </c>
      <c r="L2113" s="102">
        <v>46141</v>
      </c>
      <c r="M2113" s="25" t="s">
        <v>357</v>
      </c>
      <c r="N2113" s="103" t="s">
        <v>127</v>
      </c>
      <c r="O2113" s="26">
        <v>4.6100000000000003</v>
      </c>
      <c r="P2113" s="26" t="s">
        <v>293</v>
      </c>
    </row>
    <row r="2114" spans="1:16" x14ac:dyDescent="0.3">
      <c r="A2114" s="24">
        <v>69</v>
      </c>
      <c r="B2114" s="102">
        <v>46141</v>
      </c>
      <c r="C2114" s="25" t="s">
        <v>356</v>
      </c>
      <c r="D2114" s="103" t="s">
        <v>131</v>
      </c>
      <c r="E2114" s="26">
        <v>8.9</v>
      </c>
      <c r="F2114" s="26" t="s">
        <v>293</v>
      </c>
      <c r="K2114" s="24">
        <v>69</v>
      </c>
      <c r="L2114" s="102">
        <v>46141</v>
      </c>
      <c r="M2114" s="25" t="s">
        <v>357</v>
      </c>
      <c r="N2114" s="103" t="s">
        <v>131</v>
      </c>
      <c r="O2114" s="26">
        <v>12.2</v>
      </c>
      <c r="P2114" s="26" t="s">
        <v>293</v>
      </c>
    </row>
    <row r="2115" spans="1:16" x14ac:dyDescent="0.3">
      <c r="A2115" s="24">
        <v>69</v>
      </c>
      <c r="B2115" s="102">
        <v>46141</v>
      </c>
      <c r="C2115" s="25" t="s">
        <v>356</v>
      </c>
      <c r="D2115" s="103" t="s">
        <v>342</v>
      </c>
      <c r="E2115" s="26">
        <v>355</v>
      </c>
      <c r="F2115" s="26" t="s">
        <v>293</v>
      </c>
      <c r="K2115" s="24">
        <v>69</v>
      </c>
      <c r="L2115" s="102">
        <v>46141</v>
      </c>
      <c r="M2115" s="25" t="s">
        <v>357</v>
      </c>
      <c r="N2115" s="103" t="s">
        <v>342</v>
      </c>
      <c r="O2115" s="26">
        <v>218</v>
      </c>
      <c r="P2115" s="26" t="s">
        <v>293</v>
      </c>
    </row>
    <row r="2116" spans="1:16" x14ac:dyDescent="0.3">
      <c r="A2116" s="24">
        <v>69</v>
      </c>
      <c r="B2116" s="102">
        <v>46141</v>
      </c>
      <c r="C2116" s="25" t="s">
        <v>356</v>
      </c>
      <c r="D2116" s="103" t="s">
        <v>119</v>
      </c>
      <c r="E2116" s="26">
        <v>240</v>
      </c>
      <c r="F2116" s="26" t="s">
        <v>293</v>
      </c>
      <c r="K2116" s="24">
        <v>69</v>
      </c>
      <c r="L2116" s="102">
        <v>46141</v>
      </c>
      <c r="M2116" s="25" t="s">
        <v>357</v>
      </c>
      <c r="N2116" s="103" t="s">
        <v>119</v>
      </c>
      <c r="O2116" s="26">
        <v>86</v>
      </c>
      <c r="P2116" s="26" t="s">
        <v>293</v>
      </c>
    </row>
    <row r="2117" spans="1:16" x14ac:dyDescent="0.3">
      <c r="A2117" s="24">
        <v>69</v>
      </c>
      <c r="B2117" s="102">
        <v>46141</v>
      </c>
      <c r="C2117" s="25" t="s">
        <v>356</v>
      </c>
      <c r="D2117" s="103" t="s">
        <v>120</v>
      </c>
      <c r="E2117" s="26">
        <v>80</v>
      </c>
      <c r="F2117" s="26" t="s">
        <v>293</v>
      </c>
      <c r="K2117" s="24">
        <v>69</v>
      </c>
      <c r="L2117" s="102">
        <v>46141</v>
      </c>
      <c r="M2117" s="25" t="s">
        <v>357</v>
      </c>
      <c r="N2117" s="103" t="s">
        <v>120</v>
      </c>
      <c r="O2117" s="26">
        <v>27</v>
      </c>
      <c r="P2117" s="26" t="s">
        <v>293</v>
      </c>
    </row>
    <row r="2118" spans="1:16" x14ac:dyDescent="0.3">
      <c r="A2118" s="24">
        <v>69</v>
      </c>
      <c r="B2118" s="102">
        <v>46141</v>
      </c>
      <c r="C2118" s="25" t="s">
        <v>356</v>
      </c>
      <c r="D2118" s="103" t="s">
        <v>117</v>
      </c>
      <c r="E2118" s="26">
        <v>2.64</v>
      </c>
      <c r="F2118" s="26" t="s">
        <v>293</v>
      </c>
      <c r="K2118" s="24">
        <v>69</v>
      </c>
      <c r="L2118" s="102">
        <v>46141</v>
      </c>
      <c r="M2118" s="25" t="s">
        <v>357</v>
      </c>
      <c r="N2118" s="103" t="s">
        <v>117</v>
      </c>
      <c r="O2118" s="26">
        <v>6.28</v>
      </c>
      <c r="P2118" s="26" t="s">
        <v>293</v>
      </c>
    </row>
    <row r="2119" spans="1:16" x14ac:dyDescent="0.3">
      <c r="A2119" s="24">
        <v>69</v>
      </c>
      <c r="B2119" s="102">
        <v>46141</v>
      </c>
      <c r="C2119" s="25" t="s">
        <v>356</v>
      </c>
      <c r="D2119" s="103" t="s">
        <v>344</v>
      </c>
      <c r="E2119" s="26">
        <v>232</v>
      </c>
      <c r="F2119" s="26" t="s">
        <v>293</v>
      </c>
      <c r="K2119" s="24">
        <v>69</v>
      </c>
      <c r="L2119" s="102">
        <v>46141</v>
      </c>
      <c r="M2119" s="25" t="s">
        <v>357</v>
      </c>
      <c r="N2119" s="103" t="s">
        <v>344</v>
      </c>
      <c r="O2119" s="26">
        <v>69</v>
      </c>
      <c r="P2119" s="26" t="s">
        <v>293</v>
      </c>
    </row>
    <row r="2120" spans="1:16" x14ac:dyDescent="0.3">
      <c r="A2120" s="24">
        <v>69</v>
      </c>
      <c r="B2120" s="102">
        <v>46141</v>
      </c>
      <c r="C2120" s="25" t="s">
        <v>356</v>
      </c>
      <c r="D2120" s="103" t="s">
        <v>132</v>
      </c>
      <c r="E2120" s="26">
        <v>3.52</v>
      </c>
      <c r="F2120" s="26" t="s">
        <v>293</v>
      </c>
      <c r="K2120" s="24">
        <v>69</v>
      </c>
      <c r="L2120" s="102">
        <v>46141</v>
      </c>
      <c r="M2120" s="25" t="s">
        <v>357</v>
      </c>
      <c r="N2120" s="103" t="s">
        <v>132</v>
      </c>
      <c r="O2120" s="26">
        <v>7.2</v>
      </c>
      <c r="P2120" s="26" t="s">
        <v>293</v>
      </c>
    </row>
    <row r="2121" spans="1:16" x14ac:dyDescent="0.3">
      <c r="A2121" s="24">
        <v>69</v>
      </c>
      <c r="B2121" s="102">
        <v>46141</v>
      </c>
      <c r="C2121" s="25" t="s">
        <v>356</v>
      </c>
      <c r="D2121" s="103" t="s">
        <v>111</v>
      </c>
      <c r="E2121" s="26">
        <v>88</v>
      </c>
      <c r="F2121" s="26" t="s">
        <v>293</v>
      </c>
      <c r="K2121" s="24">
        <v>69</v>
      </c>
      <c r="L2121" s="102">
        <v>46141</v>
      </c>
      <c r="M2121" s="25" t="s">
        <v>357</v>
      </c>
      <c r="N2121" s="103" t="s">
        <v>111</v>
      </c>
      <c r="O2121" s="26">
        <v>279</v>
      </c>
      <c r="P2121" s="26" t="s">
        <v>293</v>
      </c>
    </row>
    <row r="2122" spans="1:16" x14ac:dyDescent="0.3">
      <c r="A2122" s="24">
        <v>69</v>
      </c>
      <c r="B2122" s="102">
        <v>46141</v>
      </c>
      <c r="C2122" s="25" t="s">
        <v>356</v>
      </c>
      <c r="D2122" s="103" t="s">
        <v>345</v>
      </c>
      <c r="E2122" s="26">
        <v>5.16</v>
      </c>
      <c r="F2122" s="26" t="s">
        <v>293</v>
      </c>
      <c r="K2122" s="24">
        <v>69</v>
      </c>
      <c r="L2122" s="102">
        <v>46141</v>
      </c>
      <c r="M2122" s="25" t="s">
        <v>357</v>
      </c>
      <c r="N2122" s="103" t="s">
        <v>345</v>
      </c>
      <c r="O2122" s="26">
        <v>9.9</v>
      </c>
      <c r="P2122" s="26" t="s">
        <v>293</v>
      </c>
    </row>
    <row r="2123" spans="1:16" x14ac:dyDescent="0.3">
      <c r="A2123" s="24">
        <v>69</v>
      </c>
      <c r="B2123" s="102">
        <v>46141</v>
      </c>
      <c r="C2123" s="25" t="s">
        <v>356</v>
      </c>
      <c r="D2123" s="103" t="s">
        <v>347</v>
      </c>
      <c r="E2123" s="26">
        <v>2.3199999999999998</v>
      </c>
      <c r="F2123" s="26" t="s">
        <v>293</v>
      </c>
      <c r="K2123" s="24">
        <v>69</v>
      </c>
      <c r="L2123" s="102">
        <v>46141</v>
      </c>
      <c r="M2123" s="25" t="s">
        <v>357</v>
      </c>
      <c r="N2123" s="103" t="s">
        <v>347</v>
      </c>
      <c r="O2123" s="26">
        <v>4.96</v>
      </c>
      <c r="P2123" s="26" t="s">
        <v>293</v>
      </c>
    </row>
    <row r="2124" spans="1:16" x14ac:dyDescent="0.3">
      <c r="A2124" s="24">
        <v>69</v>
      </c>
      <c r="B2124" s="102">
        <v>46141</v>
      </c>
      <c r="C2124" s="25" t="s">
        <v>356</v>
      </c>
      <c r="D2124" s="103" t="s">
        <v>128</v>
      </c>
      <c r="E2124" s="26">
        <v>6.9</v>
      </c>
      <c r="F2124" s="26" t="s">
        <v>293</v>
      </c>
      <c r="K2124" s="24">
        <v>69</v>
      </c>
      <c r="L2124" s="102">
        <v>46141</v>
      </c>
      <c r="M2124" s="25" t="s">
        <v>357</v>
      </c>
      <c r="N2124" s="103" t="s">
        <v>128</v>
      </c>
      <c r="O2124" s="26">
        <v>4.5</v>
      </c>
      <c r="P2124" s="26" t="s">
        <v>293</v>
      </c>
    </row>
    <row r="2125" spans="1:16" x14ac:dyDescent="0.3">
      <c r="A2125" s="24">
        <v>69</v>
      </c>
      <c r="B2125" s="102">
        <v>46141</v>
      </c>
      <c r="C2125" s="25" t="s">
        <v>356</v>
      </c>
      <c r="D2125" s="103" t="s">
        <v>121</v>
      </c>
      <c r="E2125" s="26">
        <v>161</v>
      </c>
      <c r="F2125" s="26" t="s">
        <v>293</v>
      </c>
      <c r="K2125" s="24">
        <v>69</v>
      </c>
      <c r="L2125" s="102">
        <v>46141</v>
      </c>
      <c r="M2125" s="25" t="s">
        <v>357</v>
      </c>
      <c r="N2125" s="103" t="s">
        <v>121</v>
      </c>
      <c r="O2125" s="26">
        <v>82</v>
      </c>
      <c r="P2125" s="26" t="s">
        <v>293</v>
      </c>
    </row>
    <row r="2126" spans="1:16" x14ac:dyDescent="0.3">
      <c r="A2126" s="24">
        <v>69</v>
      </c>
      <c r="B2126" s="102">
        <v>46141</v>
      </c>
      <c r="C2126" s="25" t="s">
        <v>356</v>
      </c>
      <c r="D2126" s="103" t="s">
        <v>115</v>
      </c>
      <c r="E2126" s="26">
        <v>34</v>
      </c>
      <c r="F2126" s="26" t="s">
        <v>293</v>
      </c>
      <c r="K2126" s="24">
        <v>69</v>
      </c>
      <c r="L2126" s="102">
        <v>46141</v>
      </c>
      <c r="M2126" s="25" t="s">
        <v>357</v>
      </c>
      <c r="N2126" s="103" t="s">
        <v>115</v>
      </c>
      <c r="O2126" s="26">
        <v>97</v>
      </c>
      <c r="P2126" s="26" t="s">
        <v>293</v>
      </c>
    </row>
    <row r="2127" spans="1:16" x14ac:dyDescent="0.3">
      <c r="A2127" s="24">
        <v>69</v>
      </c>
      <c r="B2127" s="102">
        <v>46141</v>
      </c>
      <c r="C2127" s="25" t="s">
        <v>356</v>
      </c>
      <c r="D2127" s="103" t="s">
        <v>137</v>
      </c>
      <c r="E2127" s="26">
        <v>76</v>
      </c>
      <c r="F2127" s="26" t="s">
        <v>293</v>
      </c>
      <c r="K2127" s="24">
        <v>69</v>
      </c>
      <c r="L2127" s="102">
        <v>46141</v>
      </c>
      <c r="M2127" s="25" t="s">
        <v>357</v>
      </c>
      <c r="N2127" s="103" t="s">
        <v>137</v>
      </c>
      <c r="O2127" s="26">
        <v>489</v>
      </c>
      <c r="P2127" s="26" t="s">
        <v>293</v>
      </c>
    </row>
    <row r="2128" spans="1:16" x14ac:dyDescent="0.3">
      <c r="A2128" s="24">
        <v>69</v>
      </c>
      <c r="B2128" s="102">
        <v>46141</v>
      </c>
      <c r="C2128" s="25" t="s">
        <v>356</v>
      </c>
      <c r="D2128" s="103" t="s">
        <v>348</v>
      </c>
      <c r="E2128" s="26">
        <v>141</v>
      </c>
      <c r="F2128" s="26" t="s">
        <v>293</v>
      </c>
      <c r="K2128" s="24">
        <v>69</v>
      </c>
      <c r="L2128" s="102">
        <v>46141</v>
      </c>
      <c r="M2128" s="25" t="s">
        <v>357</v>
      </c>
      <c r="N2128" s="103" t="s">
        <v>348</v>
      </c>
      <c r="O2128" s="26">
        <v>431</v>
      </c>
      <c r="P2128" s="26" t="s">
        <v>293</v>
      </c>
    </row>
    <row r="2129" spans="1:16" x14ac:dyDescent="0.3">
      <c r="A2129" s="24">
        <v>69</v>
      </c>
      <c r="B2129" s="102">
        <v>46141</v>
      </c>
      <c r="C2129" s="25" t="s">
        <v>356</v>
      </c>
      <c r="D2129" s="103" t="s">
        <v>125</v>
      </c>
      <c r="E2129" s="26">
        <v>103</v>
      </c>
      <c r="F2129" s="26" t="s">
        <v>293</v>
      </c>
      <c r="K2129" s="24">
        <v>69</v>
      </c>
      <c r="L2129" s="102">
        <v>46141</v>
      </c>
      <c r="M2129" s="25" t="s">
        <v>357</v>
      </c>
      <c r="N2129" s="103" t="s">
        <v>125</v>
      </c>
      <c r="O2129" s="26">
        <v>409</v>
      </c>
      <c r="P2129" s="26" t="s">
        <v>293</v>
      </c>
    </row>
    <row r="2130" spans="1:16" x14ac:dyDescent="0.3">
      <c r="A2130" s="24">
        <v>69</v>
      </c>
      <c r="B2130" s="102">
        <v>46141</v>
      </c>
      <c r="C2130" s="25" t="s">
        <v>356</v>
      </c>
      <c r="D2130" s="103" t="s">
        <v>126</v>
      </c>
      <c r="E2130" s="26">
        <v>82</v>
      </c>
      <c r="F2130" s="26" t="s">
        <v>293</v>
      </c>
      <c r="K2130" s="24">
        <v>69</v>
      </c>
      <c r="L2130" s="102">
        <v>46141</v>
      </c>
      <c r="M2130" s="25" t="s">
        <v>357</v>
      </c>
      <c r="N2130" s="103" t="s">
        <v>126</v>
      </c>
      <c r="O2130" s="26">
        <v>156</v>
      </c>
      <c r="P2130" s="26" t="s">
        <v>293</v>
      </c>
    </row>
    <row r="2131" spans="1:16" x14ac:dyDescent="0.3">
      <c r="A2131" s="24">
        <v>69</v>
      </c>
      <c r="B2131" s="102">
        <v>46141</v>
      </c>
      <c r="C2131" s="25" t="s">
        <v>356</v>
      </c>
      <c r="D2131" s="103" t="s">
        <v>349</v>
      </c>
      <c r="E2131" s="26">
        <v>163</v>
      </c>
      <c r="F2131" s="26" t="s">
        <v>293</v>
      </c>
      <c r="K2131" s="24">
        <v>69</v>
      </c>
      <c r="L2131" s="102">
        <v>46141</v>
      </c>
      <c r="M2131" s="25" t="s">
        <v>357</v>
      </c>
      <c r="N2131" s="103" t="s">
        <v>349</v>
      </c>
      <c r="O2131" s="26">
        <v>382</v>
      </c>
      <c r="P2131" s="26" t="s">
        <v>293</v>
      </c>
    </row>
    <row r="2132" spans="1:16" x14ac:dyDescent="0.3">
      <c r="A2132" s="24">
        <v>69</v>
      </c>
      <c r="B2132" s="102">
        <v>46141</v>
      </c>
      <c r="C2132" s="25" t="s">
        <v>356</v>
      </c>
      <c r="D2132" s="103" t="s">
        <v>350</v>
      </c>
      <c r="E2132" s="26">
        <v>57</v>
      </c>
      <c r="F2132" s="26" t="s">
        <v>293</v>
      </c>
      <c r="K2132" s="24">
        <v>69</v>
      </c>
      <c r="L2132" s="102">
        <v>46141</v>
      </c>
      <c r="M2132" s="25" t="s">
        <v>357</v>
      </c>
      <c r="N2132" s="103" t="s">
        <v>350</v>
      </c>
      <c r="O2132" s="26">
        <v>83</v>
      </c>
      <c r="P2132" s="26" t="s">
        <v>293</v>
      </c>
    </row>
    <row r="2133" spans="1:16" x14ac:dyDescent="0.3">
      <c r="A2133" s="24">
        <v>69</v>
      </c>
      <c r="B2133" s="102">
        <v>46141</v>
      </c>
      <c r="C2133" s="25" t="s">
        <v>356</v>
      </c>
      <c r="D2133" s="103" t="s">
        <v>122</v>
      </c>
      <c r="E2133" s="26">
        <v>46</v>
      </c>
      <c r="F2133" s="26" t="s">
        <v>293</v>
      </c>
      <c r="K2133" s="24">
        <v>69</v>
      </c>
      <c r="L2133" s="102">
        <v>46141</v>
      </c>
      <c r="M2133" s="25" t="s">
        <v>357</v>
      </c>
      <c r="N2133" s="103" t="s">
        <v>122</v>
      </c>
      <c r="O2133" s="26">
        <v>218</v>
      </c>
      <c r="P2133" s="26" t="s">
        <v>293</v>
      </c>
    </row>
    <row r="2134" spans="1:16" x14ac:dyDescent="0.3">
      <c r="A2134" s="24">
        <v>69</v>
      </c>
      <c r="B2134" s="102">
        <v>46141</v>
      </c>
      <c r="C2134" s="25" t="s">
        <v>356</v>
      </c>
      <c r="D2134" s="103" t="s">
        <v>124</v>
      </c>
      <c r="E2134" s="26">
        <v>30</v>
      </c>
      <c r="F2134" s="26" t="s">
        <v>293</v>
      </c>
      <c r="K2134" s="24">
        <v>69</v>
      </c>
      <c r="L2134" s="102">
        <v>46141</v>
      </c>
      <c r="M2134" s="25" t="s">
        <v>357</v>
      </c>
      <c r="N2134" s="103" t="s">
        <v>124</v>
      </c>
      <c r="O2134" s="26">
        <v>106</v>
      </c>
      <c r="P2134" s="26" t="s">
        <v>293</v>
      </c>
    </row>
    <row r="2135" spans="1:16" x14ac:dyDescent="0.3">
      <c r="A2135" s="24">
        <v>69</v>
      </c>
      <c r="B2135" s="102">
        <v>46141</v>
      </c>
      <c r="C2135" s="25" t="s">
        <v>356</v>
      </c>
      <c r="D2135" s="103" t="s">
        <v>351</v>
      </c>
      <c r="E2135" s="26">
        <v>0.96</v>
      </c>
      <c r="F2135" s="26" t="s">
        <v>293</v>
      </c>
      <c r="K2135" s="24">
        <v>69</v>
      </c>
      <c r="L2135" s="102">
        <v>46141</v>
      </c>
      <c r="M2135" s="25" t="s">
        <v>357</v>
      </c>
      <c r="N2135" s="103" t="s">
        <v>351</v>
      </c>
      <c r="O2135" s="26">
        <v>3.6</v>
      </c>
      <c r="P2135" s="26" t="s">
        <v>293</v>
      </c>
    </row>
    <row r="2136" spans="1:16" x14ac:dyDescent="0.3">
      <c r="A2136" s="24">
        <v>69</v>
      </c>
      <c r="B2136" s="102">
        <v>46141</v>
      </c>
      <c r="C2136" s="25" t="s">
        <v>356</v>
      </c>
      <c r="D2136" s="103" t="s">
        <v>353</v>
      </c>
      <c r="E2136" s="26">
        <v>35.700000000000003</v>
      </c>
      <c r="F2136" s="26" t="s">
        <v>293</v>
      </c>
      <c r="K2136" s="24">
        <v>69</v>
      </c>
      <c r="L2136" s="102">
        <v>46141</v>
      </c>
      <c r="M2136" s="25" t="s">
        <v>357</v>
      </c>
      <c r="N2136" s="103" t="s">
        <v>353</v>
      </c>
      <c r="O2136" s="26">
        <v>20</v>
      </c>
      <c r="P2136" s="26" t="s">
        <v>293</v>
      </c>
    </row>
    <row r="2137" spans="1:16" x14ac:dyDescent="0.3">
      <c r="A2137" s="24">
        <v>69</v>
      </c>
      <c r="B2137" s="102">
        <v>46141</v>
      </c>
      <c r="C2137" s="25" t="s">
        <v>356</v>
      </c>
      <c r="D2137" s="103" t="s">
        <v>133</v>
      </c>
      <c r="E2137" s="26">
        <v>145</v>
      </c>
      <c r="F2137" s="26" t="s">
        <v>293</v>
      </c>
      <c r="K2137" s="24">
        <v>69</v>
      </c>
      <c r="L2137" s="102">
        <v>46141</v>
      </c>
      <c r="M2137" s="25" t="s">
        <v>357</v>
      </c>
      <c r="N2137" s="103" t="s">
        <v>133</v>
      </c>
      <c r="O2137" s="26">
        <v>127</v>
      </c>
      <c r="P2137" s="26" t="s">
        <v>293</v>
      </c>
    </row>
    <row r="2138" spans="1:16" x14ac:dyDescent="0.3">
      <c r="A2138" s="24">
        <v>69</v>
      </c>
      <c r="B2138" s="102">
        <v>46141</v>
      </c>
      <c r="C2138" s="25" t="s">
        <v>356</v>
      </c>
      <c r="D2138" s="103" t="s">
        <v>135</v>
      </c>
      <c r="E2138" s="26">
        <v>3.7</v>
      </c>
      <c r="F2138" s="26" t="s">
        <v>293</v>
      </c>
      <c r="K2138" s="24">
        <v>69</v>
      </c>
      <c r="L2138" s="102">
        <v>46141</v>
      </c>
      <c r="M2138" s="25" t="s">
        <v>357</v>
      </c>
      <c r="N2138" s="103" t="s">
        <v>135</v>
      </c>
      <c r="O2138" s="26">
        <v>6.5</v>
      </c>
      <c r="P2138" s="26" t="s">
        <v>293</v>
      </c>
    </row>
    <row r="2139" spans="1:16" x14ac:dyDescent="0.3">
      <c r="A2139" s="24">
        <v>69</v>
      </c>
      <c r="B2139" s="102">
        <v>46141</v>
      </c>
      <c r="C2139" s="25" t="s">
        <v>356</v>
      </c>
      <c r="D2139" s="103" t="s">
        <v>136</v>
      </c>
      <c r="E2139" s="26">
        <v>116</v>
      </c>
      <c r="F2139" s="26" t="s">
        <v>293</v>
      </c>
      <c r="K2139" s="24">
        <v>69</v>
      </c>
      <c r="L2139" s="102">
        <v>46141</v>
      </c>
      <c r="M2139" s="25" t="s">
        <v>357</v>
      </c>
      <c r="N2139" s="103" t="s">
        <v>136</v>
      </c>
      <c r="O2139" s="26">
        <v>94</v>
      </c>
      <c r="P2139" s="26" t="s">
        <v>293</v>
      </c>
    </row>
    <row r="2140" spans="1:16" x14ac:dyDescent="0.3">
      <c r="A2140" s="24">
        <v>70</v>
      </c>
      <c r="B2140" s="102">
        <v>46142</v>
      </c>
      <c r="C2140" s="25" t="s">
        <v>356</v>
      </c>
      <c r="D2140" s="103" t="s">
        <v>339</v>
      </c>
      <c r="E2140" s="26">
        <v>4.62</v>
      </c>
      <c r="F2140" s="26" t="s">
        <v>293</v>
      </c>
      <c r="K2140" s="24">
        <v>70</v>
      </c>
      <c r="L2140" s="102">
        <v>46142</v>
      </c>
      <c r="M2140" s="25" t="s">
        <v>357</v>
      </c>
      <c r="N2140" s="103" t="s">
        <v>339</v>
      </c>
      <c r="O2140" s="26">
        <v>1.26</v>
      </c>
      <c r="P2140" s="26" t="s">
        <v>293</v>
      </c>
    </row>
    <row r="2141" spans="1:16" x14ac:dyDescent="0.3">
      <c r="A2141" s="24">
        <v>70</v>
      </c>
      <c r="B2141" s="102">
        <v>46142</v>
      </c>
      <c r="C2141" s="25" t="s">
        <v>356</v>
      </c>
      <c r="D2141" s="103" t="s">
        <v>118</v>
      </c>
      <c r="E2141" s="26">
        <v>4.5</v>
      </c>
      <c r="F2141" s="26" t="s">
        <v>293</v>
      </c>
      <c r="K2141" s="24">
        <v>70</v>
      </c>
      <c r="L2141" s="102">
        <v>46142</v>
      </c>
      <c r="M2141" s="25" t="s">
        <v>357</v>
      </c>
      <c r="N2141" s="103" t="s">
        <v>118</v>
      </c>
      <c r="O2141" s="26">
        <v>9.6999999999999993</v>
      </c>
      <c r="P2141" s="26" t="s">
        <v>293</v>
      </c>
    </row>
    <row r="2142" spans="1:16" x14ac:dyDescent="0.3">
      <c r="A2142" s="24">
        <v>70</v>
      </c>
      <c r="B2142" s="102">
        <v>46142</v>
      </c>
      <c r="C2142" s="25" t="s">
        <v>356</v>
      </c>
      <c r="D2142" s="103" t="s">
        <v>130</v>
      </c>
      <c r="E2142" s="26">
        <v>4</v>
      </c>
      <c r="F2142" s="26" t="s">
        <v>293</v>
      </c>
      <c r="K2142" s="24">
        <v>70</v>
      </c>
      <c r="L2142" s="102">
        <v>46142</v>
      </c>
      <c r="M2142" s="25" t="s">
        <v>357</v>
      </c>
      <c r="N2142" s="103" t="s">
        <v>130</v>
      </c>
      <c r="O2142" s="26">
        <v>2.5099999999999998</v>
      </c>
      <c r="P2142" s="26" t="s">
        <v>293</v>
      </c>
    </row>
    <row r="2143" spans="1:16" x14ac:dyDescent="0.3">
      <c r="A2143" s="24">
        <v>70</v>
      </c>
      <c r="B2143" s="102">
        <v>46142</v>
      </c>
      <c r="C2143" s="25" t="s">
        <v>356</v>
      </c>
      <c r="D2143" s="103" t="s">
        <v>341</v>
      </c>
      <c r="E2143" s="26">
        <v>0.33100000000000002</v>
      </c>
      <c r="F2143" s="26" t="s">
        <v>293</v>
      </c>
      <c r="K2143" s="24">
        <v>70</v>
      </c>
      <c r="L2143" s="102">
        <v>46142</v>
      </c>
      <c r="M2143" s="25" t="s">
        <v>357</v>
      </c>
      <c r="N2143" s="103" t="s">
        <v>341</v>
      </c>
      <c r="O2143" s="26">
        <v>1.19</v>
      </c>
      <c r="P2143" s="26" t="s">
        <v>293</v>
      </c>
    </row>
    <row r="2144" spans="1:16" x14ac:dyDescent="0.3">
      <c r="A2144" s="24">
        <v>70</v>
      </c>
      <c r="B2144" s="102">
        <v>46142</v>
      </c>
      <c r="C2144" s="25" t="s">
        <v>356</v>
      </c>
      <c r="D2144" s="103" t="s">
        <v>127</v>
      </c>
      <c r="E2144" s="26">
        <v>1.17</v>
      </c>
      <c r="F2144" s="26" t="s">
        <v>293</v>
      </c>
      <c r="K2144" s="24">
        <v>70</v>
      </c>
      <c r="L2144" s="102">
        <v>46142</v>
      </c>
      <c r="M2144" s="25" t="s">
        <v>357</v>
      </c>
      <c r="N2144" s="103" t="s">
        <v>127</v>
      </c>
      <c r="O2144" s="26">
        <v>4.57</v>
      </c>
      <c r="P2144" s="26" t="s">
        <v>293</v>
      </c>
    </row>
    <row r="2145" spans="1:16" x14ac:dyDescent="0.3">
      <c r="A2145" s="24">
        <v>70</v>
      </c>
      <c r="B2145" s="102">
        <v>46142</v>
      </c>
      <c r="C2145" s="25" t="s">
        <v>356</v>
      </c>
      <c r="D2145" s="103" t="s">
        <v>131</v>
      </c>
      <c r="E2145" s="26">
        <v>9</v>
      </c>
      <c r="F2145" s="26" t="s">
        <v>293</v>
      </c>
      <c r="K2145" s="24">
        <v>70</v>
      </c>
      <c r="L2145" s="102">
        <v>46142</v>
      </c>
      <c r="M2145" s="25" t="s">
        <v>357</v>
      </c>
      <c r="N2145" s="103" t="s">
        <v>131</v>
      </c>
      <c r="O2145" s="26">
        <v>12</v>
      </c>
      <c r="P2145" s="26" t="s">
        <v>293</v>
      </c>
    </row>
    <row r="2146" spans="1:16" x14ac:dyDescent="0.3">
      <c r="A2146" s="24">
        <v>70</v>
      </c>
      <c r="B2146" s="102">
        <v>46142</v>
      </c>
      <c r="C2146" s="25" t="s">
        <v>356</v>
      </c>
      <c r="D2146" s="103" t="s">
        <v>342</v>
      </c>
      <c r="E2146" s="26">
        <v>361</v>
      </c>
      <c r="F2146" s="26" t="s">
        <v>293</v>
      </c>
      <c r="K2146" s="24">
        <v>70</v>
      </c>
      <c r="L2146" s="102">
        <v>46142</v>
      </c>
      <c r="M2146" s="25" t="s">
        <v>357</v>
      </c>
      <c r="N2146" s="103" t="s">
        <v>342</v>
      </c>
      <c r="O2146" s="26">
        <v>220</v>
      </c>
      <c r="P2146" s="26" t="s">
        <v>293</v>
      </c>
    </row>
    <row r="2147" spans="1:16" x14ac:dyDescent="0.3">
      <c r="A2147" s="24">
        <v>70</v>
      </c>
      <c r="B2147" s="102">
        <v>46142</v>
      </c>
      <c r="C2147" s="25" t="s">
        <v>356</v>
      </c>
      <c r="D2147" s="103" t="s">
        <v>119</v>
      </c>
      <c r="E2147" s="26">
        <v>240</v>
      </c>
      <c r="F2147" s="26" t="s">
        <v>293</v>
      </c>
      <c r="K2147" s="24">
        <v>70</v>
      </c>
      <c r="L2147" s="102">
        <v>46142</v>
      </c>
      <c r="M2147" s="25" t="s">
        <v>357</v>
      </c>
      <c r="N2147" s="103" t="s">
        <v>119</v>
      </c>
      <c r="O2147" s="26">
        <v>90</v>
      </c>
      <c r="P2147" s="26" t="s">
        <v>293</v>
      </c>
    </row>
    <row r="2148" spans="1:16" x14ac:dyDescent="0.3">
      <c r="A2148" s="24">
        <v>70</v>
      </c>
      <c r="B2148" s="102">
        <v>46142</v>
      </c>
      <c r="C2148" s="25" t="s">
        <v>356</v>
      </c>
      <c r="D2148" s="103" t="s">
        <v>120</v>
      </c>
      <c r="E2148" s="26">
        <v>78</v>
      </c>
      <c r="F2148" s="26" t="s">
        <v>293</v>
      </c>
      <c r="K2148" s="24">
        <v>70</v>
      </c>
      <c r="L2148" s="102">
        <v>46142</v>
      </c>
      <c r="M2148" s="25" t="s">
        <v>357</v>
      </c>
      <c r="N2148" s="103" t="s">
        <v>120</v>
      </c>
      <c r="O2148" s="26">
        <v>27</v>
      </c>
      <c r="P2148" s="26" t="s">
        <v>293</v>
      </c>
    </row>
    <row r="2149" spans="1:16" x14ac:dyDescent="0.3">
      <c r="A2149" s="24">
        <v>70</v>
      </c>
      <c r="B2149" s="102">
        <v>46142</v>
      </c>
      <c r="C2149" s="25" t="s">
        <v>356</v>
      </c>
      <c r="D2149" s="103" t="s">
        <v>117</v>
      </c>
      <c r="E2149" s="26">
        <v>2.67</v>
      </c>
      <c r="F2149" s="26" t="s">
        <v>293</v>
      </c>
      <c r="K2149" s="24">
        <v>70</v>
      </c>
      <c r="L2149" s="102">
        <v>46142</v>
      </c>
      <c r="M2149" s="25" t="s">
        <v>357</v>
      </c>
      <c r="N2149" s="103" t="s">
        <v>117</v>
      </c>
      <c r="O2149" s="26">
        <v>6.25</v>
      </c>
      <c r="P2149" s="26" t="s">
        <v>293</v>
      </c>
    </row>
    <row r="2150" spans="1:16" x14ac:dyDescent="0.3">
      <c r="A2150" s="24">
        <v>70</v>
      </c>
      <c r="B2150" s="102">
        <v>46142</v>
      </c>
      <c r="C2150" s="25" t="s">
        <v>356</v>
      </c>
      <c r="D2150" s="103" t="s">
        <v>344</v>
      </c>
      <c r="E2150" s="26">
        <v>235</v>
      </c>
      <c r="F2150" s="26" t="s">
        <v>293</v>
      </c>
      <c r="K2150" s="24">
        <v>70</v>
      </c>
      <c r="L2150" s="102">
        <v>46142</v>
      </c>
      <c r="M2150" s="25" t="s">
        <v>357</v>
      </c>
      <c r="N2150" s="103" t="s">
        <v>344</v>
      </c>
      <c r="O2150" s="26">
        <v>70</v>
      </c>
      <c r="P2150" s="26" t="s">
        <v>293</v>
      </c>
    </row>
    <row r="2151" spans="1:16" x14ac:dyDescent="0.3">
      <c r="A2151" s="24">
        <v>70</v>
      </c>
      <c r="B2151" s="102">
        <v>46142</v>
      </c>
      <c r="C2151" s="25" t="s">
        <v>356</v>
      </c>
      <c r="D2151" s="103" t="s">
        <v>132</v>
      </c>
      <c r="E2151" s="26">
        <v>3.6</v>
      </c>
      <c r="F2151" s="26" t="s">
        <v>293</v>
      </c>
      <c r="K2151" s="24">
        <v>70</v>
      </c>
      <c r="L2151" s="102">
        <v>46142</v>
      </c>
      <c r="M2151" s="25" t="s">
        <v>357</v>
      </c>
      <c r="N2151" s="103" t="s">
        <v>132</v>
      </c>
      <c r="O2151" s="26">
        <v>7.24</v>
      </c>
      <c r="P2151" s="26" t="s">
        <v>293</v>
      </c>
    </row>
    <row r="2152" spans="1:16" x14ac:dyDescent="0.3">
      <c r="A2152" s="24">
        <v>70</v>
      </c>
      <c r="B2152" s="102">
        <v>46142</v>
      </c>
      <c r="C2152" s="25" t="s">
        <v>356</v>
      </c>
      <c r="D2152" s="103" t="s">
        <v>111</v>
      </c>
      <c r="E2152" s="26">
        <v>89</v>
      </c>
      <c r="F2152" s="26" t="s">
        <v>293</v>
      </c>
      <c r="K2152" s="24">
        <v>70</v>
      </c>
      <c r="L2152" s="102">
        <v>46142</v>
      </c>
      <c r="M2152" s="25" t="s">
        <v>357</v>
      </c>
      <c r="N2152" s="103" t="s">
        <v>111</v>
      </c>
      <c r="O2152" s="26">
        <v>279</v>
      </c>
      <c r="P2152" s="26" t="s">
        <v>293</v>
      </c>
    </row>
    <row r="2153" spans="1:16" x14ac:dyDescent="0.3">
      <c r="A2153" s="24">
        <v>70</v>
      </c>
      <c r="B2153" s="102">
        <v>46142</v>
      </c>
      <c r="C2153" s="25" t="s">
        <v>356</v>
      </c>
      <c r="D2153" s="103" t="s">
        <v>345</v>
      </c>
      <c r="E2153" s="26">
        <v>5.25</v>
      </c>
      <c r="F2153" s="26" t="s">
        <v>293</v>
      </c>
      <c r="K2153" s="24">
        <v>70</v>
      </c>
      <c r="L2153" s="102">
        <v>46142</v>
      </c>
      <c r="M2153" s="25" t="s">
        <v>357</v>
      </c>
      <c r="N2153" s="103" t="s">
        <v>345</v>
      </c>
      <c r="O2153" s="26">
        <v>9.82</v>
      </c>
      <c r="P2153" s="26" t="s">
        <v>293</v>
      </c>
    </row>
    <row r="2154" spans="1:16" x14ac:dyDescent="0.3">
      <c r="A2154" s="24">
        <v>70</v>
      </c>
      <c r="B2154" s="102">
        <v>46142</v>
      </c>
      <c r="C2154" s="25" t="s">
        <v>356</v>
      </c>
      <c r="D2154" s="103" t="s">
        <v>347</v>
      </c>
      <c r="E2154" s="26">
        <v>2.25</v>
      </c>
      <c r="F2154" s="26" t="s">
        <v>293</v>
      </c>
      <c r="K2154" s="24">
        <v>70</v>
      </c>
      <c r="L2154" s="102">
        <v>46142</v>
      </c>
      <c r="M2154" s="25" t="s">
        <v>357</v>
      </c>
      <c r="N2154" s="103" t="s">
        <v>347</v>
      </c>
      <c r="O2154" s="26">
        <v>4.9000000000000004</v>
      </c>
      <c r="P2154" s="26" t="s">
        <v>293</v>
      </c>
    </row>
    <row r="2155" spans="1:16" x14ac:dyDescent="0.3">
      <c r="A2155" s="24">
        <v>70</v>
      </c>
      <c r="B2155" s="102">
        <v>46142</v>
      </c>
      <c r="C2155" s="25" t="s">
        <v>356</v>
      </c>
      <c r="D2155" s="103" t="s">
        <v>128</v>
      </c>
      <c r="E2155" s="26">
        <v>7</v>
      </c>
      <c r="F2155" s="26" t="s">
        <v>293</v>
      </c>
      <c r="K2155" s="24">
        <v>70</v>
      </c>
      <c r="L2155" s="102">
        <v>46142</v>
      </c>
      <c r="M2155" s="25" t="s">
        <v>357</v>
      </c>
      <c r="N2155" s="103" t="s">
        <v>128</v>
      </c>
      <c r="O2155" s="26">
        <v>4.5</v>
      </c>
      <c r="P2155" s="26" t="s">
        <v>293</v>
      </c>
    </row>
    <row r="2156" spans="1:16" x14ac:dyDescent="0.3">
      <c r="A2156" s="24">
        <v>70</v>
      </c>
      <c r="B2156" s="102">
        <v>46142</v>
      </c>
      <c r="C2156" s="25" t="s">
        <v>356</v>
      </c>
      <c r="D2156" s="103" t="s">
        <v>121</v>
      </c>
      <c r="E2156" s="26">
        <v>161</v>
      </c>
      <c r="F2156" s="26" t="s">
        <v>293</v>
      </c>
      <c r="K2156" s="24">
        <v>70</v>
      </c>
      <c r="L2156" s="102">
        <v>46142</v>
      </c>
      <c r="M2156" s="25" t="s">
        <v>357</v>
      </c>
      <c r="N2156" s="103" t="s">
        <v>121</v>
      </c>
      <c r="O2156" s="26">
        <v>82</v>
      </c>
      <c r="P2156" s="26" t="s">
        <v>293</v>
      </c>
    </row>
    <row r="2157" spans="1:16" x14ac:dyDescent="0.3">
      <c r="A2157" s="24">
        <v>70</v>
      </c>
      <c r="B2157" s="102">
        <v>46142</v>
      </c>
      <c r="C2157" s="25" t="s">
        <v>356</v>
      </c>
      <c r="D2157" s="103" t="s">
        <v>115</v>
      </c>
      <c r="E2157" s="26">
        <v>32</v>
      </c>
      <c r="F2157" s="26" t="s">
        <v>293</v>
      </c>
      <c r="K2157" s="24">
        <v>70</v>
      </c>
      <c r="L2157" s="102">
        <v>46142</v>
      </c>
      <c r="M2157" s="25" t="s">
        <v>357</v>
      </c>
      <c r="N2157" s="103" t="s">
        <v>115</v>
      </c>
      <c r="O2157" s="26">
        <v>94</v>
      </c>
      <c r="P2157" s="26" t="s">
        <v>293</v>
      </c>
    </row>
    <row r="2158" spans="1:16" x14ac:dyDescent="0.3">
      <c r="A2158" s="24">
        <v>70</v>
      </c>
      <c r="B2158" s="102">
        <v>46142</v>
      </c>
      <c r="C2158" s="25" t="s">
        <v>356</v>
      </c>
      <c r="D2158" s="103" t="s">
        <v>137</v>
      </c>
      <c r="E2158" s="26">
        <v>76</v>
      </c>
      <c r="F2158" s="26" t="s">
        <v>293</v>
      </c>
      <c r="K2158" s="24">
        <v>70</v>
      </c>
      <c r="L2158" s="102">
        <v>46142</v>
      </c>
      <c r="M2158" s="25" t="s">
        <v>357</v>
      </c>
      <c r="N2158" s="103" t="s">
        <v>137</v>
      </c>
      <c r="O2158" s="26">
        <v>489</v>
      </c>
      <c r="P2158" s="26" t="s">
        <v>293</v>
      </c>
    </row>
    <row r="2159" spans="1:16" x14ac:dyDescent="0.3">
      <c r="A2159" s="24">
        <v>70</v>
      </c>
      <c r="B2159" s="102">
        <v>46142</v>
      </c>
      <c r="C2159" s="25" t="s">
        <v>356</v>
      </c>
      <c r="D2159" s="103" t="s">
        <v>348</v>
      </c>
      <c r="E2159" s="26">
        <v>142</v>
      </c>
      <c r="F2159" s="26" t="s">
        <v>293</v>
      </c>
      <c r="K2159" s="24">
        <v>70</v>
      </c>
      <c r="L2159" s="102">
        <v>46142</v>
      </c>
      <c r="M2159" s="25" t="s">
        <v>357</v>
      </c>
      <c r="N2159" s="103" t="s">
        <v>348</v>
      </c>
      <c r="O2159" s="26">
        <v>430</v>
      </c>
      <c r="P2159" s="26" t="s">
        <v>293</v>
      </c>
    </row>
    <row r="2160" spans="1:16" x14ac:dyDescent="0.3">
      <c r="A2160" s="24">
        <v>70</v>
      </c>
      <c r="B2160" s="102">
        <v>46142</v>
      </c>
      <c r="C2160" s="25" t="s">
        <v>356</v>
      </c>
      <c r="D2160" s="103" t="s">
        <v>125</v>
      </c>
      <c r="E2160" s="26">
        <v>98</v>
      </c>
      <c r="F2160" s="26" t="s">
        <v>293</v>
      </c>
      <c r="K2160" s="24">
        <v>70</v>
      </c>
      <c r="L2160" s="102">
        <v>46142</v>
      </c>
      <c r="M2160" s="25" t="s">
        <v>357</v>
      </c>
      <c r="N2160" s="103" t="s">
        <v>125</v>
      </c>
      <c r="O2160" s="26">
        <v>416</v>
      </c>
      <c r="P2160" s="26" t="s">
        <v>293</v>
      </c>
    </row>
    <row r="2161" spans="1:16" x14ac:dyDescent="0.3">
      <c r="A2161" s="24">
        <v>70</v>
      </c>
      <c r="B2161" s="102">
        <v>46142</v>
      </c>
      <c r="C2161" s="25" t="s">
        <v>356</v>
      </c>
      <c r="D2161" s="103" t="s">
        <v>126</v>
      </c>
      <c r="E2161" s="26">
        <v>82</v>
      </c>
      <c r="F2161" s="26" t="s">
        <v>293</v>
      </c>
      <c r="K2161" s="24">
        <v>70</v>
      </c>
      <c r="L2161" s="102">
        <v>46142</v>
      </c>
      <c r="M2161" s="25" t="s">
        <v>357</v>
      </c>
      <c r="N2161" s="103" t="s">
        <v>126</v>
      </c>
      <c r="O2161" s="26">
        <v>152</v>
      </c>
      <c r="P2161" s="26" t="s">
        <v>293</v>
      </c>
    </row>
    <row r="2162" spans="1:16" x14ac:dyDescent="0.3">
      <c r="A2162" s="24">
        <v>70</v>
      </c>
      <c r="B2162" s="102">
        <v>46142</v>
      </c>
      <c r="C2162" s="25" t="s">
        <v>356</v>
      </c>
      <c r="D2162" s="103" t="s">
        <v>349</v>
      </c>
      <c r="E2162" s="26">
        <v>160</v>
      </c>
      <c r="F2162" s="26" t="s">
        <v>293</v>
      </c>
      <c r="K2162" s="24">
        <v>70</v>
      </c>
      <c r="L2162" s="102">
        <v>46142</v>
      </c>
      <c r="M2162" s="25" t="s">
        <v>357</v>
      </c>
      <c r="N2162" s="103" t="s">
        <v>349</v>
      </c>
      <c r="O2162" s="26">
        <v>387</v>
      </c>
      <c r="P2162" s="26" t="s">
        <v>293</v>
      </c>
    </row>
    <row r="2163" spans="1:16" x14ac:dyDescent="0.3">
      <c r="A2163" s="24">
        <v>70</v>
      </c>
      <c r="B2163" s="102">
        <v>46142</v>
      </c>
      <c r="C2163" s="25" t="s">
        <v>356</v>
      </c>
      <c r="D2163" s="103" t="s">
        <v>350</v>
      </c>
      <c r="E2163" s="26">
        <v>57</v>
      </c>
      <c r="F2163" s="26" t="s">
        <v>293</v>
      </c>
      <c r="K2163" s="24">
        <v>70</v>
      </c>
      <c r="L2163" s="102">
        <v>46142</v>
      </c>
      <c r="M2163" s="25" t="s">
        <v>357</v>
      </c>
      <c r="N2163" s="103" t="s">
        <v>350</v>
      </c>
      <c r="O2163" s="26">
        <v>84</v>
      </c>
      <c r="P2163" s="26" t="s">
        <v>293</v>
      </c>
    </row>
    <row r="2164" spans="1:16" x14ac:dyDescent="0.3">
      <c r="A2164" s="24">
        <v>70</v>
      </c>
      <c r="B2164" s="102">
        <v>46142</v>
      </c>
      <c r="C2164" s="25" t="s">
        <v>356</v>
      </c>
      <c r="D2164" s="103" t="s">
        <v>122</v>
      </c>
      <c r="E2164" s="26">
        <v>45</v>
      </c>
      <c r="F2164" s="26" t="s">
        <v>293</v>
      </c>
      <c r="K2164" s="24">
        <v>70</v>
      </c>
      <c r="L2164" s="102">
        <v>46142</v>
      </c>
      <c r="M2164" s="25" t="s">
        <v>357</v>
      </c>
      <c r="N2164" s="103" t="s">
        <v>122</v>
      </c>
      <c r="O2164" s="26">
        <v>213</v>
      </c>
      <c r="P2164" s="26" t="s">
        <v>293</v>
      </c>
    </row>
    <row r="2165" spans="1:16" x14ac:dyDescent="0.3">
      <c r="A2165" s="24">
        <v>70</v>
      </c>
      <c r="B2165" s="102">
        <v>46142</v>
      </c>
      <c r="C2165" s="25" t="s">
        <v>356</v>
      </c>
      <c r="D2165" s="103" t="s">
        <v>124</v>
      </c>
      <c r="E2165" s="26">
        <v>29</v>
      </c>
      <c r="F2165" s="26" t="s">
        <v>293</v>
      </c>
      <c r="K2165" s="24">
        <v>70</v>
      </c>
      <c r="L2165" s="102">
        <v>46142</v>
      </c>
      <c r="M2165" s="25" t="s">
        <v>357</v>
      </c>
      <c r="N2165" s="103" t="s">
        <v>124</v>
      </c>
      <c r="O2165" s="26">
        <v>104</v>
      </c>
      <c r="P2165" s="26" t="s">
        <v>293</v>
      </c>
    </row>
    <row r="2166" spans="1:16" x14ac:dyDescent="0.3">
      <c r="A2166" s="24">
        <v>70</v>
      </c>
      <c r="B2166" s="102">
        <v>46142</v>
      </c>
      <c r="C2166" s="25" t="s">
        <v>356</v>
      </c>
      <c r="D2166" s="103" t="s">
        <v>351</v>
      </c>
      <c r="E2166" s="26">
        <v>0.94</v>
      </c>
      <c r="F2166" s="26" t="s">
        <v>293</v>
      </c>
      <c r="K2166" s="24">
        <v>70</v>
      </c>
      <c r="L2166" s="102">
        <v>46142</v>
      </c>
      <c r="M2166" s="25" t="s">
        <v>357</v>
      </c>
      <c r="N2166" s="103" t="s">
        <v>351</v>
      </c>
      <c r="O2166" s="26">
        <v>3.36</v>
      </c>
      <c r="P2166" s="26" t="s">
        <v>293</v>
      </c>
    </row>
    <row r="2167" spans="1:16" x14ac:dyDescent="0.3">
      <c r="A2167" s="24">
        <v>70</v>
      </c>
      <c r="B2167" s="102">
        <v>46142</v>
      </c>
      <c r="C2167" s="25" t="s">
        <v>356</v>
      </c>
      <c r="D2167" s="103" t="s">
        <v>353</v>
      </c>
      <c r="E2167" s="26">
        <v>34</v>
      </c>
      <c r="F2167" s="26" t="s">
        <v>293</v>
      </c>
      <c r="K2167" s="24">
        <v>70</v>
      </c>
      <c r="L2167" s="102">
        <v>46142</v>
      </c>
      <c r="M2167" s="25" t="s">
        <v>357</v>
      </c>
      <c r="N2167" s="103" t="s">
        <v>353</v>
      </c>
      <c r="O2167" s="26">
        <v>18.100000000000001</v>
      </c>
      <c r="P2167" s="26" t="s">
        <v>293</v>
      </c>
    </row>
    <row r="2168" spans="1:16" x14ac:dyDescent="0.3">
      <c r="A2168" s="24">
        <v>70</v>
      </c>
      <c r="B2168" s="102">
        <v>46142</v>
      </c>
      <c r="C2168" s="25" t="s">
        <v>356</v>
      </c>
      <c r="D2168" s="103" t="s">
        <v>133</v>
      </c>
      <c r="E2168" s="26">
        <v>145</v>
      </c>
      <c r="F2168" s="26" t="s">
        <v>293</v>
      </c>
      <c r="K2168" s="24">
        <v>70</v>
      </c>
      <c r="L2168" s="102">
        <v>46142</v>
      </c>
      <c r="M2168" s="25" t="s">
        <v>357</v>
      </c>
      <c r="N2168" s="103" t="s">
        <v>133</v>
      </c>
      <c r="O2168" s="26">
        <v>127</v>
      </c>
      <c r="P2168" s="26" t="s">
        <v>293</v>
      </c>
    </row>
    <row r="2169" spans="1:16" x14ac:dyDescent="0.3">
      <c r="A2169" s="24">
        <v>70</v>
      </c>
      <c r="B2169" s="102">
        <v>46142</v>
      </c>
      <c r="C2169" s="25" t="s">
        <v>356</v>
      </c>
      <c r="D2169" s="103" t="s">
        <v>135</v>
      </c>
      <c r="E2169" s="26">
        <v>3.8</v>
      </c>
      <c r="F2169" s="26" t="s">
        <v>293</v>
      </c>
      <c r="K2169" s="24">
        <v>70</v>
      </c>
      <c r="L2169" s="102">
        <v>46142</v>
      </c>
      <c r="M2169" s="25" t="s">
        <v>357</v>
      </c>
      <c r="N2169" s="103" t="s">
        <v>135</v>
      </c>
      <c r="O2169" s="26">
        <v>6.5</v>
      </c>
      <c r="P2169" s="26" t="s">
        <v>293</v>
      </c>
    </row>
    <row r="2170" spans="1:16" x14ac:dyDescent="0.3">
      <c r="A2170" s="24">
        <v>70</v>
      </c>
      <c r="B2170" s="102">
        <v>46142</v>
      </c>
      <c r="C2170" s="25" t="s">
        <v>356</v>
      </c>
      <c r="D2170" s="103" t="s">
        <v>136</v>
      </c>
      <c r="E2170" s="26">
        <v>116</v>
      </c>
      <c r="F2170" s="26" t="s">
        <v>293</v>
      </c>
      <c r="K2170" s="24">
        <v>70</v>
      </c>
      <c r="L2170" s="102">
        <v>46142</v>
      </c>
      <c r="M2170" s="25" t="s">
        <v>357</v>
      </c>
      <c r="N2170" s="103" t="s">
        <v>136</v>
      </c>
      <c r="O2170" s="26">
        <v>93</v>
      </c>
      <c r="P2170" s="26" t="s">
        <v>293</v>
      </c>
    </row>
    <row r="2171" spans="1:16" x14ac:dyDescent="0.3">
      <c r="A2171" s="24">
        <v>71</v>
      </c>
      <c r="B2171" s="102">
        <v>46146.382372685184</v>
      </c>
      <c r="C2171" s="25" t="s">
        <v>356</v>
      </c>
      <c r="D2171" s="103" t="s">
        <v>339</v>
      </c>
      <c r="E2171" s="26">
        <v>4.58</v>
      </c>
      <c r="F2171" s="26" t="s">
        <v>293</v>
      </c>
      <c r="K2171" s="24">
        <v>71</v>
      </c>
      <c r="L2171" s="102">
        <v>46146.382384259261</v>
      </c>
      <c r="M2171" s="25" t="s">
        <v>357</v>
      </c>
      <c r="N2171" s="103" t="s">
        <v>339</v>
      </c>
      <c r="O2171" s="26">
        <v>1.27</v>
      </c>
      <c r="P2171" s="26" t="s">
        <v>293</v>
      </c>
    </row>
    <row r="2172" spans="1:16" x14ac:dyDescent="0.3">
      <c r="A2172" s="24">
        <v>71</v>
      </c>
      <c r="B2172" s="102">
        <v>46146.382372685184</v>
      </c>
      <c r="C2172" s="25" t="s">
        <v>356</v>
      </c>
      <c r="D2172" s="103" t="s">
        <v>118</v>
      </c>
      <c r="E2172" s="26">
        <v>4.5</v>
      </c>
      <c r="F2172" s="26" t="s">
        <v>293</v>
      </c>
      <c r="K2172" s="24">
        <v>71</v>
      </c>
      <c r="L2172" s="102">
        <v>46146.382384259261</v>
      </c>
      <c r="M2172" s="25" t="s">
        <v>357</v>
      </c>
      <c r="N2172" s="103" t="s">
        <v>118</v>
      </c>
      <c r="O2172" s="26">
        <v>9.5</v>
      </c>
      <c r="P2172" s="26" t="s">
        <v>293</v>
      </c>
    </row>
    <row r="2173" spans="1:16" x14ac:dyDescent="0.3">
      <c r="A2173" s="24">
        <v>71</v>
      </c>
      <c r="B2173" s="102">
        <v>46146.382372685184</v>
      </c>
      <c r="C2173" s="25" t="s">
        <v>356</v>
      </c>
      <c r="D2173" s="103" t="s">
        <v>130</v>
      </c>
      <c r="E2173" s="26">
        <v>3.93</v>
      </c>
      <c r="F2173" s="26" t="s">
        <v>293</v>
      </c>
      <c r="K2173" s="24">
        <v>71</v>
      </c>
      <c r="L2173" s="102">
        <v>46146.382384259261</v>
      </c>
      <c r="M2173" s="25" t="s">
        <v>357</v>
      </c>
      <c r="N2173" s="103" t="s">
        <v>130</v>
      </c>
      <c r="O2173" s="26">
        <v>2.4700000000000002</v>
      </c>
      <c r="P2173" s="26" t="s">
        <v>293</v>
      </c>
    </row>
    <row r="2174" spans="1:16" x14ac:dyDescent="0.3">
      <c r="A2174" s="24">
        <v>71</v>
      </c>
      <c r="B2174" s="102">
        <v>46146.382372685184</v>
      </c>
      <c r="C2174" s="25" t="s">
        <v>356</v>
      </c>
      <c r="D2174" s="103" t="s">
        <v>341</v>
      </c>
      <c r="E2174" s="26">
        <v>0.308</v>
      </c>
      <c r="F2174" s="26" t="s">
        <v>293</v>
      </c>
      <c r="K2174" s="24">
        <v>71</v>
      </c>
      <c r="L2174" s="102">
        <v>46146.382384259261</v>
      </c>
      <c r="M2174" s="25" t="s">
        <v>357</v>
      </c>
      <c r="N2174" s="103" t="s">
        <v>341</v>
      </c>
      <c r="O2174" s="26">
        <v>1.1779999999999999</v>
      </c>
      <c r="P2174" s="26" t="s">
        <v>293</v>
      </c>
    </row>
    <row r="2175" spans="1:16" x14ac:dyDescent="0.3">
      <c r="A2175" s="24">
        <v>71</v>
      </c>
      <c r="B2175" s="102">
        <v>46146.382372685184</v>
      </c>
      <c r="C2175" s="25" t="s">
        <v>356</v>
      </c>
      <c r="D2175" s="103" t="s">
        <v>127</v>
      </c>
      <c r="E2175" s="26">
        <v>1.1819999999999999</v>
      </c>
      <c r="F2175" s="26" t="s">
        <v>293</v>
      </c>
      <c r="K2175" s="24">
        <v>71</v>
      </c>
      <c r="L2175" s="102">
        <v>46146.382384259261</v>
      </c>
      <c r="M2175" s="25" t="s">
        <v>357</v>
      </c>
      <c r="N2175" s="103" t="s">
        <v>127</v>
      </c>
      <c r="O2175" s="26">
        <v>4.6120000000000001</v>
      </c>
      <c r="P2175" s="26" t="s">
        <v>293</v>
      </c>
    </row>
    <row r="2176" spans="1:16" x14ac:dyDescent="0.3">
      <c r="A2176" s="24">
        <v>71</v>
      </c>
      <c r="B2176" s="102">
        <v>46146.382372685184</v>
      </c>
      <c r="C2176" s="25" t="s">
        <v>356</v>
      </c>
      <c r="D2176" s="103" t="s">
        <v>131</v>
      </c>
      <c r="E2176" s="26">
        <v>9</v>
      </c>
      <c r="F2176" s="26" t="s">
        <v>293</v>
      </c>
      <c r="K2176" s="24">
        <v>71</v>
      </c>
      <c r="L2176" s="102">
        <v>46146.382384259261</v>
      </c>
      <c r="M2176" s="25" t="s">
        <v>357</v>
      </c>
      <c r="N2176" s="103" t="s">
        <v>131</v>
      </c>
      <c r="O2176" s="26">
        <v>12.5</v>
      </c>
      <c r="P2176" s="26" t="s">
        <v>293</v>
      </c>
    </row>
    <row r="2177" spans="1:16" x14ac:dyDescent="0.3">
      <c r="A2177" s="24">
        <v>71</v>
      </c>
      <c r="B2177" s="102">
        <v>46146.382372685184</v>
      </c>
      <c r="C2177" s="25" t="s">
        <v>356</v>
      </c>
      <c r="D2177" s="103" t="s">
        <v>342</v>
      </c>
      <c r="E2177" s="26">
        <v>365</v>
      </c>
      <c r="F2177" s="26" t="s">
        <v>293</v>
      </c>
      <c r="K2177" s="24">
        <v>71</v>
      </c>
      <c r="L2177" s="102">
        <v>46146.382384259261</v>
      </c>
      <c r="M2177" s="25" t="s">
        <v>357</v>
      </c>
      <c r="N2177" s="103" t="s">
        <v>342</v>
      </c>
      <c r="O2177" s="26">
        <v>228</v>
      </c>
      <c r="P2177" s="26" t="s">
        <v>293</v>
      </c>
    </row>
    <row r="2178" spans="1:16" x14ac:dyDescent="0.3">
      <c r="A2178" s="24">
        <v>71</v>
      </c>
      <c r="B2178" s="102">
        <v>46146.382372685184</v>
      </c>
      <c r="C2178" s="25" t="s">
        <v>356</v>
      </c>
      <c r="D2178" s="103" t="s">
        <v>119</v>
      </c>
      <c r="E2178" s="26">
        <v>234</v>
      </c>
      <c r="F2178" s="26" t="s">
        <v>293</v>
      </c>
      <c r="K2178" s="24">
        <v>71</v>
      </c>
      <c r="L2178" s="102">
        <v>46146.382384259261</v>
      </c>
      <c r="M2178" s="25" t="s">
        <v>357</v>
      </c>
      <c r="N2178" s="103" t="s">
        <v>119</v>
      </c>
      <c r="O2178" s="26">
        <v>89</v>
      </c>
      <c r="P2178" s="26" t="s">
        <v>293</v>
      </c>
    </row>
    <row r="2179" spans="1:16" x14ac:dyDescent="0.3">
      <c r="A2179" s="24">
        <v>71</v>
      </c>
      <c r="B2179" s="102">
        <v>46146.382372685184</v>
      </c>
      <c r="C2179" s="25" t="s">
        <v>356</v>
      </c>
      <c r="D2179" s="103" t="s">
        <v>120</v>
      </c>
      <c r="E2179" s="26">
        <v>78</v>
      </c>
      <c r="F2179" s="26" t="s">
        <v>293</v>
      </c>
      <c r="K2179" s="24">
        <v>71</v>
      </c>
      <c r="L2179" s="102">
        <v>46146.382384259261</v>
      </c>
      <c r="M2179" s="25" t="s">
        <v>357</v>
      </c>
      <c r="N2179" s="103" t="s">
        <v>120</v>
      </c>
      <c r="O2179" s="26">
        <v>27</v>
      </c>
      <c r="P2179" s="26" t="s">
        <v>293</v>
      </c>
    </row>
    <row r="2180" spans="1:16" x14ac:dyDescent="0.3">
      <c r="A2180" s="24">
        <v>71</v>
      </c>
      <c r="B2180" s="102">
        <v>46146.382372685184</v>
      </c>
      <c r="C2180" s="25" t="s">
        <v>356</v>
      </c>
      <c r="D2180" s="103" t="s">
        <v>117</v>
      </c>
      <c r="E2180" s="26">
        <v>2.8</v>
      </c>
      <c r="F2180" s="26" t="s">
        <v>293</v>
      </c>
      <c r="K2180" s="24">
        <v>71</v>
      </c>
      <c r="L2180" s="102">
        <v>46146.382384259261</v>
      </c>
      <c r="M2180" s="25" t="s">
        <v>357</v>
      </c>
      <c r="N2180" s="103" t="s">
        <v>117</v>
      </c>
      <c r="O2180" s="26">
        <v>6.55</v>
      </c>
      <c r="P2180" s="26" t="s">
        <v>293</v>
      </c>
    </row>
    <row r="2181" spans="1:16" x14ac:dyDescent="0.3">
      <c r="A2181" s="24">
        <v>71</v>
      </c>
      <c r="B2181" s="102">
        <v>46146.382372685184</v>
      </c>
      <c r="C2181" s="25" t="s">
        <v>356</v>
      </c>
      <c r="D2181" s="103" t="s">
        <v>344</v>
      </c>
      <c r="E2181" s="26">
        <v>236</v>
      </c>
      <c r="F2181" s="26" t="s">
        <v>293</v>
      </c>
      <c r="K2181" s="24">
        <v>71</v>
      </c>
      <c r="L2181" s="102">
        <v>46146.382384259261</v>
      </c>
      <c r="M2181" s="25" t="s">
        <v>357</v>
      </c>
      <c r="N2181" s="103" t="s">
        <v>344</v>
      </c>
      <c r="O2181" s="26">
        <v>71</v>
      </c>
      <c r="P2181" s="26" t="s">
        <v>293</v>
      </c>
    </row>
    <row r="2182" spans="1:16" x14ac:dyDescent="0.3">
      <c r="A2182" s="24">
        <v>71</v>
      </c>
      <c r="B2182" s="102">
        <v>46146.382372685184</v>
      </c>
      <c r="C2182" s="25" t="s">
        <v>356</v>
      </c>
      <c r="D2182" s="103" t="s">
        <v>132</v>
      </c>
      <c r="E2182" s="26">
        <v>3.59</v>
      </c>
      <c r="F2182" s="26" t="s">
        <v>293</v>
      </c>
      <c r="K2182" s="24">
        <v>71</v>
      </c>
      <c r="L2182" s="102">
        <v>46146.382384259261</v>
      </c>
      <c r="M2182" s="25" t="s">
        <v>357</v>
      </c>
      <c r="N2182" s="103" t="s">
        <v>132</v>
      </c>
      <c r="O2182" s="26">
        <v>7.35</v>
      </c>
      <c r="P2182" s="26" t="s">
        <v>293</v>
      </c>
    </row>
    <row r="2183" spans="1:16" x14ac:dyDescent="0.3">
      <c r="A2183" s="24">
        <v>71</v>
      </c>
      <c r="B2183" s="102">
        <v>46146.382372685184</v>
      </c>
      <c r="C2183" s="25" t="s">
        <v>356</v>
      </c>
      <c r="D2183" s="103" t="s">
        <v>111</v>
      </c>
      <c r="E2183" s="26">
        <v>90</v>
      </c>
      <c r="F2183" s="26" t="s">
        <v>293</v>
      </c>
      <c r="K2183" s="24">
        <v>71</v>
      </c>
      <c r="L2183" s="102">
        <v>46146.382384259261</v>
      </c>
      <c r="M2183" s="25" t="s">
        <v>357</v>
      </c>
      <c r="N2183" s="103" t="s">
        <v>111</v>
      </c>
      <c r="O2183" s="26">
        <v>285</v>
      </c>
      <c r="P2183" s="26" t="s">
        <v>293</v>
      </c>
    </row>
    <row r="2184" spans="1:16" x14ac:dyDescent="0.3">
      <c r="A2184" s="24">
        <v>71</v>
      </c>
      <c r="B2184" s="102">
        <v>46146.382372685184</v>
      </c>
      <c r="C2184" s="25" t="s">
        <v>356</v>
      </c>
      <c r="D2184" s="103" t="s">
        <v>345</v>
      </c>
      <c r="E2184" s="26">
        <v>5.29</v>
      </c>
      <c r="F2184" s="26" t="s">
        <v>293</v>
      </c>
      <c r="K2184" s="24">
        <v>71</v>
      </c>
      <c r="L2184" s="102">
        <v>46146.382384259261</v>
      </c>
      <c r="M2184" s="25" t="s">
        <v>357</v>
      </c>
      <c r="N2184" s="103" t="s">
        <v>345</v>
      </c>
      <c r="O2184" s="26">
        <v>9.84</v>
      </c>
      <c r="P2184" s="26" t="s">
        <v>293</v>
      </c>
    </row>
    <row r="2185" spans="1:16" x14ac:dyDescent="0.3">
      <c r="A2185" s="24">
        <v>71</v>
      </c>
      <c r="B2185" s="102">
        <v>46146.382372685184</v>
      </c>
      <c r="C2185" s="25" t="s">
        <v>356</v>
      </c>
      <c r="D2185" s="103" t="s">
        <v>347</v>
      </c>
      <c r="E2185" s="26">
        <v>2.38</v>
      </c>
      <c r="F2185" s="26" t="s">
        <v>293</v>
      </c>
      <c r="K2185" s="24">
        <v>71</v>
      </c>
      <c r="L2185" s="102">
        <v>46146.382384259261</v>
      </c>
      <c r="M2185" s="25" t="s">
        <v>357</v>
      </c>
      <c r="N2185" s="103" t="s">
        <v>347</v>
      </c>
      <c r="O2185" s="26">
        <v>4.4000000000000004</v>
      </c>
      <c r="P2185" s="26" t="s">
        <v>293</v>
      </c>
    </row>
    <row r="2186" spans="1:16" x14ac:dyDescent="0.3">
      <c r="A2186" s="24">
        <v>71</v>
      </c>
      <c r="B2186" s="102">
        <v>46146.382372685184</v>
      </c>
      <c r="C2186" s="25" t="s">
        <v>356</v>
      </c>
      <c r="D2186" s="103" t="s">
        <v>128</v>
      </c>
      <c r="E2186" s="26">
        <v>7</v>
      </c>
      <c r="F2186" s="26" t="s">
        <v>293</v>
      </c>
      <c r="K2186" s="24">
        <v>71</v>
      </c>
      <c r="L2186" s="102">
        <v>46146.382384259261</v>
      </c>
      <c r="M2186" s="25" t="s">
        <v>357</v>
      </c>
      <c r="N2186" s="103" t="s">
        <v>128</v>
      </c>
      <c r="O2186" s="26">
        <v>4.5</v>
      </c>
      <c r="P2186" s="26" t="s">
        <v>293</v>
      </c>
    </row>
    <row r="2187" spans="1:16" x14ac:dyDescent="0.3">
      <c r="A2187" s="24">
        <v>71</v>
      </c>
      <c r="B2187" s="102">
        <v>46146.382372685184</v>
      </c>
      <c r="C2187" s="25" t="s">
        <v>356</v>
      </c>
      <c r="D2187" s="103" t="s">
        <v>121</v>
      </c>
      <c r="E2187" s="26">
        <v>164</v>
      </c>
      <c r="F2187" s="26" t="s">
        <v>293</v>
      </c>
      <c r="K2187" s="24">
        <v>71</v>
      </c>
      <c r="L2187" s="102">
        <v>46146.382384259261</v>
      </c>
      <c r="M2187" s="25" t="s">
        <v>357</v>
      </c>
      <c r="N2187" s="103" t="s">
        <v>121</v>
      </c>
      <c r="O2187" s="26">
        <v>85</v>
      </c>
      <c r="P2187" s="26" t="s">
        <v>293</v>
      </c>
    </row>
    <row r="2188" spans="1:16" x14ac:dyDescent="0.3">
      <c r="A2188" s="24">
        <v>71</v>
      </c>
      <c r="B2188" s="102">
        <v>46146.382372685184</v>
      </c>
      <c r="C2188" s="25" t="s">
        <v>356</v>
      </c>
      <c r="D2188" s="103" t="s">
        <v>115</v>
      </c>
      <c r="E2188" s="26">
        <v>32</v>
      </c>
      <c r="F2188" s="26" t="s">
        <v>293</v>
      </c>
      <c r="K2188" s="24">
        <v>71</v>
      </c>
      <c r="L2188" s="102">
        <v>46146.382384259261</v>
      </c>
      <c r="M2188" s="25" t="s">
        <v>357</v>
      </c>
      <c r="N2188" s="103" t="s">
        <v>115</v>
      </c>
      <c r="O2188" s="26">
        <v>94</v>
      </c>
      <c r="P2188" s="26" t="s">
        <v>293</v>
      </c>
    </row>
    <row r="2189" spans="1:16" x14ac:dyDescent="0.3">
      <c r="A2189" s="24">
        <v>71</v>
      </c>
      <c r="B2189" s="102">
        <v>46146.382372685184</v>
      </c>
      <c r="C2189" s="25" t="s">
        <v>356</v>
      </c>
      <c r="D2189" s="103" t="s">
        <v>137</v>
      </c>
      <c r="E2189" s="26">
        <v>75</v>
      </c>
      <c r="F2189" s="26" t="s">
        <v>293</v>
      </c>
      <c r="K2189" s="24">
        <v>71</v>
      </c>
      <c r="L2189" s="102">
        <v>46146.382384259261</v>
      </c>
      <c r="M2189" s="25" t="s">
        <v>357</v>
      </c>
      <c r="N2189" s="103" t="s">
        <v>137</v>
      </c>
      <c r="O2189" s="26">
        <v>487</v>
      </c>
      <c r="P2189" s="26" t="s">
        <v>293</v>
      </c>
    </row>
    <row r="2190" spans="1:16" x14ac:dyDescent="0.3">
      <c r="A2190" s="24">
        <v>71</v>
      </c>
      <c r="B2190" s="102">
        <v>46146.382372685184</v>
      </c>
      <c r="C2190" s="25" t="s">
        <v>356</v>
      </c>
      <c r="D2190" s="103" t="s">
        <v>348</v>
      </c>
      <c r="E2190" s="26">
        <v>140</v>
      </c>
      <c r="F2190" s="26" t="s">
        <v>293</v>
      </c>
      <c r="K2190" s="24">
        <v>71</v>
      </c>
      <c r="L2190" s="102">
        <v>46146.382384259261</v>
      </c>
      <c r="M2190" s="25" t="s">
        <v>357</v>
      </c>
      <c r="N2190" s="103" t="s">
        <v>348</v>
      </c>
      <c r="O2190" s="26">
        <v>445</v>
      </c>
      <c r="P2190" s="26" t="s">
        <v>293</v>
      </c>
    </row>
    <row r="2191" spans="1:16" x14ac:dyDescent="0.3">
      <c r="A2191" s="24">
        <v>71</v>
      </c>
      <c r="B2191" s="102">
        <v>46146.382372685184</v>
      </c>
      <c r="C2191" s="25" t="s">
        <v>356</v>
      </c>
      <c r="D2191" s="103" t="s">
        <v>125</v>
      </c>
      <c r="E2191" s="26">
        <v>106</v>
      </c>
      <c r="F2191" s="26" t="s">
        <v>293</v>
      </c>
      <c r="K2191" s="24">
        <v>71</v>
      </c>
      <c r="L2191" s="102">
        <v>46146.382384259261</v>
      </c>
      <c r="M2191" s="25" t="s">
        <v>357</v>
      </c>
      <c r="N2191" s="103" t="s">
        <v>125</v>
      </c>
      <c r="O2191" s="26">
        <v>435</v>
      </c>
      <c r="P2191" s="26" t="s">
        <v>293</v>
      </c>
    </row>
    <row r="2192" spans="1:16" x14ac:dyDescent="0.3">
      <c r="A2192" s="24">
        <v>71</v>
      </c>
      <c r="B2192" s="102">
        <v>46146.382372685184</v>
      </c>
      <c r="C2192" s="25" t="s">
        <v>356</v>
      </c>
      <c r="D2192" s="103" t="s">
        <v>126</v>
      </c>
      <c r="E2192" s="26">
        <v>81</v>
      </c>
      <c r="F2192" s="26" t="s">
        <v>293</v>
      </c>
      <c r="K2192" s="24">
        <v>71</v>
      </c>
      <c r="L2192" s="102">
        <v>46146.382384259261</v>
      </c>
      <c r="M2192" s="25" t="s">
        <v>357</v>
      </c>
      <c r="N2192" s="103" t="s">
        <v>126</v>
      </c>
      <c r="O2192" s="26">
        <v>156</v>
      </c>
      <c r="P2192" s="26" t="s">
        <v>293</v>
      </c>
    </row>
    <row r="2193" spans="1:16" x14ac:dyDescent="0.3">
      <c r="A2193" s="24">
        <v>71</v>
      </c>
      <c r="B2193" s="102">
        <v>46146.382372685184</v>
      </c>
      <c r="C2193" s="25" t="s">
        <v>356</v>
      </c>
      <c r="D2193" s="103" t="s">
        <v>349</v>
      </c>
      <c r="E2193" s="26">
        <v>169</v>
      </c>
      <c r="F2193" s="26" t="s">
        <v>293</v>
      </c>
      <c r="K2193" s="24">
        <v>71</v>
      </c>
      <c r="L2193" s="102">
        <v>46146.382384259261</v>
      </c>
      <c r="M2193" s="25" t="s">
        <v>357</v>
      </c>
      <c r="N2193" s="103" t="s">
        <v>349</v>
      </c>
      <c r="O2193" s="26">
        <v>390.9</v>
      </c>
      <c r="P2193" s="26" t="s">
        <v>293</v>
      </c>
    </row>
    <row r="2194" spans="1:16" x14ac:dyDescent="0.3">
      <c r="A2194" s="24">
        <v>71</v>
      </c>
      <c r="B2194" s="102">
        <v>46146.382372685184</v>
      </c>
      <c r="C2194" s="25" t="s">
        <v>356</v>
      </c>
      <c r="D2194" s="103" t="s">
        <v>350</v>
      </c>
      <c r="E2194" s="26">
        <v>59</v>
      </c>
      <c r="F2194" s="26" t="s">
        <v>293</v>
      </c>
      <c r="K2194" s="24">
        <v>71</v>
      </c>
      <c r="L2194" s="102">
        <v>46146.382384259261</v>
      </c>
      <c r="M2194" s="25" t="s">
        <v>357</v>
      </c>
      <c r="N2194" s="103" t="s">
        <v>350</v>
      </c>
      <c r="O2194" s="26">
        <v>87</v>
      </c>
      <c r="P2194" s="26" t="s">
        <v>293</v>
      </c>
    </row>
    <row r="2195" spans="1:16" x14ac:dyDescent="0.3">
      <c r="A2195" s="24">
        <v>71</v>
      </c>
      <c r="B2195" s="102">
        <v>46146.382372685184</v>
      </c>
      <c r="C2195" s="25" t="s">
        <v>356</v>
      </c>
      <c r="D2195" s="103" t="s">
        <v>122</v>
      </c>
      <c r="E2195" s="26">
        <v>46</v>
      </c>
      <c r="F2195" s="26" t="s">
        <v>293</v>
      </c>
      <c r="K2195" s="24">
        <v>71</v>
      </c>
      <c r="L2195" s="102">
        <v>46146.382384259261</v>
      </c>
      <c r="M2195" s="25" t="s">
        <v>357</v>
      </c>
      <c r="N2195" s="103" t="s">
        <v>122</v>
      </c>
      <c r="O2195" s="26">
        <v>224</v>
      </c>
      <c r="P2195" s="26" t="s">
        <v>293</v>
      </c>
    </row>
    <row r="2196" spans="1:16" x14ac:dyDescent="0.3">
      <c r="A2196" s="24">
        <v>71</v>
      </c>
      <c r="B2196" s="102">
        <v>46146.382372685184</v>
      </c>
      <c r="C2196" s="25" t="s">
        <v>356</v>
      </c>
      <c r="D2196" s="103" t="s">
        <v>124</v>
      </c>
      <c r="E2196" s="26">
        <v>29</v>
      </c>
      <c r="F2196" s="26" t="s">
        <v>293</v>
      </c>
      <c r="K2196" s="24">
        <v>71</v>
      </c>
      <c r="L2196" s="102">
        <v>46146.382384259261</v>
      </c>
      <c r="M2196" s="25" t="s">
        <v>357</v>
      </c>
      <c r="N2196" s="103" t="s">
        <v>124</v>
      </c>
      <c r="O2196" s="26">
        <v>103</v>
      </c>
      <c r="P2196" s="26" t="s">
        <v>293</v>
      </c>
    </row>
    <row r="2197" spans="1:16" x14ac:dyDescent="0.3">
      <c r="A2197" s="24">
        <v>71</v>
      </c>
      <c r="B2197" s="102">
        <v>46146.382372685184</v>
      </c>
      <c r="C2197" s="25" t="s">
        <v>356</v>
      </c>
      <c r="D2197" s="103" t="s">
        <v>351</v>
      </c>
      <c r="E2197" s="26">
        <v>0.99</v>
      </c>
      <c r="F2197" s="26" t="s">
        <v>293</v>
      </c>
      <c r="K2197" s="24">
        <v>71</v>
      </c>
      <c r="L2197" s="102">
        <v>46146.382384259261</v>
      </c>
      <c r="M2197" s="25" t="s">
        <v>357</v>
      </c>
      <c r="N2197" s="103" t="s">
        <v>351</v>
      </c>
      <c r="O2197" s="26">
        <v>3.31</v>
      </c>
      <c r="P2197" s="26" t="s">
        <v>293</v>
      </c>
    </row>
    <row r="2198" spans="1:16" x14ac:dyDescent="0.3">
      <c r="A2198" s="24">
        <v>71</v>
      </c>
      <c r="B2198" s="102">
        <v>46146.382372685184</v>
      </c>
      <c r="C2198" s="25" t="s">
        <v>356</v>
      </c>
      <c r="D2198" s="103" t="s">
        <v>353</v>
      </c>
      <c r="E2198" s="26">
        <v>33.799999999999997</v>
      </c>
      <c r="F2198" s="26" t="s">
        <v>293</v>
      </c>
      <c r="K2198" s="24">
        <v>71</v>
      </c>
      <c r="L2198" s="102">
        <v>46146.382384259261</v>
      </c>
      <c r="M2198" s="25" t="s">
        <v>357</v>
      </c>
      <c r="N2198" s="103" t="s">
        <v>353</v>
      </c>
      <c r="O2198" s="26">
        <v>17.399999999999999</v>
      </c>
      <c r="P2198" s="26" t="s">
        <v>293</v>
      </c>
    </row>
    <row r="2199" spans="1:16" x14ac:dyDescent="0.3">
      <c r="A2199" s="24">
        <v>71</v>
      </c>
      <c r="B2199" s="102">
        <v>46146.382372685184</v>
      </c>
      <c r="C2199" s="25" t="s">
        <v>356</v>
      </c>
      <c r="D2199" s="103" t="s">
        <v>133</v>
      </c>
      <c r="E2199" s="26">
        <v>146</v>
      </c>
      <c r="F2199" s="26" t="s">
        <v>293</v>
      </c>
      <c r="K2199" s="24">
        <v>71</v>
      </c>
      <c r="L2199" s="102">
        <v>46146.382384259261</v>
      </c>
      <c r="M2199" s="25" t="s">
        <v>357</v>
      </c>
      <c r="N2199" s="103" t="s">
        <v>133</v>
      </c>
      <c r="O2199" s="26">
        <v>130</v>
      </c>
      <c r="P2199" s="26" t="s">
        <v>293</v>
      </c>
    </row>
    <row r="2200" spans="1:16" x14ac:dyDescent="0.3">
      <c r="A2200" s="24">
        <v>71</v>
      </c>
      <c r="B2200" s="102">
        <v>46146.382372685184</v>
      </c>
      <c r="C2200" s="25" t="s">
        <v>356</v>
      </c>
      <c r="D2200" s="103" t="s">
        <v>135</v>
      </c>
      <c r="E2200" s="26">
        <v>3.9</v>
      </c>
      <c r="F2200" s="26" t="s">
        <v>293</v>
      </c>
      <c r="K2200" s="24">
        <v>71</v>
      </c>
      <c r="L2200" s="102">
        <v>46146.382384259261</v>
      </c>
      <c r="M2200" s="25" t="s">
        <v>357</v>
      </c>
      <c r="N2200" s="103" t="s">
        <v>135</v>
      </c>
      <c r="O2200" s="26">
        <v>6.6</v>
      </c>
      <c r="P2200" s="26" t="s">
        <v>293</v>
      </c>
    </row>
    <row r="2201" spans="1:16" x14ac:dyDescent="0.3">
      <c r="A2201" s="24">
        <v>71</v>
      </c>
      <c r="B2201" s="102">
        <v>46146.382372685184</v>
      </c>
      <c r="C2201" s="25" t="s">
        <v>356</v>
      </c>
      <c r="D2201" s="103" t="s">
        <v>136</v>
      </c>
      <c r="E2201" s="26">
        <v>118</v>
      </c>
      <c r="F2201" s="26" t="s">
        <v>293</v>
      </c>
      <c r="K2201" s="24">
        <v>71</v>
      </c>
      <c r="L2201" s="102">
        <v>46146.382384259261</v>
      </c>
      <c r="M2201" s="25" t="s">
        <v>357</v>
      </c>
      <c r="N2201" s="103" t="s">
        <v>136</v>
      </c>
      <c r="O2201" s="26">
        <v>99</v>
      </c>
      <c r="P2201" s="26" t="s">
        <v>293</v>
      </c>
    </row>
    <row r="2202" spans="1:16" x14ac:dyDescent="0.3">
      <c r="A2202" s="24">
        <v>72</v>
      </c>
      <c r="B2202" s="102">
        <v>46147.351307870369</v>
      </c>
      <c r="C2202" s="25" t="s">
        <v>356</v>
      </c>
      <c r="D2202" s="103" t="s">
        <v>339</v>
      </c>
      <c r="E2202" s="26">
        <v>4.5999999999999996</v>
      </c>
      <c r="F2202" s="26" t="s">
        <v>293</v>
      </c>
      <c r="K2202" s="24">
        <v>72</v>
      </c>
      <c r="L2202" s="102">
        <v>46147.358842592592</v>
      </c>
      <c r="M2202" s="25" t="s">
        <v>357</v>
      </c>
      <c r="N2202" s="103" t="s">
        <v>339</v>
      </c>
      <c r="O2202" s="26">
        <v>1.26</v>
      </c>
      <c r="P2202" s="26" t="s">
        <v>293</v>
      </c>
    </row>
    <row r="2203" spans="1:16" x14ac:dyDescent="0.3">
      <c r="A2203" s="24">
        <v>72</v>
      </c>
      <c r="B2203" s="102">
        <v>46147.351307870369</v>
      </c>
      <c r="C2203" s="25" t="s">
        <v>356</v>
      </c>
      <c r="D2203" s="103" t="s">
        <v>118</v>
      </c>
      <c r="E2203" s="26">
        <v>4.5999999999999996</v>
      </c>
      <c r="F2203" s="26" t="s">
        <v>293</v>
      </c>
      <c r="K2203" s="24">
        <v>72</v>
      </c>
      <c r="L2203" s="102">
        <v>46147.358842592592</v>
      </c>
      <c r="M2203" s="25" t="s">
        <v>357</v>
      </c>
      <c r="N2203" s="103" t="s">
        <v>118</v>
      </c>
      <c r="O2203" s="26">
        <v>9.4</v>
      </c>
      <c r="P2203" s="26" t="s">
        <v>293</v>
      </c>
    </row>
    <row r="2204" spans="1:16" x14ac:dyDescent="0.3">
      <c r="A2204" s="24">
        <v>72</v>
      </c>
      <c r="B2204" s="102">
        <v>46147.351307870369</v>
      </c>
      <c r="C2204" s="25" t="s">
        <v>356</v>
      </c>
      <c r="D2204" s="103" t="s">
        <v>130</v>
      </c>
      <c r="E2204" s="26">
        <v>3.84</v>
      </c>
      <c r="F2204" s="26" t="s">
        <v>293</v>
      </c>
      <c r="K2204" s="24">
        <v>72</v>
      </c>
      <c r="L2204" s="102">
        <v>46147.358842592592</v>
      </c>
      <c r="M2204" s="25" t="s">
        <v>357</v>
      </c>
      <c r="N2204" s="103" t="s">
        <v>130</v>
      </c>
      <c r="O2204" s="26">
        <v>2.42</v>
      </c>
      <c r="P2204" s="26" t="s">
        <v>293</v>
      </c>
    </row>
    <row r="2205" spans="1:16" x14ac:dyDescent="0.3">
      <c r="A2205" s="24">
        <v>72</v>
      </c>
      <c r="B2205" s="102">
        <v>46147.351307870369</v>
      </c>
      <c r="C2205" s="25" t="s">
        <v>356</v>
      </c>
      <c r="D2205" s="103" t="s">
        <v>341</v>
      </c>
      <c r="E2205" s="26">
        <v>0.313</v>
      </c>
      <c r="F2205" s="26" t="s">
        <v>293</v>
      </c>
      <c r="K2205" s="24">
        <v>72</v>
      </c>
      <c r="L2205" s="102">
        <v>46147.358842592592</v>
      </c>
      <c r="M2205" s="25" t="s">
        <v>357</v>
      </c>
      <c r="N2205" s="103" t="s">
        <v>341</v>
      </c>
      <c r="O2205" s="26">
        <v>1.202</v>
      </c>
      <c r="P2205" s="26" t="s">
        <v>293</v>
      </c>
    </row>
    <row r="2206" spans="1:16" x14ac:dyDescent="0.3">
      <c r="A2206" s="24">
        <v>72</v>
      </c>
      <c r="B2206" s="102">
        <v>46147.351307870369</v>
      </c>
      <c r="C2206" s="25" t="s">
        <v>356</v>
      </c>
      <c r="D2206" s="103" t="s">
        <v>127</v>
      </c>
      <c r="E2206" s="26">
        <v>1.173</v>
      </c>
      <c r="F2206" s="26" t="s">
        <v>293</v>
      </c>
      <c r="K2206" s="24">
        <v>72</v>
      </c>
      <c r="L2206" s="102">
        <v>46147.358842592592</v>
      </c>
      <c r="M2206" s="25" t="s">
        <v>357</v>
      </c>
      <c r="N2206" s="103" t="s">
        <v>127</v>
      </c>
      <c r="O2206" s="26">
        <v>4.5720000000000001</v>
      </c>
      <c r="P2206" s="26" t="s">
        <v>293</v>
      </c>
    </row>
    <row r="2207" spans="1:16" x14ac:dyDescent="0.3">
      <c r="A2207" s="24">
        <v>72</v>
      </c>
      <c r="B2207" s="102">
        <v>46147.351307870369</v>
      </c>
      <c r="C2207" s="25" t="s">
        <v>356</v>
      </c>
      <c r="D2207" s="103" t="s">
        <v>131</v>
      </c>
      <c r="E2207" s="26">
        <v>8.8000000000000007</v>
      </c>
      <c r="F2207" s="26" t="s">
        <v>293</v>
      </c>
      <c r="K2207" s="24">
        <v>72</v>
      </c>
      <c r="L2207" s="102">
        <v>46147.358842592592</v>
      </c>
      <c r="M2207" s="25" t="s">
        <v>357</v>
      </c>
      <c r="N2207" s="103" t="s">
        <v>131</v>
      </c>
      <c r="O2207" s="26">
        <v>11.85</v>
      </c>
      <c r="P2207" s="26" t="s">
        <v>293</v>
      </c>
    </row>
    <row r="2208" spans="1:16" x14ac:dyDescent="0.3">
      <c r="A2208" s="24">
        <v>72</v>
      </c>
      <c r="B2208" s="102">
        <v>46147.351307870369</v>
      </c>
      <c r="C2208" s="25" t="s">
        <v>356</v>
      </c>
      <c r="D2208" s="103" t="s">
        <v>342</v>
      </c>
      <c r="E2208" s="26">
        <v>355</v>
      </c>
      <c r="F2208" s="26" t="s">
        <v>293</v>
      </c>
      <c r="K2208" s="24">
        <v>72</v>
      </c>
      <c r="L2208" s="102">
        <v>46147.358842592592</v>
      </c>
      <c r="M2208" s="25" t="s">
        <v>357</v>
      </c>
      <c r="N2208" s="103" t="s">
        <v>342</v>
      </c>
      <c r="O2208" s="26">
        <v>221</v>
      </c>
      <c r="P2208" s="26" t="s">
        <v>293</v>
      </c>
    </row>
    <row r="2209" spans="1:16" x14ac:dyDescent="0.3">
      <c r="A2209" s="24">
        <v>72</v>
      </c>
      <c r="B2209" s="102">
        <v>46147.351307870369</v>
      </c>
      <c r="C2209" s="25" t="s">
        <v>356</v>
      </c>
      <c r="D2209" s="103" t="s">
        <v>119</v>
      </c>
      <c r="E2209" s="26">
        <v>231</v>
      </c>
      <c r="F2209" s="26" t="s">
        <v>293</v>
      </c>
      <c r="K2209" s="24">
        <v>72</v>
      </c>
      <c r="L2209" s="102">
        <v>46147.358842592592</v>
      </c>
      <c r="M2209" s="25" t="s">
        <v>357</v>
      </c>
      <c r="N2209" s="103" t="s">
        <v>119</v>
      </c>
      <c r="O2209" s="26">
        <v>87</v>
      </c>
      <c r="P2209" s="26" t="s">
        <v>293</v>
      </c>
    </row>
    <row r="2210" spans="1:16" x14ac:dyDescent="0.3">
      <c r="A2210" s="24">
        <v>72</v>
      </c>
      <c r="B2210" s="102">
        <v>46147.351307870369</v>
      </c>
      <c r="C2210" s="25" t="s">
        <v>356</v>
      </c>
      <c r="D2210" s="103" t="s">
        <v>120</v>
      </c>
      <c r="E2210" s="26">
        <v>74</v>
      </c>
      <c r="F2210" s="26" t="s">
        <v>293</v>
      </c>
      <c r="K2210" s="24">
        <v>72</v>
      </c>
      <c r="L2210" s="102">
        <v>46147.358842592592</v>
      </c>
      <c r="M2210" s="25" t="s">
        <v>357</v>
      </c>
      <c r="N2210" s="103" t="s">
        <v>120</v>
      </c>
      <c r="O2210" s="26">
        <v>27</v>
      </c>
      <c r="P2210" s="26" t="s">
        <v>293</v>
      </c>
    </row>
    <row r="2211" spans="1:16" x14ac:dyDescent="0.3">
      <c r="A2211" s="24">
        <v>72</v>
      </c>
      <c r="B2211" s="102">
        <v>46147.351307870369</v>
      </c>
      <c r="C2211" s="25" t="s">
        <v>356</v>
      </c>
      <c r="D2211" s="103" t="s">
        <v>117</v>
      </c>
      <c r="E2211" s="26">
        <v>2.62</v>
      </c>
      <c r="F2211" s="26" t="s">
        <v>293</v>
      </c>
      <c r="K2211" s="24">
        <v>72</v>
      </c>
      <c r="L2211" s="102">
        <v>46147.358842592592</v>
      </c>
      <c r="M2211" s="25" t="s">
        <v>357</v>
      </c>
      <c r="N2211" s="103" t="s">
        <v>117</v>
      </c>
      <c r="O2211" s="26">
        <v>6.19</v>
      </c>
      <c r="P2211" s="26" t="s">
        <v>293</v>
      </c>
    </row>
    <row r="2212" spans="1:16" x14ac:dyDescent="0.3">
      <c r="A2212" s="24">
        <v>72</v>
      </c>
      <c r="B2212" s="102">
        <v>46147.351307870369</v>
      </c>
      <c r="C2212" s="25" t="s">
        <v>356</v>
      </c>
      <c r="D2212" s="103" t="s">
        <v>344</v>
      </c>
      <c r="E2212" s="26">
        <v>231</v>
      </c>
      <c r="F2212" s="26" t="s">
        <v>293</v>
      </c>
      <c r="K2212" s="24">
        <v>72</v>
      </c>
      <c r="L2212" s="102">
        <v>46147.358842592592</v>
      </c>
      <c r="M2212" s="25" t="s">
        <v>357</v>
      </c>
      <c r="N2212" s="103" t="s">
        <v>344</v>
      </c>
      <c r="O2212" s="26">
        <v>70</v>
      </c>
      <c r="P2212" s="26" t="s">
        <v>293</v>
      </c>
    </row>
    <row r="2213" spans="1:16" x14ac:dyDescent="0.3">
      <c r="A2213" s="24">
        <v>72</v>
      </c>
      <c r="B2213" s="102">
        <v>46147.351307870369</v>
      </c>
      <c r="C2213" s="25" t="s">
        <v>356</v>
      </c>
      <c r="D2213" s="103" t="s">
        <v>132</v>
      </c>
      <c r="E2213" s="26">
        <v>3.49</v>
      </c>
      <c r="F2213" s="26" t="s">
        <v>293</v>
      </c>
      <c r="K2213" s="24">
        <v>72</v>
      </c>
      <c r="L2213" s="102">
        <v>46147.358842592592</v>
      </c>
      <c r="M2213" s="25" t="s">
        <v>357</v>
      </c>
      <c r="N2213" s="103" t="s">
        <v>132</v>
      </c>
      <c r="O2213" s="26">
        <v>7.14</v>
      </c>
      <c r="P2213" s="26" t="s">
        <v>293</v>
      </c>
    </row>
    <row r="2214" spans="1:16" x14ac:dyDescent="0.3">
      <c r="A2214" s="24">
        <v>72</v>
      </c>
      <c r="B2214" s="102">
        <v>46147.351307870369</v>
      </c>
      <c r="C2214" s="25" t="s">
        <v>356</v>
      </c>
      <c r="D2214" s="103" t="s">
        <v>111</v>
      </c>
      <c r="E2214" s="26">
        <v>89</v>
      </c>
      <c r="F2214" s="26" t="s">
        <v>293</v>
      </c>
      <c r="K2214" s="24">
        <v>72</v>
      </c>
      <c r="L2214" s="102">
        <v>46147.358842592592</v>
      </c>
      <c r="M2214" s="25" t="s">
        <v>357</v>
      </c>
      <c r="N2214" s="103" t="s">
        <v>111</v>
      </c>
      <c r="O2214" s="26">
        <v>282</v>
      </c>
      <c r="P2214" s="26" t="s">
        <v>293</v>
      </c>
    </row>
    <row r="2215" spans="1:16" x14ac:dyDescent="0.3">
      <c r="A2215" s="24">
        <v>72</v>
      </c>
      <c r="B2215" s="102">
        <v>46147.351307870369</v>
      </c>
      <c r="C2215" s="25" t="s">
        <v>356</v>
      </c>
      <c r="D2215" s="103" t="s">
        <v>345</v>
      </c>
      <c r="E2215" s="26">
        <v>5.16</v>
      </c>
      <c r="F2215" s="26" t="s">
        <v>293</v>
      </c>
      <c r="K2215" s="24">
        <v>72</v>
      </c>
      <c r="L2215" s="102">
        <v>46147.358842592592</v>
      </c>
      <c r="M2215" s="25" t="s">
        <v>357</v>
      </c>
      <c r="N2215" s="103" t="s">
        <v>345</v>
      </c>
      <c r="O2215" s="26">
        <v>9.82</v>
      </c>
      <c r="P2215" s="26" t="s">
        <v>293</v>
      </c>
    </row>
    <row r="2216" spans="1:16" x14ac:dyDescent="0.3">
      <c r="A2216" s="24">
        <v>72</v>
      </c>
      <c r="B2216" s="102">
        <v>46147.351307870369</v>
      </c>
      <c r="C2216" s="25" t="s">
        <v>356</v>
      </c>
      <c r="D2216" s="103" t="s">
        <v>347</v>
      </c>
      <c r="E2216" s="26">
        <v>2.11</v>
      </c>
      <c r="F2216" s="26" t="s">
        <v>293</v>
      </c>
      <c r="K2216" s="24">
        <v>72</v>
      </c>
      <c r="L2216" s="102">
        <v>46147.358842592592</v>
      </c>
      <c r="M2216" s="25" t="s">
        <v>357</v>
      </c>
      <c r="N2216" s="103" t="s">
        <v>347</v>
      </c>
      <c r="O2216" s="26">
        <v>4.8099999999999996</v>
      </c>
      <c r="P2216" s="26" t="s">
        <v>293</v>
      </c>
    </row>
    <row r="2217" spans="1:16" x14ac:dyDescent="0.3">
      <c r="A2217" s="24">
        <v>72</v>
      </c>
      <c r="B2217" s="102">
        <v>46147.351307870369</v>
      </c>
      <c r="C2217" s="25" t="s">
        <v>356</v>
      </c>
      <c r="D2217" s="103" t="s">
        <v>128</v>
      </c>
      <c r="E2217" s="26">
        <v>7.1</v>
      </c>
      <c r="F2217" s="26" t="s">
        <v>293</v>
      </c>
      <c r="K2217" s="24">
        <v>72</v>
      </c>
      <c r="L2217" s="102">
        <v>46147.358842592592</v>
      </c>
      <c r="M2217" s="25" t="s">
        <v>357</v>
      </c>
      <c r="N2217" s="103" t="s">
        <v>128</v>
      </c>
      <c r="O2217" s="26">
        <v>4.4000000000000004</v>
      </c>
      <c r="P2217" s="26" t="s">
        <v>293</v>
      </c>
    </row>
    <row r="2218" spans="1:16" x14ac:dyDescent="0.3">
      <c r="A2218" s="24">
        <v>72</v>
      </c>
      <c r="B2218" s="102">
        <v>46147.351307870369</v>
      </c>
      <c r="C2218" s="25" t="s">
        <v>356</v>
      </c>
      <c r="D2218" s="103" t="s">
        <v>121</v>
      </c>
      <c r="E2218" s="26">
        <v>160</v>
      </c>
      <c r="F2218" s="26" t="s">
        <v>293</v>
      </c>
      <c r="K2218" s="24">
        <v>72</v>
      </c>
      <c r="L2218" s="102">
        <v>46147.358842592592</v>
      </c>
      <c r="M2218" s="25" t="s">
        <v>357</v>
      </c>
      <c r="N2218" s="103" t="s">
        <v>121</v>
      </c>
      <c r="O2218" s="26">
        <v>79</v>
      </c>
      <c r="P2218" s="26" t="s">
        <v>293</v>
      </c>
    </row>
    <row r="2219" spans="1:16" x14ac:dyDescent="0.3">
      <c r="A2219" s="24">
        <v>72</v>
      </c>
      <c r="B2219" s="102">
        <v>46147.351307870369</v>
      </c>
      <c r="C2219" s="25" t="s">
        <v>356</v>
      </c>
      <c r="D2219" s="103" t="s">
        <v>115</v>
      </c>
      <c r="E2219" s="26">
        <v>33</v>
      </c>
      <c r="F2219" s="26" t="s">
        <v>293</v>
      </c>
      <c r="K2219" s="24">
        <v>72</v>
      </c>
      <c r="L2219" s="102">
        <v>46147.358842592592</v>
      </c>
      <c r="M2219" s="25" t="s">
        <v>357</v>
      </c>
      <c r="N2219" s="103" t="s">
        <v>115</v>
      </c>
      <c r="O2219" s="26">
        <v>93</v>
      </c>
      <c r="P2219" s="26" t="s">
        <v>293</v>
      </c>
    </row>
    <row r="2220" spans="1:16" x14ac:dyDescent="0.3">
      <c r="A2220" s="24">
        <v>72</v>
      </c>
      <c r="B2220" s="102">
        <v>46147.351307870369</v>
      </c>
      <c r="C2220" s="25" t="s">
        <v>356</v>
      </c>
      <c r="D2220" s="103" t="s">
        <v>137</v>
      </c>
      <c r="E2220" s="26">
        <v>75</v>
      </c>
      <c r="F2220" s="26" t="s">
        <v>293</v>
      </c>
      <c r="K2220" s="24">
        <v>72</v>
      </c>
      <c r="L2220" s="102">
        <v>46147.358842592592</v>
      </c>
      <c r="M2220" s="25" t="s">
        <v>357</v>
      </c>
      <c r="N2220" s="103" t="s">
        <v>137</v>
      </c>
      <c r="O2220" s="26">
        <v>485</v>
      </c>
      <c r="P2220" s="26" t="s">
        <v>293</v>
      </c>
    </row>
    <row r="2221" spans="1:16" x14ac:dyDescent="0.3">
      <c r="A2221" s="24">
        <v>72</v>
      </c>
      <c r="B2221" s="102">
        <v>46147.351307870369</v>
      </c>
      <c r="C2221" s="25" t="s">
        <v>356</v>
      </c>
      <c r="D2221" s="103" t="s">
        <v>348</v>
      </c>
      <c r="E2221" s="26">
        <v>139</v>
      </c>
      <c r="F2221" s="26" t="s">
        <v>293</v>
      </c>
      <c r="K2221" s="24">
        <v>72</v>
      </c>
      <c r="L2221" s="102">
        <v>46147.358842592592</v>
      </c>
      <c r="M2221" s="25" t="s">
        <v>357</v>
      </c>
      <c r="N2221" s="103" t="s">
        <v>348</v>
      </c>
      <c r="O2221" s="26">
        <v>423</v>
      </c>
      <c r="P2221" s="26" t="s">
        <v>293</v>
      </c>
    </row>
    <row r="2222" spans="1:16" x14ac:dyDescent="0.3">
      <c r="A2222" s="24">
        <v>72</v>
      </c>
      <c r="B2222" s="102">
        <v>46147.351307870369</v>
      </c>
      <c r="C2222" s="25" t="s">
        <v>356</v>
      </c>
      <c r="D2222" s="103" t="s">
        <v>125</v>
      </c>
      <c r="E2222" s="26">
        <v>115</v>
      </c>
      <c r="F2222" s="26" t="s">
        <v>293</v>
      </c>
      <c r="K2222" s="24">
        <v>72</v>
      </c>
      <c r="L2222" s="102">
        <v>46147.358842592592</v>
      </c>
      <c r="M2222" s="25" t="s">
        <v>357</v>
      </c>
      <c r="N2222" s="103" t="s">
        <v>125</v>
      </c>
      <c r="O2222" s="26">
        <v>422</v>
      </c>
      <c r="P2222" s="26" t="s">
        <v>293</v>
      </c>
    </row>
    <row r="2223" spans="1:16" x14ac:dyDescent="0.3">
      <c r="A2223" s="24">
        <v>72</v>
      </c>
      <c r="B2223" s="102">
        <v>46147.351307870369</v>
      </c>
      <c r="C2223" s="25" t="s">
        <v>356</v>
      </c>
      <c r="D2223" s="103" t="s">
        <v>126</v>
      </c>
      <c r="E2223" s="26">
        <v>80</v>
      </c>
      <c r="F2223" s="26" t="s">
        <v>293</v>
      </c>
      <c r="K2223" s="24">
        <v>72</v>
      </c>
      <c r="L2223" s="102">
        <v>46147.358842592592</v>
      </c>
      <c r="M2223" s="25" t="s">
        <v>357</v>
      </c>
      <c r="N2223" s="103" t="s">
        <v>126</v>
      </c>
      <c r="O2223" s="26">
        <v>155</v>
      </c>
      <c r="P2223" s="26" t="s">
        <v>293</v>
      </c>
    </row>
    <row r="2224" spans="1:16" x14ac:dyDescent="0.3">
      <c r="A2224" s="24">
        <v>72</v>
      </c>
      <c r="B2224" s="102">
        <v>46147.351307870369</v>
      </c>
      <c r="C2224" s="25" t="s">
        <v>356</v>
      </c>
      <c r="D2224" s="103" t="s">
        <v>349</v>
      </c>
      <c r="E2224" s="26">
        <v>157</v>
      </c>
      <c r="F2224" s="26" t="s">
        <v>293</v>
      </c>
      <c r="K2224" s="24">
        <v>72</v>
      </c>
      <c r="L2224" s="102">
        <v>46147.358842592592</v>
      </c>
      <c r="M2224" s="25" t="s">
        <v>357</v>
      </c>
      <c r="N2224" s="103" t="s">
        <v>349</v>
      </c>
      <c r="O2224" s="26">
        <v>373</v>
      </c>
      <c r="P2224" s="26" t="s">
        <v>293</v>
      </c>
    </row>
    <row r="2225" spans="1:16" x14ac:dyDescent="0.3">
      <c r="A2225" s="24">
        <v>72</v>
      </c>
      <c r="B2225" s="102">
        <v>46147.351307870369</v>
      </c>
      <c r="C2225" s="25" t="s">
        <v>356</v>
      </c>
      <c r="D2225" s="103" t="s">
        <v>350</v>
      </c>
      <c r="E2225" s="26">
        <v>58</v>
      </c>
      <c r="F2225" s="26" t="s">
        <v>293</v>
      </c>
      <c r="K2225" s="24">
        <v>72</v>
      </c>
      <c r="L2225" s="102">
        <v>46147.358842592592</v>
      </c>
      <c r="M2225" s="25" t="s">
        <v>357</v>
      </c>
      <c r="N2225" s="103" t="s">
        <v>350</v>
      </c>
      <c r="O2225" s="26">
        <v>84</v>
      </c>
      <c r="P2225" s="26" t="s">
        <v>293</v>
      </c>
    </row>
    <row r="2226" spans="1:16" x14ac:dyDescent="0.3">
      <c r="A2226" s="24">
        <v>72</v>
      </c>
      <c r="B2226" s="102">
        <v>46147.351307870369</v>
      </c>
      <c r="C2226" s="25" t="s">
        <v>356</v>
      </c>
      <c r="D2226" s="103" t="s">
        <v>122</v>
      </c>
      <c r="E2226" s="26">
        <v>46</v>
      </c>
      <c r="F2226" s="26" t="s">
        <v>293</v>
      </c>
      <c r="K2226" s="24">
        <v>72</v>
      </c>
      <c r="L2226" s="102">
        <v>46147.358842592592</v>
      </c>
      <c r="M2226" s="25" t="s">
        <v>357</v>
      </c>
      <c r="N2226" s="103" t="s">
        <v>122</v>
      </c>
      <c r="O2226" s="26">
        <v>222</v>
      </c>
      <c r="P2226" s="26" t="s">
        <v>293</v>
      </c>
    </row>
    <row r="2227" spans="1:16" x14ac:dyDescent="0.3">
      <c r="A2227" s="24">
        <v>72</v>
      </c>
      <c r="B2227" s="102">
        <v>46147.351307870369</v>
      </c>
      <c r="C2227" s="25" t="s">
        <v>356</v>
      </c>
      <c r="D2227" s="103" t="s">
        <v>124</v>
      </c>
      <c r="E2227" s="26">
        <v>29</v>
      </c>
      <c r="F2227" s="26" t="s">
        <v>293</v>
      </c>
      <c r="K2227" s="24">
        <v>72</v>
      </c>
      <c r="L2227" s="102">
        <v>46147.358842592592</v>
      </c>
      <c r="M2227" s="25" t="s">
        <v>357</v>
      </c>
      <c r="N2227" s="103" t="s">
        <v>124</v>
      </c>
      <c r="O2227" s="26">
        <v>103</v>
      </c>
      <c r="P2227" s="26" t="s">
        <v>293</v>
      </c>
    </row>
    <row r="2228" spans="1:16" x14ac:dyDescent="0.3">
      <c r="A2228" s="24">
        <v>72</v>
      </c>
      <c r="B2228" s="102">
        <v>46147.351307870369</v>
      </c>
      <c r="C2228" s="25" t="s">
        <v>356</v>
      </c>
      <c r="D2228" s="103" t="s">
        <v>351</v>
      </c>
      <c r="E2228" s="26">
        <v>0.93</v>
      </c>
      <c r="F2228" s="26" t="s">
        <v>293</v>
      </c>
      <c r="K2228" s="24">
        <v>72</v>
      </c>
      <c r="L2228" s="102">
        <v>46147.358842592592</v>
      </c>
      <c r="M2228" s="25" t="s">
        <v>357</v>
      </c>
      <c r="N2228" s="103" t="s">
        <v>351</v>
      </c>
      <c r="O2228" s="26">
        <v>3.44</v>
      </c>
      <c r="P2228" s="26" t="s">
        <v>293</v>
      </c>
    </row>
    <row r="2229" spans="1:16" x14ac:dyDescent="0.3">
      <c r="A2229" s="24">
        <v>72</v>
      </c>
      <c r="B2229" s="102">
        <v>46147.351307870369</v>
      </c>
      <c r="C2229" s="25" t="s">
        <v>356</v>
      </c>
      <c r="D2229" s="103" t="s">
        <v>353</v>
      </c>
      <c r="E2229" s="26">
        <v>36.299999999999997</v>
      </c>
      <c r="F2229" s="26" t="s">
        <v>293</v>
      </c>
      <c r="K2229" s="24">
        <v>72</v>
      </c>
      <c r="L2229" s="102">
        <v>46147.358842592592</v>
      </c>
      <c r="M2229" s="25" t="s">
        <v>357</v>
      </c>
      <c r="N2229" s="103" t="s">
        <v>353</v>
      </c>
      <c r="O2229" s="26">
        <v>22.2</v>
      </c>
      <c r="P2229" s="26" t="s">
        <v>293</v>
      </c>
    </row>
    <row r="2230" spans="1:16" x14ac:dyDescent="0.3">
      <c r="A2230" s="24">
        <v>72</v>
      </c>
      <c r="B2230" s="102">
        <v>46147.351307870369</v>
      </c>
      <c r="C2230" s="25" t="s">
        <v>356</v>
      </c>
      <c r="D2230" s="103" t="s">
        <v>133</v>
      </c>
      <c r="E2230" s="26">
        <v>147</v>
      </c>
      <c r="F2230" s="26" t="s">
        <v>293</v>
      </c>
      <c r="K2230" s="24">
        <v>72</v>
      </c>
      <c r="L2230" s="102">
        <v>46147.358842592592</v>
      </c>
      <c r="M2230" s="25" t="s">
        <v>357</v>
      </c>
      <c r="N2230" s="103" t="s">
        <v>133</v>
      </c>
      <c r="O2230" s="26">
        <v>128</v>
      </c>
      <c r="P2230" s="26" t="s">
        <v>293</v>
      </c>
    </row>
    <row r="2231" spans="1:16" x14ac:dyDescent="0.3">
      <c r="A2231" s="24">
        <v>72</v>
      </c>
      <c r="B2231" s="102">
        <v>46147.351307870369</v>
      </c>
      <c r="C2231" s="25" t="s">
        <v>356</v>
      </c>
      <c r="D2231" s="103" t="s">
        <v>135</v>
      </c>
      <c r="E2231" s="26">
        <v>3.8</v>
      </c>
      <c r="F2231" s="26" t="s">
        <v>293</v>
      </c>
      <c r="K2231" s="24">
        <v>72</v>
      </c>
      <c r="L2231" s="102">
        <v>46147.358842592592</v>
      </c>
      <c r="M2231" s="25" t="s">
        <v>357</v>
      </c>
      <c r="N2231" s="103" t="s">
        <v>135</v>
      </c>
      <c r="O2231" s="26">
        <v>6.5</v>
      </c>
      <c r="P2231" s="26" t="s">
        <v>293</v>
      </c>
    </row>
    <row r="2232" spans="1:16" x14ac:dyDescent="0.3">
      <c r="A2232" s="24">
        <v>72</v>
      </c>
      <c r="B2232" s="102">
        <v>46147.351307870369</v>
      </c>
      <c r="C2232" s="25" t="s">
        <v>356</v>
      </c>
      <c r="D2232" s="103" t="s">
        <v>136</v>
      </c>
      <c r="E2232" s="26">
        <v>118</v>
      </c>
      <c r="F2232" s="26" t="s">
        <v>293</v>
      </c>
      <c r="K2232" s="24">
        <v>72</v>
      </c>
      <c r="L2232" s="102">
        <v>46147.358842592592</v>
      </c>
      <c r="M2232" s="25" t="s">
        <v>357</v>
      </c>
      <c r="N2232" s="103" t="s">
        <v>136</v>
      </c>
      <c r="O2232" s="26">
        <v>93</v>
      </c>
      <c r="P2232" s="26" t="s">
        <v>293</v>
      </c>
    </row>
    <row r="2233" spans="1:16" x14ac:dyDescent="0.3">
      <c r="A2233" s="24">
        <v>73</v>
      </c>
      <c r="B2233" s="102">
        <v>46148.360092592593</v>
      </c>
      <c r="C2233" s="25" t="s">
        <v>356</v>
      </c>
      <c r="D2233" s="103" t="s">
        <v>339</v>
      </c>
      <c r="E2233" s="26">
        <v>4.53</v>
      </c>
      <c r="F2233" s="26" t="s">
        <v>293</v>
      </c>
      <c r="K2233" s="24">
        <v>73</v>
      </c>
      <c r="L2233" s="102">
        <v>46148.365949074076</v>
      </c>
      <c r="M2233" s="25" t="s">
        <v>357</v>
      </c>
      <c r="N2233" s="103" t="s">
        <v>339</v>
      </c>
      <c r="O2233" s="26">
        <v>1.21</v>
      </c>
      <c r="P2233" s="26" t="s">
        <v>293</v>
      </c>
    </row>
    <row r="2234" spans="1:16" x14ac:dyDescent="0.3">
      <c r="A2234" s="24">
        <v>73</v>
      </c>
      <c r="B2234" s="102">
        <v>46148.360092592593</v>
      </c>
      <c r="C2234" s="25" t="s">
        <v>356</v>
      </c>
      <c r="D2234" s="103" t="s">
        <v>118</v>
      </c>
      <c r="E2234" s="26">
        <v>4.5999999999999996</v>
      </c>
      <c r="F2234" s="26" t="s">
        <v>293</v>
      </c>
      <c r="K2234" s="24">
        <v>73</v>
      </c>
      <c r="L2234" s="102">
        <v>46148.365949074076</v>
      </c>
      <c r="M2234" s="25" t="s">
        <v>357</v>
      </c>
      <c r="N2234" s="103" t="s">
        <v>118</v>
      </c>
      <c r="O2234" s="26">
        <v>9.5</v>
      </c>
      <c r="P2234" s="26" t="s">
        <v>293</v>
      </c>
    </row>
    <row r="2235" spans="1:16" x14ac:dyDescent="0.3">
      <c r="A2235" s="24">
        <v>73</v>
      </c>
      <c r="B2235" s="102">
        <v>46148.360092592593</v>
      </c>
      <c r="C2235" s="25" t="s">
        <v>356</v>
      </c>
      <c r="D2235" s="103" t="s">
        <v>130</v>
      </c>
      <c r="E2235" s="26">
        <v>3.9</v>
      </c>
      <c r="F2235" s="26" t="s">
        <v>293</v>
      </c>
      <c r="K2235" s="24">
        <v>73</v>
      </c>
      <c r="L2235" s="102">
        <v>46148.365949074076</v>
      </c>
      <c r="M2235" s="25" t="s">
        <v>357</v>
      </c>
      <c r="N2235" s="103" t="s">
        <v>130</v>
      </c>
      <c r="O2235" s="26">
        <v>2.44</v>
      </c>
      <c r="P2235" s="26" t="s">
        <v>293</v>
      </c>
    </row>
    <row r="2236" spans="1:16" x14ac:dyDescent="0.3">
      <c r="A2236" s="24">
        <v>73</v>
      </c>
      <c r="B2236" s="102">
        <v>46148.360092592593</v>
      </c>
      <c r="C2236" s="25" t="s">
        <v>356</v>
      </c>
      <c r="D2236" s="103" t="s">
        <v>341</v>
      </c>
      <c r="E2236" s="26">
        <v>0.33700000000000002</v>
      </c>
      <c r="F2236" s="26" t="s">
        <v>293</v>
      </c>
      <c r="K2236" s="24">
        <v>73</v>
      </c>
      <c r="L2236" s="102">
        <v>46148.365949074076</v>
      </c>
      <c r="M2236" s="25" t="s">
        <v>357</v>
      </c>
      <c r="N2236" s="103" t="s">
        <v>341</v>
      </c>
      <c r="O2236" s="26">
        <v>1.2470000000000001</v>
      </c>
      <c r="P2236" s="26" t="s">
        <v>293</v>
      </c>
    </row>
    <row r="2237" spans="1:16" x14ac:dyDescent="0.3">
      <c r="A2237" s="24">
        <v>73</v>
      </c>
      <c r="B2237" s="102">
        <v>46148.360092592593</v>
      </c>
      <c r="C2237" s="25" t="s">
        <v>356</v>
      </c>
      <c r="D2237" s="103" t="s">
        <v>127</v>
      </c>
      <c r="E2237" s="26">
        <v>1.1859999999999999</v>
      </c>
      <c r="F2237" s="26" t="s">
        <v>293</v>
      </c>
      <c r="K2237" s="24">
        <v>73</v>
      </c>
      <c r="L2237" s="102">
        <v>46148.365949074076</v>
      </c>
      <c r="M2237" s="25" t="s">
        <v>357</v>
      </c>
      <c r="N2237" s="103" t="s">
        <v>127</v>
      </c>
      <c r="O2237" s="26">
        <v>4.5830000000000002</v>
      </c>
      <c r="P2237" s="26" t="s">
        <v>293</v>
      </c>
    </row>
    <row r="2238" spans="1:16" x14ac:dyDescent="0.3">
      <c r="A2238" s="24">
        <v>73</v>
      </c>
      <c r="B2238" s="102">
        <v>46148.360092592593</v>
      </c>
      <c r="C2238" s="25" t="s">
        <v>356</v>
      </c>
      <c r="D2238" s="103" t="s">
        <v>131</v>
      </c>
      <c r="E2238" s="26">
        <v>8.6</v>
      </c>
      <c r="F2238" s="26" t="s">
        <v>293</v>
      </c>
      <c r="K2238" s="24">
        <v>73</v>
      </c>
      <c r="L2238" s="102">
        <v>46148.365949074076</v>
      </c>
      <c r="M2238" s="25" t="s">
        <v>357</v>
      </c>
      <c r="N2238" s="103" t="s">
        <v>131</v>
      </c>
      <c r="O2238" s="26">
        <v>11.9</v>
      </c>
      <c r="P2238" s="26" t="s">
        <v>293</v>
      </c>
    </row>
    <row r="2239" spans="1:16" x14ac:dyDescent="0.3">
      <c r="A2239" s="24">
        <v>73</v>
      </c>
      <c r="B2239" s="102">
        <v>46148.360092592593</v>
      </c>
      <c r="C2239" s="25" t="s">
        <v>356</v>
      </c>
      <c r="D2239" s="103" t="s">
        <v>342</v>
      </c>
      <c r="E2239" s="26">
        <v>318</v>
      </c>
      <c r="F2239" s="26" t="s">
        <v>293</v>
      </c>
      <c r="K2239" s="24">
        <v>73</v>
      </c>
      <c r="L2239" s="102">
        <v>46148.365949074076</v>
      </c>
      <c r="M2239" s="25" t="s">
        <v>357</v>
      </c>
      <c r="N2239" s="103" t="s">
        <v>342</v>
      </c>
      <c r="O2239" s="26">
        <v>187</v>
      </c>
      <c r="P2239" s="26" t="s">
        <v>293</v>
      </c>
    </row>
    <row r="2240" spans="1:16" x14ac:dyDescent="0.3">
      <c r="A2240" s="24">
        <v>73</v>
      </c>
      <c r="B2240" s="102">
        <v>46148.360092592593</v>
      </c>
      <c r="C2240" s="25" t="s">
        <v>356</v>
      </c>
      <c r="D2240" s="103" t="s">
        <v>119</v>
      </c>
      <c r="E2240" s="26">
        <v>238</v>
      </c>
      <c r="F2240" s="26" t="s">
        <v>293</v>
      </c>
      <c r="K2240" s="24">
        <v>73</v>
      </c>
      <c r="L2240" s="102">
        <v>46148.365949074076</v>
      </c>
      <c r="M2240" s="25" t="s">
        <v>357</v>
      </c>
      <c r="N2240" s="103" t="s">
        <v>119</v>
      </c>
      <c r="O2240" s="26">
        <v>90</v>
      </c>
      <c r="P2240" s="26" t="s">
        <v>293</v>
      </c>
    </row>
    <row r="2241" spans="1:16" x14ac:dyDescent="0.3">
      <c r="A2241" s="24">
        <v>73</v>
      </c>
      <c r="B2241" s="102">
        <v>46148.360092592593</v>
      </c>
      <c r="C2241" s="25" t="s">
        <v>356</v>
      </c>
      <c r="D2241" s="103" t="s">
        <v>120</v>
      </c>
      <c r="E2241" s="26">
        <v>78</v>
      </c>
      <c r="F2241" s="26" t="s">
        <v>293</v>
      </c>
      <c r="K2241" s="24">
        <v>73</v>
      </c>
      <c r="L2241" s="102">
        <v>46148.365949074076</v>
      </c>
      <c r="M2241" s="25" t="s">
        <v>357</v>
      </c>
      <c r="N2241" s="103" t="s">
        <v>120</v>
      </c>
      <c r="O2241" s="26">
        <v>27</v>
      </c>
      <c r="P2241" s="26" t="s">
        <v>293</v>
      </c>
    </row>
    <row r="2242" spans="1:16" x14ac:dyDescent="0.3">
      <c r="A2242" s="24">
        <v>73</v>
      </c>
      <c r="B2242" s="102">
        <v>46148.360092592593</v>
      </c>
      <c r="C2242" s="25" t="s">
        <v>356</v>
      </c>
      <c r="D2242" s="103" t="s">
        <v>117</v>
      </c>
      <c r="E2242" s="26">
        <v>2.71</v>
      </c>
      <c r="F2242" s="26" t="s">
        <v>293</v>
      </c>
      <c r="K2242" s="24">
        <v>73</v>
      </c>
      <c r="L2242" s="102">
        <v>46148.365949074076</v>
      </c>
      <c r="M2242" s="25" t="s">
        <v>357</v>
      </c>
      <c r="N2242" s="103" t="s">
        <v>117</v>
      </c>
      <c r="O2242" s="26">
        <v>6.18</v>
      </c>
      <c r="P2242" s="26" t="s">
        <v>293</v>
      </c>
    </row>
    <row r="2243" spans="1:16" x14ac:dyDescent="0.3">
      <c r="A2243" s="24">
        <v>73</v>
      </c>
      <c r="B2243" s="102">
        <v>46148.360092592593</v>
      </c>
      <c r="C2243" s="25" t="s">
        <v>356</v>
      </c>
      <c r="D2243" s="103" t="s">
        <v>344</v>
      </c>
      <c r="E2243" s="26">
        <v>233</v>
      </c>
      <c r="F2243" s="26" t="s">
        <v>293</v>
      </c>
      <c r="K2243" s="24">
        <v>73</v>
      </c>
      <c r="L2243" s="102">
        <v>46148.365949074076</v>
      </c>
      <c r="M2243" s="25" t="s">
        <v>357</v>
      </c>
      <c r="N2243" s="103" t="s">
        <v>344</v>
      </c>
      <c r="O2243" s="26">
        <v>70</v>
      </c>
      <c r="P2243" s="26" t="s">
        <v>293</v>
      </c>
    </row>
    <row r="2244" spans="1:16" x14ac:dyDescent="0.3">
      <c r="A2244" s="24">
        <v>73</v>
      </c>
      <c r="B2244" s="102">
        <v>46148.360092592593</v>
      </c>
      <c r="C2244" s="25" t="s">
        <v>356</v>
      </c>
      <c r="D2244" s="103" t="s">
        <v>132</v>
      </c>
      <c r="E2244" s="26">
        <v>3.46</v>
      </c>
      <c r="F2244" s="26" t="s">
        <v>293</v>
      </c>
      <c r="K2244" s="24">
        <v>73</v>
      </c>
      <c r="L2244" s="102">
        <v>46148.365949074076</v>
      </c>
      <c r="M2244" s="25" t="s">
        <v>357</v>
      </c>
      <c r="N2244" s="103" t="s">
        <v>132</v>
      </c>
      <c r="O2244" s="26">
        <v>7.1</v>
      </c>
      <c r="P2244" s="26" t="s">
        <v>293</v>
      </c>
    </row>
    <row r="2245" spans="1:16" x14ac:dyDescent="0.3">
      <c r="A2245" s="24">
        <v>73</v>
      </c>
      <c r="B2245" s="102">
        <v>46148.360092592593</v>
      </c>
      <c r="C2245" s="25" t="s">
        <v>356</v>
      </c>
      <c r="D2245" s="103" t="s">
        <v>111</v>
      </c>
      <c r="E2245" s="26">
        <v>87</v>
      </c>
      <c r="F2245" s="26" t="s">
        <v>293</v>
      </c>
      <c r="K2245" s="24">
        <v>73</v>
      </c>
      <c r="L2245" s="102">
        <v>46148.365949074076</v>
      </c>
      <c r="M2245" s="25" t="s">
        <v>357</v>
      </c>
      <c r="N2245" s="103" t="s">
        <v>111</v>
      </c>
      <c r="O2245" s="26">
        <v>278</v>
      </c>
      <c r="P2245" s="26" t="s">
        <v>293</v>
      </c>
    </row>
    <row r="2246" spans="1:16" x14ac:dyDescent="0.3">
      <c r="A2246" s="24">
        <v>73</v>
      </c>
      <c r="B2246" s="102">
        <v>46148.360092592593</v>
      </c>
      <c r="C2246" s="25" t="s">
        <v>356</v>
      </c>
      <c r="D2246" s="103" t="s">
        <v>345</v>
      </c>
      <c r="E2246" s="26">
        <v>5.19</v>
      </c>
      <c r="F2246" s="26" t="s">
        <v>293</v>
      </c>
      <c r="K2246" s="24">
        <v>73</v>
      </c>
      <c r="L2246" s="102">
        <v>46148.365949074076</v>
      </c>
      <c r="M2246" s="25" t="s">
        <v>357</v>
      </c>
      <c r="N2246" s="103" t="s">
        <v>345</v>
      </c>
      <c r="O2246" s="26">
        <v>9.77</v>
      </c>
      <c r="P2246" s="26" t="s">
        <v>293</v>
      </c>
    </row>
    <row r="2247" spans="1:16" x14ac:dyDescent="0.3">
      <c r="A2247" s="24">
        <v>73</v>
      </c>
      <c r="B2247" s="102">
        <v>46148.360092592593</v>
      </c>
      <c r="C2247" s="25" t="s">
        <v>356</v>
      </c>
      <c r="D2247" s="103" t="s">
        <v>347</v>
      </c>
      <c r="E2247" s="26">
        <v>2.12</v>
      </c>
      <c r="F2247" s="26" t="s">
        <v>293</v>
      </c>
      <c r="K2247" s="24">
        <v>73</v>
      </c>
      <c r="L2247" s="102">
        <v>46148.365949074076</v>
      </c>
      <c r="M2247" s="25" t="s">
        <v>357</v>
      </c>
      <c r="N2247" s="103" t="s">
        <v>347</v>
      </c>
      <c r="O2247" s="26">
        <v>4.58</v>
      </c>
      <c r="P2247" s="26" t="s">
        <v>293</v>
      </c>
    </row>
    <row r="2248" spans="1:16" x14ac:dyDescent="0.3">
      <c r="A2248" s="24">
        <v>73</v>
      </c>
      <c r="B2248" s="102">
        <v>46148.360092592593</v>
      </c>
      <c r="C2248" s="25" t="s">
        <v>356</v>
      </c>
      <c r="D2248" s="103" t="s">
        <v>128</v>
      </c>
      <c r="E2248" s="26">
        <v>7</v>
      </c>
      <c r="F2248" s="26" t="s">
        <v>293</v>
      </c>
      <c r="K2248" s="24">
        <v>73</v>
      </c>
      <c r="L2248" s="102">
        <v>46148.365949074076</v>
      </c>
      <c r="M2248" s="25" t="s">
        <v>357</v>
      </c>
      <c r="N2248" s="103" t="s">
        <v>128</v>
      </c>
      <c r="O2248" s="26">
        <v>4.5</v>
      </c>
      <c r="P2248" s="26" t="s">
        <v>293</v>
      </c>
    </row>
    <row r="2249" spans="1:16" x14ac:dyDescent="0.3">
      <c r="A2249" s="24">
        <v>73</v>
      </c>
      <c r="B2249" s="102">
        <v>46148.360092592593</v>
      </c>
      <c r="C2249" s="25" t="s">
        <v>356</v>
      </c>
      <c r="D2249" s="103" t="s">
        <v>121</v>
      </c>
      <c r="E2249" s="26">
        <v>159</v>
      </c>
      <c r="F2249" s="26" t="s">
        <v>293</v>
      </c>
      <c r="K2249" s="24">
        <v>73</v>
      </c>
      <c r="L2249" s="102">
        <v>46148.365949074076</v>
      </c>
      <c r="M2249" s="25" t="s">
        <v>357</v>
      </c>
      <c r="N2249" s="103" t="s">
        <v>121</v>
      </c>
      <c r="O2249" s="26">
        <v>80</v>
      </c>
      <c r="P2249" s="26" t="s">
        <v>293</v>
      </c>
    </row>
    <row r="2250" spans="1:16" x14ac:dyDescent="0.3">
      <c r="A2250" s="24">
        <v>73</v>
      </c>
      <c r="B2250" s="102">
        <v>46148.360092592593</v>
      </c>
      <c r="C2250" s="25" t="s">
        <v>356</v>
      </c>
      <c r="D2250" s="103" t="s">
        <v>115</v>
      </c>
      <c r="E2250" s="26">
        <v>33</v>
      </c>
      <c r="F2250" s="26" t="s">
        <v>293</v>
      </c>
      <c r="K2250" s="24">
        <v>73</v>
      </c>
      <c r="L2250" s="102">
        <v>46148.365949074076</v>
      </c>
      <c r="M2250" s="25" t="s">
        <v>357</v>
      </c>
      <c r="N2250" s="103" t="s">
        <v>115</v>
      </c>
      <c r="O2250" s="26">
        <v>97</v>
      </c>
      <c r="P2250" s="26" t="s">
        <v>293</v>
      </c>
    </row>
    <row r="2251" spans="1:16" x14ac:dyDescent="0.3">
      <c r="A2251" s="24">
        <v>73</v>
      </c>
      <c r="B2251" s="102">
        <v>46148.360092592593</v>
      </c>
      <c r="C2251" s="25" t="s">
        <v>356</v>
      </c>
      <c r="D2251" s="103" t="s">
        <v>137</v>
      </c>
      <c r="E2251" s="26">
        <v>74</v>
      </c>
      <c r="F2251" s="26" t="s">
        <v>293</v>
      </c>
      <c r="K2251" s="24">
        <v>73</v>
      </c>
      <c r="L2251" s="102">
        <v>46148.365949074076</v>
      </c>
      <c r="M2251" s="25" t="s">
        <v>357</v>
      </c>
      <c r="N2251" s="103" t="s">
        <v>137</v>
      </c>
      <c r="O2251" s="26">
        <v>484</v>
      </c>
      <c r="P2251" s="26" t="s">
        <v>293</v>
      </c>
    </row>
    <row r="2252" spans="1:16" x14ac:dyDescent="0.3">
      <c r="A2252" s="24">
        <v>73</v>
      </c>
      <c r="B2252" s="102">
        <v>46148.360092592593</v>
      </c>
      <c r="C2252" s="25" t="s">
        <v>356</v>
      </c>
      <c r="D2252" s="103" t="s">
        <v>348</v>
      </c>
      <c r="E2252" s="26">
        <v>140</v>
      </c>
      <c r="F2252" s="26" t="s">
        <v>293</v>
      </c>
      <c r="K2252" s="24">
        <v>73</v>
      </c>
      <c r="L2252" s="102">
        <v>46148.365949074076</v>
      </c>
      <c r="M2252" s="25" t="s">
        <v>357</v>
      </c>
      <c r="N2252" s="103" t="s">
        <v>348</v>
      </c>
      <c r="O2252" s="26">
        <v>430</v>
      </c>
      <c r="P2252" s="26" t="s">
        <v>293</v>
      </c>
    </row>
    <row r="2253" spans="1:16" x14ac:dyDescent="0.3">
      <c r="A2253" s="24">
        <v>73</v>
      </c>
      <c r="B2253" s="102">
        <v>46148.360092592593</v>
      </c>
      <c r="C2253" s="25" t="s">
        <v>356</v>
      </c>
      <c r="D2253" s="103" t="s">
        <v>125</v>
      </c>
      <c r="E2253" s="26">
        <v>112</v>
      </c>
      <c r="F2253" s="26" t="s">
        <v>293</v>
      </c>
      <c r="K2253" s="24">
        <v>73</v>
      </c>
      <c r="L2253" s="102">
        <v>46148.365949074076</v>
      </c>
      <c r="M2253" s="25" t="s">
        <v>357</v>
      </c>
      <c r="N2253" s="103" t="s">
        <v>125</v>
      </c>
      <c r="O2253" s="26">
        <v>410</v>
      </c>
      <c r="P2253" s="26" t="s">
        <v>293</v>
      </c>
    </row>
    <row r="2254" spans="1:16" x14ac:dyDescent="0.3">
      <c r="A2254" s="24">
        <v>73</v>
      </c>
      <c r="B2254" s="102">
        <v>46148.360092592593</v>
      </c>
      <c r="C2254" s="25" t="s">
        <v>356</v>
      </c>
      <c r="D2254" s="103" t="s">
        <v>126</v>
      </c>
      <c r="E2254" s="26">
        <v>80</v>
      </c>
      <c r="F2254" s="26" t="s">
        <v>293</v>
      </c>
      <c r="K2254" s="24">
        <v>73</v>
      </c>
      <c r="L2254" s="102">
        <v>46148.365949074076</v>
      </c>
      <c r="M2254" s="25" t="s">
        <v>357</v>
      </c>
      <c r="N2254" s="103" t="s">
        <v>126</v>
      </c>
      <c r="O2254" s="26">
        <v>152</v>
      </c>
      <c r="P2254" s="26" t="s">
        <v>293</v>
      </c>
    </row>
    <row r="2255" spans="1:16" x14ac:dyDescent="0.3">
      <c r="A2255" s="24">
        <v>73</v>
      </c>
      <c r="B2255" s="102">
        <v>46148.360092592593</v>
      </c>
      <c r="C2255" s="25" t="s">
        <v>356</v>
      </c>
      <c r="D2255" s="103" t="s">
        <v>349</v>
      </c>
      <c r="E2255" s="26">
        <v>142</v>
      </c>
      <c r="F2255" s="26" t="s">
        <v>293</v>
      </c>
      <c r="K2255" s="24">
        <v>73</v>
      </c>
      <c r="L2255" s="102">
        <v>46148.365949074076</v>
      </c>
      <c r="M2255" s="25" t="s">
        <v>357</v>
      </c>
      <c r="N2255" s="103" t="s">
        <v>349</v>
      </c>
      <c r="O2255" s="26">
        <v>361</v>
      </c>
      <c r="P2255" s="26" t="s">
        <v>293</v>
      </c>
    </row>
    <row r="2256" spans="1:16" x14ac:dyDescent="0.3">
      <c r="A2256" s="24">
        <v>73</v>
      </c>
      <c r="B2256" s="102">
        <v>46148.360092592593</v>
      </c>
      <c r="C2256" s="25" t="s">
        <v>356</v>
      </c>
      <c r="D2256" s="103" t="s">
        <v>350</v>
      </c>
      <c r="E2256" s="26">
        <v>59</v>
      </c>
      <c r="F2256" s="26" t="s">
        <v>293</v>
      </c>
      <c r="K2256" s="24">
        <v>73</v>
      </c>
      <c r="L2256" s="102">
        <v>46148.365949074076</v>
      </c>
      <c r="M2256" s="25" t="s">
        <v>357</v>
      </c>
      <c r="N2256" s="103" t="s">
        <v>350</v>
      </c>
      <c r="O2256" s="26">
        <v>83</v>
      </c>
      <c r="P2256" s="26" t="s">
        <v>293</v>
      </c>
    </row>
    <row r="2257" spans="1:16" x14ac:dyDescent="0.3">
      <c r="A2257" s="24">
        <v>73</v>
      </c>
      <c r="B2257" s="102">
        <v>46148.360092592593</v>
      </c>
      <c r="C2257" s="25" t="s">
        <v>356</v>
      </c>
      <c r="D2257" s="103" t="s">
        <v>122</v>
      </c>
      <c r="E2257" s="26">
        <v>45</v>
      </c>
      <c r="F2257" s="26" t="s">
        <v>293</v>
      </c>
      <c r="K2257" s="24">
        <v>73</v>
      </c>
      <c r="L2257" s="102">
        <v>46148.365949074076</v>
      </c>
      <c r="M2257" s="25" t="s">
        <v>357</v>
      </c>
      <c r="N2257" s="103" t="s">
        <v>122</v>
      </c>
      <c r="O2257" s="26">
        <v>219</v>
      </c>
      <c r="P2257" s="26" t="s">
        <v>293</v>
      </c>
    </row>
    <row r="2258" spans="1:16" x14ac:dyDescent="0.3">
      <c r="A2258" s="24">
        <v>73</v>
      </c>
      <c r="B2258" s="102">
        <v>46148.360092592593</v>
      </c>
      <c r="C2258" s="25" t="s">
        <v>356</v>
      </c>
      <c r="D2258" s="103" t="s">
        <v>124</v>
      </c>
      <c r="E2258" s="26">
        <v>30</v>
      </c>
      <c r="F2258" s="26" t="s">
        <v>293</v>
      </c>
      <c r="K2258" s="24">
        <v>73</v>
      </c>
      <c r="L2258" s="102">
        <v>46148.365949074076</v>
      </c>
      <c r="M2258" s="25" t="s">
        <v>357</v>
      </c>
      <c r="N2258" s="103" t="s">
        <v>124</v>
      </c>
      <c r="O2258" s="26">
        <v>106</v>
      </c>
      <c r="P2258" s="26" t="s">
        <v>293</v>
      </c>
    </row>
    <row r="2259" spans="1:16" x14ac:dyDescent="0.3">
      <c r="A2259" s="24">
        <v>73</v>
      </c>
      <c r="B2259" s="102">
        <v>46148.360092592593</v>
      </c>
      <c r="C2259" s="25" t="s">
        <v>356</v>
      </c>
      <c r="D2259" s="103" t="s">
        <v>351</v>
      </c>
      <c r="E2259" s="26">
        <v>0.96</v>
      </c>
      <c r="F2259" s="26" t="s">
        <v>293</v>
      </c>
      <c r="K2259" s="24">
        <v>73</v>
      </c>
      <c r="L2259" s="102">
        <v>46148.365949074076</v>
      </c>
      <c r="M2259" s="25" t="s">
        <v>357</v>
      </c>
      <c r="N2259" s="103" t="s">
        <v>351</v>
      </c>
      <c r="O2259" s="26">
        <v>3.54</v>
      </c>
      <c r="P2259" s="26" t="s">
        <v>293</v>
      </c>
    </row>
    <row r="2260" spans="1:16" x14ac:dyDescent="0.3">
      <c r="A2260" s="24">
        <v>73</v>
      </c>
      <c r="B2260" s="102">
        <v>46148.360092592593</v>
      </c>
      <c r="C2260" s="25" t="s">
        <v>356</v>
      </c>
      <c r="D2260" s="103" t="s">
        <v>353</v>
      </c>
      <c r="E2260" s="26">
        <v>34.1</v>
      </c>
      <c r="F2260" s="26" t="s">
        <v>293</v>
      </c>
      <c r="K2260" s="24">
        <v>73</v>
      </c>
      <c r="L2260" s="102">
        <v>46148.365949074076</v>
      </c>
      <c r="M2260" s="25" t="s">
        <v>357</v>
      </c>
      <c r="N2260" s="103" t="s">
        <v>353</v>
      </c>
      <c r="O2260" s="26">
        <v>17.5</v>
      </c>
      <c r="P2260" s="26" t="s">
        <v>293</v>
      </c>
    </row>
    <row r="2261" spans="1:16" x14ac:dyDescent="0.3">
      <c r="A2261" s="24">
        <v>73</v>
      </c>
      <c r="B2261" s="102">
        <v>46148.360092592593</v>
      </c>
      <c r="C2261" s="25" t="s">
        <v>356</v>
      </c>
      <c r="D2261" s="103" t="s">
        <v>133</v>
      </c>
      <c r="E2261" s="26">
        <v>147</v>
      </c>
      <c r="F2261" s="26" t="s">
        <v>293</v>
      </c>
      <c r="K2261" s="24">
        <v>73</v>
      </c>
      <c r="L2261" s="102">
        <v>46148.365949074076</v>
      </c>
      <c r="M2261" s="25" t="s">
        <v>357</v>
      </c>
      <c r="N2261" s="103" t="s">
        <v>133</v>
      </c>
      <c r="O2261" s="26">
        <v>127</v>
      </c>
      <c r="P2261" s="26" t="s">
        <v>293</v>
      </c>
    </row>
    <row r="2262" spans="1:16" x14ac:dyDescent="0.3">
      <c r="A2262" s="24">
        <v>73</v>
      </c>
      <c r="B2262" s="102">
        <v>46148.360092592593</v>
      </c>
      <c r="C2262" s="25" t="s">
        <v>356</v>
      </c>
      <c r="D2262" s="103" t="s">
        <v>135</v>
      </c>
      <c r="E2262" s="26">
        <v>3.8</v>
      </c>
      <c r="F2262" s="26" t="s">
        <v>293</v>
      </c>
      <c r="K2262" s="24">
        <v>73</v>
      </c>
      <c r="L2262" s="102">
        <v>46148.365949074076</v>
      </c>
      <c r="M2262" s="25" t="s">
        <v>357</v>
      </c>
      <c r="N2262" s="103" t="s">
        <v>135</v>
      </c>
      <c r="O2262" s="26">
        <v>6.5</v>
      </c>
      <c r="P2262" s="26" t="s">
        <v>293</v>
      </c>
    </row>
    <row r="2263" spans="1:16" x14ac:dyDescent="0.3">
      <c r="A2263" s="24">
        <v>73</v>
      </c>
      <c r="B2263" s="102">
        <v>46148.360092592593</v>
      </c>
      <c r="C2263" s="25" t="s">
        <v>356</v>
      </c>
      <c r="D2263" s="103" t="s">
        <v>136</v>
      </c>
      <c r="E2263" s="26">
        <v>118</v>
      </c>
      <c r="F2263" s="26" t="s">
        <v>293</v>
      </c>
      <c r="K2263" s="24">
        <v>73</v>
      </c>
      <c r="L2263" s="102">
        <v>46148.365949074076</v>
      </c>
      <c r="M2263" s="25" t="s">
        <v>357</v>
      </c>
      <c r="N2263" s="103" t="s">
        <v>136</v>
      </c>
      <c r="O2263" s="26">
        <v>96</v>
      </c>
      <c r="P2263" s="26" t="s">
        <v>293</v>
      </c>
    </row>
    <row r="2264" spans="1:16" x14ac:dyDescent="0.3">
      <c r="A2264" s="24">
        <v>74</v>
      </c>
      <c r="B2264" s="102">
        <v>46149.378263888888</v>
      </c>
      <c r="C2264" s="25" t="s">
        <v>356</v>
      </c>
      <c r="D2264" s="103" t="s">
        <v>339</v>
      </c>
      <c r="E2264" s="26">
        <v>4.55</v>
      </c>
      <c r="F2264" s="26" t="s">
        <v>293</v>
      </c>
      <c r="K2264" s="24">
        <v>74</v>
      </c>
      <c r="L2264" s="102">
        <v>46149.37945601852</v>
      </c>
      <c r="M2264" s="25" t="s">
        <v>357</v>
      </c>
      <c r="N2264" s="103" t="s">
        <v>339</v>
      </c>
      <c r="O2264" s="26">
        <v>1.19</v>
      </c>
      <c r="P2264" s="26" t="s">
        <v>293</v>
      </c>
    </row>
    <row r="2265" spans="1:16" x14ac:dyDescent="0.3">
      <c r="A2265" s="24">
        <v>74</v>
      </c>
      <c r="B2265" s="102">
        <v>46149.378263888888</v>
      </c>
      <c r="C2265" s="25" t="s">
        <v>356</v>
      </c>
      <c r="D2265" s="103" t="s">
        <v>118</v>
      </c>
      <c r="E2265" s="26">
        <v>4.5999999999999996</v>
      </c>
      <c r="F2265" s="26" t="s">
        <v>293</v>
      </c>
      <c r="K2265" s="24">
        <v>74</v>
      </c>
      <c r="L2265" s="102">
        <v>46149.37945601852</v>
      </c>
      <c r="M2265" s="25" t="s">
        <v>357</v>
      </c>
      <c r="N2265" s="103" t="s">
        <v>118</v>
      </c>
      <c r="O2265" s="26">
        <v>9.4</v>
      </c>
      <c r="P2265" s="26" t="s">
        <v>293</v>
      </c>
    </row>
    <row r="2266" spans="1:16" x14ac:dyDescent="0.3">
      <c r="A2266" s="24">
        <v>74</v>
      </c>
      <c r="B2266" s="102">
        <v>46149.378263888888</v>
      </c>
      <c r="C2266" s="25" t="s">
        <v>356</v>
      </c>
      <c r="D2266" s="103" t="s">
        <v>130</v>
      </c>
      <c r="E2266" s="26">
        <v>3.97</v>
      </c>
      <c r="F2266" s="26" t="s">
        <v>293</v>
      </c>
      <c r="K2266" s="24">
        <v>74</v>
      </c>
      <c r="L2266" s="102">
        <v>46149.37945601852</v>
      </c>
      <c r="M2266" s="25" t="s">
        <v>357</v>
      </c>
      <c r="N2266" s="103" t="s">
        <v>130</v>
      </c>
      <c r="O2266" s="26">
        <v>2.52</v>
      </c>
      <c r="P2266" s="26" t="s">
        <v>293</v>
      </c>
    </row>
    <row r="2267" spans="1:16" x14ac:dyDescent="0.3">
      <c r="A2267" s="24">
        <v>74</v>
      </c>
      <c r="B2267" s="102">
        <v>46149.378263888888</v>
      </c>
      <c r="C2267" s="25" t="s">
        <v>356</v>
      </c>
      <c r="D2267" s="103" t="s">
        <v>341</v>
      </c>
      <c r="E2267" s="26">
        <v>0.33</v>
      </c>
      <c r="F2267" s="26" t="s">
        <v>293</v>
      </c>
      <c r="K2267" s="24">
        <v>74</v>
      </c>
      <c r="L2267" s="102">
        <v>46149.37945601852</v>
      </c>
      <c r="M2267" s="25" t="s">
        <v>357</v>
      </c>
      <c r="N2267" s="103" t="s">
        <v>341</v>
      </c>
      <c r="O2267" s="26">
        <v>1.2310000000000001</v>
      </c>
      <c r="P2267" s="26" t="s">
        <v>293</v>
      </c>
    </row>
    <row r="2268" spans="1:16" x14ac:dyDescent="0.3">
      <c r="A2268" s="24">
        <v>74</v>
      </c>
      <c r="B2268" s="102">
        <v>46149.378263888888</v>
      </c>
      <c r="C2268" s="25" t="s">
        <v>356</v>
      </c>
      <c r="D2268" s="103" t="s">
        <v>127</v>
      </c>
      <c r="E2268" s="26">
        <v>1.1819999999999999</v>
      </c>
      <c r="F2268" s="26" t="s">
        <v>293</v>
      </c>
      <c r="K2268" s="24">
        <v>74</v>
      </c>
      <c r="L2268" s="102">
        <v>46149.37945601852</v>
      </c>
      <c r="M2268" s="25" t="s">
        <v>357</v>
      </c>
      <c r="N2268" s="103" t="s">
        <v>127</v>
      </c>
      <c r="O2268" s="26">
        <v>4.673</v>
      </c>
      <c r="P2268" s="26" t="s">
        <v>293</v>
      </c>
    </row>
    <row r="2269" spans="1:16" x14ac:dyDescent="0.3">
      <c r="A2269" s="24">
        <v>74</v>
      </c>
      <c r="B2269" s="102">
        <v>46149.378263888888</v>
      </c>
      <c r="C2269" s="25" t="s">
        <v>356</v>
      </c>
      <c r="D2269" s="103" t="s">
        <v>131</v>
      </c>
      <c r="E2269" s="26">
        <v>8.5</v>
      </c>
      <c r="F2269" s="26" t="s">
        <v>293</v>
      </c>
      <c r="K2269" s="24">
        <v>74</v>
      </c>
      <c r="L2269" s="102">
        <v>46149.37945601852</v>
      </c>
      <c r="M2269" s="25" t="s">
        <v>357</v>
      </c>
      <c r="N2269" s="103" t="s">
        <v>131</v>
      </c>
      <c r="O2269" s="26">
        <v>12</v>
      </c>
      <c r="P2269" s="26" t="s">
        <v>293</v>
      </c>
    </row>
    <row r="2270" spans="1:16" x14ac:dyDescent="0.3">
      <c r="A2270" s="24">
        <v>74</v>
      </c>
      <c r="B2270" s="102">
        <v>46149.378263888888</v>
      </c>
      <c r="C2270" s="25" t="s">
        <v>356</v>
      </c>
      <c r="D2270" s="103" t="s">
        <v>342</v>
      </c>
      <c r="E2270" s="26">
        <v>337</v>
      </c>
      <c r="F2270" s="26" t="s">
        <v>293</v>
      </c>
      <c r="K2270" s="24">
        <v>74</v>
      </c>
      <c r="L2270" s="102">
        <v>46149.37945601852</v>
      </c>
      <c r="M2270" s="25" t="s">
        <v>357</v>
      </c>
      <c r="N2270" s="103" t="s">
        <v>342</v>
      </c>
      <c r="O2270" s="26">
        <v>202</v>
      </c>
      <c r="P2270" s="26" t="s">
        <v>293</v>
      </c>
    </row>
    <row r="2271" spans="1:16" x14ac:dyDescent="0.3">
      <c r="A2271" s="24">
        <v>74</v>
      </c>
      <c r="B2271" s="102">
        <v>46149.378263888888</v>
      </c>
      <c r="C2271" s="25" t="s">
        <v>356</v>
      </c>
      <c r="D2271" s="103" t="s">
        <v>119</v>
      </c>
      <c r="E2271" s="26">
        <v>240</v>
      </c>
      <c r="F2271" s="26" t="s">
        <v>293</v>
      </c>
      <c r="K2271" s="24">
        <v>74</v>
      </c>
      <c r="L2271" s="102">
        <v>46149.37945601852</v>
      </c>
      <c r="M2271" s="25" t="s">
        <v>357</v>
      </c>
      <c r="N2271" s="103" t="s">
        <v>119</v>
      </c>
      <c r="O2271" s="26">
        <v>89</v>
      </c>
      <c r="P2271" s="26" t="s">
        <v>293</v>
      </c>
    </row>
    <row r="2272" spans="1:16" x14ac:dyDescent="0.3">
      <c r="A2272" s="24">
        <v>74</v>
      </c>
      <c r="B2272" s="102">
        <v>46149.378263888888</v>
      </c>
      <c r="C2272" s="25" t="s">
        <v>356</v>
      </c>
      <c r="D2272" s="103" t="s">
        <v>120</v>
      </c>
      <c r="E2272" s="26">
        <v>80</v>
      </c>
      <c r="F2272" s="26" t="s">
        <v>293</v>
      </c>
      <c r="K2272" s="24">
        <v>74</v>
      </c>
      <c r="L2272" s="102">
        <v>46149.37945601852</v>
      </c>
      <c r="M2272" s="25" t="s">
        <v>357</v>
      </c>
      <c r="N2272" s="103" t="s">
        <v>120</v>
      </c>
      <c r="O2272" s="26">
        <v>27</v>
      </c>
      <c r="P2272" s="26" t="s">
        <v>293</v>
      </c>
    </row>
    <row r="2273" spans="1:16" x14ac:dyDescent="0.3">
      <c r="A2273" s="24">
        <v>74</v>
      </c>
      <c r="B2273" s="102">
        <v>46149.378263888888</v>
      </c>
      <c r="C2273" s="25" t="s">
        <v>356</v>
      </c>
      <c r="D2273" s="103" t="s">
        <v>117</v>
      </c>
      <c r="E2273" s="26">
        <v>2.63</v>
      </c>
      <c r="F2273" s="26" t="s">
        <v>293</v>
      </c>
      <c r="K2273" s="24">
        <v>74</v>
      </c>
      <c r="L2273" s="102">
        <v>46149.37945601852</v>
      </c>
      <c r="M2273" s="25" t="s">
        <v>357</v>
      </c>
      <c r="N2273" s="103" t="s">
        <v>117</v>
      </c>
      <c r="O2273" s="26">
        <v>6.23</v>
      </c>
      <c r="P2273" s="26" t="s">
        <v>293</v>
      </c>
    </row>
    <row r="2274" spans="1:16" x14ac:dyDescent="0.3">
      <c r="A2274" s="24">
        <v>74</v>
      </c>
      <c r="B2274" s="102">
        <v>46149.378263888888</v>
      </c>
      <c r="C2274" s="25" t="s">
        <v>356</v>
      </c>
      <c r="D2274" s="103" t="s">
        <v>344</v>
      </c>
      <c r="E2274" s="26">
        <v>234</v>
      </c>
      <c r="F2274" s="26" t="s">
        <v>293</v>
      </c>
      <c r="K2274" s="24">
        <v>74</v>
      </c>
      <c r="L2274" s="102">
        <v>46149.37945601852</v>
      </c>
      <c r="M2274" s="25" t="s">
        <v>357</v>
      </c>
      <c r="N2274" s="103" t="s">
        <v>344</v>
      </c>
      <c r="O2274" s="26">
        <v>69</v>
      </c>
      <c r="P2274" s="26" t="s">
        <v>293</v>
      </c>
    </row>
    <row r="2275" spans="1:16" x14ac:dyDescent="0.3">
      <c r="A2275" s="24">
        <v>74</v>
      </c>
      <c r="B2275" s="102">
        <v>46149.378263888888</v>
      </c>
      <c r="C2275" s="25" t="s">
        <v>356</v>
      </c>
      <c r="D2275" s="103" t="s">
        <v>132</v>
      </c>
      <c r="E2275" s="26">
        <v>3.42</v>
      </c>
      <c r="F2275" s="26" t="s">
        <v>293</v>
      </c>
      <c r="K2275" s="24">
        <v>74</v>
      </c>
      <c r="L2275" s="102">
        <v>46149.37945601852</v>
      </c>
      <c r="M2275" s="25" t="s">
        <v>357</v>
      </c>
      <c r="N2275" s="103" t="s">
        <v>132</v>
      </c>
      <c r="O2275" s="26">
        <v>7.17</v>
      </c>
      <c r="P2275" s="26" t="s">
        <v>293</v>
      </c>
    </row>
    <row r="2276" spans="1:16" x14ac:dyDescent="0.3">
      <c r="A2276" s="24">
        <v>74</v>
      </c>
      <c r="B2276" s="102">
        <v>46149.378263888888</v>
      </c>
      <c r="C2276" s="25" t="s">
        <v>356</v>
      </c>
      <c r="D2276" s="103" t="s">
        <v>111</v>
      </c>
      <c r="E2276" s="26">
        <v>88</v>
      </c>
      <c r="F2276" s="26" t="s">
        <v>293</v>
      </c>
      <c r="K2276" s="24">
        <v>74</v>
      </c>
      <c r="L2276" s="102">
        <v>46149.37945601852</v>
      </c>
      <c r="M2276" s="25" t="s">
        <v>357</v>
      </c>
      <c r="N2276" s="103" t="s">
        <v>111</v>
      </c>
      <c r="O2276" s="26">
        <v>281</v>
      </c>
      <c r="P2276" s="26" t="s">
        <v>293</v>
      </c>
    </row>
    <row r="2277" spans="1:16" x14ac:dyDescent="0.3">
      <c r="A2277" s="24">
        <v>74</v>
      </c>
      <c r="B2277" s="102">
        <v>46149.378263888888</v>
      </c>
      <c r="C2277" s="25" t="s">
        <v>356</v>
      </c>
      <c r="D2277" s="103" t="s">
        <v>345</v>
      </c>
      <c r="E2277" s="26">
        <v>5.22</v>
      </c>
      <c r="F2277" s="26" t="s">
        <v>293</v>
      </c>
      <c r="K2277" s="24">
        <v>74</v>
      </c>
      <c r="L2277" s="102">
        <v>46149.37945601852</v>
      </c>
      <c r="M2277" s="25" t="s">
        <v>357</v>
      </c>
      <c r="N2277" s="103" t="s">
        <v>345</v>
      </c>
      <c r="O2277" s="26">
        <v>10.06</v>
      </c>
      <c r="P2277" s="26" t="s">
        <v>293</v>
      </c>
    </row>
    <row r="2278" spans="1:16" x14ac:dyDescent="0.3">
      <c r="A2278" s="24">
        <v>74</v>
      </c>
      <c r="B2278" s="102">
        <v>46149.378263888888</v>
      </c>
      <c r="C2278" s="25" t="s">
        <v>356</v>
      </c>
      <c r="D2278" s="103" t="s">
        <v>347</v>
      </c>
      <c r="E2278" s="26">
        <v>2.17</v>
      </c>
      <c r="F2278" s="26" t="s">
        <v>293</v>
      </c>
      <c r="K2278" s="24">
        <v>74</v>
      </c>
      <c r="L2278" s="102">
        <v>46149.37945601852</v>
      </c>
      <c r="M2278" s="25" t="s">
        <v>357</v>
      </c>
      <c r="N2278" s="103" t="s">
        <v>347</v>
      </c>
      <c r="O2278" s="26">
        <v>4.71</v>
      </c>
      <c r="P2278" s="26" t="s">
        <v>293</v>
      </c>
    </row>
    <row r="2279" spans="1:16" x14ac:dyDescent="0.3">
      <c r="A2279" s="24">
        <v>74</v>
      </c>
      <c r="B2279" s="102">
        <v>46149.378263888888</v>
      </c>
      <c r="C2279" s="25" t="s">
        <v>356</v>
      </c>
      <c r="D2279" s="103" t="s">
        <v>128</v>
      </c>
      <c r="E2279" s="26">
        <v>7.1</v>
      </c>
      <c r="F2279" s="26" t="s">
        <v>293</v>
      </c>
      <c r="K2279" s="24">
        <v>74</v>
      </c>
      <c r="L2279" s="102">
        <v>46149.37945601852</v>
      </c>
      <c r="M2279" s="25" t="s">
        <v>357</v>
      </c>
      <c r="N2279" s="103" t="s">
        <v>128</v>
      </c>
      <c r="O2279" s="26">
        <v>4.5</v>
      </c>
      <c r="P2279" s="26" t="s">
        <v>293</v>
      </c>
    </row>
    <row r="2280" spans="1:16" x14ac:dyDescent="0.3">
      <c r="A2280" s="24">
        <v>74</v>
      </c>
      <c r="B2280" s="102">
        <v>46149.378263888888</v>
      </c>
      <c r="C2280" s="25" t="s">
        <v>356</v>
      </c>
      <c r="D2280" s="103" t="s">
        <v>121</v>
      </c>
      <c r="E2280" s="26">
        <v>160</v>
      </c>
      <c r="F2280" s="26" t="s">
        <v>293</v>
      </c>
      <c r="K2280" s="24">
        <v>74</v>
      </c>
      <c r="L2280" s="102">
        <v>46149.37945601852</v>
      </c>
      <c r="M2280" s="25" t="s">
        <v>357</v>
      </c>
      <c r="N2280" s="103" t="s">
        <v>121</v>
      </c>
      <c r="O2280" s="26">
        <v>80</v>
      </c>
      <c r="P2280" s="26" t="s">
        <v>293</v>
      </c>
    </row>
    <row r="2281" spans="1:16" x14ac:dyDescent="0.3">
      <c r="A2281" s="24">
        <v>74</v>
      </c>
      <c r="B2281" s="102">
        <v>46149.378263888888</v>
      </c>
      <c r="C2281" s="25" t="s">
        <v>356</v>
      </c>
      <c r="D2281" s="103" t="s">
        <v>115</v>
      </c>
      <c r="E2281" s="26">
        <v>31</v>
      </c>
      <c r="F2281" s="26" t="s">
        <v>293</v>
      </c>
      <c r="K2281" s="24">
        <v>74</v>
      </c>
      <c r="L2281" s="102">
        <v>46149.37945601852</v>
      </c>
      <c r="M2281" s="25" t="s">
        <v>357</v>
      </c>
      <c r="N2281" s="103" t="s">
        <v>115</v>
      </c>
      <c r="O2281" s="26">
        <v>95</v>
      </c>
      <c r="P2281" s="26" t="s">
        <v>293</v>
      </c>
    </row>
    <row r="2282" spans="1:16" x14ac:dyDescent="0.3">
      <c r="A2282" s="24">
        <v>74</v>
      </c>
      <c r="B2282" s="102">
        <v>46149.378263888888</v>
      </c>
      <c r="C2282" s="25" t="s">
        <v>356</v>
      </c>
      <c r="D2282" s="103" t="s">
        <v>137</v>
      </c>
      <c r="E2282" s="26">
        <v>75</v>
      </c>
      <c r="F2282" s="26" t="s">
        <v>293</v>
      </c>
      <c r="K2282" s="24">
        <v>74</v>
      </c>
      <c r="L2282" s="102">
        <v>46149.37945601852</v>
      </c>
      <c r="M2282" s="25" t="s">
        <v>357</v>
      </c>
      <c r="N2282" s="103" t="s">
        <v>137</v>
      </c>
      <c r="O2282" s="26">
        <v>484</v>
      </c>
      <c r="P2282" s="26" t="s">
        <v>293</v>
      </c>
    </row>
    <row r="2283" spans="1:16" x14ac:dyDescent="0.3">
      <c r="A2283" s="24">
        <v>74</v>
      </c>
      <c r="B2283" s="102">
        <v>46149.378263888888</v>
      </c>
      <c r="C2283" s="25" t="s">
        <v>356</v>
      </c>
      <c r="D2283" s="103" t="s">
        <v>348</v>
      </c>
      <c r="E2283" s="26">
        <v>142</v>
      </c>
      <c r="F2283" s="26" t="s">
        <v>293</v>
      </c>
      <c r="K2283" s="24">
        <v>74</v>
      </c>
      <c r="L2283" s="102">
        <v>46149.37945601852</v>
      </c>
      <c r="M2283" s="25" t="s">
        <v>357</v>
      </c>
      <c r="N2283" s="103" t="s">
        <v>348</v>
      </c>
      <c r="O2283" s="26">
        <v>432</v>
      </c>
      <c r="P2283" s="26" t="s">
        <v>293</v>
      </c>
    </row>
    <row r="2284" spans="1:16" x14ac:dyDescent="0.3">
      <c r="A2284" s="24">
        <v>74</v>
      </c>
      <c r="B2284" s="102">
        <v>46149.378263888888</v>
      </c>
      <c r="C2284" s="25" t="s">
        <v>356</v>
      </c>
      <c r="D2284" s="103" t="s">
        <v>125</v>
      </c>
      <c r="E2284" s="26">
        <v>115</v>
      </c>
      <c r="F2284" s="26" t="s">
        <v>293</v>
      </c>
      <c r="K2284" s="24">
        <v>74</v>
      </c>
      <c r="L2284" s="102">
        <v>46149.37945601852</v>
      </c>
      <c r="M2284" s="25" t="s">
        <v>357</v>
      </c>
      <c r="N2284" s="103" t="s">
        <v>125</v>
      </c>
      <c r="O2284" s="26">
        <v>424</v>
      </c>
      <c r="P2284" s="26" t="s">
        <v>293</v>
      </c>
    </row>
    <row r="2285" spans="1:16" x14ac:dyDescent="0.3">
      <c r="A2285" s="24">
        <v>74</v>
      </c>
      <c r="B2285" s="102">
        <v>46149.378263888888</v>
      </c>
      <c r="C2285" s="25" t="s">
        <v>356</v>
      </c>
      <c r="D2285" s="103" t="s">
        <v>126</v>
      </c>
      <c r="E2285" s="26">
        <v>81</v>
      </c>
      <c r="F2285" s="26" t="s">
        <v>293</v>
      </c>
      <c r="K2285" s="24">
        <v>74</v>
      </c>
      <c r="L2285" s="102">
        <v>46149.37945601852</v>
      </c>
      <c r="M2285" s="25" t="s">
        <v>357</v>
      </c>
      <c r="N2285" s="103" t="s">
        <v>126</v>
      </c>
      <c r="O2285" s="26">
        <v>153</v>
      </c>
      <c r="P2285" s="26" t="s">
        <v>293</v>
      </c>
    </row>
    <row r="2286" spans="1:16" x14ac:dyDescent="0.3">
      <c r="A2286" s="24">
        <v>74</v>
      </c>
      <c r="B2286" s="102">
        <v>46149.378263888888</v>
      </c>
      <c r="C2286" s="25" t="s">
        <v>356</v>
      </c>
      <c r="D2286" s="103" t="s">
        <v>349</v>
      </c>
      <c r="E2286" s="26">
        <v>143</v>
      </c>
      <c r="F2286" s="26" t="s">
        <v>293</v>
      </c>
      <c r="K2286" s="24">
        <v>74</v>
      </c>
      <c r="L2286" s="102">
        <v>46149.37945601852</v>
      </c>
      <c r="M2286" s="25" t="s">
        <v>357</v>
      </c>
      <c r="N2286" s="103" t="s">
        <v>349</v>
      </c>
      <c r="O2286" s="26">
        <v>380</v>
      </c>
      <c r="P2286" s="26" t="s">
        <v>293</v>
      </c>
    </row>
    <row r="2287" spans="1:16" x14ac:dyDescent="0.3">
      <c r="A2287" s="24">
        <v>74</v>
      </c>
      <c r="B2287" s="102">
        <v>46149.378263888888</v>
      </c>
      <c r="C2287" s="25" t="s">
        <v>356</v>
      </c>
      <c r="D2287" s="103" t="s">
        <v>350</v>
      </c>
      <c r="E2287" s="26">
        <v>57</v>
      </c>
      <c r="F2287" s="26" t="s">
        <v>293</v>
      </c>
      <c r="K2287" s="24">
        <v>74</v>
      </c>
      <c r="L2287" s="102">
        <v>46149.37945601852</v>
      </c>
      <c r="M2287" s="25" t="s">
        <v>357</v>
      </c>
      <c r="N2287" s="103" t="s">
        <v>350</v>
      </c>
      <c r="O2287" s="26">
        <v>83</v>
      </c>
      <c r="P2287" s="26" t="s">
        <v>293</v>
      </c>
    </row>
    <row r="2288" spans="1:16" x14ac:dyDescent="0.3">
      <c r="A2288" s="24">
        <v>74</v>
      </c>
      <c r="B2288" s="102">
        <v>46149.378263888888</v>
      </c>
      <c r="C2288" s="25" t="s">
        <v>356</v>
      </c>
      <c r="D2288" s="103" t="s">
        <v>122</v>
      </c>
      <c r="E2288" s="26">
        <v>46</v>
      </c>
      <c r="F2288" s="26" t="s">
        <v>293</v>
      </c>
      <c r="K2288" s="24">
        <v>74</v>
      </c>
      <c r="L2288" s="102">
        <v>46149.37945601852</v>
      </c>
      <c r="M2288" s="25" t="s">
        <v>357</v>
      </c>
      <c r="N2288" s="103" t="s">
        <v>122</v>
      </c>
      <c r="O2288" s="26">
        <v>212</v>
      </c>
      <c r="P2288" s="26" t="s">
        <v>293</v>
      </c>
    </row>
    <row r="2289" spans="1:16" x14ac:dyDescent="0.3">
      <c r="A2289" s="24">
        <v>74</v>
      </c>
      <c r="B2289" s="102">
        <v>46149.378263888888</v>
      </c>
      <c r="C2289" s="25" t="s">
        <v>356</v>
      </c>
      <c r="D2289" s="103" t="s">
        <v>124</v>
      </c>
      <c r="E2289" s="26">
        <v>31</v>
      </c>
      <c r="F2289" s="26" t="s">
        <v>293</v>
      </c>
      <c r="K2289" s="24">
        <v>74</v>
      </c>
      <c r="L2289" s="102">
        <v>46149.37945601852</v>
      </c>
      <c r="M2289" s="25" t="s">
        <v>357</v>
      </c>
      <c r="N2289" s="103" t="s">
        <v>124</v>
      </c>
      <c r="O2289" s="26">
        <v>103</v>
      </c>
      <c r="P2289" s="26" t="s">
        <v>293</v>
      </c>
    </row>
    <row r="2290" spans="1:16" x14ac:dyDescent="0.3">
      <c r="A2290" s="24">
        <v>74</v>
      </c>
      <c r="B2290" s="102">
        <v>46149.378263888888</v>
      </c>
      <c r="C2290" s="25" t="s">
        <v>356</v>
      </c>
      <c r="D2290" s="103" t="s">
        <v>351</v>
      </c>
      <c r="E2290" s="26">
        <v>0.97</v>
      </c>
      <c r="F2290" s="26" t="s">
        <v>293</v>
      </c>
      <c r="K2290" s="24">
        <v>74</v>
      </c>
      <c r="L2290" s="102">
        <v>46149.37945601852</v>
      </c>
      <c r="M2290" s="25" t="s">
        <v>357</v>
      </c>
      <c r="N2290" s="103" t="s">
        <v>351</v>
      </c>
      <c r="O2290" s="26">
        <v>3.46</v>
      </c>
      <c r="P2290" s="26" t="s">
        <v>293</v>
      </c>
    </row>
    <row r="2291" spans="1:16" x14ac:dyDescent="0.3">
      <c r="A2291" s="24">
        <v>74</v>
      </c>
      <c r="B2291" s="102">
        <v>46149.378263888888</v>
      </c>
      <c r="C2291" s="25" t="s">
        <v>356</v>
      </c>
      <c r="D2291" s="103" t="s">
        <v>353</v>
      </c>
      <c r="E2291" s="26">
        <v>37.4</v>
      </c>
      <c r="F2291" s="26" t="s">
        <v>293</v>
      </c>
      <c r="K2291" s="24">
        <v>74</v>
      </c>
      <c r="L2291" s="102">
        <v>46149.37945601852</v>
      </c>
      <c r="M2291" s="25" t="s">
        <v>357</v>
      </c>
      <c r="N2291" s="103" t="s">
        <v>353</v>
      </c>
      <c r="O2291" s="26">
        <v>20.5</v>
      </c>
      <c r="P2291" s="26" t="s">
        <v>293</v>
      </c>
    </row>
    <row r="2292" spans="1:16" x14ac:dyDescent="0.3">
      <c r="A2292" s="24">
        <v>74</v>
      </c>
      <c r="B2292" s="102">
        <v>46149.378263888888</v>
      </c>
      <c r="C2292" s="25" t="s">
        <v>356</v>
      </c>
      <c r="D2292" s="103" t="s">
        <v>133</v>
      </c>
      <c r="E2292" s="26">
        <v>148</v>
      </c>
      <c r="F2292" s="26" t="s">
        <v>293</v>
      </c>
      <c r="K2292" s="24">
        <v>74</v>
      </c>
      <c r="L2292" s="102">
        <v>46149.37945601852</v>
      </c>
      <c r="M2292" s="25" t="s">
        <v>357</v>
      </c>
      <c r="N2292" s="103" t="s">
        <v>133</v>
      </c>
      <c r="O2292" s="26">
        <v>128</v>
      </c>
      <c r="P2292" s="26" t="s">
        <v>293</v>
      </c>
    </row>
    <row r="2293" spans="1:16" x14ac:dyDescent="0.3">
      <c r="A2293" s="24">
        <v>74</v>
      </c>
      <c r="B2293" s="102">
        <v>46149.378263888888</v>
      </c>
      <c r="C2293" s="25" t="s">
        <v>356</v>
      </c>
      <c r="D2293" s="103" t="s">
        <v>135</v>
      </c>
      <c r="E2293" s="26">
        <v>3.9</v>
      </c>
      <c r="F2293" s="26" t="s">
        <v>293</v>
      </c>
      <c r="K2293" s="24">
        <v>74</v>
      </c>
      <c r="L2293" s="102">
        <v>46149.37945601852</v>
      </c>
      <c r="M2293" s="25" t="s">
        <v>357</v>
      </c>
      <c r="N2293" s="103" t="s">
        <v>135</v>
      </c>
      <c r="O2293" s="26">
        <v>6.6</v>
      </c>
      <c r="P2293" s="26" t="s">
        <v>293</v>
      </c>
    </row>
    <row r="2294" spans="1:16" x14ac:dyDescent="0.3">
      <c r="A2294" s="24">
        <v>74</v>
      </c>
      <c r="B2294" s="102">
        <v>46149.378263888888</v>
      </c>
      <c r="C2294" s="25" t="s">
        <v>356</v>
      </c>
      <c r="D2294" s="103" t="s">
        <v>136</v>
      </c>
      <c r="E2294" s="26">
        <v>119</v>
      </c>
      <c r="F2294" s="26" t="s">
        <v>293</v>
      </c>
      <c r="K2294" s="24">
        <v>74</v>
      </c>
      <c r="L2294" s="102">
        <v>46149.37945601852</v>
      </c>
      <c r="M2294" s="25" t="s">
        <v>357</v>
      </c>
      <c r="N2294" s="103" t="s">
        <v>136</v>
      </c>
      <c r="O2294" s="26">
        <v>94</v>
      </c>
      <c r="P2294" s="26" t="s">
        <v>293</v>
      </c>
    </row>
    <row r="2295" spans="1:16" x14ac:dyDescent="0.3">
      <c r="A2295" s="24">
        <v>75</v>
      </c>
      <c r="B2295" s="102">
        <v>46150.357129629629</v>
      </c>
      <c r="C2295" s="25" t="s">
        <v>356</v>
      </c>
      <c r="D2295" s="103" t="s">
        <v>339</v>
      </c>
      <c r="E2295" s="26">
        <v>4.55</v>
      </c>
      <c r="F2295" s="26" t="s">
        <v>293</v>
      </c>
      <c r="K2295" s="24">
        <v>75</v>
      </c>
      <c r="L2295" s="102">
        <v>46150.369212962964</v>
      </c>
      <c r="M2295" s="25" t="s">
        <v>357</v>
      </c>
      <c r="N2295" s="103" t="s">
        <v>339</v>
      </c>
      <c r="O2295" s="26">
        <v>1.1100000000000001</v>
      </c>
      <c r="P2295" s="26" t="s">
        <v>293</v>
      </c>
    </row>
    <row r="2296" spans="1:16" x14ac:dyDescent="0.3">
      <c r="A2296" s="24">
        <v>75</v>
      </c>
      <c r="B2296" s="102">
        <v>46150.357129629629</v>
      </c>
      <c r="C2296" s="25" t="s">
        <v>356</v>
      </c>
      <c r="D2296" s="103" t="s">
        <v>118</v>
      </c>
      <c r="E2296" s="26">
        <v>4.5</v>
      </c>
      <c r="F2296" s="26" t="s">
        <v>293</v>
      </c>
      <c r="K2296" s="24">
        <v>75</v>
      </c>
      <c r="L2296" s="102">
        <v>46150.369212962964</v>
      </c>
      <c r="M2296" s="25" t="s">
        <v>357</v>
      </c>
      <c r="N2296" s="103" t="s">
        <v>118</v>
      </c>
      <c r="O2296" s="26">
        <v>9.6</v>
      </c>
      <c r="P2296" s="26" t="s">
        <v>293</v>
      </c>
    </row>
    <row r="2297" spans="1:16" x14ac:dyDescent="0.3">
      <c r="A2297" s="24">
        <v>75</v>
      </c>
      <c r="B2297" s="102">
        <v>46150.357129629629</v>
      </c>
      <c r="C2297" s="25" t="s">
        <v>356</v>
      </c>
      <c r="D2297" s="103" t="s">
        <v>130</v>
      </c>
      <c r="E2297" s="26">
        <v>3.98</v>
      </c>
      <c r="F2297" s="26" t="s">
        <v>293</v>
      </c>
      <c r="K2297" s="24">
        <v>75</v>
      </c>
      <c r="L2297" s="102">
        <v>46150.369212962964</v>
      </c>
      <c r="M2297" s="25" t="s">
        <v>357</v>
      </c>
      <c r="N2297" s="103" t="s">
        <v>130</v>
      </c>
      <c r="O2297" s="26">
        <v>2.5299999999999998</v>
      </c>
      <c r="P2297" s="26" t="s">
        <v>293</v>
      </c>
    </row>
    <row r="2298" spans="1:16" x14ac:dyDescent="0.3">
      <c r="A2298" s="24">
        <v>75</v>
      </c>
      <c r="B2298" s="102">
        <v>46150.357129629629</v>
      </c>
      <c r="C2298" s="25" t="s">
        <v>356</v>
      </c>
      <c r="D2298" s="103" t="s">
        <v>341</v>
      </c>
      <c r="E2298" s="26">
        <v>0.30499999999999999</v>
      </c>
      <c r="F2298" s="26" t="s">
        <v>293</v>
      </c>
      <c r="K2298" s="24">
        <v>75</v>
      </c>
      <c r="L2298" s="102">
        <v>46150.369212962964</v>
      </c>
      <c r="M2298" s="25" t="s">
        <v>357</v>
      </c>
      <c r="N2298" s="103" t="s">
        <v>341</v>
      </c>
      <c r="O2298" s="26">
        <v>1.2050000000000001</v>
      </c>
      <c r="P2298" s="26" t="s">
        <v>293</v>
      </c>
    </row>
    <row r="2299" spans="1:16" x14ac:dyDescent="0.3">
      <c r="A2299" s="24">
        <v>75</v>
      </c>
      <c r="B2299" s="102">
        <v>46150.357129629629</v>
      </c>
      <c r="C2299" s="25" t="s">
        <v>356</v>
      </c>
      <c r="D2299" s="103" t="s">
        <v>127</v>
      </c>
      <c r="E2299" s="26">
        <v>1.1739999999999999</v>
      </c>
      <c r="F2299" s="26" t="s">
        <v>293</v>
      </c>
      <c r="K2299" s="24">
        <v>75</v>
      </c>
      <c r="L2299" s="102">
        <v>46150.369212962964</v>
      </c>
      <c r="M2299" s="25" t="s">
        <v>357</v>
      </c>
      <c r="N2299" s="103" t="s">
        <v>127</v>
      </c>
      <c r="O2299" s="26">
        <v>4.6150000000000002</v>
      </c>
      <c r="P2299" s="26" t="s">
        <v>293</v>
      </c>
    </row>
    <row r="2300" spans="1:16" x14ac:dyDescent="0.3">
      <c r="A2300" s="24">
        <v>75</v>
      </c>
      <c r="B2300" s="102">
        <v>46150.357129629629</v>
      </c>
      <c r="C2300" s="25" t="s">
        <v>356</v>
      </c>
      <c r="D2300" s="103" t="s">
        <v>131</v>
      </c>
      <c r="E2300" s="26">
        <v>8.6</v>
      </c>
      <c r="F2300" s="26" t="s">
        <v>293</v>
      </c>
      <c r="K2300" s="24">
        <v>75</v>
      </c>
      <c r="L2300" s="102">
        <v>46150.369212962964</v>
      </c>
      <c r="M2300" s="25" t="s">
        <v>357</v>
      </c>
      <c r="N2300" s="103" t="s">
        <v>131</v>
      </c>
      <c r="O2300" s="26">
        <v>12</v>
      </c>
      <c r="P2300" s="26" t="s">
        <v>293</v>
      </c>
    </row>
    <row r="2301" spans="1:16" x14ac:dyDescent="0.3">
      <c r="A2301" s="24">
        <v>75</v>
      </c>
      <c r="B2301" s="102">
        <v>46150.357129629629</v>
      </c>
      <c r="C2301" s="25" t="s">
        <v>356</v>
      </c>
      <c r="D2301" s="103" t="s">
        <v>342</v>
      </c>
      <c r="E2301" s="26">
        <v>336</v>
      </c>
      <c r="F2301" s="26" t="s">
        <v>293</v>
      </c>
      <c r="K2301" s="24">
        <v>75</v>
      </c>
      <c r="L2301" s="102">
        <v>46150.369212962964</v>
      </c>
      <c r="M2301" s="25" t="s">
        <v>357</v>
      </c>
      <c r="N2301" s="103" t="s">
        <v>342</v>
      </c>
      <c r="O2301" s="26">
        <v>196</v>
      </c>
      <c r="P2301" s="26" t="s">
        <v>293</v>
      </c>
    </row>
    <row r="2302" spans="1:16" x14ac:dyDescent="0.3">
      <c r="A2302" s="24">
        <v>75</v>
      </c>
      <c r="B2302" s="102">
        <v>46150.357129629629</v>
      </c>
      <c r="C2302" s="25" t="s">
        <v>356</v>
      </c>
      <c r="D2302" s="103" t="s">
        <v>119</v>
      </c>
      <c r="E2302" s="26">
        <v>251</v>
      </c>
      <c r="F2302" s="26" t="s">
        <v>293</v>
      </c>
      <c r="K2302" s="24">
        <v>75</v>
      </c>
      <c r="L2302" s="102">
        <v>46150.369212962964</v>
      </c>
      <c r="M2302" s="25" t="s">
        <v>357</v>
      </c>
      <c r="N2302" s="103" t="s">
        <v>119</v>
      </c>
      <c r="O2302" s="26">
        <v>95</v>
      </c>
      <c r="P2302" s="26" t="s">
        <v>293</v>
      </c>
    </row>
    <row r="2303" spans="1:16" x14ac:dyDescent="0.3">
      <c r="A2303" s="24">
        <v>75</v>
      </c>
      <c r="B2303" s="102">
        <v>46150.357129629629</v>
      </c>
      <c r="C2303" s="25" t="s">
        <v>356</v>
      </c>
      <c r="D2303" s="103" t="s">
        <v>120</v>
      </c>
      <c r="E2303" s="26">
        <v>77</v>
      </c>
      <c r="F2303" s="26" t="s">
        <v>293</v>
      </c>
      <c r="K2303" s="24">
        <v>75</v>
      </c>
      <c r="L2303" s="102">
        <v>46150.369212962964</v>
      </c>
      <c r="M2303" s="25" t="s">
        <v>357</v>
      </c>
      <c r="N2303" s="103" t="s">
        <v>120</v>
      </c>
      <c r="O2303" s="26">
        <v>28</v>
      </c>
      <c r="P2303" s="26" t="s">
        <v>293</v>
      </c>
    </row>
    <row r="2304" spans="1:16" x14ac:dyDescent="0.3">
      <c r="A2304" s="24">
        <v>75</v>
      </c>
      <c r="B2304" s="102">
        <v>46150.357129629629</v>
      </c>
      <c r="C2304" s="25" t="s">
        <v>356</v>
      </c>
      <c r="D2304" s="103" t="s">
        <v>117</v>
      </c>
      <c r="E2304" s="26">
        <v>2.61</v>
      </c>
      <c r="F2304" s="26" t="s">
        <v>293</v>
      </c>
      <c r="K2304" s="24">
        <v>75</v>
      </c>
      <c r="L2304" s="102">
        <v>46150.369212962964</v>
      </c>
      <c r="M2304" s="25" t="s">
        <v>357</v>
      </c>
      <c r="N2304" s="103" t="s">
        <v>117</v>
      </c>
      <c r="O2304" s="26">
        <v>6.27</v>
      </c>
      <c r="P2304" s="26" t="s">
        <v>293</v>
      </c>
    </row>
    <row r="2305" spans="1:16" x14ac:dyDescent="0.3">
      <c r="A2305" s="24">
        <v>75</v>
      </c>
      <c r="B2305" s="102">
        <v>46150.357129629629</v>
      </c>
      <c r="C2305" s="25" t="s">
        <v>356</v>
      </c>
      <c r="D2305" s="103" t="s">
        <v>344</v>
      </c>
      <c r="E2305" s="26">
        <v>234</v>
      </c>
      <c r="F2305" s="26" t="s">
        <v>293</v>
      </c>
      <c r="K2305" s="24">
        <v>75</v>
      </c>
      <c r="L2305" s="102">
        <v>46150.369212962964</v>
      </c>
      <c r="M2305" s="25" t="s">
        <v>357</v>
      </c>
      <c r="N2305" s="103" t="s">
        <v>344</v>
      </c>
      <c r="O2305" s="26">
        <v>71</v>
      </c>
      <c r="P2305" s="26" t="s">
        <v>293</v>
      </c>
    </row>
    <row r="2306" spans="1:16" x14ac:dyDescent="0.3">
      <c r="A2306" s="24">
        <v>75</v>
      </c>
      <c r="B2306" s="102">
        <v>46150.357129629629</v>
      </c>
      <c r="C2306" s="25" t="s">
        <v>356</v>
      </c>
      <c r="D2306" s="103" t="s">
        <v>132</v>
      </c>
      <c r="E2306" s="26">
        <v>3.6</v>
      </c>
      <c r="F2306" s="26" t="s">
        <v>293</v>
      </c>
      <c r="K2306" s="24">
        <v>75</v>
      </c>
      <c r="L2306" s="102">
        <v>46150.369212962964</v>
      </c>
      <c r="M2306" s="25" t="s">
        <v>357</v>
      </c>
      <c r="N2306" s="103" t="s">
        <v>132</v>
      </c>
      <c r="O2306" s="26">
        <v>7.25</v>
      </c>
      <c r="P2306" s="26" t="s">
        <v>293</v>
      </c>
    </row>
    <row r="2307" spans="1:16" x14ac:dyDescent="0.3">
      <c r="A2307" s="24">
        <v>75</v>
      </c>
      <c r="B2307" s="102">
        <v>46150.357129629629</v>
      </c>
      <c r="C2307" s="25" t="s">
        <v>356</v>
      </c>
      <c r="D2307" s="103" t="s">
        <v>111</v>
      </c>
      <c r="E2307" s="26">
        <v>88</v>
      </c>
      <c r="F2307" s="26" t="s">
        <v>293</v>
      </c>
      <c r="K2307" s="24">
        <v>75</v>
      </c>
      <c r="L2307" s="102">
        <v>46150.369212962964</v>
      </c>
      <c r="M2307" s="25" t="s">
        <v>357</v>
      </c>
      <c r="N2307" s="103" t="s">
        <v>111</v>
      </c>
      <c r="O2307" s="26">
        <v>283</v>
      </c>
      <c r="P2307" s="26" t="s">
        <v>293</v>
      </c>
    </row>
    <row r="2308" spans="1:16" x14ac:dyDescent="0.3">
      <c r="A2308" s="24">
        <v>75</v>
      </c>
      <c r="B2308" s="102">
        <v>46150.357129629629</v>
      </c>
      <c r="C2308" s="25" t="s">
        <v>356</v>
      </c>
      <c r="D2308" s="103" t="s">
        <v>345</v>
      </c>
      <c r="E2308" s="26">
        <v>5.17</v>
      </c>
      <c r="F2308" s="26" t="s">
        <v>293</v>
      </c>
      <c r="K2308" s="24">
        <v>75</v>
      </c>
      <c r="L2308" s="102">
        <v>46150.369212962964</v>
      </c>
      <c r="M2308" s="25" t="s">
        <v>357</v>
      </c>
      <c r="N2308" s="103" t="s">
        <v>345</v>
      </c>
      <c r="O2308" s="26">
        <v>9.8699999999999992</v>
      </c>
      <c r="P2308" s="26" t="s">
        <v>293</v>
      </c>
    </row>
    <row r="2309" spans="1:16" x14ac:dyDescent="0.3">
      <c r="A2309" s="24">
        <v>75</v>
      </c>
      <c r="B2309" s="102">
        <v>46150.357129629629</v>
      </c>
      <c r="C2309" s="25" t="s">
        <v>356</v>
      </c>
      <c r="D2309" s="103" t="s">
        <v>347</v>
      </c>
      <c r="E2309" s="26">
        <v>2.137</v>
      </c>
      <c r="F2309" s="26" t="s">
        <v>293</v>
      </c>
      <c r="K2309" s="24">
        <v>75</v>
      </c>
      <c r="L2309" s="102">
        <v>46150.369212962964</v>
      </c>
      <c r="M2309" s="25" t="s">
        <v>357</v>
      </c>
      <c r="N2309" s="103" t="s">
        <v>347</v>
      </c>
      <c r="O2309" s="26">
        <v>4.5999999999999996</v>
      </c>
      <c r="P2309" s="26" t="s">
        <v>293</v>
      </c>
    </row>
    <row r="2310" spans="1:16" x14ac:dyDescent="0.3">
      <c r="A2310" s="24">
        <v>75</v>
      </c>
      <c r="B2310" s="102">
        <v>46150.357129629629</v>
      </c>
      <c r="C2310" s="25" t="s">
        <v>356</v>
      </c>
      <c r="D2310" s="103" t="s">
        <v>128</v>
      </c>
      <c r="E2310" s="26">
        <v>7.1</v>
      </c>
      <c r="F2310" s="26" t="s">
        <v>293</v>
      </c>
      <c r="K2310" s="24">
        <v>75</v>
      </c>
      <c r="L2310" s="102">
        <v>46150.369212962964</v>
      </c>
      <c r="M2310" s="25" t="s">
        <v>357</v>
      </c>
      <c r="N2310" s="103" t="s">
        <v>128</v>
      </c>
      <c r="O2310" s="26">
        <v>4.5999999999999996</v>
      </c>
      <c r="P2310" s="26" t="s">
        <v>293</v>
      </c>
    </row>
    <row r="2311" spans="1:16" x14ac:dyDescent="0.3">
      <c r="A2311" s="24">
        <v>75</v>
      </c>
      <c r="B2311" s="102">
        <v>46150.357129629629</v>
      </c>
      <c r="C2311" s="25" t="s">
        <v>356</v>
      </c>
      <c r="D2311" s="103" t="s">
        <v>121</v>
      </c>
      <c r="E2311" s="26">
        <v>159</v>
      </c>
      <c r="F2311" s="26" t="s">
        <v>293</v>
      </c>
      <c r="K2311" s="24">
        <v>75</v>
      </c>
      <c r="L2311" s="102">
        <v>46150.369212962964</v>
      </c>
      <c r="M2311" s="25" t="s">
        <v>357</v>
      </c>
      <c r="N2311" s="103" t="s">
        <v>121</v>
      </c>
      <c r="O2311" s="26">
        <v>83</v>
      </c>
      <c r="P2311" s="26" t="s">
        <v>293</v>
      </c>
    </row>
    <row r="2312" spans="1:16" x14ac:dyDescent="0.3">
      <c r="A2312" s="24">
        <v>75</v>
      </c>
      <c r="B2312" s="102">
        <v>46150.357129629629</v>
      </c>
      <c r="C2312" s="25" t="s">
        <v>356</v>
      </c>
      <c r="D2312" s="103" t="s">
        <v>115</v>
      </c>
      <c r="E2312" s="26">
        <v>32</v>
      </c>
      <c r="F2312" s="26" t="s">
        <v>293</v>
      </c>
      <c r="K2312" s="24">
        <v>75</v>
      </c>
      <c r="L2312" s="102">
        <v>46150.369212962964</v>
      </c>
      <c r="M2312" s="25" t="s">
        <v>357</v>
      </c>
      <c r="N2312" s="103" t="s">
        <v>115</v>
      </c>
      <c r="O2312" s="26">
        <v>95</v>
      </c>
      <c r="P2312" s="26" t="s">
        <v>293</v>
      </c>
    </row>
    <row r="2313" spans="1:16" x14ac:dyDescent="0.3">
      <c r="A2313" s="24">
        <v>75</v>
      </c>
      <c r="B2313" s="102">
        <v>46150.357129629629</v>
      </c>
      <c r="C2313" s="25" t="s">
        <v>356</v>
      </c>
      <c r="D2313" s="103" t="s">
        <v>137</v>
      </c>
      <c r="E2313" s="26">
        <v>75</v>
      </c>
      <c r="F2313" s="26" t="s">
        <v>293</v>
      </c>
      <c r="K2313" s="24">
        <v>75</v>
      </c>
      <c r="L2313" s="102">
        <v>46150.369212962964</v>
      </c>
      <c r="M2313" s="25" t="s">
        <v>357</v>
      </c>
      <c r="N2313" s="103" t="s">
        <v>137</v>
      </c>
      <c r="O2313" s="26">
        <v>478</v>
      </c>
      <c r="P2313" s="26" t="s">
        <v>293</v>
      </c>
    </row>
    <row r="2314" spans="1:16" x14ac:dyDescent="0.3">
      <c r="A2314" s="24">
        <v>75</v>
      </c>
      <c r="B2314" s="102">
        <v>46150.357129629629</v>
      </c>
      <c r="C2314" s="25" t="s">
        <v>356</v>
      </c>
      <c r="D2314" s="103" t="s">
        <v>348</v>
      </c>
      <c r="E2314" s="26">
        <v>140</v>
      </c>
      <c r="F2314" s="26" t="s">
        <v>293</v>
      </c>
      <c r="K2314" s="24">
        <v>75</v>
      </c>
      <c r="L2314" s="102">
        <v>46150.369212962964</v>
      </c>
      <c r="M2314" s="25" t="s">
        <v>357</v>
      </c>
      <c r="N2314" s="103" t="s">
        <v>348</v>
      </c>
      <c r="O2314" s="26">
        <v>435</v>
      </c>
      <c r="P2314" s="26" t="s">
        <v>293</v>
      </c>
    </row>
    <row r="2315" spans="1:16" x14ac:dyDescent="0.3">
      <c r="A2315" s="24">
        <v>75</v>
      </c>
      <c r="B2315" s="102">
        <v>46150.357129629629</v>
      </c>
      <c r="C2315" s="25" t="s">
        <v>356</v>
      </c>
      <c r="D2315" s="103" t="s">
        <v>125</v>
      </c>
      <c r="E2315" s="26">
        <v>112</v>
      </c>
      <c r="F2315" s="26" t="s">
        <v>293</v>
      </c>
      <c r="K2315" s="24">
        <v>75</v>
      </c>
      <c r="L2315" s="102">
        <v>46150.369212962964</v>
      </c>
      <c r="M2315" s="25" t="s">
        <v>357</v>
      </c>
      <c r="N2315" s="103" t="s">
        <v>125</v>
      </c>
      <c r="O2315" s="26">
        <v>426</v>
      </c>
      <c r="P2315" s="26" t="s">
        <v>293</v>
      </c>
    </row>
    <row r="2316" spans="1:16" x14ac:dyDescent="0.3">
      <c r="A2316" s="24">
        <v>75</v>
      </c>
      <c r="B2316" s="102">
        <v>46150.357129629629</v>
      </c>
      <c r="C2316" s="25" t="s">
        <v>356</v>
      </c>
      <c r="D2316" s="103" t="s">
        <v>126</v>
      </c>
      <c r="E2316" s="26">
        <v>81</v>
      </c>
      <c r="F2316" s="26" t="s">
        <v>293</v>
      </c>
      <c r="K2316" s="24">
        <v>75</v>
      </c>
      <c r="L2316" s="102">
        <v>46150.369212962964</v>
      </c>
      <c r="M2316" s="25" t="s">
        <v>357</v>
      </c>
      <c r="N2316" s="103" t="s">
        <v>126</v>
      </c>
      <c r="O2316" s="26">
        <v>154</v>
      </c>
      <c r="P2316" s="26" t="s">
        <v>293</v>
      </c>
    </row>
    <row r="2317" spans="1:16" x14ac:dyDescent="0.3">
      <c r="A2317" s="24">
        <v>75</v>
      </c>
      <c r="B2317" s="102">
        <v>46150.357129629629</v>
      </c>
      <c r="C2317" s="25" t="s">
        <v>356</v>
      </c>
      <c r="D2317" s="103" t="s">
        <v>349</v>
      </c>
      <c r="E2317" s="26">
        <v>137</v>
      </c>
      <c r="F2317" s="26" t="s">
        <v>293</v>
      </c>
      <c r="K2317" s="24">
        <v>75</v>
      </c>
      <c r="L2317" s="102">
        <v>46150.369212962964</v>
      </c>
      <c r="M2317" s="25" t="s">
        <v>357</v>
      </c>
      <c r="N2317" s="103" t="s">
        <v>349</v>
      </c>
      <c r="O2317" s="26">
        <v>352</v>
      </c>
      <c r="P2317" s="26" t="s">
        <v>293</v>
      </c>
    </row>
    <row r="2318" spans="1:16" x14ac:dyDescent="0.3">
      <c r="A2318" s="24">
        <v>75</v>
      </c>
      <c r="B2318" s="102">
        <v>46150.357129629629</v>
      </c>
      <c r="C2318" s="25" t="s">
        <v>356</v>
      </c>
      <c r="D2318" s="103" t="s">
        <v>350</v>
      </c>
      <c r="E2318" s="26">
        <v>58</v>
      </c>
      <c r="F2318" s="26" t="s">
        <v>293</v>
      </c>
      <c r="K2318" s="24">
        <v>75</v>
      </c>
      <c r="L2318" s="102">
        <v>46150.369212962964</v>
      </c>
      <c r="M2318" s="25" t="s">
        <v>357</v>
      </c>
      <c r="N2318" s="103" t="s">
        <v>350</v>
      </c>
      <c r="O2318" s="26">
        <v>83</v>
      </c>
      <c r="P2318" s="26" t="s">
        <v>293</v>
      </c>
    </row>
    <row r="2319" spans="1:16" x14ac:dyDescent="0.3">
      <c r="A2319" s="24">
        <v>75</v>
      </c>
      <c r="B2319" s="102">
        <v>46150.357129629629</v>
      </c>
      <c r="C2319" s="25" t="s">
        <v>356</v>
      </c>
      <c r="D2319" s="103" t="s">
        <v>122</v>
      </c>
      <c r="E2319" s="26">
        <v>46</v>
      </c>
      <c r="F2319" s="26" t="s">
        <v>293</v>
      </c>
      <c r="K2319" s="24">
        <v>75</v>
      </c>
      <c r="L2319" s="102">
        <v>46150.369212962964</v>
      </c>
      <c r="M2319" s="25" t="s">
        <v>357</v>
      </c>
      <c r="N2319" s="103" t="s">
        <v>122</v>
      </c>
      <c r="O2319" s="26">
        <v>213</v>
      </c>
      <c r="P2319" s="26" t="s">
        <v>293</v>
      </c>
    </row>
    <row r="2320" spans="1:16" x14ac:dyDescent="0.3">
      <c r="A2320" s="24">
        <v>75</v>
      </c>
      <c r="B2320" s="102">
        <v>46150.357129629629</v>
      </c>
      <c r="C2320" s="25" t="s">
        <v>356</v>
      </c>
      <c r="D2320" s="103" t="s">
        <v>124</v>
      </c>
      <c r="E2320" s="26">
        <v>30</v>
      </c>
      <c r="F2320" s="26" t="s">
        <v>293</v>
      </c>
      <c r="K2320" s="24">
        <v>75</v>
      </c>
      <c r="L2320" s="102">
        <v>46150.369212962964</v>
      </c>
      <c r="M2320" s="25" t="s">
        <v>357</v>
      </c>
      <c r="N2320" s="103" t="s">
        <v>124</v>
      </c>
      <c r="O2320" s="26">
        <v>102</v>
      </c>
      <c r="P2320" s="26" t="s">
        <v>293</v>
      </c>
    </row>
    <row r="2321" spans="1:16" x14ac:dyDescent="0.3">
      <c r="A2321" s="24">
        <v>75</v>
      </c>
      <c r="B2321" s="102">
        <v>46150.357129629629</v>
      </c>
      <c r="C2321" s="25" t="s">
        <v>356</v>
      </c>
      <c r="D2321" s="103" t="s">
        <v>351</v>
      </c>
      <c r="E2321" s="26">
        <v>0.96</v>
      </c>
      <c r="F2321" s="26" t="s">
        <v>293</v>
      </c>
      <c r="K2321" s="24">
        <v>75</v>
      </c>
      <c r="L2321" s="102">
        <v>46150.369212962964</v>
      </c>
      <c r="M2321" s="25" t="s">
        <v>357</v>
      </c>
      <c r="N2321" s="103" t="s">
        <v>351</v>
      </c>
      <c r="O2321" s="26">
        <v>3.51</v>
      </c>
      <c r="P2321" s="26" t="s">
        <v>293</v>
      </c>
    </row>
    <row r="2322" spans="1:16" x14ac:dyDescent="0.3">
      <c r="A2322" s="24">
        <v>75</v>
      </c>
      <c r="B2322" s="102">
        <v>46150.357129629629</v>
      </c>
      <c r="C2322" s="25" t="s">
        <v>356</v>
      </c>
      <c r="D2322" s="103" t="s">
        <v>353</v>
      </c>
      <c r="E2322" s="26">
        <v>34.6</v>
      </c>
      <c r="F2322" s="26" t="s">
        <v>293</v>
      </c>
      <c r="K2322" s="24">
        <v>75</v>
      </c>
      <c r="L2322" s="102">
        <v>46150.369212962964</v>
      </c>
      <c r="M2322" s="25" t="s">
        <v>357</v>
      </c>
      <c r="N2322" s="103" t="s">
        <v>353</v>
      </c>
      <c r="O2322" s="26">
        <v>18.7</v>
      </c>
      <c r="P2322" s="26" t="s">
        <v>293</v>
      </c>
    </row>
    <row r="2323" spans="1:16" x14ac:dyDescent="0.3">
      <c r="A2323" s="24">
        <v>75</v>
      </c>
      <c r="B2323" s="102">
        <v>46150.357129629629</v>
      </c>
      <c r="C2323" s="25" t="s">
        <v>356</v>
      </c>
      <c r="D2323" s="103" t="s">
        <v>133</v>
      </c>
      <c r="E2323" s="26">
        <v>147</v>
      </c>
      <c r="F2323" s="26" t="s">
        <v>293</v>
      </c>
      <c r="K2323" s="24">
        <v>75</v>
      </c>
      <c r="L2323" s="102">
        <v>46150.369212962964</v>
      </c>
      <c r="M2323" s="25" t="s">
        <v>357</v>
      </c>
      <c r="N2323" s="103" t="s">
        <v>133</v>
      </c>
      <c r="O2323" s="26">
        <v>127</v>
      </c>
      <c r="P2323" s="26" t="s">
        <v>293</v>
      </c>
    </row>
    <row r="2324" spans="1:16" x14ac:dyDescent="0.3">
      <c r="A2324" s="24">
        <v>75</v>
      </c>
      <c r="B2324" s="102">
        <v>46150.357129629629</v>
      </c>
      <c r="C2324" s="25" t="s">
        <v>356</v>
      </c>
      <c r="D2324" s="103" t="s">
        <v>135</v>
      </c>
      <c r="E2324" s="26">
        <v>3.8</v>
      </c>
      <c r="F2324" s="26" t="s">
        <v>293</v>
      </c>
      <c r="K2324" s="24">
        <v>75</v>
      </c>
      <c r="L2324" s="102">
        <v>46150.369212962964</v>
      </c>
      <c r="M2324" s="25" t="s">
        <v>357</v>
      </c>
      <c r="N2324" s="103" t="s">
        <v>135</v>
      </c>
      <c r="O2324" s="26">
        <v>6.5</v>
      </c>
      <c r="P2324" s="26" t="s">
        <v>293</v>
      </c>
    </row>
    <row r="2325" spans="1:16" x14ac:dyDescent="0.3">
      <c r="A2325" s="24">
        <v>75</v>
      </c>
      <c r="B2325" s="102">
        <v>46150.357129629629</v>
      </c>
      <c r="C2325" s="25" t="s">
        <v>356</v>
      </c>
      <c r="D2325" s="103" t="s">
        <v>136</v>
      </c>
      <c r="E2325" s="26">
        <v>117</v>
      </c>
      <c r="F2325" s="26" t="s">
        <v>293</v>
      </c>
      <c r="K2325" s="24">
        <v>75</v>
      </c>
      <c r="L2325" s="102">
        <v>46150.369212962964</v>
      </c>
      <c r="M2325" s="25" t="s">
        <v>357</v>
      </c>
      <c r="N2325" s="103" t="s">
        <v>136</v>
      </c>
      <c r="O2325" s="26">
        <v>94</v>
      </c>
      <c r="P2325" s="26" t="s">
        <v>293</v>
      </c>
    </row>
    <row r="2326" spans="1:16" x14ac:dyDescent="0.3">
      <c r="A2326" s="24">
        <v>76</v>
      </c>
      <c r="B2326" s="102">
        <v>46153.376261574071</v>
      </c>
      <c r="C2326" s="25" t="s">
        <v>356</v>
      </c>
      <c r="D2326" s="103" t="s">
        <v>339</v>
      </c>
      <c r="E2326" s="26">
        <v>4.67</v>
      </c>
      <c r="F2326" s="26" t="s">
        <v>293</v>
      </c>
      <c r="K2326" s="24">
        <v>76</v>
      </c>
      <c r="L2326" s="102">
        <v>46153.376273148147</v>
      </c>
      <c r="M2326" s="25" t="s">
        <v>357</v>
      </c>
      <c r="N2326" s="103" t="s">
        <v>339</v>
      </c>
      <c r="O2326" s="26">
        <v>1.31</v>
      </c>
      <c r="P2326" s="26" t="s">
        <v>293</v>
      </c>
    </row>
    <row r="2327" spans="1:16" x14ac:dyDescent="0.3">
      <c r="A2327" s="24">
        <v>76</v>
      </c>
      <c r="B2327" s="102">
        <v>46153.376261574071</v>
      </c>
      <c r="C2327" s="25" t="s">
        <v>356</v>
      </c>
      <c r="D2327" s="103" t="s">
        <v>118</v>
      </c>
      <c r="E2327" s="26">
        <v>4.4000000000000004</v>
      </c>
      <c r="F2327" s="26" t="s">
        <v>293</v>
      </c>
      <c r="K2327" s="24">
        <v>76</v>
      </c>
      <c r="L2327" s="102">
        <v>46153.376273148147</v>
      </c>
      <c r="M2327" s="25" t="s">
        <v>357</v>
      </c>
      <c r="N2327" s="103" t="s">
        <v>118</v>
      </c>
      <c r="O2327" s="26">
        <v>9.1999999999999993</v>
      </c>
      <c r="P2327" s="26" t="s">
        <v>293</v>
      </c>
    </row>
    <row r="2328" spans="1:16" x14ac:dyDescent="0.3">
      <c r="A2328" s="24">
        <v>76</v>
      </c>
      <c r="B2328" s="102">
        <v>46153.376261574071</v>
      </c>
      <c r="C2328" s="25" t="s">
        <v>356</v>
      </c>
      <c r="D2328" s="103" t="s">
        <v>130</v>
      </c>
      <c r="E2328" s="26">
        <v>3.99</v>
      </c>
      <c r="F2328" s="26" t="s">
        <v>293</v>
      </c>
      <c r="K2328" s="24">
        <v>76</v>
      </c>
      <c r="L2328" s="102">
        <v>46153.376273148147</v>
      </c>
      <c r="M2328" s="25" t="s">
        <v>357</v>
      </c>
      <c r="N2328" s="103" t="s">
        <v>130</v>
      </c>
      <c r="O2328" s="26">
        <v>2.56</v>
      </c>
      <c r="P2328" s="26" t="s">
        <v>293</v>
      </c>
    </row>
    <row r="2329" spans="1:16" x14ac:dyDescent="0.3">
      <c r="A2329" s="24">
        <v>76</v>
      </c>
      <c r="B2329" s="102">
        <v>46153.376261574071</v>
      </c>
      <c r="C2329" s="25" t="s">
        <v>356</v>
      </c>
      <c r="D2329" s="103" t="s">
        <v>341</v>
      </c>
      <c r="E2329" s="26">
        <v>0.33</v>
      </c>
      <c r="F2329" s="26" t="s">
        <v>293</v>
      </c>
      <c r="K2329" s="24">
        <v>76</v>
      </c>
      <c r="L2329" s="102">
        <v>46153.376273148147</v>
      </c>
      <c r="M2329" s="25" t="s">
        <v>357</v>
      </c>
      <c r="N2329" s="103" t="s">
        <v>341</v>
      </c>
      <c r="O2329" s="26">
        <v>1.2070000000000001</v>
      </c>
      <c r="P2329" s="26" t="s">
        <v>293</v>
      </c>
    </row>
    <row r="2330" spans="1:16" x14ac:dyDescent="0.3">
      <c r="A2330" s="24">
        <v>76</v>
      </c>
      <c r="B2330" s="102">
        <v>46153.376261574071</v>
      </c>
      <c r="C2330" s="25" t="s">
        <v>356</v>
      </c>
      <c r="D2330" s="103" t="s">
        <v>127</v>
      </c>
      <c r="E2330" s="26">
        <v>1.2070000000000001</v>
      </c>
      <c r="F2330" s="26" t="s">
        <v>293</v>
      </c>
      <c r="K2330" s="24">
        <v>76</v>
      </c>
      <c r="L2330" s="102">
        <v>46153.376273148147</v>
      </c>
      <c r="M2330" s="25" t="s">
        <v>357</v>
      </c>
      <c r="N2330" s="103" t="s">
        <v>127</v>
      </c>
      <c r="O2330" s="26">
        <v>4.6630000000000003</v>
      </c>
      <c r="P2330" s="26" t="s">
        <v>293</v>
      </c>
    </row>
    <row r="2331" spans="1:16" x14ac:dyDescent="0.3">
      <c r="A2331" s="24">
        <v>76</v>
      </c>
      <c r="B2331" s="102">
        <v>46153.376261574071</v>
      </c>
      <c r="C2331" s="25" t="s">
        <v>356</v>
      </c>
      <c r="D2331" s="103" t="s">
        <v>131</v>
      </c>
      <c r="E2331" s="26">
        <v>8.6999999999999993</v>
      </c>
      <c r="F2331" s="26" t="s">
        <v>293</v>
      </c>
      <c r="K2331" s="24">
        <v>76</v>
      </c>
      <c r="L2331" s="102">
        <v>46153.376273148147</v>
      </c>
      <c r="M2331" s="25" t="s">
        <v>357</v>
      </c>
      <c r="N2331" s="103" t="s">
        <v>131</v>
      </c>
      <c r="O2331" s="26">
        <v>11.9</v>
      </c>
      <c r="P2331" s="26" t="s">
        <v>293</v>
      </c>
    </row>
    <row r="2332" spans="1:16" x14ac:dyDescent="0.3">
      <c r="A2332" s="24">
        <v>76</v>
      </c>
      <c r="B2332" s="102">
        <v>46153.376261574071</v>
      </c>
      <c r="C2332" s="25" t="s">
        <v>356</v>
      </c>
      <c r="D2332" s="103" t="s">
        <v>342</v>
      </c>
      <c r="E2332" s="26">
        <v>305</v>
      </c>
      <c r="F2332" s="26" t="s">
        <v>293</v>
      </c>
      <c r="K2332" s="24">
        <v>76</v>
      </c>
      <c r="L2332" s="102">
        <v>46153.376273148147</v>
      </c>
      <c r="M2332" s="25" t="s">
        <v>357</v>
      </c>
      <c r="N2332" s="103" t="s">
        <v>342</v>
      </c>
      <c r="O2332" s="26">
        <v>191</v>
      </c>
      <c r="P2332" s="26" t="s">
        <v>293</v>
      </c>
    </row>
    <row r="2333" spans="1:16" x14ac:dyDescent="0.3">
      <c r="A2333" s="24">
        <v>76</v>
      </c>
      <c r="B2333" s="102">
        <v>46153.376261574071</v>
      </c>
      <c r="C2333" s="25" t="s">
        <v>356</v>
      </c>
      <c r="D2333" s="103" t="s">
        <v>119</v>
      </c>
      <c r="E2333" s="26">
        <v>250</v>
      </c>
      <c r="F2333" s="26" t="s">
        <v>293</v>
      </c>
      <c r="K2333" s="24">
        <v>76</v>
      </c>
      <c r="L2333" s="102">
        <v>46153.376273148147</v>
      </c>
      <c r="M2333" s="25" t="s">
        <v>357</v>
      </c>
      <c r="N2333" s="103" t="s">
        <v>119</v>
      </c>
      <c r="O2333" s="26">
        <v>94</v>
      </c>
      <c r="P2333" s="26" t="s">
        <v>293</v>
      </c>
    </row>
    <row r="2334" spans="1:16" x14ac:dyDescent="0.3">
      <c r="A2334" s="24">
        <v>76</v>
      </c>
      <c r="B2334" s="102">
        <v>46153.376261574071</v>
      </c>
      <c r="C2334" s="25" t="s">
        <v>356</v>
      </c>
      <c r="D2334" s="103" t="s">
        <v>120</v>
      </c>
      <c r="E2334" s="26">
        <v>77</v>
      </c>
      <c r="F2334" s="26" t="s">
        <v>293</v>
      </c>
      <c r="K2334" s="24">
        <v>76</v>
      </c>
      <c r="L2334" s="102">
        <v>46153.376273148147</v>
      </c>
      <c r="M2334" s="25" t="s">
        <v>357</v>
      </c>
      <c r="N2334" s="103" t="s">
        <v>120</v>
      </c>
      <c r="O2334" s="26">
        <v>27</v>
      </c>
      <c r="P2334" s="26" t="s">
        <v>293</v>
      </c>
    </row>
    <row r="2335" spans="1:16" x14ac:dyDescent="0.3">
      <c r="A2335" s="24">
        <v>76</v>
      </c>
      <c r="B2335" s="102">
        <v>46153.376261574071</v>
      </c>
      <c r="C2335" s="25" t="s">
        <v>356</v>
      </c>
      <c r="D2335" s="103" t="s">
        <v>117</v>
      </c>
      <c r="E2335" s="26">
        <v>2.79</v>
      </c>
      <c r="F2335" s="26" t="s">
        <v>293</v>
      </c>
      <c r="K2335" s="24">
        <v>76</v>
      </c>
      <c r="L2335" s="102">
        <v>46153.376273148147</v>
      </c>
      <c r="M2335" s="25" t="s">
        <v>357</v>
      </c>
      <c r="N2335" s="103" t="s">
        <v>117</v>
      </c>
      <c r="O2335" s="26">
        <v>6.48</v>
      </c>
      <c r="P2335" s="26" t="s">
        <v>293</v>
      </c>
    </row>
    <row r="2336" spans="1:16" x14ac:dyDescent="0.3">
      <c r="A2336" s="24">
        <v>76</v>
      </c>
      <c r="B2336" s="102">
        <v>46153.376261574071</v>
      </c>
      <c r="C2336" s="25" t="s">
        <v>356</v>
      </c>
      <c r="D2336" s="103" t="s">
        <v>344</v>
      </c>
      <c r="E2336" s="26">
        <v>233</v>
      </c>
      <c r="F2336" s="26" t="s">
        <v>293</v>
      </c>
      <c r="K2336" s="24">
        <v>76</v>
      </c>
      <c r="L2336" s="102">
        <v>46153.376273148147</v>
      </c>
      <c r="M2336" s="25" t="s">
        <v>357</v>
      </c>
      <c r="N2336" s="103" t="s">
        <v>344</v>
      </c>
      <c r="O2336" s="26">
        <v>69</v>
      </c>
      <c r="P2336" s="26" t="s">
        <v>293</v>
      </c>
    </row>
    <row r="2337" spans="1:16" x14ac:dyDescent="0.3">
      <c r="A2337" s="24">
        <v>76</v>
      </c>
      <c r="B2337" s="102">
        <v>46153.376261574071</v>
      </c>
      <c r="C2337" s="25" t="s">
        <v>356</v>
      </c>
      <c r="D2337" s="103" t="s">
        <v>132</v>
      </c>
      <c r="E2337" s="26">
        <v>3.58</v>
      </c>
      <c r="F2337" s="26" t="s">
        <v>293</v>
      </c>
      <c r="K2337" s="24">
        <v>76</v>
      </c>
      <c r="L2337" s="102">
        <v>46153.376273148147</v>
      </c>
      <c r="M2337" s="25" t="s">
        <v>357</v>
      </c>
      <c r="N2337" s="103" t="s">
        <v>132</v>
      </c>
      <c r="O2337" s="26">
        <v>7.22</v>
      </c>
      <c r="P2337" s="26" t="s">
        <v>293</v>
      </c>
    </row>
    <row r="2338" spans="1:16" x14ac:dyDescent="0.3">
      <c r="A2338" s="24">
        <v>76</v>
      </c>
      <c r="B2338" s="102">
        <v>46153.376261574071</v>
      </c>
      <c r="C2338" s="25" t="s">
        <v>356</v>
      </c>
      <c r="D2338" s="103" t="s">
        <v>111</v>
      </c>
      <c r="E2338" s="26">
        <v>88</v>
      </c>
      <c r="F2338" s="26" t="s">
        <v>293</v>
      </c>
      <c r="K2338" s="24">
        <v>76</v>
      </c>
      <c r="L2338" s="102">
        <v>46153.376273148147</v>
      </c>
      <c r="M2338" s="25" t="s">
        <v>357</v>
      </c>
      <c r="N2338" s="103" t="s">
        <v>111</v>
      </c>
      <c r="O2338" s="26">
        <v>282</v>
      </c>
      <c r="P2338" s="26" t="s">
        <v>293</v>
      </c>
    </row>
    <row r="2339" spans="1:16" x14ac:dyDescent="0.3">
      <c r="A2339" s="24">
        <v>76</v>
      </c>
      <c r="B2339" s="102">
        <v>46153.376261574071</v>
      </c>
      <c r="C2339" s="25" t="s">
        <v>356</v>
      </c>
      <c r="D2339" s="103" t="s">
        <v>345</v>
      </c>
      <c r="E2339" s="26">
        <v>5.15</v>
      </c>
      <c r="F2339" s="26" t="s">
        <v>293</v>
      </c>
      <c r="K2339" s="24">
        <v>76</v>
      </c>
      <c r="L2339" s="102">
        <v>46153.376273148147</v>
      </c>
      <c r="M2339" s="25" t="s">
        <v>357</v>
      </c>
      <c r="N2339" s="103" t="s">
        <v>345</v>
      </c>
      <c r="O2339" s="26">
        <v>9.49</v>
      </c>
      <c r="P2339" s="26" t="s">
        <v>293</v>
      </c>
    </row>
    <row r="2340" spans="1:16" x14ac:dyDescent="0.3">
      <c r="A2340" s="24">
        <v>76</v>
      </c>
      <c r="B2340" s="102">
        <v>46153.376261574071</v>
      </c>
      <c r="C2340" s="25" t="s">
        <v>356</v>
      </c>
      <c r="D2340" s="103" t="s">
        <v>347</v>
      </c>
      <c r="E2340" s="26">
        <v>2.2200000000000002</v>
      </c>
      <c r="F2340" s="26" t="s">
        <v>293</v>
      </c>
      <c r="K2340" s="24">
        <v>76</v>
      </c>
      <c r="L2340" s="102">
        <v>46153.376273148147</v>
      </c>
      <c r="M2340" s="25" t="s">
        <v>357</v>
      </c>
      <c r="N2340" s="103" t="s">
        <v>347</v>
      </c>
      <c r="O2340" s="26">
        <v>4.76</v>
      </c>
      <c r="P2340" s="26" t="s">
        <v>293</v>
      </c>
    </row>
    <row r="2341" spans="1:16" x14ac:dyDescent="0.3">
      <c r="A2341" s="24">
        <v>76</v>
      </c>
      <c r="B2341" s="102">
        <v>46153.376261574071</v>
      </c>
      <c r="C2341" s="25" t="s">
        <v>356</v>
      </c>
      <c r="D2341" s="103" t="s">
        <v>128</v>
      </c>
      <c r="E2341" s="26">
        <v>7</v>
      </c>
      <c r="F2341" s="26" t="s">
        <v>293</v>
      </c>
      <c r="K2341" s="24">
        <v>76</v>
      </c>
      <c r="L2341" s="102">
        <v>46153.376273148147</v>
      </c>
      <c r="M2341" s="25" t="s">
        <v>357</v>
      </c>
      <c r="N2341" s="103" t="s">
        <v>128</v>
      </c>
      <c r="O2341" s="26">
        <v>4.4000000000000004</v>
      </c>
      <c r="P2341" s="26" t="s">
        <v>293</v>
      </c>
    </row>
    <row r="2342" spans="1:16" x14ac:dyDescent="0.3">
      <c r="A2342" s="24">
        <v>76</v>
      </c>
      <c r="B2342" s="102">
        <v>46153.376261574071</v>
      </c>
      <c r="C2342" s="25" t="s">
        <v>356</v>
      </c>
      <c r="D2342" s="103" t="s">
        <v>121</v>
      </c>
      <c r="E2342" s="26">
        <v>161</v>
      </c>
      <c r="F2342" s="26" t="s">
        <v>293</v>
      </c>
      <c r="K2342" s="24">
        <v>76</v>
      </c>
      <c r="L2342" s="102">
        <v>46153.376273148147</v>
      </c>
      <c r="M2342" s="25" t="s">
        <v>357</v>
      </c>
      <c r="N2342" s="103" t="s">
        <v>121</v>
      </c>
      <c r="O2342" s="26">
        <v>77</v>
      </c>
      <c r="P2342" s="26" t="s">
        <v>293</v>
      </c>
    </row>
    <row r="2343" spans="1:16" x14ac:dyDescent="0.3">
      <c r="A2343" s="24">
        <v>76</v>
      </c>
      <c r="B2343" s="102">
        <v>46153.376261574071</v>
      </c>
      <c r="C2343" s="25" t="s">
        <v>356</v>
      </c>
      <c r="D2343" s="103" t="s">
        <v>115</v>
      </c>
      <c r="E2343" s="26">
        <v>30</v>
      </c>
      <c r="F2343" s="26" t="s">
        <v>293</v>
      </c>
      <c r="K2343" s="24">
        <v>76</v>
      </c>
      <c r="L2343" s="102">
        <v>46153.376273148147</v>
      </c>
      <c r="M2343" s="25" t="s">
        <v>357</v>
      </c>
      <c r="N2343" s="103" t="s">
        <v>115</v>
      </c>
      <c r="O2343" s="26">
        <v>92</v>
      </c>
      <c r="P2343" s="26" t="s">
        <v>293</v>
      </c>
    </row>
    <row r="2344" spans="1:16" x14ac:dyDescent="0.3">
      <c r="A2344" s="24">
        <v>76</v>
      </c>
      <c r="B2344" s="102">
        <v>46153.376261574071</v>
      </c>
      <c r="C2344" s="25" t="s">
        <v>356</v>
      </c>
      <c r="D2344" s="103" t="s">
        <v>137</v>
      </c>
      <c r="E2344" s="26">
        <v>77</v>
      </c>
      <c r="F2344" s="26" t="s">
        <v>293</v>
      </c>
      <c r="K2344" s="24">
        <v>76</v>
      </c>
      <c r="L2344" s="102">
        <v>46153.376273148147</v>
      </c>
      <c r="M2344" s="25" t="s">
        <v>357</v>
      </c>
      <c r="N2344" s="103" t="s">
        <v>137</v>
      </c>
      <c r="O2344" s="26">
        <v>485</v>
      </c>
      <c r="P2344" s="26" t="s">
        <v>293</v>
      </c>
    </row>
    <row r="2345" spans="1:16" x14ac:dyDescent="0.3">
      <c r="A2345" s="24">
        <v>76</v>
      </c>
      <c r="B2345" s="102">
        <v>46153.376261574071</v>
      </c>
      <c r="C2345" s="25" t="s">
        <v>356</v>
      </c>
      <c r="D2345" s="103" t="s">
        <v>348</v>
      </c>
      <c r="E2345" s="26">
        <v>139</v>
      </c>
      <c r="F2345" s="26" t="s">
        <v>293</v>
      </c>
      <c r="K2345" s="24">
        <v>76</v>
      </c>
      <c r="L2345" s="102">
        <v>46153.376273148147</v>
      </c>
      <c r="M2345" s="25" t="s">
        <v>357</v>
      </c>
      <c r="N2345" s="103" t="s">
        <v>348</v>
      </c>
      <c r="O2345" s="26">
        <v>425</v>
      </c>
      <c r="P2345" s="26" t="s">
        <v>293</v>
      </c>
    </row>
    <row r="2346" spans="1:16" x14ac:dyDescent="0.3">
      <c r="A2346" s="24">
        <v>76</v>
      </c>
      <c r="B2346" s="102">
        <v>46153.376261574071</v>
      </c>
      <c r="C2346" s="25" t="s">
        <v>356</v>
      </c>
      <c r="D2346" s="103" t="s">
        <v>125</v>
      </c>
      <c r="E2346" s="26">
        <v>118</v>
      </c>
      <c r="F2346" s="26" t="s">
        <v>293</v>
      </c>
      <c r="K2346" s="24">
        <v>76</v>
      </c>
      <c r="L2346" s="102">
        <v>46153.376273148147</v>
      </c>
      <c r="M2346" s="25" t="s">
        <v>357</v>
      </c>
      <c r="N2346" s="103" t="s">
        <v>125</v>
      </c>
      <c r="O2346" s="26">
        <v>429</v>
      </c>
      <c r="P2346" s="26" t="s">
        <v>293</v>
      </c>
    </row>
    <row r="2347" spans="1:16" x14ac:dyDescent="0.3">
      <c r="A2347" s="24">
        <v>76</v>
      </c>
      <c r="B2347" s="102">
        <v>46153.376261574071</v>
      </c>
      <c r="C2347" s="25" t="s">
        <v>356</v>
      </c>
      <c r="D2347" s="103" t="s">
        <v>126</v>
      </c>
      <c r="E2347" s="26">
        <v>81</v>
      </c>
      <c r="F2347" s="26" t="s">
        <v>293</v>
      </c>
      <c r="K2347" s="24">
        <v>76</v>
      </c>
      <c r="L2347" s="102">
        <v>46153.376273148147</v>
      </c>
      <c r="M2347" s="25" t="s">
        <v>357</v>
      </c>
      <c r="N2347" s="103" t="s">
        <v>126</v>
      </c>
      <c r="O2347" s="26">
        <v>151</v>
      </c>
      <c r="P2347" s="26" t="s">
        <v>293</v>
      </c>
    </row>
    <row r="2348" spans="1:16" x14ac:dyDescent="0.3">
      <c r="A2348" s="24">
        <v>76</v>
      </c>
      <c r="B2348" s="102">
        <v>46153.376261574071</v>
      </c>
      <c r="C2348" s="25" t="s">
        <v>356</v>
      </c>
      <c r="D2348" s="103" t="s">
        <v>349</v>
      </c>
      <c r="E2348" s="26">
        <v>150</v>
      </c>
      <c r="F2348" s="26" t="s">
        <v>293</v>
      </c>
      <c r="K2348" s="24">
        <v>76</v>
      </c>
      <c r="L2348" s="102">
        <v>46153.376273148147</v>
      </c>
      <c r="M2348" s="25" t="s">
        <v>357</v>
      </c>
      <c r="N2348" s="103" t="s">
        <v>349</v>
      </c>
      <c r="O2348" s="26">
        <v>357</v>
      </c>
      <c r="P2348" s="26" t="s">
        <v>293</v>
      </c>
    </row>
    <row r="2349" spans="1:16" x14ac:dyDescent="0.3">
      <c r="A2349" s="24">
        <v>76</v>
      </c>
      <c r="B2349" s="102">
        <v>46153.376261574071</v>
      </c>
      <c r="C2349" s="25" t="s">
        <v>356</v>
      </c>
      <c r="D2349" s="103" t="s">
        <v>350</v>
      </c>
      <c r="E2349" s="26">
        <v>56</v>
      </c>
      <c r="F2349" s="26" t="s">
        <v>293</v>
      </c>
      <c r="K2349" s="24">
        <v>76</v>
      </c>
      <c r="L2349" s="102">
        <v>46153.376273148147</v>
      </c>
      <c r="M2349" s="25" t="s">
        <v>357</v>
      </c>
      <c r="N2349" s="103" t="s">
        <v>350</v>
      </c>
      <c r="O2349" s="26">
        <v>82</v>
      </c>
      <c r="P2349" s="26" t="s">
        <v>293</v>
      </c>
    </row>
    <row r="2350" spans="1:16" x14ac:dyDescent="0.3">
      <c r="A2350" s="24">
        <v>76</v>
      </c>
      <c r="B2350" s="102">
        <v>46153.376261574071</v>
      </c>
      <c r="C2350" s="25" t="s">
        <v>356</v>
      </c>
      <c r="D2350" s="103" t="s">
        <v>122</v>
      </c>
      <c r="E2350" s="26">
        <v>46</v>
      </c>
      <c r="F2350" s="26" t="s">
        <v>293</v>
      </c>
      <c r="K2350" s="24">
        <v>76</v>
      </c>
      <c r="L2350" s="102">
        <v>46153.376273148147</v>
      </c>
      <c r="M2350" s="25" t="s">
        <v>357</v>
      </c>
      <c r="N2350" s="103" t="s">
        <v>122</v>
      </c>
      <c r="O2350" s="26">
        <v>215</v>
      </c>
      <c r="P2350" s="26" t="s">
        <v>293</v>
      </c>
    </row>
    <row r="2351" spans="1:16" x14ac:dyDescent="0.3">
      <c r="A2351" s="24">
        <v>76</v>
      </c>
      <c r="B2351" s="102">
        <v>46153.376261574071</v>
      </c>
      <c r="C2351" s="25" t="s">
        <v>356</v>
      </c>
      <c r="D2351" s="103" t="s">
        <v>124</v>
      </c>
      <c r="E2351" s="26">
        <v>28</v>
      </c>
      <c r="F2351" s="26" t="s">
        <v>293</v>
      </c>
      <c r="K2351" s="24">
        <v>76</v>
      </c>
      <c r="L2351" s="102">
        <v>46153.376273148147</v>
      </c>
      <c r="M2351" s="25" t="s">
        <v>357</v>
      </c>
      <c r="N2351" s="103" t="s">
        <v>124</v>
      </c>
      <c r="O2351" s="26">
        <v>101</v>
      </c>
      <c r="P2351" s="26" t="s">
        <v>293</v>
      </c>
    </row>
    <row r="2352" spans="1:16" x14ac:dyDescent="0.3">
      <c r="A2352" s="24">
        <v>76</v>
      </c>
      <c r="B2352" s="102">
        <v>46153.376261574071</v>
      </c>
      <c r="C2352" s="25" t="s">
        <v>356</v>
      </c>
      <c r="D2352" s="103" t="s">
        <v>351</v>
      </c>
      <c r="E2352" s="26">
        <v>0.93</v>
      </c>
      <c r="F2352" s="26" t="s">
        <v>293</v>
      </c>
      <c r="K2352" s="24">
        <v>76</v>
      </c>
      <c r="L2352" s="102">
        <v>46153.376273148147</v>
      </c>
      <c r="M2352" s="25" t="s">
        <v>357</v>
      </c>
      <c r="N2352" s="103" t="s">
        <v>351</v>
      </c>
      <c r="O2352" s="26">
        <v>3.4</v>
      </c>
      <c r="P2352" s="26" t="s">
        <v>293</v>
      </c>
    </row>
    <row r="2353" spans="1:16" x14ac:dyDescent="0.3">
      <c r="A2353" s="24">
        <v>76</v>
      </c>
      <c r="B2353" s="102">
        <v>46153.376261574071</v>
      </c>
      <c r="C2353" s="25" t="s">
        <v>356</v>
      </c>
      <c r="D2353" s="103" t="s">
        <v>353</v>
      </c>
      <c r="E2353" s="26">
        <v>34.299999999999997</v>
      </c>
      <c r="F2353" s="26" t="s">
        <v>293</v>
      </c>
      <c r="K2353" s="24">
        <v>76</v>
      </c>
      <c r="L2353" s="102">
        <v>46153.376273148147</v>
      </c>
      <c r="M2353" s="25" t="s">
        <v>357</v>
      </c>
      <c r="N2353" s="103" t="s">
        <v>353</v>
      </c>
      <c r="O2353" s="26">
        <v>17</v>
      </c>
      <c r="P2353" s="26" t="s">
        <v>293</v>
      </c>
    </row>
    <row r="2354" spans="1:16" x14ac:dyDescent="0.3">
      <c r="A2354" s="24">
        <v>76</v>
      </c>
      <c r="B2354" s="102">
        <v>46153.376261574071</v>
      </c>
      <c r="C2354" s="25" t="s">
        <v>356</v>
      </c>
      <c r="D2354" s="103" t="s">
        <v>133</v>
      </c>
      <c r="E2354" s="26">
        <v>145</v>
      </c>
      <c r="F2354" s="26" t="s">
        <v>293</v>
      </c>
      <c r="K2354" s="24">
        <v>76</v>
      </c>
      <c r="L2354" s="102">
        <v>46153.376273148147</v>
      </c>
      <c r="M2354" s="25" t="s">
        <v>357</v>
      </c>
      <c r="N2354" s="103" t="s">
        <v>133</v>
      </c>
      <c r="O2354" s="26">
        <v>127</v>
      </c>
      <c r="P2354" s="26" t="s">
        <v>293</v>
      </c>
    </row>
    <row r="2355" spans="1:16" x14ac:dyDescent="0.3">
      <c r="A2355" s="24">
        <v>76</v>
      </c>
      <c r="B2355" s="102">
        <v>46153.376261574071</v>
      </c>
      <c r="C2355" s="25" t="s">
        <v>356</v>
      </c>
      <c r="D2355" s="103" t="s">
        <v>135</v>
      </c>
      <c r="E2355" s="26">
        <v>3.8</v>
      </c>
      <c r="F2355" s="26" t="s">
        <v>293</v>
      </c>
      <c r="K2355" s="24">
        <v>76</v>
      </c>
      <c r="L2355" s="102">
        <v>46153.376273148147</v>
      </c>
      <c r="M2355" s="25" t="s">
        <v>357</v>
      </c>
      <c r="N2355" s="103" t="s">
        <v>135</v>
      </c>
      <c r="O2355" s="26">
        <v>6.5</v>
      </c>
      <c r="P2355" s="26" t="s">
        <v>293</v>
      </c>
    </row>
    <row r="2356" spans="1:16" x14ac:dyDescent="0.3">
      <c r="A2356" s="24">
        <v>76</v>
      </c>
      <c r="B2356" s="102">
        <v>46153.376261574071</v>
      </c>
      <c r="C2356" s="25" t="s">
        <v>356</v>
      </c>
      <c r="D2356" s="103" t="s">
        <v>136</v>
      </c>
      <c r="E2356" s="26">
        <v>117</v>
      </c>
      <c r="F2356" s="26" t="s">
        <v>293</v>
      </c>
      <c r="K2356" s="24">
        <v>76</v>
      </c>
      <c r="L2356" s="102">
        <v>46153.376273148147</v>
      </c>
      <c r="M2356" s="25" t="s">
        <v>357</v>
      </c>
      <c r="N2356" s="103" t="s">
        <v>136</v>
      </c>
      <c r="O2356" s="26">
        <v>94</v>
      </c>
      <c r="P2356" s="26" t="s">
        <v>293</v>
      </c>
    </row>
    <row r="2357" spans="1:16" x14ac:dyDescent="0.3">
      <c r="A2357" s="24">
        <v>77</v>
      </c>
      <c r="B2357" s="102">
        <v>46154.359189814815</v>
      </c>
      <c r="C2357" s="25" t="s">
        <v>356</v>
      </c>
      <c r="D2357" s="103" t="s">
        <v>339</v>
      </c>
      <c r="E2357" s="26">
        <v>4.6100000000000003</v>
      </c>
      <c r="F2357" s="26" t="s">
        <v>293</v>
      </c>
      <c r="K2357" s="24">
        <v>77</v>
      </c>
      <c r="L2357" s="102">
        <v>46154.366979166669</v>
      </c>
      <c r="M2357" s="25" t="s">
        <v>357</v>
      </c>
      <c r="N2357" s="103" t="s">
        <v>339</v>
      </c>
      <c r="O2357" s="26">
        <v>1.18</v>
      </c>
      <c r="P2357" s="26" t="s">
        <v>293</v>
      </c>
    </row>
    <row r="2358" spans="1:16" x14ac:dyDescent="0.3">
      <c r="A2358" s="24">
        <v>77</v>
      </c>
      <c r="B2358" s="102">
        <v>46154.359189814815</v>
      </c>
      <c r="C2358" s="25" t="s">
        <v>356</v>
      </c>
      <c r="D2358" s="103" t="s">
        <v>118</v>
      </c>
      <c r="E2358" s="26">
        <v>4.4000000000000004</v>
      </c>
      <c r="F2358" s="26" t="s">
        <v>293</v>
      </c>
      <c r="K2358" s="24">
        <v>77</v>
      </c>
      <c r="L2358" s="102">
        <v>46154.366979166669</v>
      </c>
      <c r="M2358" s="25" t="s">
        <v>357</v>
      </c>
      <c r="N2358" s="103" t="s">
        <v>118</v>
      </c>
      <c r="O2358" s="26">
        <v>9.5</v>
      </c>
      <c r="P2358" s="26" t="s">
        <v>293</v>
      </c>
    </row>
    <row r="2359" spans="1:16" x14ac:dyDescent="0.3">
      <c r="A2359" s="24">
        <v>77</v>
      </c>
      <c r="B2359" s="102">
        <v>46154.359189814815</v>
      </c>
      <c r="C2359" s="25" t="s">
        <v>356</v>
      </c>
      <c r="D2359" s="103" t="s">
        <v>130</v>
      </c>
      <c r="E2359" s="26">
        <v>4.07</v>
      </c>
      <c r="F2359" s="26" t="s">
        <v>293</v>
      </c>
      <c r="K2359" s="24">
        <v>77</v>
      </c>
      <c r="L2359" s="102">
        <v>46154.366979166669</v>
      </c>
      <c r="M2359" s="25" t="s">
        <v>357</v>
      </c>
      <c r="N2359" s="103" t="s">
        <v>130</v>
      </c>
      <c r="O2359" s="26">
        <v>2.62</v>
      </c>
      <c r="P2359" s="26" t="s">
        <v>293</v>
      </c>
    </row>
    <row r="2360" spans="1:16" x14ac:dyDescent="0.3">
      <c r="A2360" s="24">
        <v>77</v>
      </c>
      <c r="B2360" s="102">
        <v>46154.359189814815</v>
      </c>
      <c r="C2360" s="25" t="s">
        <v>356</v>
      </c>
      <c r="D2360" s="103" t="s">
        <v>341</v>
      </c>
      <c r="E2360" s="26">
        <v>0.32500000000000001</v>
      </c>
      <c r="F2360" s="26" t="s">
        <v>293</v>
      </c>
      <c r="K2360" s="24">
        <v>77</v>
      </c>
      <c r="L2360" s="102">
        <v>46154.366979166669</v>
      </c>
      <c r="M2360" s="25" t="s">
        <v>357</v>
      </c>
      <c r="N2360" s="103" t="s">
        <v>341</v>
      </c>
      <c r="O2360" s="26">
        <v>1.2170000000000001</v>
      </c>
      <c r="P2360" s="26" t="s">
        <v>293</v>
      </c>
    </row>
    <row r="2361" spans="1:16" x14ac:dyDescent="0.3">
      <c r="A2361" s="24">
        <v>77</v>
      </c>
      <c r="B2361" s="102">
        <v>46154.359189814815</v>
      </c>
      <c r="C2361" s="25" t="s">
        <v>356</v>
      </c>
      <c r="D2361" s="103" t="s">
        <v>127</v>
      </c>
      <c r="E2361" s="26">
        <v>1.179</v>
      </c>
      <c r="F2361" s="26" t="s">
        <v>293</v>
      </c>
      <c r="K2361" s="24">
        <v>77</v>
      </c>
      <c r="L2361" s="102">
        <v>46154.366979166669</v>
      </c>
      <c r="M2361" s="25" t="s">
        <v>357</v>
      </c>
      <c r="N2361" s="103" t="s">
        <v>127</v>
      </c>
      <c r="O2361" s="26">
        <v>4.6109999999999998</v>
      </c>
      <c r="P2361" s="26" t="s">
        <v>293</v>
      </c>
    </row>
    <row r="2362" spans="1:16" x14ac:dyDescent="0.3">
      <c r="A2362" s="24">
        <v>77</v>
      </c>
      <c r="B2362" s="102">
        <v>46154.359189814815</v>
      </c>
      <c r="C2362" s="25" t="s">
        <v>356</v>
      </c>
      <c r="D2362" s="103" t="s">
        <v>131</v>
      </c>
      <c r="E2362" s="26">
        <v>8.6</v>
      </c>
      <c r="F2362" s="26" t="s">
        <v>293</v>
      </c>
      <c r="K2362" s="24">
        <v>77</v>
      </c>
      <c r="L2362" s="102">
        <v>46154.366979166669</v>
      </c>
      <c r="M2362" s="25" t="s">
        <v>357</v>
      </c>
      <c r="N2362" s="103" t="s">
        <v>131</v>
      </c>
      <c r="O2362" s="26">
        <v>11.9</v>
      </c>
      <c r="P2362" s="26" t="s">
        <v>293</v>
      </c>
    </row>
    <row r="2363" spans="1:16" x14ac:dyDescent="0.3">
      <c r="A2363" s="24">
        <v>77</v>
      </c>
      <c r="B2363" s="102">
        <v>46154.359189814815</v>
      </c>
      <c r="C2363" s="25" t="s">
        <v>356</v>
      </c>
      <c r="D2363" s="103" t="s">
        <v>342</v>
      </c>
      <c r="E2363" s="26">
        <v>322</v>
      </c>
      <c r="F2363" s="26" t="s">
        <v>293</v>
      </c>
      <c r="K2363" s="24">
        <v>77</v>
      </c>
      <c r="L2363" s="102">
        <v>46154.366979166669</v>
      </c>
      <c r="M2363" s="25" t="s">
        <v>357</v>
      </c>
      <c r="N2363" s="103" t="s">
        <v>342</v>
      </c>
      <c r="O2363" s="26">
        <v>195</v>
      </c>
      <c r="P2363" s="26" t="s">
        <v>293</v>
      </c>
    </row>
    <row r="2364" spans="1:16" x14ac:dyDescent="0.3">
      <c r="A2364" s="24">
        <v>77</v>
      </c>
      <c r="B2364" s="102">
        <v>46154.359189814815</v>
      </c>
      <c r="C2364" s="25" t="s">
        <v>356</v>
      </c>
      <c r="D2364" s="103" t="s">
        <v>119</v>
      </c>
      <c r="E2364" s="26">
        <v>246</v>
      </c>
      <c r="F2364" s="26" t="s">
        <v>293</v>
      </c>
      <c r="K2364" s="24">
        <v>77</v>
      </c>
      <c r="L2364" s="102">
        <v>46154.366979166669</v>
      </c>
      <c r="M2364" s="25" t="s">
        <v>357</v>
      </c>
      <c r="N2364" s="103" t="s">
        <v>119</v>
      </c>
      <c r="O2364" s="26">
        <v>93</v>
      </c>
      <c r="P2364" s="26" t="s">
        <v>293</v>
      </c>
    </row>
    <row r="2365" spans="1:16" x14ac:dyDescent="0.3">
      <c r="A2365" s="24">
        <v>77</v>
      </c>
      <c r="B2365" s="102">
        <v>46154.359189814815</v>
      </c>
      <c r="C2365" s="25" t="s">
        <v>356</v>
      </c>
      <c r="D2365" s="103" t="s">
        <v>120</v>
      </c>
      <c r="E2365" s="26">
        <v>79</v>
      </c>
      <c r="F2365" s="26" t="s">
        <v>293</v>
      </c>
      <c r="K2365" s="24">
        <v>77</v>
      </c>
      <c r="L2365" s="102">
        <v>46154.366979166669</v>
      </c>
      <c r="M2365" s="25" t="s">
        <v>357</v>
      </c>
      <c r="N2365" s="103" t="s">
        <v>120</v>
      </c>
      <c r="O2365" s="26">
        <v>27</v>
      </c>
      <c r="P2365" s="26" t="s">
        <v>293</v>
      </c>
    </row>
    <row r="2366" spans="1:16" x14ac:dyDescent="0.3">
      <c r="A2366" s="24">
        <v>77</v>
      </c>
      <c r="B2366" s="102">
        <v>46154.359189814815</v>
      </c>
      <c r="C2366" s="25" t="s">
        <v>356</v>
      </c>
      <c r="D2366" s="103" t="s">
        <v>117</v>
      </c>
      <c r="E2366" s="26">
        <v>2.69</v>
      </c>
      <c r="F2366" s="26" t="s">
        <v>293</v>
      </c>
      <c r="K2366" s="24">
        <v>77</v>
      </c>
      <c r="L2366" s="102">
        <v>46154.366979166669</v>
      </c>
      <c r="M2366" s="25" t="s">
        <v>357</v>
      </c>
      <c r="N2366" s="103" t="s">
        <v>117</v>
      </c>
      <c r="O2366" s="26">
        <v>6.21</v>
      </c>
      <c r="P2366" s="26" t="s">
        <v>293</v>
      </c>
    </row>
    <row r="2367" spans="1:16" x14ac:dyDescent="0.3">
      <c r="A2367" s="24">
        <v>77</v>
      </c>
      <c r="B2367" s="102">
        <v>46154.359189814815</v>
      </c>
      <c r="C2367" s="25" t="s">
        <v>356</v>
      </c>
      <c r="D2367" s="103" t="s">
        <v>344</v>
      </c>
      <c r="E2367" s="26">
        <v>237</v>
      </c>
      <c r="F2367" s="26" t="s">
        <v>293</v>
      </c>
      <c r="K2367" s="24">
        <v>77</v>
      </c>
      <c r="L2367" s="102">
        <v>46154.366979166669</v>
      </c>
      <c r="M2367" s="25" t="s">
        <v>357</v>
      </c>
      <c r="N2367" s="103" t="s">
        <v>344</v>
      </c>
      <c r="O2367" s="26">
        <v>70</v>
      </c>
      <c r="P2367" s="26" t="s">
        <v>293</v>
      </c>
    </row>
    <row r="2368" spans="1:16" x14ac:dyDescent="0.3">
      <c r="A2368" s="24">
        <v>77</v>
      </c>
      <c r="B2368" s="102">
        <v>46154.359189814815</v>
      </c>
      <c r="C2368" s="25" t="s">
        <v>356</v>
      </c>
      <c r="D2368" s="103" t="s">
        <v>132</v>
      </c>
      <c r="E2368" s="26">
        <v>3.53</v>
      </c>
      <c r="F2368" s="26" t="s">
        <v>293</v>
      </c>
      <c r="K2368" s="24">
        <v>77</v>
      </c>
      <c r="L2368" s="102">
        <v>46154.366979166669</v>
      </c>
      <c r="M2368" s="25" t="s">
        <v>357</v>
      </c>
      <c r="N2368" s="103" t="s">
        <v>132</v>
      </c>
      <c r="O2368" s="26">
        <v>7.26</v>
      </c>
      <c r="P2368" s="26" t="s">
        <v>293</v>
      </c>
    </row>
    <row r="2369" spans="1:16" x14ac:dyDescent="0.3">
      <c r="A2369" s="24">
        <v>77</v>
      </c>
      <c r="B2369" s="102">
        <v>46154.359189814815</v>
      </c>
      <c r="C2369" s="25" t="s">
        <v>356</v>
      </c>
      <c r="D2369" s="103" t="s">
        <v>111</v>
      </c>
      <c r="E2369" s="26">
        <v>88</v>
      </c>
      <c r="F2369" s="26" t="s">
        <v>293</v>
      </c>
      <c r="K2369" s="24">
        <v>77</v>
      </c>
      <c r="L2369" s="102">
        <v>46154.366979166669</v>
      </c>
      <c r="M2369" s="25" t="s">
        <v>357</v>
      </c>
      <c r="N2369" s="103" t="s">
        <v>111</v>
      </c>
      <c r="O2369" s="26">
        <v>280</v>
      </c>
      <c r="P2369" s="26" t="s">
        <v>293</v>
      </c>
    </row>
    <row r="2370" spans="1:16" x14ac:dyDescent="0.3">
      <c r="A2370" s="24">
        <v>77</v>
      </c>
      <c r="B2370" s="102">
        <v>46154.359189814815</v>
      </c>
      <c r="C2370" s="25" t="s">
        <v>356</v>
      </c>
      <c r="D2370" s="103" t="s">
        <v>345</v>
      </c>
      <c r="E2370" s="26">
        <v>5</v>
      </c>
      <c r="F2370" s="26" t="s">
        <v>293</v>
      </c>
      <c r="K2370" s="24">
        <v>77</v>
      </c>
      <c r="L2370" s="102">
        <v>46154.366979166669</v>
      </c>
      <c r="M2370" s="25" t="s">
        <v>357</v>
      </c>
      <c r="N2370" s="103" t="s">
        <v>345</v>
      </c>
      <c r="O2370" s="26">
        <v>9.49</v>
      </c>
      <c r="P2370" s="26" t="s">
        <v>293</v>
      </c>
    </row>
    <row r="2371" spans="1:16" x14ac:dyDescent="0.3">
      <c r="A2371" s="24">
        <v>77</v>
      </c>
      <c r="B2371" s="102">
        <v>46154.359189814815</v>
      </c>
      <c r="C2371" s="25" t="s">
        <v>356</v>
      </c>
      <c r="D2371" s="103" t="s">
        <v>347</v>
      </c>
      <c r="E2371" s="26">
        <v>2.04</v>
      </c>
      <c r="F2371" s="26" t="s">
        <v>293</v>
      </c>
      <c r="K2371" s="24">
        <v>77</v>
      </c>
      <c r="L2371" s="102">
        <v>46154.366979166669</v>
      </c>
      <c r="M2371" s="25" t="s">
        <v>357</v>
      </c>
      <c r="N2371" s="103" t="s">
        <v>347</v>
      </c>
      <c r="O2371" s="26">
        <v>4.6100000000000003</v>
      </c>
      <c r="P2371" s="26" t="s">
        <v>293</v>
      </c>
    </row>
    <row r="2372" spans="1:16" x14ac:dyDescent="0.3">
      <c r="A2372" s="24">
        <v>77</v>
      </c>
      <c r="B2372" s="102">
        <v>46154.359189814815</v>
      </c>
      <c r="C2372" s="25" t="s">
        <v>356</v>
      </c>
      <c r="D2372" s="103" t="s">
        <v>128</v>
      </c>
      <c r="E2372" s="26">
        <v>7</v>
      </c>
      <c r="F2372" s="26" t="s">
        <v>293</v>
      </c>
      <c r="K2372" s="24">
        <v>77</v>
      </c>
      <c r="L2372" s="102">
        <v>46154.366979166669</v>
      </c>
      <c r="M2372" s="25" t="s">
        <v>357</v>
      </c>
      <c r="N2372" s="103" t="s">
        <v>128</v>
      </c>
      <c r="O2372" s="26">
        <v>4.5</v>
      </c>
      <c r="P2372" s="26" t="s">
        <v>293</v>
      </c>
    </row>
    <row r="2373" spans="1:16" x14ac:dyDescent="0.3">
      <c r="A2373" s="24">
        <v>77</v>
      </c>
      <c r="B2373" s="102">
        <v>46154.359189814815</v>
      </c>
      <c r="C2373" s="25" t="s">
        <v>356</v>
      </c>
      <c r="D2373" s="103" t="s">
        <v>121</v>
      </c>
      <c r="E2373" s="26">
        <v>158</v>
      </c>
      <c r="F2373" s="26" t="s">
        <v>293</v>
      </c>
      <c r="K2373" s="24">
        <v>77</v>
      </c>
      <c r="L2373" s="102">
        <v>46154.366979166669</v>
      </c>
      <c r="M2373" s="25" t="s">
        <v>357</v>
      </c>
      <c r="N2373" s="103" t="s">
        <v>121</v>
      </c>
      <c r="O2373" s="26">
        <v>77</v>
      </c>
      <c r="P2373" s="26" t="s">
        <v>293</v>
      </c>
    </row>
    <row r="2374" spans="1:16" x14ac:dyDescent="0.3">
      <c r="A2374" s="24">
        <v>77</v>
      </c>
      <c r="B2374" s="102">
        <v>46154.359189814815</v>
      </c>
      <c r="C2374" s="25" t="s">
        <v>356</v>
      </c>
      <c r="D2374" s="103" t="s">
        <v>115</v>
      </c>
      <c r="E2374" s="26">
        <v>34</v>
      </c>
      <c r="F2374" s="26" t="s">
        <v>293</v>
      </c>
      <c r="K2374" s="24">
        <v>77</v>
      </c>
      <c r="L2374" s="102">
        <v>46154.366979166669</v>
      </c>
      <c r="M2374" s="25" t="s">
        <v>357</v>
      </c>
      <c r="N2374" s="103" t="s">
        <v>115</v>
      </c>
      <c r="O2374" s="26">
        <v>91</v>
      </c>
      <c r="P2374" s="26" t="s">
        <v>293</v>
      </c>
    </row>
    <row r="2375" spans="1:16" x14ac:dyDescent="0.3">
      <c r="A2375" s="24">
        <v>77</v>
      </c>
      <c r="B2375" s="102">
        <v>46154.359189814815</v>
      </c>
      <c r="C2375" s="25" t="s">
        <v>356</v>
      </c>
      <c r="D2375" s="103" t="s">
        <v>137</v>
      </c>
      <c r="E2375" s="26">
        <v>76</v>
      </c>
      <c r="F2375" s="26" t="s">
        <v>293</v>
      </c>
      <c r="K2375" s="24">
        <v>77</v>
      </c>
      <c r="L2375" s="102">
        <v>46154.366979166669</v>
      </c>
      <c r="M2375" s="25" t="s">
        <v>357</v>
      </c>
      <c r="N2375" s="103" t="s">
        <v>137</v>
      </c>
      <c r="O2375" s="26">
        <v>489</v>
      </c>
      <c r="P2375" s="26" t="s">
        <v>293</v>
      </c>
    </row>
    <row r="2376" spans="1:16" x14ac:dyDescent="0.3">
      <c r="A2376" s="24">
        <v>77</v>
      </c>
      <c r="B2376" s="102">
        <v>46154.359189814815</v>
      </c>
      <c r="C2376" s="25" t="s">
        <v>356</v>
      </c>
      <c r="D2376" s="103" t="s">
        <v>348</v>
      </c>
      <c r="E2376" s="26">
        <v>139</v>
      </c>
      <c r="F2376" s="26" t="s">
        <v>293</v>
      </c>
      <c r="K2376" s="24">
        <v>77</v>
      </c>
      <c r="L2376" s="102">
        <v>46154.366979166669</v>
      </c>
      <c r="M2376" s="25" t="s">
        <v>357</v>
      </c>
      <c r="N2376" s="103" t="s">
        <v>348</v>
      </c>
      <c r="O2376" s="26">
        <v>427</v>
      </c>
      <c r="P2376" s="26" t="s">
        <v>293</v>
      </c>
    </row>
    <row r="2377" spans="1:16" x14ac:dyDescent="0.3">
      <c r="A2377" s="24">
        <v>77</v>
      </c>
      <c r="B2377" s="102">
        <v>46154.359189814815</v>
      </c>
      <c r="C2377" s="25" t="s">
        <v>356</v>
      </c>
      <c r="D2377" s="103" t="s">
        <v>125</v>
      </c>
      <c r="E2377" s="26">
        <v>118</v>
      </c>
      <c r="F2377" s="26" t="s">
        <v>293</v>
      </c>
      <c r="K2377" s="24">
        <v>77</v>
      </c>
      <c r="L2377" s="102">
        <v>46154.366979166669</v>
      </c>
      <c r="M2377" s="25" t="s">
        <v>357</v>
      </c>
      <c r="N2377" s="103" t="s">
        <v>125</v>
      </c>
      <c r="O2377" s="26">
        <v>424</v>
      </c>
      <c r="P2377" s="26" t="s">
        <v>293</v>
      </c>
    </row>
    <row r="2378" spans="1:16" x14ac:dyDescent="0.3">
      <c r="A2378" s="24">
        <v>77</v>
      </c>
      <c r="B2378" s="102">
        <v>46154.359189814815</v>
      </c>
      <c r="C2378" s="25" t="s">
        <v>356</v>
      </c>
      <c r="D2378" s="103" t="s">
        <v>126</v>
      </c>
      <c r="E2378" s="26">
        <v>79</v>
      </c>
      <c r="F2378" s="26" t="s">
        <v>293</v>
      </c>
      <c r="K2378" s="24">
        <v>77</v>
      </c>
      <c r="L2378" s="102">
        <v>46154.366979166669</v>
      </c>
      <c r="M2378" s="25" t="s">
        <v>357</v>
      </c>
      <c r="N2378" s="103" t="s">
        <v>126</v>
      </c>
      <c r="O2378" s="26">
        <v>149</v>
      </c>
      <c r="P2378" s="26" t="s">
        <v>293</v>
      </c>
    </row>
    <row r="2379" spans="1:16" x14ac:dyDescent="0.3">
      <c r="A2379" s="24">
        <v>77</v>
      </c>
      <c r="B2379" s="102">
        <v>46154.359189814815</v>
      </c>
      <c r="C2379" s="25" t="s">
        <v>356</v>
      </c>
      <c r="D2379" s="103" t="s">
        <v>349</v>
      </c>
      <c r="E2379" s="26">
        <v>142</v>
      </c>
      <c r="F2379" s="26" t="s">
        <v>293</v>
      </c>
      <c r="K2379" s="24">
        <v>77</v>
      </c>
      <c r="L2379" s="102">
        <v>46154.366979166669</v>
      </c>
      <c r="M2379" s="25" t="s">
        <v>357</v>
      </c>
      <c r="N2379" s="103" t="s">
        <v>349</v>
      </c>
      <c r="O2379" s="26">
        <v>353</v>
      </c>
      <c r="P2379" s="26" t="s">
        <v>293</v>
      </c>
    </row>
    <row r="2380" spans="1:16" x14ac:dyDescent="0.3">
      <c r="A2380" s="24">
        <v>77</v>
      </c>
      <c r="B2380" s="102">
        <v>46154.359189814815</v>
      </c>
      <c r="C2380" s="25" t="s">
        <v>356</v>
      </c>
      <c r="D2380" s="103" t="s">
        <v>350</v>
      </c>
      <c r="E2380" s="26">
        <v>57</v>
      </c>
      <c r="F2380" s="26" t="s">
        <v>293</v>
      </c>
      <c r="K2380" s="24">
        <v>77</v>
      </c>
      <c r="L2380" s="102">
        <v>46154.366979166669</v>
      </c>
      <c r="M2380" s="25" t="s">
        <v>357</v>
      </c>
      <c r="N2380" s="103" t="s">
        <v>350</v>
      </c>
      <c r="O2380" s="26">
        <v>83</v>
      </c>
      <c r="P2380" s="26" t="s">
        <v>293</v>
      </c>
    </row>
    <row r="2381" spans="1:16" x14ac:dyDescent="0.3">
      <c r="A2381" s="24">
        <v>77</v>
      </c>
      <c r="B2381" s="102">
        <v>46154.359189814815</v>
      </c>
      <c r="C2381" s="25" t="s">
        <v>356</v>
      </c>
      <c r="D2381" s="103" t="s">
        <v>122</v>
      </c>
      <c r="E2381" s="26">
        <v>44</v>
      </c>
      <c r="F2381" s="26" t="s">
        <v>293</v>
      </c>
      <c r="K2381" s="24">
        <v>77</v>
      </c>
      <c r="L2381" s="102">
        <v>46154.366979166669</v>
      </c>
      <c r="M2381" s="25" t="s">
        <v>357</v>
      </c>
      <c r="N2381" s="103" t="s">
        <v>122</v>
      </c>
      <c r="O2381" s="26">
        <v>220</v>
      </c>
      <c r="P2381" s="26" t="s">
        <v>293</v>
      </c>
    </row>
    <row r="2382" spans="1:16" x14ac:dyDescent="0.3">
      <c r="A2382" s="24">
        <v>77</v>
      </c>
      <c r="B2382" s="102">
        <v>46154.359189814815</v>
      </c>
      <c r="C2382" s="25" t="s">
        <v>356</v>
      </c>
      <c r="D2382" s="103" t="s">
        <v>124</v>
      </c>
      <c r="E2382" s="26">
        <v>28</v>
      </c>
      <c r="F2382" s="26" t="s">
        <v>293</v>
      </c>
      <c r="K2382" s="24">
        <v>77</v>
      </c>
      <c r="L2382" s="102">
        <v>46154.366979166669</v>
      </c>
      <c r="M2382" s="25" t="s">
        <v>357</v>
      </c>
      <c r="N2382" s="103" t="s">
        <v>124</v>
      </c>
      <c r="O2382" s="26">
        <v>103</v>
      </c>
      <c r="P2382" s="26" t="s">
        <v>293</v>
      </c>
    </row>
    <row r="2383" spans="1:16" x14ac:dyDescent="0.3">
      <c r="A2383" s="24">
        <v>77</v>
      </c>
      <c r="B2383" s="102">
        <v>46154.359189814815</v>
      </c>
      <c r="C2383" s="25" t="s">
        <v>356</v>
      </c>
      <c r="D2383" s="103" t="s">
        <v>351</v>
      </c>
      <c r="E2383" s="26">
        <v>0.96</v>
      </c>
      <c r="F2383" s="26" t="s">
        <v>293</v>
      </c>
      <c r="K2383" s="24">
        <v>77</v>
      </c>
      <c r="L2383" s="102">
        <v>46154.366979166669</v>
      </c>
      <c r="M2383" s="25" t="s">
        <v>357</v>
      </c>
      <c r="N2383" s="103" t="s">
        <v>351</v>
      </c>
      <c r="O2383" s="26">
        <v>3.48</v>
      </c>
      <c r="P2383" s="26" t="s">
        <v>293</v>
      </c>
    </row>
    <row r="2384" spans="1:16" x14ac:dyDescent="0.3">
      <c r="A2384" s="24">
        <v>77</v>
      </c>
      <c r="B2384" s="102">
        <v>46154.359189814815</v>
      </c>
      <c r="C2384" s="25" t="s">
        <v>356</v>
      </c>
      <c r="D2384" s="103" t="s">
        <v>353</v>
      </c>
      <c r="E2384" s="26">
        <v>36.6</v>
      </c>
      <c r="F2384" s="26" t="s">
        <v>293</v>
      </c>
      <c r="K2384" s="24">
        <v>77</v>
      </c>
      <c r="L2384" s="102">
        <v>46154.366979166669</v>
      </c>
      <c r="M2384" s="25" t="s">
        <v>357</v>
      </c>
      <c r="N2384" s="103" t="s">
        <v>353</v>
      </c>
      <c r="O2384" s="26">
        <v>20.9</v>
      </c>
      <c r="P2384" s="26" t="s">
        <v>293</v>
      </c>
    </row>
    <row r="2385" spans="1:16" x14ac:dyDescent="0.3">
      <c r="A2385" s="24">
        <v>77</v>
      </c>
      <c r="B2385" s="102">
        <v>46154.359189814815</v>
      </c>
      <c r="C2385" s="25" t="s">
        <v>356</v>
      </c>
      <c r="D2385" s="103" t="s">
        <v>133</v>
      </c>
      <c r="E2385" s="26">
        <v>147</v>
      </c>
      <c r="F2385" s="26" t="s">
        <v>293</v>
      </c>
      <c r="K2385" s="24">
        <v>77</v>
      </c>
      <c r="L2385" s="102">
        <v>46154.366979166669</v>
      </c>
      <c r="M2385" s="25" t="s">
        <v>357</v>
      </c>
      <c r="N2385" s="103" t="s">
        <v>133</v>
      </c>
      <c r="O2385" s="26">
        <v>127</v>
      </c>
      <c r="P2385" s="26" t="s">
        <v>293</v>
      </c>
    </row>
    <row r="2386" spans="1:16" x14ac:dyDescent="0.3">
      <c r="A2386" s="24">
        <v>77</v>
      </c>
      <c r="B2386" s="102">
        <v>46154.359189814815</v>
      </c>
      <c r="C2386" s="25" t="s">
        <v>356</v>
      </c>
      <c r="D2386" s="103" t="s">
        <v>135</v>
      </c>
      <c r="E2386" s="26">
        <v>3.8</v>
      </c>
      <c r="F2386" s="26" t="s">
        <v>293</v>
      </c>
      <c r="K2386" s="24">
        <v>77</v>
      </c>
      <c r="L2386" s="102">
        <v>46154.366979166669</v>
      </c>
      <c r="M2386" s="25" t="s">
        <v>357</v>
      </c>
      <c r="N2386" s="103" t="s">
        <v>135</v>
      </c>
      <c r="O2386" s="26">
        <v>6.4</v>
      </c>
      <c r="P2386" s="26" t="s">
        <v>293</v>
      </c>
    </row>
    <row r="2387" spans="1:16" x14ac:dyDescent="0.3">
      <c r="A2387" s="24">
        <v>77</v>
      </c>
      <c r="B2387" s="102">
        <v>46154.359189814815</v>
      </c>
      <c r="C2387" s="25" t="s">
        <v>356</v>
      </c>
      <c r="D2387" s="103" t="s">
        <v>136</v>
      </c>
      <c r="E2387" s="26">
        <v>121</v>
      </c>
      <c r="F2387" s="26" t="s">
        <v>293</v>
      </c>
      <c r="K2387" s="24">
        <v>77</v>
      </c>
      <c r="L2387" s="102">
        <v>46154.366979166669</v>
      </c>
      <c r="M2387" s="25" t="s">
        <v>357</v>
      </c>
      <c r="N2387" s="103" t="s">
        <v>136</v>
      </c>
      <c r="O2387" s="26">
        <v>96</v>
      </c>
      <c r="P2387" s="26" t="s">
        <v>293</v>
      </c>
    </row>
    <row r="2388" spans="1:16" x14ac:dyDescent="0.3">
      <c r="A2388" s="24">
        <v>78</v>
      </c>
      <c r="B2388" s="102">
        <v>46155.34747685185</v>
      </c>
      <c r="C2388" s="25" t="s">
        <v>356</v>
      </c>
      <c r="D2388" s="103" t="s">
        <v>339</v>
      </c>
      <c r="E2388" s="26">
        <v>4.51</v>
      </c>
      <c r="F2388" s="26" t="s">
        <v>293</v>
      </c>
      <c r="K2388" s="24">
        <v>78</v>
      </c>
      <c r="L2388" s="102">
        <v>46155.353078703702</v>
      </c>
      <c r="M2388" s="25" t="s">
        <v>357</v>
      </c>
      <c r="N2388" s="103" t="s">
        <v>339</v>
      </c>
      <c r="O2388" s="26">
        <v>1.32</v>
      </c>
      <c r="P2388" s="26" t="s">
        <v>293</v>
      </c>
    </row>
    <row r="2389" spans="1:16" x14ac:dyDescent="0.3">
      <c r="A2389" s="24">
        <v>78</v>
      </c>
      <c r="B2389" s="102">
        <v>46155.34747685185</v>
      </c>
      <c r="C2389" s="25" t="s">
        <v>356</v>
      </c>
      <c r="D2389" s="103" t="s">
        <v>118</v>
      </c>
      <c r="E2389" s="26">
        <v>4.4000000000000004</v>
      </c>
      <c r="F2389" s="26" t="s">
        <v>293</v>
      </c>
      <c r="K2389" s="24">
        <v>78</v>
      </c>
      <c r="L2389" s="102">
        <v>46155.353078703702</v>
      </c>
      <c r="M2389" s="25" t="s">
        <v>357</v>
      </c>
      <c r="N2389" s="103" t="s">
        <v>118</v>
      </c>
      <c r="O2389" s="26">
        <v>9.5</v>
      </c>
      <c r="P2389" s="26" t="s">
        <v>293</v>
      </c>
    </row>
    <row r="2390" spans="1:16" x14ac:dyDescent="0.3">
      <c r="A2390" s="24">
        <v>78</v>
      </c>
      <c r="B2390" s="102">
        <v>46155.34747685185</v>
      </c>
      <c r="C2390" s="25" t="s">
        <v>356</v>
      </c>
      <c r="D2390" s="103" t="s">
        <v>130</v>
      </c>
      <c r="E2390" s="26">
        <v>3.89</v>
      </c>
      <c r="F2390" s="26" t="s">
        <v>293</v>
      </c>
      <c r="K2390" s="24">
        <v>78</v>
      </c>
      <c r="L2390" s="102">
        <v>46155.353078703702</v>
      </c>
      <c r="M2390" s="25" t="s">
        <v>357</v>
      </c>
      <c r="N2390" s="103" t="s">
        <v>130</v>
      </c>
      <c r="O2390" s="26">
        <v>2.46</v>
      </c>
      <c r="P2390" s="26" t="s">
        <v>293</v>
      </c>
    </row>
    <row r="2391" spans="1:16" x14ac:dyDescent="0.3">
      <c r="A2391" s="24">
        <v>78</v>
      </c>
      <c r="B2391" s="102">
        <v>46155.34747685185</v>
      </c>
      <c r="C2391" s="25" t="s">
        <v>356</v>
      </c>
      <c r="D2391" s="103" t="s">
        <v>341</v>
      </c>
      <c r="E2391" s="26">
        <v>0.33500000000000002</v>
      </c>
      <c r="F2391" s="26" t="s">
        <v>293</v>
      </c>
      <c r="K2391" s="24">
        <v>78</v>
      </c>
      <c r="L2391" s="102">
        <v>46155.353078703702</v>
      </c>
      <c r="M2391" s="25" t="s">
        <v>357</v>
      </c>
      <c r="N2391" s="103" t="s">
        <v>341</v>
      </c>
      <c r="O2391" s="26">
        <v>1.252</v>
      </c>
      <c r="P2391" s="26" t="s">
        <v>293</v>
      </c>
    </row>
    <row r="2392" spans="1:16" x14ac:dyDescent="0.3">
      <c r="A2392" s="24">
        <v>78</v>
      </c>
      <c r="B2392" s="102">
        <v>46155.34747685185</v>
      </c>
      <c r="C2392" s="25" t="s">
        <v>356</v>
      </c>
      <c r="D2392" s="103" t="s">
        <v>127</v>
      </c>
      <c r="E2392" s="26">
        <v>1.179</v>
      </c>
      <c r="F2392" s="26" t="s">
        <v>293</v>
      </c>
      <c r="K2392" s="24">
        <v>78</v>
      </c>
      <c r="L2392" s="102">
        <v>46155.353078703702</v>
      </c>
      <c r="M2392" s="25" t="s">
        <v>357</v>
      </c>
      <c r="N2392" s="103" t="s">
        <v>127</v>
      </c>
      <c r="O2392" s="26">
        <v>4.5609999999999999</v>
      </c>
      <c r="P2392" s="26" t="s">
        <v>293</v>
      </c>
    </row>
    <row r="2393" spans="1:16" x14ac:dyDescent="0.3">
      <c r="A2393" s="24">
        <v>78</v>
      </c>
      <c r="B2393" s="102">
        <v>46155.34747685185</v>
      </c>
      <c r="C2393" s="25" t="s">
        <v>356</v>
      </c>
      <c r="D2393" s="103" t="s">
        <v>131</v>
      </c>
      <c r="E2393" s="26">
        <v>8.3000000000000007</v>
      </c>
      <c r="F2393" s="26" t="s">
        <v>293</v>
      </c>
      <c r="K2393" s="24">
        <v>78</v>
      </c>
      <c r="L2393" s="102">
        <v>46155.353078703702</v>
      </c>
      <c r="M2393" s="25" t="s">
        <v>357</v>
      </c>
      <c r="N2393" s="103" t="s">
        <v>131</v>
      </c>
      <c r="O2393" s="26">
        <v>11.8</v>
      </c>
      <c r="P2393" s="26" t="s">
        <v>293</v>
      </c>
    </row>
    <row r="2394" spans="1:16" x14ac:dyDescent="0.3">
      <c r="A2394" s="24">
        <v>78</v>
      </c>
      <c r="B2394" s="102">
        <v>46155.34747685185</v>
      </c>
      <c r="C2394" s="25" t="s">
        <v>356</v>
      </c>
      <c r="D2394" s="103" t="s">
        <v>342</v>
      </c>
      <c r="E2394" s="26">
        <v>308</v>
      </c>
      <c r="F2394" s="26" t="s">
        <v>293</v>
      </c>
      <c r="K2394" s="24">
        <v>78</v>
      </c>
      <c r="L2394" s="102">
        <v>46155.353078703702</v>
      </c>
      <c r="M2394" s="25" t="s">
        <v>357</v>
      </c>
      <c r="N2394" s="103" t="s">
        <v>342</v>
      </c>
      <c r="O2394" s="26">
        <v>183</v>
      </c>
      <c r="P2394" s="26" t="s">
        <v>293</v>
      </c>
    </row>
    <row r="2395" spans="1:16" x14ac:dyDescent="0.3">
      <c r="A2395" s="24">
        <v>78</v>
      </c>
      <c r="B2395" s="102">
        <v>46155.34747685185</v>
      </c>
      <c r="C2395" s="25" t="s">
        <v>356</v>
      </c>
      <c r="D2395" s="103" t="s">
        <v>119</v>
      </c>
      <c r="E2395" s="26">
        <v>246</v>
      </c>
      <c r="F2395" s="26" t="s">
        <v>293</v>
      </c>
      <c r="K2395" s="24">
        <v>78</v>
      </c>
      <c r="L2395" s="102">
        <v>46155.353078703702</v>
      </c>
      <c r="M2395" s="25" t="s">
        <v>357</v>
      </c>
      <c r="N2395" s="103" t="s">
        <v>119</v>
      </c>
      <c r="O2395" s="26">
        <v>92</v>
      </c>
      <c r="P2395" s="26" t="s">
        <v>293</v>
      </c>
    </row>
    <row r="2396" spans="1:16" x14ac:dyDescent="0.3">
      <c r="A2396" s="24">
        <v>78</v>
      </c>
      <c r="B2396" s="102">
        <v>46155.34747685185</v>
      </c>
      <c r="C2396" s="25" t="s">
        <v>356</v>
      </c>
      <c r="D2396" s="103" t="s">
        <v>120</v>
      </c>
      <c r="E2396" s="26">
        <v>80</v>
      </c>
      <c r="F2396" s="26" t="s">
        <v>293</v>
      </c>
      <c r="K2396" s="24">
        <v>78</v>
      </c>
      <c r="L2396" s="102">
        <v>46155.353078703702</v>
      </c>
      <c r="M2396" s="25" t="s">
        <v>357</v>
      </c>
      <c r="N2396" s="103" t="s">
        <v>120</v>
      </c>
      <c r="O2396" s="26">
        <v>26</v>
      </c>
      <c r="P2396" s="26" t="s">
        <v>293</v>
      </c>
    </row>
    <row r="2397" spans="1:16" x14ac:dyDescent="0.3">
      <c r="A2397" s="24">
        <v>78</v>
      </c>
      <c r="B2397" s="102">
        <v>46155.34747685185</v>
      </c>
      <c r="C2397" s="25" t="s">
        <v>356</v>
      </c>
      <c r="D2397" s="103" t="s">
        <v>117</v>
      </c>
      <c r="E2397" s="26">
        <v>2.71</v>
      </c>
      <c r="F2397" s="26" t="s">
        <v>293</v>
      </c>
      <c r="K2397" s="24">
        <v>78</v>
      </c>
      <c r="L2397" s="102">
        <v>46155.353078703702</v>
      </c>
      <c r="M2397" s="25" t="s">
        <v>357</v>
      </c>
      <c r="N2397" s="103" t="s">
        <v>117</v>
      </c>
      <c r="O2397" s="26">
        <v>6.25</v>
      </c>
      <c r="P2397" s="26" t="s">
        <v>293</v>
      </c>
    </row>
    <row r="2398" spans="1:16" x14ac:dyDescent="0.3">
      <c r="A2398" s="24">
        <v>78</v>
      </c>
      <c r="B2398" s="102">
        <v>46155.34747685185</v>
      </c>
      <c r="C2398" s="25" t="s">
        <v>356</v>
      </c>
      <c r="D2398" s="103" t="s">
        <v>344</v>
      </c>
      <c r="E2398" s="26">
        <v>230</v>
      </c>
      <c r="F2398" s="26" t="s">
        <v>293</v>
      </c>
      <c r="K2398" s="24">
        <v>78</v>
      </c>
      <c r="L2398" s="102">
        <v>46155.353078703702</v>
      </c>
      <c r="M2398" s="25" t="s">
        <v>357</v>
      </c>
      <c r="N2398" s="103" t="s">
        <v>344</v>
      </c>
      <c r="O2398" s="26">
        <v>68</v>
      </c>
      <c r="P2398" s="26" t="s">
        <v>293</v>
      </c>
    </row>
    <row r="2399" spans="1:16" x14ac:dyDescent="0.3">
      <c r="A2399" s="24">
        <v>78</v>
      </c>
      <c r="B2399" s="102">
        <v>46155.34747685185</v>
      </c>
      <c r="C2399" s="25" t="s">
        <v>356</v>
      </c>
      <c r="D2399" s="103" t="s">
        <v>132</v>
      </c>
      <c r="E2399" s="26">
        <v>3.48</v>
      </c>
      <c r="F2399" s="26" t="s">
        <v>293</v>
      </c>
      <c r="K2399" s="24">
        <v>78</v>
      </c>
      <c r="L2399" s="102">
        <v>46155.353078703702</v>
      </c>
      <c r="M2399" s="25" t="s">
        <v>357</v>
      </c>
      <c r="N2399" s="103" t="s">
        <v>132</v>
      </c>
      <c r="O2399" s="26">
        <v>7.04</v>
      </c>
      <c r="P2399" s="26" t="s">
        <v>293</v>
      </c>
    </row>
    <row r="2400" spans="1:16" x14ac:dyDescent="0.3">
      <c r="A2400" s="24">
        <v>78</v>
      </c>
      <c r="B2400" s="102">
        <v>46155.34747685185</v>
      </c>
      <c r="C2400" s="25" t="s">
        <v>356</v>
      </c>
      <c r="D2400" s="103" t="s">
        <v>111</v>
      </c>
      <c r="E2400" s="26">
        <v>88</v>
      </c>
      <c r="F2400" s="26" t="s">
        <v>293</v>
      </c>
      <c r="K2400" s="24">
        <v>78</v>
      </c>
      <c r="L2400" s="102">
        <v>46155.353078703702</v>
      </c>
      <c r="M2400" s="25" t="s">
        <v>357</v>
      </c>
      <c r="N2400" s="103" t="s">
        <v>111</v>
      </c>
      <c r="O2400" s="26">
        <v>283</v>
      </c>
      <c r="P2400" s="26" t="s">
        <v>293</v>
      </c>
    </row>
    <row r="2401" spans="1:16" x14ac:dyDescent="0.3">
      <c r="A2401" s="24">
        <v>78</v>
      </c>
      <c r="B2401" s="102">
        <v>46155.34747685185</v>
      </c>
      <c r="C2401" s="25" t="s">
        <v>356</v>
      </c>
      <c r="D2401" s="103" t="s">
        <v>345</v>
      </c>
      <c r="E2401" s="26">
        <v>5.07</v>
      </c>
      <c r="F2401" s="26" t="s">
        <v>293</v>
      </c>
      <c r="K2401" s="24">
        <v>78</v>
      </c>
      <c r="L2401" s="102">
        <v>46155.353078703702</v>
      </c>
      <c r="M2401" s="25" t="s">
        <v>357</v>
      </c>
      <c r="N2401" s="103" t="s">
        <v>345</v>
      </c>
      <c r="O2401" s="26">
        <v>9.68</v>
      </c>
      <c r="P2401" s="26" t="s">
        <v>293</v>
      </c>
    </row>
    <row r="2402" spans="1:16" x14ac:dyDescent="0.3">
      <c r="A2402" s="24">
        <v>78</v>
      </c>
      <c r="B2402" s="102">
        <v>46155.34747685185</v>
      </c>
      <c r="C2402" s="25" t="s">
        <v>356</v>
      </c>
      <c r="D2402" s="103" t="s">
        <v>347</v>
      </c>
      <c r="E2402" s="26">
        <v>2.2400000000000002</v>
      </c>
      <c r="F2402" s="26" t="s">
        <v>293</v>
      </c>
      <c r="K2402" s="24">
        <v>78</v>
      </c>
      <c r="L2402" s="102">
        <v>46155.353078703702</v>
      </c>
      <c r="M2402" s="25" t="s">
        <v>357</v>
      </c>
      <c r="N2402" s="103" t="s">
        <v>347</v>
      </c>
      <c r="O2402" s="26">
        <v>4.78</v>
      </c>
      <c r="P2402" s="26" t="s">
        <v>293</v>
      </c>
    </row>
    <row r="2403" spans="1:16" x14ac:dyDescent="0.3">
      <c r="A2403" s="24">
        <v>78</v>
      </c>
      <c r="B2403" s="102">
        <v>46155.34747685185</v>
      </c>
      <c r="C2403" s="25" t="s">
        <v>356</v>
      </c>
      <c r="D2403" s="103" t="s">
        <v>128</v>
      </c>
      <c r="E2403" s="26">
        <v>7.1</v>
      </c>
      <c r="F2403" s="26" t="s">
        <v>293</v>
      </c>
      <c r="K2403" s="24">
        <v>78</v>
      </c>
      <c r="L2403" s="102">
        <v>46155.353078703702</v>
      </c>
      <c r="M2403" s="25" t="s">
        <v>357</v>
      </c>
      <c r="N2403" s="103" t="s">
        <v>128</v>
      </c>
      <c r="O2403" s="26">
        <v>4.5</v>
      </c>
      <c r="P2403" s="26" t="s">
        <v>293</v>
      </c>
    </row>
    <row r="2404" spans="1:16" x14ac:dyDescent="0.3">
      <c r="A2404" s="24">
        <v>78</v>
      </c>
      <c r="B2404" s="102">
        <v>46155.34747685185</v>
      </c>
      <c r="C2404" s="25" t="s">
        <v>356</v>
      </c>
      <c r="D2404" s="103" t="s">
        <v>121</v>
      </c>
      <c r="E2404" s="26">
        <v>156</v>
      </c>
      <c r="F2404" s="26" t="s">
        <v>293</v>
      </c>
      <c r="K2404" s="24">
        <v>78</v>
      </c>
      <c r="L2404" s="102">
        <v>46155.353078703702</v>
      </c>
      <c r="M2404" s="25" t="s">
        <v>357</v>
      </c>
      <c r="N2404" s="103" t="s">
        <v>121</v>
      </c>
      <c r="O2404" s="26">
        <v>80</v>
      </c>
      <c r="P2404" s="26" t="s">
        <v>293</v>
      </c>
    </row>
    <row r="2405" spans="1:16" x14ac:dyDescent="0.3">
      <c r="A2405" s="24">
        <v>78</v>
      </c>
      <c r="B2405" s="102">
        <v>46155.34747685185</v>
      </c>
      <c r="C2405" s="25" t="s">
        <v>356</v>
      </c>
      <c r="D2405" s="103" t="s">
        <v>115</v>
      </c>
      <c r="E2405" s="26">
        <v>34</v>
      </c>
      <c r="F2405" s="26" t="s">
        <v>293</v>
      </c>
      <c r="K2405" s="24">
        <v>78</v>
      </c>
      <c r="L2405" s="102">
        <v>46155.353078703702</v>
      </c>
      <c r="M2405" s="25" t="s">
        <v>357</v>
      </c>
      <c r="N2405" s="103" t="s">
        <v>115</v>
      </c>
      <c r="O2405" s="26">
        <v>94</v>
      </c>
      <c r="P2405" s="26" t="s">
        <v>293</v>
      </c>
    </row>
    <row r="2406" spans="1:16" x14ac:dyDescent="0.3">
      <c r="A2406" s="24">
        <v>78</v>
      </c>
      <c r="B2406" s="102">
        <v>46155.34747685185</v>
      </c>
      <c r="C2406" s="25" t="s">
        <v>356</v>
      </c>
      <c r="D2406" s="103" t="s">
        <v>137</v>
      </c>
      <c r="E2406" s="26">
        <v>74</v>
      </c>
      <c r="F2406" s="26" t="s">
        <v>293</v>
      </c>
      <c r="K2406" s="24">
        <v>78</v>
      </c>
      <c r="L2406" s="102">
        <v>46155.353078703702</v>
      </c>
      <c r="M2406" s="25" t="s">
        <v>357</v>
      </c>
      <c r="N2406" s="103" t="s">
        <v>137</v>
      </c>
      <c r="O2406" s="26">
        <v>485</v>
      </c>
      <c r="P2406" s="26" t="s">
        <v>293</v>
      </c>
    </row>
    <row r="2407" spans="1:16" x14ac:dyDescent="0.3">
      <c r="A2407" s="24">
        <v>78</v>
      </c>
      <c r="B2407" s="102">
        <v>46155.34747685185</v>
      </c>
      <c r="C2407" s="25" t="s">
        <v>356</v>
      </c>
      <c r="D2407" s="103" t="s">
        <v>348</v>
      </c>
      <c r="E2407" s="26">
        <v>139</v>
      </c>
      <c r="F2407" s="26" t="s">
        <v>293</v>
      </c>
      <c r="K2407" s="24">
        <v>78</v>
      </c>
      <c r="L2407" s="102">
        <v>46155.353078703702</v>
      </c>
      <c r="M2407" s="25" t="s">
        <v>357</v>
      </c>
      <c r="N2407" s="103" t="s">
        <v>348</v>
      </c>
      <c r="O2407" s="26">
        <v>430</v>
      </c>
      <c r="P2407" s="26" t="s">
        <v>293</v>
      </c>
    </row>
    <row r="2408" spans="1:16" x14ac:dyDescent="0.3">
      <c r="A2408" s="24">
        <v>78</v>
      </c>
      <c r="B2408" s="102">
        <v>46155.34747685185</v>
      </c>
      <c r="C2408" s="25" t="s">
        <v>356</v>
      </c>
      <c r="D2408" s="103" t="s">
        <v>125</v>
      </c>
      <c r="E2408" s="26">
        <v>111</v>
      </c>
      <c r="F2408" s="26" t="s">
        <v>293</v>
      </c>
      <c r="K2408" s="24">
        <v>78</v>
      </c>
      <c r="L2408" s="102">
        <v>46155.353078703702</v>
      </c>
      <c r="M2408" s="25" t="s">
        <v>357</v>
      </c>
      <c r="N2408" s="103" t="s">
        <v>125</v>
      </c>
      <c r="O2408" s="26">
        <v>404</v>
      </c>
      <c r="P2408" s="26" t="s">
        <v>293</v>
      </c>
    </row>
    <row r="2409" spans="1:16" x14ac:dyDescent="0.3">
      <c r="A2409" s="24">
        <v>78</v>
      </c>
      <c r="B2409" s="102">
        <v>46155.34747685185</v>
      </c>
      <c r="C2409" s="25" t="s">
        <v>356</v>
      </c>
      <c r="D2409" s="103" t="s">
        <v>126</v>
      </c>
      <c r="E2409" s="26">
        <v>82</v>
      </c>
      <c r="F2409" s="26" t="s">
        <v>293</v>
      </c>
      <c r="K2409" s="24">
        <v>78</v>
      </c>
      <c r="L2409" s="102">
        <v>46155.353078703702</v>
      </c>
      <c r="M2409" s="25" t="s">
        <v>357</v>
      </c>
      <c r="N2409" s="103" t="s">
        <v>126</v>
      </c>
      <c r="O2409" s="26">
        <v>155</v>
      </c>
      <c r="P2409" s="26" t="s">
        <v>293</v>
      </c>
    </row>
    <row r="2410" spans="1:16" x14ac:dyDescent="0.3">
      <c r="A2410" s="24">
        <v>78</v>
      </c>
      <c r="B2410" s="102">
        <v>46155.34747685185</v>
      </c>
      <c r="C2410" s="25" t="s">
        <v>356</v>
      </c>
      <c r="D2410" s="103" t="s">
        <v>349</v>
      </c>
      <c r="E2410" s="26">
        <v>137</v>
      </c>
      <c r="F2410" s="26" t="s">
        <v>293</v>
      </c>
      <c r="K2410" s="24">
        <v>78</v>
      </c>
      <c r="L2410" s="102">
        <v>46155.353078703702</v>
      </c>
      <c r="M2410" s="25" t="s">
        <v>357</v>
      </c>
      <c r="N2410" s="103" t="s">
        <v>349</v>
      </c>
      <c r="O2410" s="26">
        <v>370</v>
      </c>
      <c r="P2410" s="26" t="s">
        <v>293</v>
      </c>
    </row>
    <row r="2411" spans="1:16" x14ac:dyDescent="0.3">
      <c r="A2411" s="24">
        <v>78</v>
      </c>
      <c r="B2411" s="102">
        <v>46155.34747685185</v>
      </c>
      <c r="C2411" s="25" t="s">
        <v>356</v>
      </c>
      <c r="D2411" s="103" t="s">
        <v>350</v>
      </c>
      <c r="E2411" s="26">
        <v>57</v>
      </c>
      <c r="F2411" s="26" t="s">
        <v>293</v>
      </c>
      <c r="K2411" s="24">
        <v>78</v>
      </c>
      <c r="L2411" s="102">
        <v>46155.353078703702</v>
      </c>
      <c r="M2411" s="25" t="s">
        <v>357</v>
      </c>
      <c r="N2411" s="103" t="s">
        <v>350</v>
      </c>
      <c r="O2411" s="26">
        <v>81</v>
      </c>
      <c r="P2411" s="26" t="s">
        <v>293</v>
      </c>
    </row>
    <row r="2412" spans="1:16" x14ac:dyDescent="0.3">
      <c r="A2412" s="24">
        <v>78</v>
      </c>
      <c r="B2412" s="102">
        <v>46155.34747685185</v>
      </c>
      <c r="C2412" s="25" t="s">
        <v>356</v>
      </c>
      <c r="D2412" s="103" t="s">
        <v>122</v>
      </c>
      <c r="E2412" s="26">
        <v>44</v>
      </c>
      <c r="F2412" s="26" t="s">
        <v>293</v>
      </c>
      <c r="K2412" s="24">
        <v>78</v>
      </c>
      <c r="L2412" s="102">
        <v>46155.353078703702</v>
      </c>
      <c r="M2412" s="25" t="s">
        <v>357</v>
      </c>
      <c r="N2412" s="103" t="s">
        <v>122</v>
      </c>
      <c r="O2412" s="26">
        <v>215</v>
      </c>
      <c r="P2412" s="26" t="s">
        <v>293</v>
      </c>
    </row>
    <row r="2413" spans="1:16" x14ac:dyDescent="0.3">
      <c r="A2413" s="24">
        <v>78</v>
      </c>
      <c r="B2413" s="102">
        <v>46155.34747685185</v>
      </c>
      <c r="C2413" s="25" t="s">
        <v>356</v>
      </c>
      <c r="D2413" s="103" t="s">
        <v>124</v>
      </c>
      <c r="E2413" s="26">
        <v>29</v>
      </c>
      <c r="F2413" s="26" t="s">
        <v>293</v>
      </c>
      <c r="K2413" s="24">
        <v>78</v>
      </c>
      <c r="L2413" s="102">
        <v>46155.353078703702</v>
      </c>
      <c r="M2413" s="25" t="s">
        <v>357</v>
      </c>
      <c r="N2413" s="103" t="s">
        <v>124</v>
      </c>
      <c r="O2413" s="26">
        <v>107</v>
      </c>
      <c r="P2413" s="26" t="s">
        <v>293</v>
      </c>
    </row>
    <row r="2414" spans="1:16" x14ac:dyDescent="0.3">
      <c r="A2414" s="24">
        <v>78</v>
      </c>
      <c r="B2414" s="102">
        <v>46155.34747685185</v>
      </c>
      <c r="C2414" s="25" t="s">
        <v>356</v>
      </c>
      <c r="D2414" s="103" t="s">
        <v>351</v>
      </c>
      <c r="E2414" s="26">
        <v>0.89</v>
      </c>
      <c r="F2414" s="26" t="s">
        <v>293</v>
      </c>
      <c r="K2414" s="24">
        <v>78</v>
      </c>
      <c r="L2414" s="102">
        <v>46155.353078703702</v>
      </c>
      <c r="M2414" s="25" t="s">
        <v>357</v>
      </c>
      <c r="N2414" s="103" t="s">
        <v>351</v>
      </c>
      <c r="O2414" s="26">
        <v>3.41</v>
      </c>
      <c r="P2414" s="26" t="s">
        <v>293</v>
      </c>
    </row>
    <row r="2415" spans="1:16" x14ac:dyDescent="0.3">
      <c r="A2415" s="24">
        <v>78</v>
      </c>
      <c r="B2415" s="102">
        <v>46155.34747685185</v>
      </c>
      <c r="C2415" s="25" t="s">
        <v>356</v>
      </c>
      <c r="D2415" s="103" t="s">
        <v>353</v>
      </c>
      <c r="E2415" s="26">
        <v>32.1</v>
      </c>
      <c r="F2415" s="26" t="s">
        <v>293</v>
      </c>
      <c r="K2415" s="24">
        <v>78</v>
      </c>
      <c r="L2415" s="102">
        <v>46155.353078703702</v>
      </c>
      <c r="M2415" s="25" t="s">
        <v>357</v>
      </c>
      <c r="N2415" s="103" t="s">
        <v>353</v>
      </c>
      <c r="O2415" s="26">
        <v>19.8</v>
      </c>
      <c r="P2415" s="26" t="s">
        <v>293</v>
      </c>
    </row>
    <row r="2416" spans="1:16" x14ac:dyDescent="0.3">
      <c r="A2416" s="24">
        <v>78</v>
      </c>
      <c r="B2416" s="102">
        <v>46155.34747685185</v>
      </c>
      <c r="C2416" s="25" t="s">
        <v>356</v>
      </c>
      <c r="D2416" s="103" t="s">
        <v>133</v>
      </c>
      <c r="E2416" s="26">
        <v>143</v>
      </c>
      <c r="F2416" s="26" t="s">
        <v>293</v>
      </c>
      <c r="K2416" s="24">
        <v>78</v>
      </c>
      <c r="L2416" s="102">
        <v>46155.353078703702</v>
      </c>
      <c r="M2416" s="25" t="s">
        <v>357</v>
      </c>
      <c r="N2416" s="103" t="s">
        <v>133</v>
      </c>
      <c r="O2416" s="26">
        <v>126</v>
      </c>
      <c r="P2416" s="26" t="s">
        <v>293</v>
      </c>
    </row>
    <row r="2417" spans="1:16" x14ac:dyDescent="0.3">
      <c r="A2417" s="24">
        <v>78</v>
      </c>
      <c r="B2417" s="102">
        <v>46155.34747685185</v>
      </c>
      <c r="C2417" s="25" t="s">
        <v>356</v>
      </c>
      <c r="D2417" s="103" t="s">
        <v>135</v>
      </c>
      <c r="E2417" s="26">
        <v>3.7</v>
      </c>
      <c r="F2417" s="26" t="s">
        <v>293</v>
      </c>
      <c r="K2417" s="24">
        <v>78</v>
      </c>
      <c r="L2417" s="102">
        <v>46155.353078703702</v>
      </c>
      <c r="M2417" s="25" t="s">
        <v>357</v>
      </c>
      <c r="N2417" s="103" t="s">
        <v>135</v>
      </c>
      <c r="O2417" s="26">
        <v>6.4</v>
      </c>
      <c r="P2417" s="26" t="s">
        <v>293</v>
      </c>
    </row>
    <row r="2418" spans="1:16" x14ac:dyDescent="0.3">
      <c r="A2418" s="24">
        <v>78</v>
      </c>
      <c r="B2418" s="102">
        <v>46155.34747685185</v>
      </c>
      <c r="C2418" s="25" t="s">
        <v>356</v>
      </c>
      <c r="D2418" s="103" t="s">
        <v>136</v>
      </c>
      <c r="E2418" s="26">
        <v>116</v>
      </c>
      <c r="F2418" s="26" t="s">
        <v>293</v>
      </c>
      <c r="K2418" s="24">
        <v>78</v>
      </c>
      <c r="L2418" s="102">
        <v>46155.353078703702</v>
      </c>
      <c r="M2418" s="25" t="s">
        <v>357</v>
      </c>
      <c r="N2418" s="103" t="s">
        <v>136</v>
      </c>
      <c r="O2418" s="26">
        <v>94</v>
      </c>
      <c r="P2418" s="26" t="s">
        <v>293</v>
      </c>
    </row>
    <row r="2419" spans="1:16" x14ac:dyDescent="0.3">
      <c r="A2419" s="24">
        <v>79</v>
      </c>
      <c r="B2419" s="102">
        <v>46156.333090277774</v>
      </c>
      <c r="C2419" s="25" t="s">
        <v>356</v>
      </c>
      <c r="D2419" s="103" t="s">
        <v>339</v>
      </c>
      <c r="E2419" s="26">
        <v>4.67</v>
      </c>
      <c r="F2419" s="26" t="s">
        <v>293</v>
      </c>
      <c r="K2419" s="24">
        <v>79</v>
      </c>
      <c r="L2419" s="102">
        <v>46156.340868055559</v>
      </c>
      <c r="M2419" s="25" t="s">
        <v>357</v>
      </c>
      <c r="N2419" s="103" t="s">
        <v>339</v>
      </c>
      <c r="O2419" s="26">
        <v>1.22</v>
      </c>
      <c r="P2419" s="26" t="s">
        <v>293</v>
      </c>
    </row>
    <row r="2420" spans="1:16" x14ac:dyDescent="0.3">
      <c r="A2420" s="24">
        <v>79</v>
      </c>
      <c r="B2420" s="102">
        <v>46156.333090277774</v>
      </c>
      <c r="C2420" s="25" t="s">
        <v>356</v>
      </c>
      <c r="D2420" s="103" t="s">
        <v>118</v>
      </c>
      <c r="E2420" s="26">
        <v>4.5</v>
      </c>
      <c r="F2420" s="26" t="s">
        <v>293</v>
      </c>
      <c r="K2420" s="24">
        <v>79</v>
      </c>
      <c r="L2420" s="102">
        <v>46156.340868055559</v>
      </c>
      <c r="M2420" s="25" t="s">
        <v>357</v>
      </c>
      <c r="N2420" s="103" t="s">
        <v>118</v>
      </c>
      <c r="O2420" s="26">
        <v>9.4</v>
      </c>
      <c r="P2420" s="26" t="s">
        <v>293</v>
      </c>
    </row>
    <row r="2421" spans="1:16" x14ac:dyDescent="0.3">
      <c r="A2421" s="24">
        <v>79</v>
      </c>
      <c r="B2421" s="102">
        <v>46156.333090277774</v>
      </c>
      <c r="C2421" s="25" t="s">
        <v>356</v>
      </c>
      <c r="D2421" s="103" t="s">
        <v>130</v>
      </c>
      <c r="E2421" s="26">
        <v>3.88</v>
      </c>
      <c r="F2421" s="26" t="s">
        <v>293</v>
      </c>
      <c r="K2421" s="24">
        <v>79</v>
      </c>
      <c r="L2421" s="102">
        <v>46156.340868055559</v>
      </c>
      <c r="M2421" s="25" t="s">
        <v>357</v>
      </c>
      <c r="N2421" s="103" t="s">
        <v>130</v>
      </c>
      <c r="O2421" s="26">
        <v>2.4500000000000002</v>
      </c>
      <c r="P2421" s="26" t="s">
        <v>293</v>
      </c>
    </row>
    <row r="2422" spans="1:16" x14ac:dyDescent="0.3">
      <c r="A2422" s="24">
        <v>79</v>
      </c>
      <c r="B2422" s="102">
        <v>46156.333090277774</v>
      </c>
      <c r="C2422" s="25" t="s">
        <v>356</v>
      </c>
      <c r="D2422" s="103" t="s">
        <v>341</v>
      </c>
      <c r="E2422" s="26">
        <v>0.314</v>
      </c>
      <c r="F2422" s="26" t="s">
        <v>293</v>
      </c>
      <c r="K2422" s="24">
        <v>79</v>
      </c>
      <c r="L2422" s="102">
        <v>46156.340868055559</v>
      </c>
      <c r="M2422" s="25" t="s">
        <v>357</v>
      </c>
      <c r="N2422" s="103" t="s">
        <v>341</v>
      </c>
      <c r="O2422" s="26">
        <v>1.2190000000000001</v>
      </c>
      <c r="P2422" s="26" t="s">
        <v>293</v>
      </c>
    </row>
    <row r="2423" spans="1:16" x14ac:dyDescent="0.3">
      <c r="A2423" s="24">
        <v>79</v>
      </c>
      <c r="B2423" s="102">
        <v>46156.333090277774</v>
      </c>
      <c r="C2423" s="25" t="s">
        <v>356</v>
      </c>
      <c r="D2423" s="103" t="s">
        <v>127</v>
      </c>
      <c r="E2423" s="26">
        <v>1.1619999999999999</v>
      </c>
      <c r="F2423" s="26" t="s">
        <v>293</v>
      </c>
      <c r="K2423" s="24">
        <v>79</v>
      </c>
      <c r="L2423" s="102">
        <v>46156.340868055559</v>
      </c>
      <c r="M2423" s="25" t="s">
        <v>357</v>
      </c>
      <c r="N2423" s="103" t="s">
        <v>127</v>
      </c>
      <c r="O2423" s="26">
        <v>4.5599999999999996</v>
      </c>
      <c r="P2423" s="26" t="s">
        <v>293</v>
      </c>
    </row>
    <row r="2424" spans="1:16" x14ac:dyDescent="0.3">
      <c r="A2424" s="24">
        <v>79</v>
      </c>
      <c r="B2424" s="102">
        <v>46156.333090277774</v>
      </c>
      <c r="C2424" s="25" t="s">
        <v>356</v>
      </c>
      <c r="D2424" s="103" t="s">
        <v>131</v>
      </c>
      <c r="E2424" s="26">
        <v>8.6999999999999993</v>
      </c>
      <c r="F2424" s="26" t="s">
        <v>293</v>
      </c>
      <c r="K2424" s="24">
        <v>79</v>
      </c>
      <c r="L2424" s="102">
        <v>46156.340868055559</v>
      </c>
      <c r="M2424" s="25" t="s">
        <v>357</v>
      </c>
      <c r="N2424" s="103" t="s">
        <v>131</v>
      </c>
      <c r="O2424" s="26">
        <v>11.8</v>
      </c>
      <c r="P2424" s="26" t="s">
        <v>293</v>
      </c>
    </row>
    <row r="2425" spans="1:16" x14ac:dyDescent="0.3">
      <c r="A2425" s="24">
        <v>79</v>
      </c>
      <c r="B2425" s="102">
        <v>46156.333090277774</v>
      </c>
      <c r="C2425" s="25" t="s">
        <v>356</v>
      </c>
      <c r="D2425" s="103" t="s">
        <v>342</v>
      </c>
      <c r="E2425" s="26">
        <v>323</v>
      </c>
      <c r="F2425" s="26" t="s">
        <v>293</v>
      </c>
      <c r="K2425" s="24">
        <v>79</v>
      </c>
      <c r="L2425" s="102">
        <v>46156.340868055559</v>
      </c>
      <c r="M2425" s="25" t="s">
        <v>357</v>
      </c>
      <c r="N2425" s="103" t="s">
        <v>342</v>
      </c>
      <c r="O2425" s="26">
        <v>181</v>
      </c>
      <c r="P2425" s="26" t="s">
        <v>293</v>
      </c>
    </row>
    <row r="2426" spans="1:16" x14ac:dyDescent="0.3">
      <c r="A2426" s="24">
        <v>79</v>
      </c>
      <c r="B2426" s="102">
        <v>46156.333090277774</v>
      </c>
      <c r="C2426" s="25" t="s">
        <v>356</v>
      </c>
      <c r="D2426" s="103" t="s">
        <v>119</v>
      </c>
      <c r="E2426" s="26">
        <v>250</v>
      </c>
      <c r="F2426" s="26" t="s">
        <v>293</v>
      </c>
      <c r="K2426" s="24">
        <v>79</v>
      </c>
      <c r="L2426" s="102">
        <v>46156.340868055559</v>
      </c>
      <c r="M2426" s="25" t="s">
        <v>357</v>
      </c>
      <c r="N2426" s="103" t="s">
        <v>119</v>
      </c>
      <c r="O2426" s="26">
        <v>90</v>
      </c>
      <c r="P2426" s="26" t="s">
        <v>293</v>
      </c>
    </row>
    <row r="2427" spans="1:16" x14ac:dyDescent="0.3">
      <c r="A2427" s="24">
        <v>79</v>
      </c>
      <c r="B2427" s="102">
        <v>46156.333090277774</v>
      </c>
      <c r="C2427" s="25" t="s">
        <v>356</v>
      </c>
      <c r="D2427" s="103" t="s">
        <v>120</v>
      </c>
      <c r="E2427" s="26">
        <v>78</v>
      </c>
      <c r="F2427" s="26" t="s">
        <v>293</v>
      </c>
      <c r="K2427" s="24">
        <v>79</v>
      </c>
      <c r="L2427" s="102">
        <v>46156.340868055559</v>
      </c>
      <c r="M2427" s="25" t="s">
        <v>357</v>
      </c>
      <c r="N2427" s="103" t="s">
        <v>120</v>
      </c>
      <c r="O2427" s="26">
        <v>26</v>
      </c>
      <c r="P2427" s="26" t="s">
        <v>293</v>
      </c>
    </row>
    <row r="2428" spans="1:16" x14ac:dyDescent="0.3">
      <c r="A2428" s="24">
        <v>79</v>
      </c>
      <c r="B2428" s="102">
        <v>46156.333090277774</v>
      </c>
      <c r="C2428" s="25" t="s">
        <v>356</v>
      </c>
      <c r="D2428" s="103" t="s">
        <v>117</v>
      </c>
      <c r="E2428" s="26">
        <v>2.7</v>
      </c>
      <c r="F2428" s="26" t="s">
        <v>293</v>
      </c>
      <c r="K2428" s="24">
        <v>79</v>
      </c>
      <c r="L2428" s="102">
        <v>46156.340868055559</v>
      </c>
      <c r="M2428" s="25" t="s">
        <v>357</v>
      </c>
      <c r="N2428" s="103" t="s">
        <v>117</v>
      </c>
      <c r="O2428" s="26">
        <v>6.23</v>
      </c>
      <c r="P2428" s="26" t="s">
        <v>293</v>
      </c>
    </row>
    <row r="2429" spans="1:16" x14ac:dyDescent="0.3">
      <c r="A2429" s="24">
        <v>79</v>
      </c>
      <c r="B2429" s="102">
        <v>46156.333090277774</v>
      </c>
      <c r="C2429" s="25" t="s">
        <v>356</v>
      </c>
      <c r="D2429" s="103" t="s">
        <v>344</v>
      </c>
      <c r="E2429" s="26">
        <v>230</v>
      </c>
      <c r="F2429" s="26" t="s">
        <v>293</v>
      </c>
      <c r="K2429" s="24">
        <v>79</v>
      </c>
      <c r="L2429" s="102">
        <v>46156.340868055559</v>
      </c>
      <c r="M2429" s="25" t="s">
        <v>357</v>
      </c>
      <c r="N2429" s="103" t="s">
        <v>344</v>
      </c>
      <c r="O2429" s="26">
        <v>68</v>
      </c>
      <c r="P2429" s="26" t="s">
        <v>293</v>
      </c>
    </row>
    <row r="2430" spans="1:16" x14ac:dyDescent="0.3">
      <c r="A2430" s="24">
        <v>79</v>
      </c>
      <c r="B2430" s="102">
        <v>46156.333090277774</v>
      </c>
      <c r="C2430" s="25" t="s">
        <v>356</v>
      </c>
      <c r="D2430" s="103" t="s">
        <v>132</v>
      </c>
      <c r="E2430" s="26">
        <v>3.48</v>
      </c>
      <c r="F2430" s="26" t="s">
        <v>293</v>
      </c>
      <c r="K2430" s="24">
        <v>79</v>
      </c>
      <c r="L2430" s="102">
        <v>46156.340868055559</v>
      </c>
      <c r="M2430" s="25" t="s">
        <v>357</v>
      </c>
      <c r="N2430" s="103" t="s">
        <v>132</v>
      </c>
      <c r="O2430" s="26">
        <v>7.12</v>
      </c>
      <c r="P2430" s="26" t="s">
        <v>293</v>
      </c>
    </row>
    <row r="2431" spans="1:16" x14ac:dyDescent="0.3">
      <c r="A2431" s="24">
        <v>79</v>
      </c>
      <c r="B2431" s="102">
        <v>46156.333090277774</v>
      </c>
      <c r="C2431" s="25" t="s">
        <v>356</v>
      </c>
      <c r="D2431" s="103" t="s">
        <v>111</v>
      </c>
      <c r="E2431" s="26">
        <v>86</v>
      </c>
      <c r="F2431" s="26" t="s">
        <v>293</v>
      </c>
      <c r="K2431" s="24">
        <v>79</v>
      </c>
      <c r="L2431" s="102">
        <v>46156.340868055559</v>
      </c>
      <c r="M2431" s="25" t="s">
        <v>357</v>
      </c>
      <c r="N2431" s="103" t="s">
        <v>111</v>
      </c>
      <c r="O2431" s="26">
        <v>273</v>
      </c>
      <c r="P2431" s="26" t="s">
        <v>293</v>
      </c>
    </row>
    <row r="2432" spans="1:16" x14ac:dyDescent="0.3">
      <c r="A2432" s="24">
        <v>79</v>
      </c>
      <c r="B2432" s="102">
        <v>46156.333090277774</v>
      </c>
      <c r="C2432" s="25" t="s">
        <v>356</v>
      </c>
      <c r="D2432" s="103" t="s">
        <v>345</v>
      </c>
      <c r="E2432" s="26">
        <v>5.09</v>
      </c>
      <c r="F2432" s="26" t="s">
        <v>293</v>
      </c>
      <c r="K2432" s="24">
        <v>79</v>
      </c>
      <c r="L2432" s="102">
        <v>46156.340868055559</v>
      </c>
      <c r="M2432" s="25" t="s">
        <v>357</v>
      </c>
      <c r="N2432" s="103" t="s">
        <v>345</v>
      </c>
      <c r="O2432" s="26">
        <v>9.52</v>
      </c>
      <c r="P2432" s="26" t="s">
        <v>293</v>
      </c>
    </row>
    <row r="2433" spans="1:16" x14ac:dyDescent="0.3">
      <c r="A2433" s="24">
        <v>79</v>
      </c>
      <c r="B2433" s="102">
        <v>46156.333090277774</v>
      </c>
      <c r="C2433" s="25" t="s">
        <v>356</v>
      </c>
      <c r="D2433" s="103" t="s">
        <v>347</v>
      </c>
      <c r="E2433" s="26">
        <v>2.2400000000000002</v>
      </c>
      <c r="F2433" s="26" t="s">
        <v>293</v>
      </c>
      <c r="K2433" s="24">
        <v>79</v>
      </c>
      <c r="L2433" s="102">
        <v>46156.340868055559</v>
      </c>
      <c r="M2433" s="25" t="s">
        <v>357</v>
      </c>
      <c r="N2433" s="103" t="s">
        <v>347</v>
      </c>
      <c r="O2433" s="26">
        <v>4.71</v>
      </c>
      <c r="P2433" s="26" t="s">
        <v>293</v>
      </c>
    </row>
    <row r="2434" spans="1:16" x14ac:dyDescent="0.3">
      <c r="A2434" s="24">
        <v>79</v>
      </c>
      <c r="B2434" s="102">
        <v>46156.333090277774</v>
      </c>
      <c r="C2434" s="25" t="s">
        <v>356</v>
      </c>
      <c r="D2434" s="103" t="s">
        <v>128</v>
      </c>
      <c r="E2434" s="26">
        <v>7.1</v>
      </c>
      <c r="F2434" s="26" t="s">
        <v>293</v>
      </c>
      <c r="K2434" s="24">
        <v>79</v>
      </c>
      <c r="L2434" s="102">
        <v>46156.340868055559</v>
      </c>
      <c r="M2434" s="25" t="s">
        <v>357</v>
      </c>
      <c r="N2434" s="103" t="s">
        <v>128</v>
      </c>
      <c r="O2434" s="26">
        <v>4.5</v>
      </c>
      <c r="P2434" s="26" t="s">
        <v>293</v>
      </c>
    </row>
    <row r="2435" spans="1:16" x14ac:dyDescent="0.3">
      <c r="A2435" s="24">
        <v>79</v>
      </c>
      <c r="B2435" s="102">
        <v>46156.333090277774</v>
      </c>
      <c r="C2435" s="25" t="s">
        <v>356</v>
      </c>
      <c r="D2435" s="103" t="s">
        <v>121</v>
      </c>
      <c r="E2435" s="26">
        <v>157</v>
      </c>
      <c r="F2435" s="26" t="s">
        <v>293</v>
      </c>
      <c r="K2435" s="24">
        <v>79</v>
      </c>
      <c r="L2435" s="102">
        <v>46156.340868055559</v>
      </c>
      <c r="M2435" s="25" t="s">
        <v>357</v>
      </c>
      <c r="N2435" s="103" t="s">
        <v>121</v>
      </c>
      <c r="O2435" s="26">
        <v>80</v>
      </c>
      <c r="P2435" s="26" t="s">
        <v>293</v>
      </c>
    </row>
    <row r="2436" spans="1:16" x14ac:dyDescent="0.3">
      <c r="A2436" s="24">
        <v>79</v>
      </c>
      <c r="B2436" s="102">
        <v>46156.333090277774</v>
      </c>
      <c r="C2436" s="25" t="s">
        <v>356</v>
      </c>
      <c r="D2436" s="103" t="s">
        <v>115</v>
      </c>
      <c r="E2436" s="26">
        <v>33</v>
      </c>
      <c r="F2436" s="26" t="s">
        <v>293</v>
      </c>
      <c r="K2436" s="24">
        <v>79</v>
      </c>
      <c r="L2436" s="102">
        <v>46156.340868055559</v>
      </c>
      <c r="M2436" s="25" t="s">
        <v>357</v>
      </c>
      <c r="N2436" s="103" t="s">
        <v>115</v>
      </c>
      <c r="O2436" s="26">
        <v>90</v>
      </c>
      <c r="P2436" s="26" t="s">
        <v>293</v>
      </c>
    </row>
    <row r="2437" spans="1:16" x14ac:dyDescent="0.3">
      <c r="A2437" s="24">
        <v>79</v>
      </c>
      <c r="B2437" s="102">
        <v>46156.333090277774</v>
      </c>
      <c r="C2437" s="25" t="s">
        <v>356</v>
      </c>
      <c r="D2437" s="103" t="s">
        <v>137</v>
      </c>
      <c r="E2437" s="26">
        <v>75</v>
      </c>
      <c r="F2437" s="26" t="s">
        <v>293</v>
      </c>
      <c r="K2437" s="24">
        <v>79</v>
      </c>
      <c r="L2437" s="102">
        <v>46156.340868055559</v>
      </c>
      <c r="M2437" s="25" t="s">
        <v>357</v>
      </c>
      <c r="N2437" s="103" t="s">
        <v>137</v>
      </c>
      <c r="O2437" s="26">
        <v>486</v>
      </c>
      <c r="P2437" s="26" t="s">
        <v>293</v>
      </c>
    </row>
    <row r="2438" spans="1:16" x14ac:dyDescent="0.3">
      <c r="A2438" s="24">
        <v>79</v>
      </c>
      <c r="B2438" s="102">
        <v>46156.333090277774</v>
      </c>
      <c r="C2438" s="25" t="s">
        <v>356</v>
      </c>
      <c r="D2438" s="103" t="s">
        <v>348</v>
      </c>
      <c r="E2438" s="26">
        <v>141</v>
      </c>
      <c r="F2438" s="26" t="s">
        <v>293</v>
      </c>
      <c r="K2438" s="24">
        <v>79</v>
      </c>
      <c r="L2438" s="102">
        <v>46156.340868055559</v>
      </c>
      <c r="M2438" s="25" t="s">
        <v>357</v>
      </c>
      <c r="N2438" s="103" t="s">
        <v>348</v>
      </c>
      <c r="O2438" s="26">
        <v>429</v>
      </c>
      <c r="P2438" s="26" t="s">
        <v>293</v>
      </c>
    </row>
    <row r="2439" spans="1:16" x14ac:dyDescent="0.3">
      <c r="A2439" s="24">
        <v>79</v>
      </c>
      <c r="B2439" s="102">
        <v>46156.333090277774</v>
      </c>
      <c r="C2439" s="25" t="s">
        <v>356</v>
      </c>
      <c r="D2439" s="103" t="s">
        <v>125</v>
      </c>
      <c r="E2439" s="26">
        <v>114</v>
      </c>
      <c r="F2439" s="26" t="s">
        <v>293</v>
      </c>
      <c r="K2439" s="24">
        <v>79</v>
      </c>
      <c r="L2439" s="102">
        <v>46156.340868055559</v>
      </c>
      <c r="M2439" s="25" t="s">
        <v>357</v>
      </c>
      <c r="N2439" s="103" t="s">
        <v>125</v>
      </c>
      <c r="O2439" s="26">
        <v>411</v>
      </c>
      <c r="P2439" s="26" t="s">
        <v>293</v>
      </c>
    </row>
    <row r="2440" spans="1:16" x14ac:dyDescent="0.3">
      <c r="A2440" s="24">
        <v>79</v>
      </c>
      <c r="B2440" s="102">
        <v>46156.333090277774</v>
      </c>
      <c r="C2440" s="25" t="s">
        <v>356</v>
      </c>
      <c r="D2440" s="103" t="s">
        <v>126</v>
      </c>
      <c r="E2440" s="26">
        <v>79</v>
      </c>
      <c r="F2440" s="26" t="s">
        <v>293</v>
      </c>
      <c r="K2440" s="24">
        <v>79</v>
      </c>
      <c r="L2440" s="102">
        <v>46156.340868055559</v>
      </c>
      <c r="M2440" s="25" t="s">
        <v>357</v>
      </c>
      <c r="N2440" s="103" t="s">
        <v>126</v>
      </c>
      <c r="O2440" s="26">
        <v>150</v>
      </c>
      <c r="P2440" s="26" t="s">
        <v>293</v>
      </c>
    </row>
    <row r="2441" spans="1:16" x14ac:dyDescent="0.3">
      <c r="A2441" s="24">
        <v>79</v>
      </c>
      <c r="B2441" s="102">
        <v>46156.333090277774</v>
      </c>
      <c r="C2441" s="25" t="s">
        <v>356</v>
      </c>
      <c r="D2441" s="103" t="s">
        <v>349</v>
      </c>
      <c r="E2441" s="26">
        <v>138</v>
      </c>
      <c r="F2441" s="26" t="s">
        <v>293</v>
      </c>
      <c r="K2441" s="24">
        <v>79</v>
      </c>
      <c r="L2441" s="102">
        <v>46156.340868055559</v>
      </c>
      <c r="M2441" s="25" t="s">
        <v>357</v>
      </c>
      <c r="N2441" s="103" t="s">
        <v>349</v>
      </c>
      <c r="O2441" s="26">
        <v>343</v>
      </c>
      <c r="P2441" s="26" t="s">
        <v>293</v>
      </c>
    </row>
    <row r="2442" spans="1:16" x14ac:dyDescent="0.3">
      <c r="A2442" s="24">
        <v>79</v>
      </c>
      <c r="B2442" s="102">
        <v>46156.333090277774</v>
      </c>
      <c r="C2442" s="25" t="s">
        <v>356</v>
      </c>
      <c r="D2442" s="103" t="s">
        <v>350</v>
      </c>
      <c r="E2442" s="26">
        <v>57</v>
      </c>
      <c r="F2442" s="26" t="s">
        <v>293</v>
      </c>
      <c r="K2442" s="24">
        <v>79</v>
      </c>
      <c r="L2442" s="102">
        <v>46156.340868055559</v>
      </c>
      <c r="M2442" s="25" t="s">
        <v>357</v>
      </c>
      <c r="N2442" s="103" t="s">
        <v>350</v>
      </c>
      <c r="O2442" s="26">
        <v>83</v>
      </c>
      <c r="P2442" s="26" t="s">
        <v>293</v>
      </c>
    </row>
    <row r="2443" spans="1:16" x14ac:dyDescent="0.3">
      <c r="A2443" s="24">
        <v>79</v>
      </c>
      <c r="B2443" s="102">
        <v>46156.333090277774</v>
      </c>
      <c r="C2443" s="25" t="s">
        <v>356</v>
      </c>
      <c r="D2443" s="103" t="s">
        <v>122</v>
      </c>
      <c r="E2443" s="26">
        <v>44</v>
      </c>
      <c r="F2443" s="26" t="s">
        <v>293</v>
      </c>
      <c r="K2443" s="24">
        <v>79</v>
      </c>
      <c r="L2443" s="102">
        <v>46156.340868055559</v>
      </c>
      <c r="M2443" s="25" t="s">
        <v>357</v>
      </c>
      <c r="N2443" s="103" t="s">
        <v>122</v>
      </c>
      <c r="O2443" s="26">
        <v>220</v>
      </c>
      <c r="P2443" s="26" t="s">
        <v>293</v>
      </c>
    </row>
    <row r="2444" spans="1:16" x14ac:dyDescent="0.3">
      <c r="A2444" s="24">
        <v>79</v>
      </c>
      <c r="B2444" s="102">
        <v>46156.333090277774</v>
      </c>
      <c r="C2444" s="25" t="s">
        <v>356</v>
      </c>
      <c r="D2444" s="103" t="s">
        <v>124</v>
      </c>
      <c r="E2444" s="26">
        <v>28</v>
      </c>
      <c r="F2444" s="26" t="s">
        <v>293</v>
      </c>
      <c r="K2444" s="24">
        <v>79</v>
      </c>
      <c r="L2444" s="102">
        <v>46156.340868055559</v>
      </c>
      <c r="M2444" s="25" t="s">
        <v>357</v>
      </c>
      <c r="N2444" s="103" t="s">
        <v>124</v>
      </c>
      <c r="O2444" s="26">
        <v>106</v>
      </c>
      <c r="P2444" s="26" t="s">
        <v>293</v>
      </c>
    </row>
    <row r="2445" spans="1:16" x14ac:dyDescent="0.3">
      <c r="A2445" s="24">
        <v>79</v>
      </c>
      <c r="B2445" s="102">
        <v>46156.333090277774</v>
      </c>
      <c r="C2445" s="25" t="s">
        <v>356</v>
      </c>
      <c r="D2445" s="103" t="s">
        <v>351</v>
      </c>
      <c r="E2445" s="26">
        <v>0.91</v>
      </c>
      <c r="F2445" s="26" t="s">
        <v>293</v>
      </c>
      <c r="K2445" s="24">
        <v>79</v>
      </c>
      <c r="L2445" s="102">
        <v>46156.340868055559</v>
      </c>
      <c r="M2445" s="25" t="s">
        <v>357</v>
      </c>
      <c r="N2445" s="103" t="s">
        <v>351</v>
      </c>
      <c r="O2445" s="26">
        <v>3.44</v>
      </c>
      <c r="P2445" s="26" t="s">
        <v>293</v>
      </c>
    </row>
    <row r="2446" spans="1:16" x14ac:dyDescent="0.3">
      <c r="A2446" s="24">
        <v>79</v>
      </c>
      <c r="B2446" s="102">
        <v>46156.333090277774</v>
      </c>
      <c r="C2446" s="25" t="s">
        <v>356</v>
      </c>
      <c r="D2446" s="103" t="s">
        <v>353</v>
      </c>
      <c r="E2446" s="26">
        <v>34.9</v>
      </c>
      <c r="F2446" s="26" t="s">
        <v>293</v>
      </c>
      <c r="K2446" s="24">
        <v>79</v>
      </c>
      <c r="L2446" s="102">
        <v>46156.340868055559</v>
      </c>
      <c r="M2446" s="25" t="s">
        <v>357</v>
      </c>
      <c r="N2446" s="103" t="s">
        <v>353</v>
      </c>
      <c r="O2446" s="26">
        <v>21.4</v>
      </c>
      <c r="P2446" s="26" t="s">
        <v>293</v>
      </c>
    </row>
    <row r="2447" spans="1:16" x14ac:dyDescent="0.3">
      <c r="A2447" s="24">
        <v>79</v>
      </c>
      <c r="B2447" s="102">
        <v>46156.333090277774</v>
      </c>
      <c r="C2447" s="25" t="s">
        <v>356</v>
      </c>
      <c r="D2447" s="103" t="s">
        <v>133</v>
      </c>
      <c r="E2447" s="26">
        <v>145</v>
      </c>
      <c r="F2447" s="26" t="s">
        <v>293</v>
      </c>
      <c r="K2447" s="24">
        <v>79</v>
      </c>
      <c r="L2447" s="102">
        <v>46156.340868055559</v>
      </c>
      <c r="M2447" s="25" t="s">
        <v>357</v>
      </c>
      <c r="N2447" s="103" t="s">
        <v>133</v>
      </c>
      <c r="O2447" s="26">
        <v>125</v>
      </c>
      <c r="P2447" s="26" t="s">
        <v>293</v>
      </c>
    </row>
    <row r="2448" spans="1:16" x14ac:dyDescent="0.3">
      <c r="A2448" s="24">
        <v>79</v>
      </c>
      <c r="B2448" s="102">
        <v>46156.333090277774</v>
      </c>
      <c r="C2448" s="25" t="s">
        <v>356</v>
      </c>
      <c r="D2448" s="103" t="s">
        <v>135</v>
      </c>
      <c r="E2448" s="26">
        <v>3.7</v>
      </c>
      <c r="F2448" s="26" t="s">
        <v>293</v>
      </c>
      <c r="K2448" s="24">
        <v>79</v>
      </c>
      <c r="L2448" s="102">
        <v>46156.340868055559</v>
      </c>
      <c r="M2448" s="25" t="s">
        <v>357</v>
      </c>
      <c r="N2448" s="103" t="s">
        <v>135</v>
      </c>
      <c r="O2448" s="26">
        <v>6.4</v>
      </c>
      <c r="P2448" s="26" t="s">
        <v>293</v>
      </c>
    </row>
    <row r="2449" spans="1:16" x14ac:dyDescent="0.3">
      <c r="A2449" s="24">
        <v>79</v>
      </c>
      <c r="B2449" s="102">
        <v>46156.333090277774</v>
      </c>
      <c r="C2449" s="25" t="s">
        <v>356</v>
      </c>
      <c r="D2449" s="103" t="s">
        <v>136</v>
      </c>
      <c r="E2449" s="26">
        <v>117</v>
      </c>
      <c r="F2449" s="26" t="s">
        <v>293</v>
      </c>
      <c r="K2449" s="24">
        <v>79</v>
      </c>
      <c r="L2449" s="102">
        <v>46156.340868055559</v>
      </c>
      <c r="M2449" s="25" t="s">
        <v>357</v>
      </c>
      <c r="N2449" s="103" t="s">
        <v>136</v>
      </c>
      <c r="O2449" s="26">
        <v>92</v>
      </c>
      <c r="P2449" s="26" t="s">
        <v>293</v>
      </c>
    </row>
    <row r="2450" spans="1:16" x14ac:dyDescent="0.3">
      <c r="A2450" s="24">
        <v>80</v>
      </c>
      <c r="B2450" s="102">
        <v>46157.364872685182</v>
      </c>
      <c r="C2450" s="25" t="s">
        <v>356</v>
      </c>
      <c r="D2450" s="103" t="s">
        <v>339</v>
      </c>
      <c r="E2450" s="26">
        <v>4.54</v>
      </c>
      <c r="F2450" s="26" t="s">
        <v>293</v>
      </c>
      <c r="K2450" s="24">
        <v>80</v>
      </c>
      <c r="L2450" s="102">
        <v>46157.368993055556</v>
      </c>
      <c r="M2450" s="25" t="s">
        <v>357</v>
      </c>
      <c r="N2450" s="103" t="s">
        <v>339</v>
      </c>
      <c r="O2450" s="26">
        <v>1.33</v>
      </c>
      <c r="P2450" s="26" t="s">
        <v>293</v>
      </c>
    </row>
    <row r="2451" spans="1:16" x14ac:dyDescent="0.3">
      <c r="A2451" s="24">
        <v>80</v>
      </c>
      <c r="B2451" s="102">
        <v>46157.364872685182</v>
      </c>
      <c r="C2451" s="25" t="s">
        <v>356</v>
      </c>
      <c r="D2451" s="103" t="s">
        <v>118</v>
      </c>
      <c r="E2451" s="26">
        <v>4.5999999999999996</v>
      </c>
      <c r="F2451" s="26" t="s">
        <v>293</v>
      </c>
      <c r="K2451" s="24">
        <v>80</v>
      </c>
      <c r="L2451" s="102">
        <v>46157.368993055556</v>
      </c>
      <c r="M2451" s="25" t="s">
        <v>357</v>
      </c>
      <c r="N2451" s="103" t="s">
        <v>118</v>
      </c>
      <c r="O2451" s="26">
        <v>9.4</v>
      </c>
      <c r="P2451" s="26" t="s">
        <v>293</v>
      </c>
    </row>
    <row r="2452" spans="1:16" x14ac:dyDescent="0.3">
      <c r="A2452" s="24">
        <v>80</v>
      </c>
      <c r="B2452" s="102">
        <v>46157.364872685182</v>
      </c>
      <c r="C2452" s="25" t="s">
        <v>356</v>
      </c>
      <c r="D2452" s="103" t="s">
        <v>130</v>
      </c>
      <c r="E2452" s="26">
        <v>3.92</v>
      </c>
      <c r="F2452" s="26" t="s">
        <v>293</v>
      </c>
      <c r="K2452" s="24">
        <v>80</v>
      </c>
      <c r="L2452" s="102">
        <v>46157.368993055556</v>
      </c>
      <c r="M2452" s="25" t="s">
        <v>357</v>
      </c>
      <c r="N2452" s="103" t="s">
        <v>130</v>
      </c>
      <c r="O2452" s="26">
        <v>2.4500000000000002</v>
      </c>
      <c r="P2452" s="26" t="s">
        <v>293</v>
      </c>
    </row>
    <row r="2453" spans="1:16" x14ac:dyDescent="0.3">
      <c r="A2453" s="24">
        <v>80</v>
      </c>
      <c r="B2453" s="102">
        <v>46157.364872685182</v>
      </c>
      <c r="C2453" s="25" t="s">
        <v>356</v>
      </c>
      <c r="D2453" s="103" t="s">
        <v>341</v>
      </c>
      <c r="E2453" s="26">
        <v>0.35099999999999998</v>
      </c>
      <c r="F2453" s="26" t="s">
        <v>293</v>
      </c>
      <c r="K2453" s="24">
        <v>80</v>
      </c>
      <c r="L2453" s="102">
        <v>46157.368993055556</v>
      </c>
      <c r="M2453" s="25" t="s">
        <v>357</v>
      </c>
      <c r="N2453" s="103" t="s">
        <v>341</v>
      </c>
      <c r="O2453" s="26">
        <v>1.306</v>
      </c>
      <c r="P2453" s="26" t="s">
        <v>293</v>
      </c>
    </row>
    <row r="2454" spans="1:16" x14ac:dyDescent="0.3">
      <c r="A2454" s="24">
        <v>80</v>
      </c>
      <c r="B2454" s="102">
        <v>46157.364872685182</v>
      </c>
      <c r="C2454" s="25" t="s">
        <v>356</v>
      </c>
      <c r="D2454" s="103" t="s">
        <v>127</v>
      </c>
      <c r="E2454" s="26">
        <v>1.25</v>
      </c>
      <c r="F2454" s="26" t="s">
        <v>293</v>
      </c>
      <c r="K2454" s="24">
        <v>80</v>
      </c>
      <c r="L2454" s="102">
        <v>46157.368993055556</v>
      </c>
      <c r="M2454" s="25" t="s">
        <v>357</v>
      </c>
      <c r="N2454" s="103" t="s">
        <v>127</v>
      </c>
      <c r="O2454" s="26">
        <v>4.91</v>
      </c>
      <c r="P2454" s="26" t="s">
        <v>293</v>
      </c>
    </row>
    <row r="2455" spans="1:16" x14ac:dyDescent="0.3">
      <c r="A2455" s="24">
        <v>80</v>
      </c>
      <c r="B2455" s="102">
        <v>46157.364872685182</v>
      </c>
      <c r="C2455" s="25" t="s">
        <v>356</v>
      </c>
      <c r="D2455" s="103" t="s">
        <v>131</v>
      </c>
      <c r="E2455" s="26">
        <v>8.6</v>
      </c>
      <c r="F2455" s="26" t="s">
        <v>293</v>
      </c>
      <c r="K2455" s="24">
        <v>80</v>
      </c>
      <c r="L2455" s="102">
        <v>46157.368993055556</v>
      </c>
      <c r="M2455" s="25" t="s">
        <v>357</v>
      </c>
      <c r="N2455" s="103" t="s">
        <v>131</v>
      </c>
      <c r="O2455" s="26">
        <v>11.9</v>
      </c>
      <c r="P2455" s="26" t="s">
        <v>293</v>
      </c>
    </row>
    <row r="2456" spans="1:16" x14ac:dyDescent="0.3">
      <c r="A2456" s="24">
        <v>80</v>
      </c>
      <c r="B2456" s="102">
        <v>46157.364872685182</v>
      </c>
      <c r="C2456" s="25" t="s">
        <v>356</v>
      </c>
      <c r="D2456" s="103" t="s">
        <v>342</v>
      </c>
      <c r="E2456" s="26">
        <v>311</v>
      </c>
      <c r="F2456" s="26" t="s">
        <v>293</v>
      </c>
      <c r="K2456" s="24">
        <v>80</v>
      </c>
      <c r="L2456" s="102">
        <v>46157.368993055556</v>
      </c>
      <c r="M2456" s="25" t="s">
        <v>357</v>
      </c>
      <c r="N2456" s="103" t="s">
        <v>342</v>
      </c>
      <c r="O2456" s="26">
        <v>183</v>
      </c>
      <c r="P2456" s="26" t="s">
        <v>293</v>
      </c>
    </row>
    <row r="2457" spans="1:16" x14ac:dyDescent="0.3">
      <c r="A2457" s="24">
        <v>80</v>
      </c>
      <c r="B2457" s="102">
        <v>46157.364872685182</v>
      </c>
      <c r="C2457" s="25" t="s">
        <v>356</v>
      </c>
      <c r="D2457" s="103" t="s">
        <v>119</v>
      </c>
      <c r="E2457" s="26">
        <v>249</v>
      </c>
      <c r="F2457" s="26" t="s">
        <v>293</v>
      </c>
      <c r="K2457" s="24">
        <v>80</v>
      </c>
      <c r="L2457" s="102">
        <v>46157.368993055556</v>
      </c>
      <c r="M2457" s="25" t="s">
        <v>357</v>
      </c>
      <c r="N2457" s="103" t="s">
        <v>119</v>
      </c>
      <c r="O2457" s="26">
        <v>92</v>
      </c>
      <c r="P2457" s="26" t="s">
        <v>293</v>
      </c>
    </row>
    <row r="2458" spans="1:16" x14ac:dyDescent="0.3">
      <c r="A2458" s="24">
        <v>80</v>
      </c>
      <c r="B2458" s="102">
        <v>46157.364872685182</v>
      </c>
      <c r="C2458" s="25" t="s">
        <v>356</v>
      </c>
      <c r="D2458" s="103" t="s">
        <v>120</v>
      </c>
      <c r="E2458" s="26">
        <v>80</v>
      </c>
      <c r="F2458" s="26" t="s">
        <v>293</v>
      </c>
      <c r="K2458" s="24">
        <v>80</v>
      </c>
      <c r="L2458" s="102">
        <v>46157.368993055556</v>
      </c>
      <c r="M2458" s="25" t="s">
        <v>357</v>
      </c>
      <c r="N2458" s="103" t="s">
        <v>120</v>
      </c>
      <c r="O2458" s="26">
        <v>27</v>
      </c>
      <c r="P2458" s="26" t="s">
        <v>293</v>
      </c>
    </row>
    <row r="2459" spans="1:16" x14ac:dyDescent="0.3">
      <c r="A2459" s="24">
        <v>80</v>
      </c>
      <c r="B2459" s="102">
        <v>46157.364872685182</v>
      </c>
      <c r="C2459" s="25" t="s">
        <v>356</v>
      </c>
      <c r="D2459" s="103" t="s">
        <v>117</v>
      </c>
      <c r="E2459" s="26">
        <v>2.61</v>
      </c>
      <c r="F2459" s="26" t="s">
        <v>293</v>
      </c>
      <c r="K2459" s="24">
        <v>80</v>
      </c>
      <c r="L2459" s="102">
        <v>46157.368993055556</v>
      </c>
      <c r="M2459" s="25" t="s">
        <v>357</v>
      </c>
      <c r="N2459" s="103" t="s">
        <v>117</v>
      </c>
      <c r="O2459" s="26">
        <v>6.26</v>
      </c>
      <c r="P2459" s="26" t="s">
        <v>293</v>
      </c>
    </row>
    <row r="2460" spans="1:16" x14ac:dyDescent="0.3">
      <c r="A2460" s="24">
        <v>80</v>
      </c>
      <c r="B2460" s="102">
        <v>46157.364872685182</v>
      </c>
      <c r="C2460" s="25" t="s">
        <v>356</v>
      </c>
      <c r="D2460" s="103" t="s">
        <v>344</v>
      </c>
      <c r="E2460" s="26">
        <v>230</v>
      </c>
      <c r="F2460" s="26" t="s">
        <v>293</v>
      </c>
      <c r="K2460" s="24">
        <v>80</v>
      </c>
      <c r="L2460" s="102">
        <v>46157.368993055556</v>
      </c>
      <c r="M2460" s="25" t="s">
        <v>357</v>
      </c>
      <c r="N2460" s="103" t="s">
        <v>344</v>
      </c>
      <c r="O2460" s="26">
        <v>68</v>
      </c>
      <c r="P2460" s="26" t="s">
        <v>293</v>
      </c>
    </row>
    <row r="2461" spans="1:16" x14ac:dyDescent="0.3">
      <c r="A2461" s="24">
        <v>80</v>
      </c>
      <c r="B2461" s="102">
        <v>46157.364872685182</v>
      </c>
      <c r="C2461" s="25" t="s">
        <v>356</v>
      </c>
      <c r="D2461" s="103" t="s">
        <v>132</v>
      </c>
      <c r="E2461" s="26">
        <v>3.5</v>
      </c>
      <c r="F2461" s="26" t="s">
        <v>293</v>
      </c>
      <c r="K2461" s="24">
        <v>80</v>
      </c>
      <c r="L2461" s="102">
        <v>46157.368993055556</v>
      </c>
      <c r="M2461" s="25" t="s">
        <v>357</v>
      </c>
      <c r="N2461" s="103" t="s">
        <v>132</v>
      </c>
      <c r="O2461" s="26">
        <v>7.06</v>
      </c>
      <c r="P2461" s="26" t="s">
        <v>293</v>
      </c>
    </row>
    <row r="2462" spans="1:16" x14ac:dyDescent="0.3">
      <c r="A2462" s="24">
        <v>80</v>
      </c>
      <c r="B2462" s="102">
        <v>46157.364872685182</v>
      </c>
      <c r="C2462" s="25" t="s">
        <v>356</v>
      </c>
      <c r="D2462" s="103" t="s">
        <v>111</v>
      </c>
      <c r="E2462" s="26">
        <v>85</v>
      </c>
      <c r="F2462" s="26" t="s">
        <v>293</v>
      </c>
      <c r="K2462" s="24">
        <v>80</v>
      </c>
      <c r="L2462" s="102">
        <v>46157.368993055556</v>
      </c>
      <c r="M2462" s="25" t="s">
        <v>357</v>
      </c>
      <c r="N2462" s="103" t="s">
        <v>111</v>
      </c>
      <c r="O2462" s="26">
        <v>279</v>
      </c>
      <c r="P2462" s="26" t="s">
        <v>293</v>
      </c>
    </row>
    <row r="2463" spans="1:16" x14ac:dyDescent="0.3">
      <c r="A2463" s="24">
        <v>80</v>
      </c>
      <c r="B2463" s="102">
        <v>46157.364872685182</v>
      </c>
      <c r="C2463" s="25" t="s">
        <v>356</v>
      </c>
      <c r="D2463" s="103" t="s">
        <v>345</v>
      </c>
      <c r="E2463" s="26">
        <v>5.09</v>
      </c>
      <c r="F2463" s="26" t="s">
        <v>293</v>
      </c>
      <c r="K2463" s="24">
        <v>80</v>
      </c>
      <c r="L2463" s="102">
        <v>46157.368993055556</v>
      </c>
      <c r="M2463" s="25" t="s">
        <v>357</v>
      </c>
      <c r="N2463" s="103" t="s">
        <v>345</v>
      </c>
      <c r="O2463" s="26">
        <v>9.5500000000000007</v>
      </c>
      <c r="P2463" s="26" t="s">
        <v>293</v>
      </c>
    </row>
    <row r="2464" spans="1:16" x14ac:dyDescent="0.3">
      <c r="A2464" s="24">
        <v>80</v>
      </c>
      <c r="B2464" s="102">
        <v>46157.364872685182</v>
      </c>
      <c r="C2464" s="25" t="s">
        <v>356</v>
      </c>
      <c r="D2464" s="103" t="s">
        <v>347</v>
      </c>
      <c r="E2464" s="26">
        <v>2.17</v>
      </c>
      <c r="F2464" s="26" t="s">
        <v>293</v>
      </c>
      <c r="K2464" s="24">
        <v>80</v>
      </c>
      <c r="L2464" s="102">
        <v>46157.368993055556</v>
      </c>
      <c r="M2464" s="25" t="s">
        <v>357</v>
      </c>
      <c r="N2464" s="103" t="s">
        <v>347</v>
      </c>
      <c r="O2464" s="26">
        <v>4.59</v>
      </c>
      <c r="P2464" s="26" t="s">
        <v>293</v>
      </c>
    </row>
    <row r="2465" spans="1:16" x14ac:dyDescent="0.3">
      <c r="A2465" s="24">
        <v>80</v>
      </c>
      <c r="B2465" s="102">
        <v>46157.364872685182</v>
      </c>
      <c r="C2465" s="25" t="s">
        <v>356</v>
      </c>
      <c r="D2465" s="103" t="s">
        <v>128</v>
      </c>
      <c r="E2465" s="26">
        <v>7</v>
      </c>
      <c r="F2465" s="26" t="s">
        <v>293</v>
      </c>
      <c r="K2465" s="24">
        <v>80</v>
      </c>
      <c r="L2465" s="102">
        <v>46157.368993055556</v>
      </c>
      <c r="M2465" s="25" t="s">
        <v>357</v>
      </c>
      <c r="N2465" s="103" t="s">
        <v>128</v>
      </c>
      <c r="O2465" s="26">
        <v>4.5</v>
      </c>
      <c r="P2465" s="26" t="s">
        <v>293</v>
      </c>
    </row>
    <row r="2466" spans="1:16" x14ac:dyDescent="0.3">
      <c r="A2466" s="24">
        <v>80</v>
      </c>
      <c r="B2466" s="102">
        <v>46157.364872685182</v>
      </c>
      <c r="C2466" s="25" t="s">
        <v>356</v>
      </c>
      <c r="D2466" s="103" t="s">
        <v>121</v>
      </c>
      <c r="E2466" s="26">
        <v>158</v>
      </c>
      <c r="F2466" s="26" t="s">
        <v>293</v>
      </c>
      <c r="K2466" s="24">
        <v>80</v>
      </c>
      <c r="L2466" s="102">
        <v>46157.368993055556</v>
      </c>
      <c r="M2466" s="25" t="s">
        <v>357</v>
      </c>
      <c r="N2466" s="103" t="s">
        <v>121</v>
      </c>
      <c r="O2466" s="26">
        <v>79</v>
      </c>
      <c r="P2466" s="26" t="s">
        <v>293</v>
      </c>
    </row>
    <row r="2467" spans="1:16" x14ac:dyDescent="0.3">
      <c r="A2467" s="24">
        <v>80</v>
      </c>
      <c r="B2467" s="102">
        <v>46157.364872685182</v>
      </c>
      <c r="C2467" s="25" t="s">
        <v>356</v>
      </c>
      <c r="D2467" s="103" t="s">
        <v>115</v>
      </c>
      <c r="E2467" s="26">
        <v>33</v>
      </c>
      <c r="F2467" s="26" t="s">
        <v>293</v>
      </c>
      <c r="K2467" s="24">
        <v>80</v>
      </c>
      <c r="L2467" s="102">
        <v>46157.368993055556</v>
      </c>
      <c r="M2467" s="25" t="s">
        <v>357</v>
      </c>
      <c r="N2467" s="103" t="s">
        <v>115</v>
      </c>
      <c r="O2467" s="26">
        <v>92</v>
      </c>
      <c r="P2467" s="26" t="s">
        <v>293</v>
      </c>
    </row>
    <row r="2468" spans="1:16" x14ac:dyDescent="0.3">
      <c r="A2468" s="24">
        <v>80</v>
      </c>
      <c r="B2468" s="102">
        <v>46157.364872685182</v>
      </c>
      <c r="C2468" s="25" t="s">
        <v>356</v>
      </c>
      <c r="D2468" s="103" t="s">
        <v>137</v>
      </c>
      <c r="E2468" s="26">
        <v>75</v>
      </c>
      <c r="F2468" s="26" t="s">
        <v>293</v>
      </c>
      <c r="K2468" s="24">
        <v>80</v>
      </c>
      <c r="L2468" s="102">
        <v>46157.368993055556</v>
      </c>
      <c r="M2468" s="25" t="s">
        <v>357</v>
      </c>
      <c r="N2468" s="103" t="s">
        <v>137</v>
      </c>
      <c r="O2468" s="26">
        <v>484</v>
      </c>
      <c r="P2468" s="26" t="s">
        <v>293</v>
      </c>
    </row>
    <row r="2469" spans="1:16" x14ac:dyDescent="0.3">
      <c r="A2469" s="24">
        <v>80</v>
      </c>
      <c r="B2469" s="102">
        <v>46157.364872685182</v>
      </c>
      <c r="C2469" s="25" t="s">
        <v>356</v>
      </c>
      <c r="D2469" s="103" t="s">
        <v>348</v>
      </c>
      <c r="E2469" s="26">
        <v>143</v>
      </c>
      <c r="F2469" s="26" t="s">
        <v>293</v>
      </c>
      <c r="K2469" s="24">
        <v>80</v>
      </c>
      <c r="L2469" s="102">
        <v>46157.368993055556</v>
      </c>
      <c r="M2469" s="25" t="s">
        <v>357</v>
      </c>
      <c r="N2469" s="103" t="s">
        <v>348</v>
      </c>
      <c r="O2469" s="26">
        <v>432</v>
      </c>
      <c r="P2469" s="26" t="s">
        <v>293</v>
      </c>
    </row>
    <row r="2470" spans="1:16" x14ac:dyDescent="0.3">
      <c r="A2470" s="24">
        <v>80</v>
      </c>
      <c r="B2470" s="102">
        <v>46157.364872685182</v>
      </c>
      <c r="C2470" s="25" t="s">
        <v>356</v>
      </c>
      <c r="D2470" s="103" t="s">
        <v>125</v>
      </c>
      <c r="E2470" s="26">
        <v>106</v>
      </c>
      <c r="F2470" s="26" t="s">
        <v>293</v>
      </c>
      <c r="K2470" s="24">
        <v>80</v>
      </c>
      <c r="L2470" s="102">
        <v>46157.368993055556</v>
      </c>
      <c r="M2470" s="25" t="s">
        <v>357</v>
      </c>
      <c r="N2470" s="103" t="s">
        <v>125</v>
      </c>
      <c r="O2470" s="26">
        <v>413</v>
      </c>
      <c r="P2470" s="26" t="s">
        <v>293</v>
      </c>
    </row>
    <row r="2471" spans="1:16" x14ac:dyDescent="0.3">
      <c r="A2471" s="24">
        <v>80</v>
      </c>
      <c r="B2471" s="102">
        <v>46157.364872685182</v>
      </c>
      <c r="C2471" s="25" t="s">
        <v>356</v>
      </c>
      <c r="D2471" s="103" t="s">
        <v>126</v>
      </c>
      <c r="E2471" s="26">
        <v>79</v>
      </c>
      <c r="F2471" s="26" t="s">
        <v>293</v>
      </c>
      <c r="K2471" s="24">
        <v>80</v>
      </c>
      <c r="L2471" s="102">
        <v>46157.368993055556</v>
      </c>
      <c r="M2471" s="25" t="s">
        <v>357</v>
      </c>
      <c r="N2471" s="103" t="s">
        <v>126</v>
      </c>
      <c r="O2471" s="26">
        <v>155</v>
      </c>
      <c r="P2471" s="26" t="s">
        <v>293</v>
      </c>
    </row>
    <row r="2472" spans="1:16" x14ac:dyDescent="0.3">
      <c r="A2472" s="24">
        <v>80</v>
      </c>
      <c r="B2472" s="102">
        <v>46157.364872685182</v>
      </c>
      <c r="C2472" s="25" t="s">
        <v>356</v>
      </c>
      <c r="D2472" s="103" t="s">
        <v>349</v>
      </c>
      <c r="E2472" s="26">
        <v>151</v>
      </c>
      <c r="F2472" s="26" t="s">
        <v>293</v>
      </c>
      <c r="K2472" s="24">
        <v>80</v>
      </c>
      <c r="L2472" s="102">
        <v>46157.368993055556</v>
      </c>
      <c r="M2472" s="25" t="s">
        <v>357</v>
      </c>
      <c r="N2472" s="103" t="s">
        <v>349</v>
      </c>
      <c r="O2472" s="26">
        <v>363</v>
      </c>
      <c r="P2472" s="26" t="s">
        <v>293</v>
      </c>
    </row>
    <row r="2473" spans="1:16" x14ac:dyDescent="0.3">
      <c r="A2473" s="24">
        <v>80</v>
      </c>
      <c r="B2473" s="102">
        <v>46157.364872685182</v>
      </c>
      <c r="C2473" s="25" t="s">
        <v>356</v>
      </c>
      <c r="D2473" s="103" t="s">
        <v>350</v>
      </c>
      <c r="E2473" s="26">
        <v>56</v>
      </c>
      <c r="F2473" s="26" t="s">
        <v>293</v>
      </c>
      <c r="K2473" s="24">
        <v>80</v>
      </c>
      <c r="L2473" s="102">
        <v>46157.368993055556</v>
      </c>
      <c r="M2473" s="25" t="s">
        <v>357</v>
      </c>
      <c r="N2473" s="103" t="s">
        <v>350</v>
      </c>
      <c r="O2473" s="26">
        <v>81</v>
      </c>
      <c r="P2473" s="26" t="s">
        <v>293</v>
      </c>
    </row>
    <row r="2474" spans="1:16" x14ac:dyDescent="0.3">
      <c r="A2474" s="24">
        <v>80</v>
      </c>
      <c r="B2474" s="102">
        <v>46157.364872685182</v>
      </c>
      <c r="C2474" s="25" t="s">
        <v>356</v>
      </c>
      <c r="D2474" s="103" t="s">
        <v>122</v>
      </c>
      <c r="E2474" s="26">
        <v>47</v>
      </c>
      <c r="F2474" s="26" t="s">
        <v>293</v>
      </c>
      <c r="K2474" s="24">
        <v>80</v>
      </c>
      <c r="L2474" s="102">
        <v>46157.368993055556</v>
      </c>
      <c r="M2474" s="25" t="s">
        <v>357</v>
      </c>
      <c r="N2474" s="103" t="s">
        <v>122</v>
      </c>
      <c r="O2474" s="26">
        <v>218</v>
      </c>
      <c r="P2474" s="26" t="s">
        <v>293</v>
      </c>
    </row>
    <row r="2475" spans="1:16" x14ac:dyDescent="0.3">
      <c r="A2475" s="24">
        <v>80</v>
      </c>
      <c r="B2475" s="102">
        <v>46157.364872685182</v>
      </c>
      <c r="C2475" s="25" t="s">
        <v>356</v>
      </c>
      <c r="D2475" s="103" t="s">
        <v>124</v>
      </c>
      <c r="E2475" s="26">
        <v>31</v>
      </c>
      <c r="F2475" s="26" t="s">
        <v>293</v>
      </c>
      <c r="K2475" s="24">
        <v>80</v>
      </c>
      <c r="L2475" s="102">
        <v>46157.368993055556</v>
      </c>
      <c r="M2475" s="25" t="s">
        <v>357</v>
      </c>
      <c r="N2475" s="103" t="s">
        <v>124</v>
      </c>
      <c r="O2475" s="26">
        <v>107</v>
      </c>
      <c r="P2475" s="26" t="s">
        <v>293</v>
      </c>
    </row>
    <row r="2476" spans="1:16" x14ac:dyDescent="0.3">
      <c r="A2476" s="24">
        <v>80</v>
      </c>
      <c r="B2476" s="102">
        <v>46157.364872685182</v>
      </c>
      <c r="C2476" s="25" t="s">
        <v>356</v>
      </c>
      <c r="D2476" s="103" t="s">
        <v>351</v>
      </c>
      <c r="E2476" s="26">
        <v>0.88</v>
      </c>
      <c r="F2476" s="26" t="s">
        <v>293</v>
      </c>
      <c r="K2476" s="24">
        <v>80</v>
      </c>
      <c r="L2476" s="102">
        <v>46157.368993055556</v>
      </c>
      <c r="M2476" s="25" t="s">
        <v>357</v>
      </c>
      <c r="N2476" s="103" t="s">
        <v>351</v>
      </c>
      <c r="O2476" s="26">
        <v>3.37</v>
      </c>
      <c r="P2476" s="26" t="s">
        <v>293</v>
      </c>
    </row>
    <row r="2477" spans="1:16" x14ac:dyDescent="0.3">
      <c r="A2477" s="24">
        <v>80</v>
      </c>
      <c r="B2477" s="102">
        <v>46157.364872685182</v>
      </c>
      <c r="C2477" s="25" t="s">
        <v>356</v>
      </c>
      <c r="D2477" s="103" t="s">
        <v>353</v>
      </c>
      <c r="E2477" s="26">
        <v>35.700000000000003</v>
      </c>
      <c r="F2477" s="26" t="s">
        <v>293</v>
      </c>
      <c r="K2477" s="24">
        <v>80</v>
      </c>
      <c r="L2477" s="102">
        <v>46157.368993055556</v>
      </c>
      <c r="M2477" s="25" t="s">
        <v>357</v>
      </c>
      <c r="N2477" s="103" t="s">
        <v>353</v>
      </c>
      <c r="O2477" s="26">
        <v>17.8</v>
      </c>
      <c r="P2477" s="26" t="s">
        <v>293</v>
      </c>
    </row>
    <row r="2478" spans="1:16" x14ac:dyDescent="0.3">
      <c r="A2478" s="24">
        <v>80</v>
      </c>
      <c r="B2478" s="102">
        <v>46157.364872685182</v>
      </c>
      <c r="C2478" s="25" t="s">
        <v>356</v>
      </c>
      <c r="D2478" s="103" t="s">
        <v>133</v>
      </c>
      <c r="E2478" s="26">
        <v>143</v>
      </c>
      <c r="F2478" s="26" t="s">
        <v>293</v>
      </c>
      <c r="K2478" s="24">
        <v>80</v>
      </c>
      <c r="L2478" s="102">
        <v>46157.368993055556</v>
      </c>
      <c r="M2478" s="25" t="s">
        <v>357</v>
      </c>
      <c r="N2478" s="103" t="s">
        <v>133</v>
      </c>
      <c r="O2478" s="26">
        <v>125</v>
      </c>
      <c r="P2478" s="26" t="s">
        <v>293</v>
      </c>
    </row>
    <row r="2479" spans="1:16" x14ac:dyDescent="0.3">
      <c r="A2479" s="24">
        <v>80</v>
      </c>
      <c r="B2479" s="102">
        <v>46157.364872685182</v>
      </c>
      <c r="C2479" s="25" t="s">
        <v>356</v>
      </c>
      <c r="D2479" s="103" t="s">
        <v>135</v>
      </c>
      <c r="E2479" s="26">
        <v>3.7</v>
      </c>
      <c r="F2479" s="26" t="s">
        <v>293</v>
      </c>
      <c r="K2479" s="24">
        <v>80</v>
      </c>
      <c r="L2479" s="102">
        <v>46157.368993055556</v>
      </c>
      <c r="M2479" s="25" t="s">
        <v>357</v>
      </c>
      <c r="N2479" s="103" t="s">
        <v>135</v>
      </c>
      <c r="O2479" s="26">
        <v>6.4</v>
      </c>
      <c r="P2479" s="26" t="s">
        <v>293</v>
      </c>
    </row>
    <row r="2480" spans="1:16" x14ac:dyDescent="0.3">
      <c r="A2480" s="24">
        <v>80</v>
      </c>
      <c r="B2480" s="102">
        <v>46157.364872685182</v>
      </c>
      <c r="C2480" s="25" t="s">
        <v>356</v>
      </c>
      <c r="D2480" s="103" t="s">
        <v>136</v>
      </c>
      <c r="E2480" s="26">
        <v>117</v>
      </c>
      <c r="F2480" s="26" t="s">
        <v>293</v>
      </c>
      <c r="K2480" s="24">
        <v>80</v>
      </c>
      <c r="L2480" s="102">
        <v>46157.368993055556</v>
      </c>
      <c r="M2480" s="25" t="s">
        <v>357</v>
      </c>
      <c r="N2480" s="103" t="s">
        <v>136</v>
      </c>
      <c r="O2480" s="26">
        <v>92</v>
      </c>
      <c r="P2480" s="26" t="s">
        <v>293</v>
      </c>
    </row>
    <row r="2481" spans="1:16" x14ac:dyDescent="0.3">
      <c r="A2481" s="24">
        <v>81</v>
      </c>
      <c r="B2481" s="102">
        <v>46160.36986111111</v>
      </c>
      <c r="C2481" s="25" t="s">
        <v>356</v>
      </c>
      <c r="D2481" s="103" t="s">
        <v>339</v>
      </c>
      <c r="E2481" s="26">
        <v>4.6900000000000004</v>
      </c>
      <c r="F2481" s="26" t="s">
        <v>293</v>
      </c>
      <c r="K2481" s="24">
        <v>81</v>
      </c>
      <c r="L2481" s="102">
        <v>46160.369872685187</v>
      </c>
      <c r="M2481" s="25" t="s">
        <v>357</v>
      </c>
      <c r="N2481" s="103" t="s">
        <v>339</v>
      </c>
      <c r="O2481" s="26">
        <v>1.31</v>
      </c>
      <c r="P2481" s="26" t="s">
        <v>293</v>
      </c>
    </row>
    <row r="2482" spans="1:16" x14ac:dyDescent="0.3">
      <c r="A2482" s="24">
        <v>81</v>
      </c>
      <c r="B2482" s="102">
        <v>46160.36986111111</v>
      </c>
      <c r="C2482" s="25" t="s">
        <v>356</v>
      </c>
      <c r="D2482" s="103" t="s">
        <v>118</v>
      </c>
      <c r="E2482" s="26">
        <v>4.5</v>
      </c>
      <c r="F2482" s="26" t="s">
        <v>293</v>
      </c>
      <c r="K2482" s="24">
        <v>81</v>
      </c>
      <c r="L2482" s="102">
        <v>46160.369872685187</v>
      </c>
      <c r="M2482" s="25" t="s">
        <v>357</v>
      </c>
      <c r="N2482" s="103" t="s">
        <v>118</v>
      </c>
      <c r="O2482" s="26">
        <v>9.6</v>
      </c>
      <c r="P2482" s="26" t="s">
        <v>293</v>
      </c>
    </row>
    <row r="2483" spans="1:16" x14ac:dyDescent="0.3">
      <c r="A2483" s="24">
        <v>81</v>
      </c>
      <c r="B2483" s="102">
        <v>46160.36986111111</v>
      </c>
      <c r="C2483" s="25" t="s">
        <v>356</v>
      </c>
      <c r="D2483" s="103" t="s">
        <v>130</v>
      </c>
      <c r="E2483" s="26">
        <v>3.87</v>
      </c>
      <c r="F2483" s="26" t="s">
        <v>293</v>
      </c>
      <c r="K2483" s="24">
        <v>81</v>
      </c>
      <c r="L2483" s="102">
        <v>46160.369872685187</v>
      </c>
      <c r="M2483" s="25" t="s">
        <v>357</v>
      </c>
      <c r="N2483" s="103" t="s">
        <v>130</v>
      </c>
      <c r="O2483" s="26">
        <v>2.46</v>
      </c>
      <c r="P2483" s="26" t="s">
        <v>293</v>
      </c>
    </row>
    <row r="2484" spans="1:16" x14ac:dyDescent="0.3">
      <c r="A2484" s="24">
        <v>81</v>
      </c>
      <c r="B2484" s="102">
        <v>46160.36986111111</v>
      </c>
      <c r="C2484" s="25" t="s">
        <v>356</v>
      </c>
      <c r="D2484" s="103" t="s">
        <v>341</v>
      </c>
      <c r="E2484" s="26">
        <v>0.307</v>
      </c>
      <c r="F2484" s="26" t="s">
        <v>293</v>
      </c>
      <c r="K2484" s="24">
        <v>81</v>
      </c>
      <c r="L2484" s="102">
        <v>46160.369872685187</v>
      </c>
      <c r="M2484" s="25" t="s">
        <v>357</v>
      </c>
      <c r="N2484" s="103" t="s">
        <v>341</v>
      </c>
      <c r="O2484" s="26">
        <v>1.2030000000000001</v>
      </c>
      <c r="P2484" s="26" t="s">
        <v>293</v>
      </c>
    </row>
    <row r="2485" spans="1:16" x14ac:dyDescent="0.3">
      <c r="A2485" s="24">
        <v>81</v>
      </c>
      <c r="B2485" s="102">
        <v>46160.36986111111</v>
      </c>
      <c r="C2485" s="25" t="s">
        <v>356</v>
      </c>
      <c r="D2485" s="103" t="s">
        <v>127</v>
      </c>
      <c r="E2485" s="26">
        <v>1.2050000000000001</v>
      </c>
      <c r="F2485" s="26" t="s">
        <v>293</v>
      </c>
      <c r="K2485" s="24">
        <v>81</v>
      </c>
      <c r="L2485" s="102">
        <v>46160.369872685187</v>
      </c>
      <c r="M2485" s="25" t="s">
        <v>357</v>
      </c>
      <c r="N2485" s="103" t="s">
        <v>127</v>
      </c>
      <c r="O2485" s="26">
        <v>4.7699999999999996</v>
      </c>
      <c r="P2485" s="26" t="s">
        <v>293</v>
      </c>
    </row>
    <row r="2486" spans="1:16" x14ac:dyDescent="0.3">
      <c r="A2486" s="24">
        <v>81</v>
      </c>
      <c r="B2486" s="102">
        <v>46160.36986111111</v>
      </c>
      <c r="C2486" s="25" t="s">
        <v>356</v>
      </c>
      <c r="D2486" s="103" t="s">
        <v>131</v>
      </c>
      <c r="E2486" s="26">
        <v>8.8000000000000007</v>
      </c>
      <c r="F2486" s="26" t="s">
        <v>293</v>
      </c>
      <c r="K2486" s="24">
        <v>81</v>
      </c>
      <c r="L2486" s="102">
        <v>46160.369872685187</v>
      </c>
      <c r="M2486" s="25" t="s">
        <v>357</v>
      </c>
      <c r="N2486" s="103" t="s">
        <v>131</v>
      </c>
      <c r="O2486" s="26">
        <v>12</v>
      </c>
      <c r="P2486" s="26" t="s">
        <v>293</v>
      </c>
    </row>
    <row r="2487" spans="1:16" x14ac:dyDescent="0.3">
      <c r="A2487" s="24">
        <v>81</v>
      </c>
      <c r="B2487" s="102">
        <v>46160.36986111111</v>
      </c>
      <c r="C2487" s="25" t="s">
        <v>356</v>
      </c>
      <c r="D2487" s="103" t="s">
        <v>342</v>
      </c>
      <c r="E2487" s="26">
        <v>317</v>
      </c>
      <c r="F2487" s="26" t="s">
        <v>293</v>
      </c>
      <c r="K2487" s="24">
        <v>81</v>
      </c>
      <c r="L2487" s="102">
        <v>46160.369872685187</v>
      </c>
      <c r="M2487" s="25" t="s">
        <v>357</v>
      </c>
      <c r="N2487" s="103" t="s">
        <v>342</v>
      </c>
      <c r="O2487" s="26">
        <v>188</v>
      </c>
      <c r="P2487" s="26" t="s">
        <v>293</v>
      </c>
    </row>
    <row r="2488" spans="1:16" x14ac:dyDescent="0.3">
      <c r="A2488" s="24">
        <v>81</v>
      </c>
      <c r="B2488" s="102">
        <v>46160.36986111111</v>
      </c>
      <c r="C2488" s="25" t="s">
        <v>356</v>
      </c>
      <c r="D2488" s="103" t="s">
        <v>119</v>
      </c>
      <c r="E2488" s="26">
        <v>247</v>
      </c>
      <c r="F2488" s="26" t="s">
        <v>293</v>
      </c>
      <c r="K2488" s="24">
        <v>81</v>
      </c>
      <c r="L2488" s="102">
        <v>46160.369872685187</v>
      </c>
      <c r="M2488" s="25" t="s">
        <v>357</v>
      </c>
      <c r="N2488" s="103" t="s">
        <v>119</v>
      </c>
      <c r="O2488" s="26">
        <v>91</v>
      </c>
      <c r="P2488" s="26" t="s">
        <v>293</v>
      </c>
    </row>
    <row r="2489" spans="1:16" x14ac:dyDescent="0.3">
      <c r="A2489" s="24">
        <v>81</v>
      </c>
      <c r="B2489" s="102">
        <v>46160.36986111111</v>
      </c>
      <c r="C2489" s="25" t="s">
        <v>356</v>
      </c>
      <c r="D2489" s="103" t="s">
        <v>120</v>
      </c>
      <c r="E2489" s="26">
        <v>75</v>
      </c>
      <c r="F2489" s="26" t="s">
        <v>293</v>
      </c>
      <c r="K2489" s="24">
        <v>81</v>
      </c>
      <c r="L2489" s="102">
        <v>46160.369872685187</v>
      </c>
      <c r="M2489" s="25" t="s">
        <v>357</v>
      </c>
      <c r="N2489" s="103" t="s">
        <v>120</v>
      </c>
      <c r="O2489" s="26">
        <v>27</v>
      </c>
      <c r="P2489" s="26" t="s">
        <v>293</v>
      </c>
    </row>
    <row r="2490" spans="1:16" x14ac:dyDescent="0.3">
      <c r="A2490" s="24">
        <v>81</v>
      </c>
      <c r="B2490" s="102">
        <v>46160.36986111111</v>
      </c>
      <c r="C2490" s="25" t="s">
        <v>356</v>
      </c>
      <c r="D2490" s="103" t="s">
        <v>117</v>
      </c>
      <c r="E2490" s="26">
        <v>2.66</v>
      </c>
      <c r="F2490" s="26" t="s">
        <v>293</v>
      </c>
      <c r="K2490" s="24">
        <v>81</v>
      </c>
      <c r="L2490" s="102">
        <v>46160.369872685187</v>
      </c>
      <c r="M2490" s="25" t="s">
        <v>357</v>
      </c>
      <c r="N2490" s="103" t="s">
        <v>117</v>
      </c>
      <c r="O2490" s="26">
        <v>6.29</v>
      </c>
      <c r="P2490" s="26" t="s">
        <v>293</v>
      </c>
    </row>
    <row r="2491" spans="1:16" x14ac:dyDescent="0.3">
      <c r="A2491" s="24">
        <v>81</v>
      </c>
      <c r="B2491" s="102">
        <v>46160.36986111111</v>
      </c>
      <c r="C2491" s="25" t="s">
        <v>356</v>
      </c>
      <c r="D2491" s="103" t="s">
        <v>344</v>
      </c>
      <c r="E2491" s="26">
        <v>230</v>
      </c>
      <c r="F2491" s="26" t="s">
        <v>293</v>
      </c>
      <c r="K2491" s="24">
        <v>81</v>
      </c>
      <c r="L2491" s="102">
        <v>46160.369872685187</v>
      </c>
      <c r="M2491" s="25" t="s">
        <v>357</v>
      </c>
      <c r="N2491" s="103" t="s">
        <v>344</v>
      </c>
      <c r="O2491" s="26">
        <v>70</v>
      </c>
      <c r="P2491" s="26" t="s">
        <v>293</v>
      </c>
    </row>
    <row r="2492" spans="1:16" x14ac:dyDescent="0.3">
      <c r="A2492" s="24">
        <v>81</v>
      </c>
      <c r="B2492" s="102">
        <v>46160.36986111111</v>
      </c>
      <c r="C2492" s="25" t="s">
        <v>356</v>
      </c>
      <c r="D2492" s="103" t="s">
        <v>132</v>
      </c>
      <c r="E2492" s="26">
        <v>3.44</v>
      </c>
      <c r="F2492" s="26" t="s">
        <v>293</v>
      </c>
      <c r="K2492" s="24">
        <v>81</v>
      </c>
      <c r="L2492" s="102">
        <v>46160.369872685187</v>
      </c>
      <c r="M2492" s="25" t="s">
        <v>357</v>
      </c>
      <c r="N2492" s="103" t="s">
        <v>132</v>
      </c>
      <c r="O2492" s="26">
        <v>7.09</v>
      </c>
      <c r="P2492" s="26" t="s">
        <v>293</v>
      </c>
    </row>
    <row r="2493" spans="1:16" x14ac:dyDescent="0.3">
      <c r="A2493" s="24">
        <v>81</v>
      </c>
      <c r="B2493" s="102">
        <v>46160.36986111111</v>
      </c>
      <c r="C2493" s="25" t="s">
        <v>356</v>
      </c>
      <c r="D2493" s="103" t="s">
        <v>111</v>
      </c>
      <c r="E2493" s="26">
        <v>86</v>
      </c>
      <c r="F2493" s="26" t="s">
        <v>293</v>
      </c>
      <c r="K2493" s="24">
        <v>81</v>
      </c>
      <c r="L2493" s="102">
        <v>46160.369872685187</v>
      </c>
      <c r="M2493" s="25" t="s">
        <v>357</v>
      </c>
      <c r="N2493" s="103" t="s">
        <v>111</v>
      </c>
      <c r="O2493" s="26">
        <v>273</v>
      </c>
      <c r="P2493" s="26" t="s">
        <v>293</v>
      </c>
    </row>
    <row r="2494" spans="1:16" x14ac:dyDescent="0.3">
      <c r="A2494" s="24">
        <v>81</v>
      </c>
      <c r="B2494" s="102">
        <v>46160.36986111111</v>
      </c>
      <c r="C2494" s="25" t="s">
        <v>356</v>
      </c>
      <c r="D2494" s="103" t="s">
        <v>345</v>
      </c>
      <c r="E2494" s="26">
        <v>5.0999999999999996</v>
      </c>
      <c r="F2494" s="26" t="s">
        <v>293</v>
      </c>
      <c r="K2494" s="24">
        <v>81</v>
      </c>
      <c r="L2494" s="102">
        <v>46160.369872685187</v>
      </c>
      <c r="M2494" s="25" t="s">
        <v>357</v>
      </c>
      <c r="N2494" s="103" t="s">
        <v>345</v>
      </c>
      <c r="O2494" s="26">
        <v>9.74</v>
      </c>
      <c r="P2494" s="26" t="s">
        <v>293</v>
      </c>
    </row>
    <row r="2495" spans="1:16" x14ac:dyDescent="0.3">
      <c r="A2495" s="24">
        <v>81</v>
      </c>
      <c r="B2495" s="102">
        <v>46160.36986111111</v>
      </c>
      <c r="C2495" s="25" t="s">
        <v>356</v>
      </c>
      <c r="D2495" s="103" t="s">
        <v>347</v>
      </c>
      <c r="E2495" s="26">
        <v>2.16</v>
      </c>
      <c r="F2495" s="26" t="s">
        <v>293</v>
      </c>
      <c r="K2495" s="24">
        <v>81</v>
      </c>
      <c r="L2495" s="102">
        <v>46160.369872685187</v>
      </c>
      <c r="M2495" s="25" t="s">
        <v>357</v>
      </c>
      <c r="N2495" s="103" t="s">
        <v>347</v>
      </c>
      <c r="O2495" s="26">
        <v>4.83</v>
      </c>
      <c r="P2495" s="26" t="s">
        <v>293</v>
      </c>
    </row>
    <row r="2496" spans="1:16" x14ac:dyDescent="0.3">
      <c r="A2496" s="24">
        <v>81</v>
      </c>
      <c r="B2496" s="102">
        <v>46160.36986111111</v>
      </c>
      <c r="C2496" s="25" t="s">
        <v>356</v>
      </c>
      <c r="D2496" s="103" t="s">
        <v>128</v>
      </c>
      <c r="E2496" s="26">
        <v>7</v>
      </c>
      <c r="F2496" s="26" t="s">
        <v>293</v>
      </c>
      <c r="K2496" s="24">
        <v>81</v>
      </c>
      <c r="L2496" s="102">
        <v>46160.369872685187</v>
      </c>
      <c r="M2496" s="25" t="s">
        <v>357</v>
      </c>
      <c r="N2496" s="103" t="s">
        <v>128</v>
      </c>
      <c r="O2496" s="26">
        <v>4.5</v>
      </c>
      <c r="P2496" s="26" t="s">
        <v>293</v>
      </c>
    </row>
    <row r="2497" spans="1:16" x14ac:dyDescent="0.3">
      <c r="A2497" s="24">
        <v>81</v>
      </c>
      <c r="B2497" s="102">
        <v>46160.36986111111</v>
      </c>
      <c r="C2497" s="25" t="s">
        <v>356</v>
      </c>
      <c r="D2497" s="103" t="s">
        <v>121</v>
      </c>
      <c r="E2497" s="26">
        <v>156</v>
      </c>
      <c r="F2497" s="26" t="s">
        <v>293</v>
      </c>
      <c r="K2497" s="24">
        <v>81</v>
      </c>
      <c r="L2497" s="102">
        <v>46160.369872685187</v>
      </c>
      <c r="M2497" s="25" t="s">
        <v>357</v>
      </c>
      <c r="N2497" s="103" t="s">
        <v>121</v>
      </c>
      <c r="O2497" s="26">
        <v>79</v>
      </c>
      <c r="P2497" s="26" t="s">
        <v>293</v>
      </c>
    </row>
    <row r="2498" spans="1:16" x14ac:dyDescent="0.3">
      <c r="A2498" s="24">
        <v>81</v>
      </c>
      <c r="B2498" s="102">
        <v>46160.36986111111</v>
      </c>
      <c r="C2498" s="25" t="s">
        <v>356</v>
      </c>
      <c r="D2498" s="103" t="s">
        <v>115</v>
      </c>
      <c r="E2498" s="26">
        <v>32</v>
      </c>
      <c r="F2498" s="26" t="s">
        <v>293</v>
      </c>
      <c r="K2498" s="24">
        <v>81</v>
      </c>
      <c r="L2498" s="102">
        <v>46160.369872685187</v>
      </c>
      <c r="M2498" s="25" t="s">
        <v>357</v>
      </c>
      <c r="N2498" s="103" t="s">
        <v>115</v>
      </c>
      <c r="O2498" s="26">
        <v>96</v>
      </c>
      <c r="P2498" s="26" t="s">
        <v>293</v>
      </c>
    </row>
    <row r="2499" spans="1:16" x14ac:dyDescent="0.3">
      <c r="A2499" s="24">
        <v>81</v>
      </c>
      <c r="B2499" s="102">
        <v>46160.36986111111</v>
      </c>
      <c r="C2499" s="25" t="s">
        <v>356</v>
      </c>
      <c r="D2499" s="103" t="s">
        <v>137</v>
      </c>
      <c r="E2499" s="26">
        <v>75</v>
      </c>
      <c r="F2499" s="26" t="s">
        <v>293</v>
      </c>
      <c r="K2499" s="24">
        <v>81</v>
      </c>
      <c r="L2499" s="102">
        <v>46160.369872685187</v>
      </c>
      <c r="M2499" s="25" t="s">
        <v>357</v>
      </c>
      <c r="N2499" s="103" t="s">
        <v>137</v>
      </c>
      <c r="O2499" s="26">
        <v>486</v>
      </c>
      <c r="P2499" s="26" t="s">
        <v>293</v>
      </c>
    </row>
    <row r="2500" spans="1:16" x14ac:dyDescent="0.3">
      <c r="A2500" s="24">
        <v>81</v>
      </c>
      <c r="B2500" s="102">
        <v>46160.36986111111</v>
      </c>
      <c r="C2500" s="25" t="s">
        <v>356</v>
      </c>
      <c r="D2500" s="103" t="s">
        <v>348</v>
      </c>
      <c r="E2500" s="26">
        <v>140</v>
      </c>
      <c r="F2500" s="26" t="s">
        <v>293</v>
      </c>
      <c r="K2500" s="24">
        <v>81</v>
      </c>
      <c r="L2500" s="102">
        <v>46160.369872685187</v>
      </c>
      <c r="M2500" s="25" t="s">
        <v>357</v>
      </c>
      <c r="N2500" s="103" t="s">
        <v>348</v>
      </c>
      <c r="O2500" s="26">
        <v>425</v>
      </c>
      <c r="P2500" s="26" t="s">
        <v>293</v>
      </c>
    </row>
    <row r="2501" spans="1:16" x14ac:dyDescent="0.3">
      <c r="A2501" s="24">
        <v>81</v>
      </c>
      <c r="B2501" s="102">
        <v>46160.36986111111</v>
      </c>
      <c r="C2501" s="25" t="s">
        <v>356</v>
      </c>
      <c r="D2501" s="103" t="s">
        <v>125</v>
      </c>
      <c r="E2501" s="26">
        <v>115</v>
      </c>
      <c r="F2501" s="26" t="s">
        <v>293</v>
      </c>
      <c r="K2501" s="24">
        <v>81</v>
      </c>
      <c r="L2501" s="102">
        <v>46160.369872685187</v>
      </c>
      <c r="M2501" s="25" t="s">
        <v>357</v>
      </c>
      <c r="N2501" s="103" t="s">
        <v>125</v>
      </c>
      <c r="O2501" s="26">
        <v>428</v>
      </c>
      <c r="P2501" s="26" t="s">
        <v>293</v>
      </c>
    </row>
    <row r="2502" spans="1:16" x14ac:dyDescent="0.3">
      <c r="A2502" s="24">
        <v>81</v>
      </c>
      <c r="B2502" s="102">
        <v>46160.36986111111</v>
      </c>
      <c r="C2502" s="25" t="s">
        <v>356</v>
      </c>
      <c r="D2502" s="103" t="s">
        <v>126</v>
      </c>
      <c r="E2502" s="26">
        <v>79</v>
      </c>
      <c r="F2502" s="26" t="s">
        <v>293</v>
      </c>
      <c r="K2502" s="24">
        <v>81</v>
      </c>
      <c r="L2502" s="102">
        <v>46160.369872685187</v>
      </c>
      <c r="M2502" s="25" t="s">
        <v>357</v>
      </c>
      <c r="N2502" s="103" t="s">
        <v>126</v>
      </c>
      <c r="O2502" s="26">
        <v>150</v>
      </c>
      <c r="P2502" s="26" t="s">
        <v>293</v>
      </c>
    </row>
    <row r="2503" spans="1:16" x14ac:dyDescent="0.3">
      <c r="A2503" s="24">
        <v>81</v>
      </c>
      <c r="B2503" s="102">
        <v>46160.36986111111</v>
      </c>
      <c r="C2503" s="25" t="s">
        <v>356</v>
      </c>
      <c r="D2503" s="103" t="s">
        <v>349</v>
      </c>
      <c r="E2503" s="26">
        <v>166</v>
      </c>
      <c r="F2503" s="26" t="s">
        <v>293</v>
      </c>
      <c r="K2503" s="24">
        <v>81</v>
      </c>
      <c r="L2503" s="102">
        <v>46160.369872685187</v>
      </c>
      <c r="M2503" s="25" t="s">
        <v>357</v>
      </c>
      <c r="N2503" s="103" t="s">
        <v>349</v>
      </c>
      <c r="O2503" s="26">
        <v>384</v>
      </c>
      <c r="P2503" s="26" t="s">
        <v>293</v>
      </c>
    </row>
    <row r="2504" spans="1:16" x14ac:dyDescent="0.3">
      <c r="A2504" s="24">
        <v>81</v>
      </c>
      <c r="B2504" s="102">
        <v>46160.36986111111</v>
      </c>
      <c r="C2504" s="25" t="s">
        <v>356</v>
      </c>
      <c r="D2504" s="103" t="s">
        <v>350</v>
      </c>
      <c r="E2504" s="26">
        <v>59</v>
      </c>
      <c r="F2504" s="26" t="s">
        <v>293</v>
      </c>
      <c r="K2504" s="24">
        <v>81</v>
      </c>
      <c r="L2504" s="102">
        <v>46160.369872685187</v>
      </c>
      <c r="M2504" s="25" t="s">
        <v>357</v>
      </c>
      <c r="N2504" s="103" t="s">
        <v>350</v>
      </c>
      <c r="O2504" s="26">
        <v>87</v>
      </c>
      <c r="P2504" s="26" t="s">
        <v>293</v>
      </c>
    </row>
    <row r="2505" spans="1:16" x14ac:dyDescent="0.3">
      <c r="A2505" s="24">
        <v>81</v>
      </c>
      <c r="B2505" s="102">
        <v>46160.36986111111</v>
      </c>
      <c r="C2505" s="25" t="s">
        <v>356</v>
      </c>
      <c r="D2505" s="103" t="s">
        <v>122</v>
      </c>
      <c r="E2505" s="26">
        <v>45</v>
      </c>
      <c r="F2505" s="26" t="s">
        <v>293</v>
      </c>
      <c r="K2505" s="24">
        <v>81</v>
      </c>
      <c r="L2505" s="102">
        <v>46160.369872685187</v>
      </c>
      <c r="M2505" s="25" t="s">
        <v>357</v>
      </c>
      <c r="N2505" s="103" t="s">
        <v>122</v>
      </c>
      <c r="O2505" s="26">
        <v>212</v>
      </c>
      <c r="P2505" s="26" t="s">
        <v>293</v>
      </c>
    </row>
    <row r="2506" spans="1:16" x14ac:dyDescent="0.3">
      <c r="A2506" s="24">
        <v>81</v>
      </c>
      <c r="B2506" s="102">
        <v>46160.36986111111</v>
      </c>
      <c r="C2506" s="25" t="s">
        <v>356</v>
      </c>
      <c r="D2506" s="103" t="s">
        <v>124</v>
      </c>
      <c r="E2506" s="26">
        <v>29</v>
      </c>
      <c r="F2506" s="26" t="s">
        <v>293</v>
      </c>
      <c r="K2506" s="24">
        <v>81</v>
      </c>
      <c r="L2506" s="102">
        <v>46160.369872685187</v>
      </c>
      <c r="M2506" s="25" t="s">
        <v>357</v>
      </c>
      <c r="N2506" s="103" t="s">
        <v>124</v>
      </c>
      <c r="O2506" s="26">
        <v>104</v>
      </c>
      <c r="P2506" s="26" t="s">
        <v>293</v>
      </c>
    </row>
    <row r="2507" spans="1:16" x14ac:dyDescent="0.3">
      <c r="A2507" s="24">
        <v>81</v>
      </c>
      <c r="B2507" s="102">
        <v>46160.36986111111</v>
      </c>
      <c r="C2507" s="25" t="s">
        <v>356</v>
      </c>
      <c r="D2507" s="103" t="s">
        <v>351</v>
      </c>
      <c r="E2507" s="26">
        <v>0.84</v>
      </c>
      <c r="F2507" s="26" t="s">
        <v>293</v>
      </c>
      <c r="K2507" s="24">
        <v>81</v>
      </c>
      <c r="L2507" s="102">
        <v>46160.369872685187</v>
      </c>
      <c r="M2507" s="25" t="s">
        <v>357</v>
      </c>
      <c r="N2507" s="103" t="s">
        <v>351</v>
      </c>
      <c r="O2507" s="26">
        <v>3.38</v>
      </c>
      <c r="P2507" s="26" t="s">
        <v>293</v>
      </c>
    </row>
    <row r="2508" spans="1:16" x14ac:dyDescent="0.3">
      <c r="A2508" s="24">
        <v>81</v>
      </c>
      <c r="B2508" s="102">
        <v>46160.36986111111</v>
      </c>
      <c r="C2508" s="25" t="s">
        <v>356</v>
      </c>
      <c r="D2508" s="103" t="s">
        <v>353</v>
      </c>
      <c r="E2508" s="26">
        <v>33.700000000000003</v>
      </c>
      <c r="F2508" s="26" t="s">
        <v>293</v>
      </c>
      <c r="K2508" s="24">
        <v>81</v>
      </c>
      <c r="L2508" s="102">
        <v>46160.369872685187</v>
      </c>
      <c r="M2508" s="25" t="s">
        <v>357</v>
      </c>
      <c r="N2508" s="103" t="s">
        <v>353</v>
      </c>
      <c r="O2508" s="26">
        <v>16.8</v>
      </c>
      <c r="P2508" s="26" t="s">
        <v>293</v>
      </c>
    </row>
    <row r="2509" spans="1:16" x14ac:dyDescent="0.3">
      <c r="A2509" s="24">
        <v>81</v>
      </c>
      <c r="B2509" s="102">
        <v>46160.36986111111</v>
      </c>
      <c r="C2509" s="25" t="s">
        <v>356</v>
      </c>
      <c r="D2509" s="103" t="s">
        <v>133</v>
      </c>
      <c r="E2509" s="26">
        <v>147</v>
      </c>
      <c r="F2509" s="26" t="s">
        <v>293</v>
      </c>
      <c r="K2509" s="24">
        <v>81</v>
      </c>
      <c r="L2509" s="102">
        <v>46160.369872685187</v>
      </c>
      <c r="M2509" s="25" t="s">
        <v>357</v>
      </c>
      <c r="N2509" s="103" t="s">
        <v>133</v>
      </c>
      <c r="O2509" s="26">
        <v>128</v>
      </c>
      <c r="P2509" s="26" t="s">
        <v>293</v>
      </c>
    </row>
    <row r="2510" spans="1:16" x14ac:dyDescent="0.3">
      <c r="A2510" s="24">
        <v>81</v>
      </c>
      <c r="B2510" s="102">
        <v>46160.36986111111</v>
      </c>
      <c r="C2510" s="25" t="s">
        <v>356</v>
      </c>
      <c r="D2510" s="103" t="s">
        <v>135</v>
      </c>
      <c r="E2510" s="26">
        <v>3.8</v>
      </c>
      <c r="F2510" s="26" t="s">
        <v>293</v>
      </c>
      <c r="K2510" s="24">
        <v>81</v>
      </c>
      <c r="L2510" s="102">
        <v>46160.369872685187</v>
      </c>
      <c r="M2510" s="25" t="s">
        <v>357</v>
      </c>
      <c r="N2510" s="103" t="s">
        <v>135</v>
      </c>
      <c r="O2510" s="26">
        <v>6.5</v>
      </c>
      <c r="P2510" s="26" t="s">
        <v>293</v>
      </c>
    </row>
    <row r="2511" spans="1:16" x14ac:dyDescent="0.3">
      <c r="A2511" s="24">
        <v>81</v>
      </c>
      <c r="B2511" s="102">
        <v>46160.36986111111</v>
      </c>
      <c r="C2511" s="25" t="s">
        <v>356</v>
      </c>
      <c r="D2511" s="103" t="s">
        <v>136</v>
      </c>
      <c r="E2511" s="26">
        <v>122</v>
      </c>
      <c r="F2511" s="26" t="s">
        <v>293</v>
      </c>
      <c r="K2511" s="24">
        <v>81</v>
      </c>
      <c r="L2511" s="102">
        <v>46160.369872685187</v>
      </c>
      <c r="M2511" s="25" t="s">
        <v>357</v>
      </c>
      <c r="N2511" s="103" t="s">
        <v>136</v>
      </c>
      <c r="O2511" s="26">
        <v>97</v>
      </c>
      <c r="P2511" s="26" t="s">
        <v>293</v>
      </c>
    </row>
    <row r="2512" spans="1:16" x14ac:dyDescent="0.3">
      <c r="A2512" s="24">
        <v>82</v>
      </c>
      <c r="B2512" s="102">
        <v>46161.342604166668</v>
      </c>
      <c r="C2512" s="25" t="s">
        <v>356</v>
      </c>
      <c r="D2512" s="103" t="s">
        <v>339</v>
      </c>
      <c r="E2512" s="26">
        <v>4.75</v>
      </c>
      <c r="F2512" s="26" t="s">
        <v>293</v>
      </c>
      <c r="K2512" s="24">
        <v>82</v>
      </c>
      <c r="L2512" s="102">
        <v>46161.349363425928</v>
      </c>
      <c r="M2512" s="25" t="s">
        <v>357</v>
      </c>
      <c r="N2512" s="103" t="s">
        <v>339</v>
      </c>
      <c r="O2512" s="26">
        <v>1.24</v>
      </c>
      <c r="P2512" s="26" t="s">
        <v>293</v>
      </c>
    </row>
    <row r="2513" spans="1:16" x14ac:dyDescent="0.3">
      <c r="A2513" s="24">
        <v>82</v>
      </c>
      <c r="B2513" s="102">
        <v>46161.342604166668</v>
      </c>
      <c r="C2513" s="25" t="s">
        <v>356</v>
      </c>
      <c r="D2513" s="103" t="s">
        <v>118</v>
      </c>
      <c r="E2513" s="26">
        <v>4.5999999999999996</v>
      </c>
      <c r="F2513" s="26" t="s">
        <v>293</v>
      </c>
      <c r="K2513" s="24">
        <v>82</v>
      </c>
      <c r="L2513" s="102">
        <v>46161.349363425928</v>
      </c>
      <c r="M2513" s="25" t="s">
        <v>357</v>
      </c>
      <c r="N2513" s="103" t="s">
        <v>118</v>
      </c>
      <c r="O2513" s="26">
        <v>9.5</v>
      </c>
      <c r="P2513" s="26" t="s">
        <v>293</v>
      </c>
    </row>
    <row r="2514" spans="1:16" x14ac:dyDescent="0.3">
      <c r="A2514" s="24">
        <v>82</v>
      </c>
      <c r="B2514" s="102">
        <v>46161.342604166668</v>
      </c>
      <c r="C2514" s="25" t="s">
        <v>356</v>
      </c>
      <c r="D2514" s="103" t="s">
        <v>130</v>
      </c>
      <c r="E2514" s="26">
        <v>3.93</v>
      </c>
      <c r="F2514" s="26" t="s">
        <v>293</v>
      </c>
      <c r="K2514" s="24">
        <v>82</v>
      </c>
      <c r="L2514" s="102">
        <v>46161.349363425928</v>
      </c>
      <c r="M2514" s="25" t="s">
        <v>357</v>
      </c>
      <c r="N2514" s="103" t="s">
        <v>130</v>
      </c>
      <c r="O2514" s="26">
        <v>2.42</v>
      </c>
      <c r="P2514" s="26" t="s">
        <v>293</v>
      </c>
    </row>
    <row r="2515" spans="1:16" x14ac:dyDescent="0.3">
      <c r="A2515" s="24">
        <v>82</v>
      </c>
      <c r="B2515" s="102">
        <v>46161.342604166668</v>
      </c>
      <c r="C2515" s="25" t="s">
        <v>356</v>
      </c>
      <c r="D2515" s="103" t="s">
        <v>341</v>
      </c>
      <c r="E2515" s="26">
        <v>0.317</v>
      </c>
      <c r="F2515" s="26" t="s">
        <v>293</v>
      </c>
      <c r="K2515" s="24">
        <v>82</v>
      </c>
      <c r="L2515" s="102">
        <v>46161.349363425928</v>
      </c>
      <c r="M2515" s="25" t="s">
        <v>357</v>
      </c>
      <c r="N2515" s="103" t="s">
        <v>341</v>
      </c>
      <c r="O2515" s="26">
        <v>1.19</v>
      </c>
      <c r="P2515" s="26" t="s">
        <v>293</v>
      </c>
    </row>
    <row r="2516" spans="1:16" x14ac:dyDescent="0.3">
      <c r="A2516" s="24">
        <v>82</v>
      </c>
      <c r="B2516" s="102">
        <v>46161.342604166668</v>
      </c>
      <c r="C2516" s="25" t="s">
        <v>356</v>
      </c>
      <c r="D2516" s="103" t="s">
        <v>127</v>
      </c>
      <c r="E2516" s="26">
        <v>1.222</v>
      </c>
      <c r="F2516" s="26" t="s">
        <v>293</v>
      </c>
      <c r="K2516" s="24">
        <v>82</v>
      </c>
      <c r="L2516" s="102">
        <v>46161.349363425928</v>
      </c>
      <c r="M2516" s="25" t="s">
        <v>357</v>
      </c>
      <c r="N2516" s="103" t="s">
        <v>127</v>
      </c>
      <c r="O2516" s="26">
        <v>4.7149999999999999</v>
      </c>
      <c r="P2516" s="26" t="s">
        <v>293</v>
      </c>
    </row>
    <row r="2517" spans="1:16" x14ac:dyDescent="0.3">
      <c r="A2517" s="24">
        <v>82</v>
      </c>
      <c r="B2517" s="102">
        <v>46161.342604166668</v>
      </c>
      <c r="C2517" s="25" t="s">
        <v>356</v>
      </c>
      <c r="D2517" s="103" t="s">
        <v>131</v>
      </c>
      <c r="E2517" s="26">
        <v>8.5</v>
      </c>
      <c r="F2517" s="26" t="s">
        <v>293</v>
      </c>
      <c r="K2517" s="24">
        <v>82</v>
      </c>
      <c r="L2517" s="102">
        <v>46161.349363425928</v>
      </c>
      <c r="M2517" s="25" t="s">
        <v>357</v>
      </c>
      <c r="N2517" s="103" t="s">
        <v>131</v>
      </c>
      <c r="O2517" s="26">
        <v>11.5</v>
      </c>
      <c r="P2517" s="26" t="s">
        <v>293</v>
      </c>
    </row>
    <row r="2518" spans="1:16" x14ac:dyDescent="0.3">
      <c r="A2518" s="24">
        <v>82</v>
      </c>
      <c r="B2518" s="102">
        <v>46161.342604166668</v>
      </c>
      <c r="C2518" s="25" t="s">
        <v>356</v>
      </c>
      <c r="D2518" s="103" t="s">
        <v>342</v>
      </c>
      <c r="E2518" s="26">
        <v>319</v>
      </c>
      <c r="F2518" s="26" t="s">
        <v>293</v>
      </c>
      <c r="K2518" s="24">
        <v>82</v>
      </c>
      <c r="L2518" s="102">
        <v>46161.349363425928</v>
      </c>
      <c r="M2518" s="25" t="s">
        <v>357</v>
      </c>
      <c r="N2518" s="103" t="s">
        <v>342</v>
      </c>
      <c r="O2518" s="26">
        <v>183</v>
      </c>
      <c r="P2518" s="26" t="s">
        <v>293</v>
      </c>
    </row>
    <row r="2519" spans="1:16" x14ac:dyDescent="0.3">
      <c r="A2519" s="24">
        <v>82</v>
      </c>
      <c r="B2519" s="102">
        <v>46161.342604166668</v>
      </c>
      <c r="C2519" s="25" t="s">
        <v>356</v>
      </c>
      <c r="D2519" s="103" t="s">
        <v>119</v>
      </c>
      <c r="E2519" s="26">
        <v>249</v>
      </c>
      <c r="F2519" s="26" t="s">
        <v>293</v>
      </c>
      <c r="K2519" s="24">
        <v>82</v>
      </c>
      <c r="L2519" s="102">
        <v>46161.349363425928</v>
      </c>
      <c r="M2519" s="25" t="s">
        <v>357</v>
      </c>
      <c r="N2519" s="103" t="s">
        <v>119</v>
      </c>
      <c r="O2519" s="26">
        <v>92</v>
      </c>
      <c r="P2519" s="26" t="s">
        <v>293</v>
      </c>
    </row>
    <row r="2520" spans="1:16" x14ac:dyDescent="0.3">
      <c r="A2520" s="24">
        <v>82</v>
      </c>
      <c r="B2520" s="102">
        <v>46161.342604166668</v>
      </c>
      <c r="C2520" s="25" t="s">
        <v>356</v>
      </c>
      <c r="D2520" s="103" t="s">
        <v>120</v>
      </c>
      <c r="E2520" s="26">
        <v>76</v>
      </c>
      <c r="F2520" s="26" t="s">
        <v>293</v>
      </c>
      <c r="K2520" s="24">
        <v>82</v>
      </c>
      <c r="L2520" s="102">
        <v>46161.349363425928</v>
      </c>
      <c r="M2520" s="25" t="s">
        <v>357</v>
      </c>
      <c r="N2520" s="103" t="s">
        <v>120</v>
      </c>
      <c r="O2520" s="26">
        <v>27</v>
      </c>
      <c r="P2520" s="26" t="s">
        <v>293</v>
      </c>
    </row>
    <row r="2521" spans="1:16" x14ac:dyDescent="0.3">
      <c r="A2521" s="24">
        <v>82</v>
      </c>
      <c r="B2521" s="102">
        <v>46161.342604166668</v>
      </c>
      <c r="C2521" s="25" t="s">
        <v>356</v>
      </c>
      <c r="D2521" s="103" t="s">
        <v>117</v>
      </c>
      <c r="E2521" s="26">
        <v>2.66</v>
      </c>
      <c r="F2521" s="26" t="s">
        <v>293</v>
      </c>
      <c r="K2521" s="24">
        <v>82</v>
      </c>
      <c r="L2521" s="102">
        <v>46161.349363425928</v>
      </c>
      <c r="M2521" s="25" t="s">
        <v>357</v>
      </c>
      <c r="N2521" s="103" t="s">
        <v>117</v>
      </c>
      <c r="O2521" s="26">
        <v>6.11</v>
      </c>
      <c r="P2521" s="26" t="s">
        <v>293</v>
      </c>
    </row>
    <row r="2522" spans="1:16" x14ac:dyDescent="0.3">
      <c r="A2522" s="24">
        <v>82</v>
      </c>
      <c r="B2522" s="102">
        <v>46161.342604166668</v>
      </c>
      <c r="C2522" s="25" t="s">
        <v>356</v>
      </c>
      <c r="D2522" s="103" t="s">
        <v>344</v>
      </c>
      <c r="E2522" s="26">
        <v>233</v>
      </c>
      <c r="F2522" s="26" t="s">
        <v>293</v>
      </c>
      <c r="K2522" s="24">
        <v>82</v>
      </c>
      <c r="L2522" s="102">
        <v>46161.349363425928</v>
      </c>
      <c r="M2522" s="25" t="s">
        <v>357</v>
      </c>
      <c r="N2522" s="103" t="s">
        <v>344</v>
      </c>
      <c r="O2522" s="26">
        <v>69</v>
      </c>
      <c r="P2522" s="26" t="s">
        <v>293</v>
      </c>
    </row>
    <row r="2523" spans="1:16" x14ac:dyDescent="0.3">
      <c r="A2523" s="24">
        <v>82</v>
      </c>
      <c r="B2523" s="102">
        <v>46161.342604166668</v>
      </c>
      <c r="C2523" s="25" t="s">
        <v>356</v>
      </c>
      <c r="D2523" s="103" t="s">
        <v>132</v>
      </c>
      <c r="E2523" s="26">
        <v>3.56</v>
      </c>
      <c r="F2523" s="26" t="s">
        <v>293</v>
      </c>
      <c r="K2523" s="24">
        <v>82</v>
      </c>
      <c r="L2523" s="102">
        <v>46161.349363425928</v>
      </c>
      <c r="M2523" s="25" t="s">
        <v>357</v>
      </c>
      <c r="N2523" s="103" t="s">
        <v>132</v>
      </c>
      <c r="O2523" s="26">
        <v>7.18</v>
      </c>
      <c r="P2523" s="26" t="s">
        <v>293</v>
      </c>
    </row>
    <row r="2524" spans="1:16" x14ac:dyDescent="0.3">
      <c r="A2524" s="24">
        <v>82</v>
      </c>
      <c r="B2524" s="102">
        <v>46161.342604166668</v>
      </c>
      <c r="C2524" s="25" t="s">
        <v>356</v>
      </c>
      <c r="D2524" s="103" t="s">
        <v>111</v>
      </c>
      <c r="E2524" s="26">
        <v>86</v>
      </c>
      <c r="F2524" s="26" t="s">
        <v>293</v>
      </c>
      <c r="K2524" s="24">
        <v>82</v>
      </c>
      <c r="L2524" s="102">
        <v>46161.349363425928</v>
      </c>
      <c r="M2524" s="25" t="s">
        <v>357</v>
      </c>
      <c r="N2524" s="103" t="s">
        <v>111</v>
      </c>
      <c r="O2524" s="26">
        <v>283</v>
      </c>
      <c r="P2524" s="26" t="s">
        <v>293</v>
      </c>
    </row>
    <row r="2525" spans="1:16" x14ac:dyDescent="0.3">
      <c r="A2525" s="24">
        <v>82</v>
      </c>
      <c r="B2525" s="102">
        <v>46161.342604166668</v>
      </c>
      <c r="C2525" s="25" t="s">
        <v>356</v>
      </c>
      <c r="D2525" s="103" t="s">
        <v>345</v>
      </c>
      <c r="E2525" s="26">
        <v>5.05</v>
      </c>
      <c r="F2525" s="26" t="s">
        <v>293</v>
      </c>
      <c r="K2525" s="24">
        <v>82</v>
      </c>
      <c r="L2525" s="102">
        <v>46161.349363425928</v>
      </c>
      <c r="M2525" s="25" t="s">
        <v>357</v>
      </c>
      <c r="N2525" s="103" t="s">
        <v>345</v>
      </c>
      <c r="O2525" s="26">
        <v>9.69</v>
      </c>
      <c r="P2525" s="26" t="s">
        <v>293</v>
      </c>
    </row>
    <row r="2526" spans="1:16" x14ac:dyDescent="0.3">
      <c r="A2526" s="24">
        <v>82</v>
      </c>
      <c r="B2526" s="102">
        <v>46161.342604166668</v>
      </c>
      <c r="C2526" s="25" t="s">
        <v>356</v>
      </c>
      <c r="D2526" s="103" t="s">
        <v>347</v>
      </c>
      <c r="E2526" s="26">
        <v>2.11</v>
      </c>
      <c r="F2526" s="26" t="s">
        <v>293</v>
      </c>
      <c r="K2526" s="24">
        <v>82</v>
      </c>
      <c r="L2526" s="102">
        <v>46161.349363425928</v>
      </c>
      <c r="M2526" s="25" t="s">
        <v>357</v>
      </c>
      <c r="N2526" s="103" t="s">
        <v>347</v>
      </c>
      <c r="O2526" s="26">
        <v>4.6900000000000004</v>
      </c>
      <c r="P2526" s="26" t="s">
        <v>293</v>
      </c>
    </row>
    <row r="2527" spans="1:16" x14ac:dyDescent="0.3">
      <c r="A2527" s="24">
        <v>82</v>
      </c>
      <c r="B2527" s="102">
        <v>46161.342604166668</v>
      </c>
      <c r="C2527" s="25" t="s">
        <v>356</v>
      </c>
      <c r="D2527" s="103" t="s">
        <v>128</v>
      </c>
      <c r="E2527" s="26">
        <v>7.2</v>
      </c>
      <c r="F2527" s="26" t="s">
        <v>293</v>
      </c>
      <c r="K2527" s="24">
        <v>82</v>
      </c>
      <c r="L2527" s="102">
        <v>46161.349363425928</v>
      </c>
      <c r="M2527" s="25" t="s">
        <v>357</v>
      </c>
      <c r="N2527" s="103" t="s">
        <v>128</v>
      </c>
      <c r="O2527" s="26">
        <v>4.4000000000000004</v>
      </c>
      <c r="P2527" s="26" t="s">
        <v>293</v>
      </c>
    </row>
    <row r="2528" spans="1:16" x14ac:dyDescent="0.3">
      <c r="A2528" s="24">
        <v>82</v>
      </c>
      <c r="B2528" s="102">
        <v>46161.342604166668</v>
      </c>
      <c r="C2528" s="25" t="s">
        <v>356</v>
      </c>
      <c r="D2528" s="103" t="s">
        <v>121</v>
      </c>
      <c r="E2528" s="26">
        <v>158</v>
      </c>
      <c r="F2528" s="26" t="s">
        <v>293</v>
      </c>
      <c r="K2528" s="24">
        <v>82</v>
      </c>
      <c r="L2528" s="102">
        <v>46161.349363425928</v>
      </c>
      <c r="M2528" s="25" t="s">
        <v>357</v>
      </c>
      <c r="N2528" s="103" t="s">
        <v>121</v>
      </c>
      <c r="O2528" s="26">
        <v>82</v>
      </c>
      <c r="P2528" s="26" t="s">
        <v>293</v>
      </c>
    </row>
    <row r="2529" spans="1:16" x14ac:dyDescent="0.3">
      <c r="A2529" s="24">
        <v>82</v>
      </c>
      <c r="B2529" s="102">
        <v>46161.342604166668</v>
      </c>
      <c r="C2529" s="25" t="s">
        <v>356</v>
      </c>
      <c r="D2529" s="103" t="s">
        <v>115</v>
      </c>
      <c r="E2529" s="26">
        <v>33</v>
      </c>
      <c r="F2529" s="26" t="s">
        <v>293</v>
      </c>
      <c r="K2529" s="24">
        <v>82</v>
      </c>
      <c r="L2529" s="102">
        <v>46161.349363425928</v>
      </c>
      <c r="M2529" s="25" t="s">
        <v>357</v>
      </c>
      <c r="N2529" s="103" t="s">
        <v>115</v>
      </c>
      <c r="O2529" s="26">
        <v>92</v>
      </c>
      <c r="P2529" s="26" t="s">
        <v>293</v>
      </c>
    </row>
    <row r="2530" spans="1:16" x14ac:dyDescent="0.3">
      <c r="A2530" s="24">
        <v>82</v>
      </c>
      <c r="B2530" s="102">
        <v>46161.342604166668</v>
      </c>
      <c r="C2530" s="25" t="s">
        <v>356</v>
      </c>
      <c r="D2530" s="103" t="s">
        <v>137</v>
      </c>
      <c r="E2530" s="26">
        <v>75</v>
      </c>
      <c r="F2530" s="26" t="s">
        <v>293</v>
      </c>
      <c r="K2530" s="24">
        <v>82</v>
      </c>
      <c r="L2530" s="102">
        <v>46161.349363425928</v>
      </c>
      <c r="M2530" s="25" t="s">
        <v>357</v>
      </c>
      <c r="N2530" s="103" t="s">
        <v>137</v>
      </c>
      <c r="O2530" s="26">
        <v>483</v>
      </c>
      <c r="P2530" s="26" t="s">
        <v>293</v>
      </c>
    </row>
    <row r="2531" spans="1:16" x14ac:dyDescent="0.3">
      <c r="A2531" s="24">
        <v>82</v>
      </c>
      <c r="B2531" s="102">
        <v>46161.342604166668</v>
      </c>
      <c r="C2531" s="25" t="s">
        <v>356</v>
      </c>
      <c r="D2531" s="103" t="s">
        <v>348</v>
      </c>
      <c r="E2531" s="26">
        <v>140</v>
      </c>
      <c r="F2531" s="26" t="s">
        <v>293</v>
      </c>
      <c r="K2531" s="24">
        <v>82</v>
      </c>
      <c r="L2531" s="102">
        <v>46161.349363425928</v>
      </c>
      <c r="M2531" s="25" t="s">
        <v>357</v>
      </c>
      <c r="N2531" s="103" t="s">
        <v>348</v>
      </c>
      <c r="O2531" s="26">
        <v>424</v>
      </c>
      <c r="P2531" s="26" t="s">
        <v>293</v>
      </c>
    </row>
    <row r="2532" spans="1:16" x14ac:dyDescent="0.3">
      <c r="A2532" s="24">
        <v>82</v>
      </c>
      <c r="B2532" s="102">
        <v>46161.342604166668</v>
      </c>
      <c r="C2532" s="25" t="s">
        <v>356</v>
      </c>
      <c r="D2532" s="103" t="s">
        <v>125</v>
      </c>
      <c r="E2532" s="26">
        <v>111</v>
      </c>
      <c r="F2532" s="26" t="s">
        <v>293</v>
      </c>
      <c r="K2532" s="24">
        <v>82</v>
      </c>
      <c r="L2532" s="102">
        <v>46161.349363425928</v>
      </c>
      <c r="M2532" s="25" t="s">
        <v>357</v>
      </c>
      <c r="N2532" s="103" t="s">
        <v>125</v>
      </c>
      <c r="O2532" s="26">
        <v>422</v>
      </c>
      <c r="P2532" s="26" t="s">
        <v>293</v>
      </c>
    </row>
    <row r="2533" spans="1:16" x14ac:dyDescent="0.3">
      <c r="A2533" s="24">
        <v>82</v>
      </c>
      <c r="B2533" s="102">
        <v>46161.342604166668</v>
      </c>
      <c r="C2533" s="25" t="s">
        <v>356</v>
      </c>
      <c r="D2533" s="103" t="s">
        <v>126</v>
      </c>
      <c r="E2533" s="26">
        <v>82</v>
      </c>
      <c r="F2533" s="26" t="s">
        <v>293</v>
      </c>
      <c r="K2533" s="24">
        <v>82</v>
      </c>
      <c r="L2533" s="102">
        <v>46161.349363425928</v>
      </c>
      <c r="M2533" s="25" t="s">
        <v>357</v>
      </c>
      <c r="N2533" s="103" t="s">
        <v>126</v>
      </c>
      <c r="O2533" s="26">
        <v>153</v>
      </c>
      <c r="P2533" s="26" t="s">
        <v>293</v>
      </c>
    </row>
    <row r="2534" spans="1:16" x14ac:dyDescent="0.3">
      <c r="A2534" s="24">
        <v>82</v>
      </c>
      <c r="B2534" s="102">
        <v>46161.342604166668</v>
      </c>
      <c r="C2534" s="25" t="s">
        <v>356</v>
      </c>
      <c r="D2534" s="103" t="s">
        <v>349</v>
      </c>
      <c r="E2534" s="26">
        <v>156</v>
      </c>
      <c r="F2534" s="26" t="s">
        <v>293</v>
      </c>
      <c r="K2534" s="24">
        <v>82</v>
      </c>
      <c r="L2534" s="102">
        <v>46161.349363425928</v>
      </c>
      <c r="M2534" s="25" t="s">
        <v>357</v>
      </c>
      <c r="N2534" s="103" t="s">
        <v>349</v>
      </c>
      <c r="O2534" s="26">
        <v>370</v>
      </c>
      <c r="P2534" s="26" t="s">
        <v>293</v>
      </c>
    </row>
    <row r="2535" spans="1:16" x14ac:dyDescent="0.3">
      <c r="A2535" s="24">
        <v>82</v>
      </c>
      <c r="B2535" s="102">
        <v>46161.342604166668</v>
      </c>
      <c r="C2535" s="25" t="s">
        <v>356</v>
      </c>
      <c r="D2535" s="103" t="s">
        <v>350</v>
      </c>
      <c r="E2535" s="26">
        <v>60</v>
      </c>
      <c r="F2535" s="26" t="s">
        <v>293</v>
      </c>
      <c r="K2535" s="24">
        <v>82</v>
      </c>
      <c r="L2535" s="102">
        <v>46161.349363425928</v>
      </c>
      <c r="M2535" s="25" t="s">
        <v>357</v>
      </c>
      <c r="N2535" s="103" t="s">
        <v>350</v>
      </c>
      <c r="O2535" s="26">
        <v>88</v>
      </c>
      <c r="P2535" s="26" t="s">
        <v>293</v>
      </c>
    </row>
    <row r="2536" spans="1:16" x14ac:dyDescent="0.3">
      <c r="A2536" s="24">
        <v>82</v>
      </c>
      <c r="B2536" s="102">
        <v>46161.342604166668</v>
      </c>
      <c r="C2536" s="25" t="s">
        <v>356</v>
      </c>
      <c r="D2536" s="103" t="s">
        <v>122</v>
      </c>
      <c r="E2536" s="26">
        <v>46</v>
      </c>
      <c r="F2536" s="26" t="s">
        <v>293</v>
      </c>
      <c r="K2536" s="24">
        <v>82</v>
      </c>
      <c r="L2536" s="102">
        <v>46161.349363425928</v>
      </c>
      <c r="M2536" s="25" t="s">
        <v>357</v>
      </c>
      <c r="N2536" s="103" t="s">
        <v>122</v>
      </c>
      <c r="O2536" s="26">
        <v>216</v>
      </c>
      <c r="P2536" s="26" t="s">
        <v>293</v>
      </c>
    </row>
    <row r="2537" spans="1:16" x14ac:dyDescent="0.3">
      <c r="A2537" s="24">
        <v>82</v>
      </c>
      <c r="B2537" s="102">
        <v>46161.342604166668</v>
      </c>
      <c r="C2537" s="25" t="s">
        <v>356</v>
      </c>
      <c r="D2537" s="103" t="s">
        <v>124</v>
      </c>
      <c r="E2537" s="26">
        <v>29</v>
      </c>
      <c r="F2537" s="26" t="s">
        <v>293</v>
      </c>
      <c r="K2537" s="24">
        <v>82</v>
      </c>
      <c r="L2537" s="102">
        <v>46161.349363425928</v>
      </c>
      <c r="M2537" s="25" t="s">
        <v>357</v>
      </c>
      <c r="N2537" s="103" t="s">
        <v>124</v>
      </c>
      <c r="O2537" s="26">
        <v>103</v>
      </c>
      <c r="P2537" s="26" t="s">
        <v>293</v>
      </c>
    </row>
    <row r="2538" spans="1:16" x14ac:dyDescent="0.3">
      <c r="A2538" s="24">
        <v>82</v>
      </c>
      <c r="B2538" s="102">
        <v>46161.342604166668</v>
      </c>
      <c r="C2538" s="25" t="s">
        <v>356</v>
      </c>
      <c r="D2538" s="103" t="s">
        <v>351</v>
      </c>
      <c r="E2538" s="26">
        <v>1.01</v>
      </c>
      <c r="F2538" s="26" t="s">
        <v>293</v>
      </c>
      <c r="K2538" s="24">
        <v>82</v>
      </c>
      <c r="L2538" s="102">
        <v>46161.349363425928</v>
      </c>
      <c r="M2538" s="25" t="s">
        <v>357</v>
      </c>
      <c r="N2538" s="103" t="s">
        <v>351</v>
      </c>
      <c r="O2538" s="26">
        <v>3.71</v>
      </c>
      <c r="P2538" s="26" t="s">
        <v>293</v>
      </c>
    </row>
    <row r="2539" spans="1:16" x14ac:dyDescent="0.3">
      <c r="A2539" s="24">
        <v>82</v>
      </c>
      <c r="B2539" s="102">
        <v>46161.342604166668</v>
      </c>
      <c r="C2539" s="25" t="s">
        <v>356</v>
      </c>
      <c r="D2539" s="103" t="s">
        <v>353</v>
      </c>
      <c r="E2539" s="26">
        <v>34.5</v>
      </c>
      <c r="F2539" s="26" t="s">
        <v>293</v>
      </c>
      <c r="K2539" s="24">
        <v>82</v>
      </c>
      <c r="L2539" s="102">
        <v>46161.349363425928</v>
      </c>
      <c r="M2539" s="25" t="s">
        <v>357</v>
      </c>
      <c r="N2539" s="103" t="s">
        <v>353</v>
      </c>
      <c r="O2539" s="26">
        <v>22.5</v>
      </c>
      <c r="P2539" s="26" t="s">
        <v>293</v>
      </c>
    </row>
    <row r="2540" spans="1:16" x14ac:dyDescent="0.3">
      <c r="A2540" s="24">
        <v>82</v>
      </c>
      <c r="B2540" s="102">
        <v>46161.342604166668</v>
      </c>
      <c r="C2540" s="25" t="s">
        <v>356</v>
      </c>
      <c r="D2540" s="103" t="s">
        <v>133</v>
      </c>
      <c r="E2540" s="26">
        <v>151</v>
      </c>
      <c r="F2540" s="26" t="s">
        <v>293</v>
      </c>
      <c r="K2540" s="24">
        <v>82</v>
      </c>
      <c r="L2540" s="102">
        <v>46161.349363425928</v>
      </c>
      <c r="M2540" s="25" t="s">
        <v>357</v>
      </c>
      <c r="N2540" s="103" t="s">
        <v>133</v>
      </c>
      <c r="O2540" s="26">
        <v>127</v>
      </c>
      <c r="P2540" s="26" t="s">
        <v>293</v>
      </c>
    </row>
    <row r="2541" spans="1:16" x14ac:dyDescent="0.3">
      <c r="A2541" s="24">
        <v>82</v>
      </c>
      <c r="B2541" s="102">
        <v>46161.342604166668</v>
      </c>
      <c r="C2541" s="25" t="s">
        <v>356</v>
      </c>
      <c r="D2541" s="103" t="s">
        <v>135</v>
      </c>
      <c r="E2541" s="26">
        <v>3.9</v>
      </c>
      <c r="F2541" s="26" t="s">
        <v>293</v>
      </c>
      <c r="K2541" s="24">
        <v>82</v>
      </c>
      <c r="L2541" s="102">
        <v>46161.349363425928</v>
      </c>
      <c r="M2541" s="25" t="s">
        <v>357</v>
      </c>
      <c r="N2541" s="103" t="s">
        <v>135</v>
      </c>
      <c r="O2541" s="26">
        <v>6.5</v>
      </c>
      <c r="P2541" s="26" t="s">
        <v>293</v>
      </c>
    </row>
    <row r="2542" spans="1:16" x14ac:dyDescent="0.3">
      <c r="A2542" s="24">
        <v>82</v>
      </c>
      <c r="B2542" s="102">
        <v>46161.342604166668</v>
      </c>
      <c r="C2542" s="25" t="s">
        <v>356</v>
      </c>
      <c r="D2542" s="103" t="s">
        <v>136</v>
      </c>
      <c r="E2542" s="26">
        <v>124</v>
      </c>
      <c r="F2542" s="26" t="s">
        <v>293</v>
      </c>
      <c r="K2542" s="24">
        <v>82</v>
      </c>
      <c r="L2542" s="102">
        <v>46161.349363425928</v>
      </c>
      <c r="M2542" s="25" t="s">
        <v>357</v>
      </c>
      <c r="N2542" s="103" t="s">
        <v>136</v>
      </c>
      <c r="O2542" s="26">
        <v>96</v>
      </c>
      <c r="P2542" s="26" t="s">
        <v>293</v>
      </c>
    </row>
    <row r="2543" spans="1:16" x14ac:dyDescent="0.3">
      <c r="A2543" s="24">
        <v>83</v>
      </c>
      <c r="B2543" s="102">
        <v>46162</v>
      </c>
      <c r="C2543" s="25" t="s">
        <v>356</v>
      </c>
      <c r="D2543" s="103" t="s">
        <v>339</v>
      </c>
      <c r="E2543" s="26">
        <v>4.53</v>
      </c>
      <c r="F2543" s="26" t="s">
        <v>293</v>
      </c>
      <c r="K2543" s="24">
        <v>83</v>
      </c>
      <c r="L2543" s="102">
        <v>46162</v>
      </c>
      <c r="M2543" s="25" t="s">
        <v>357</v>
      </c>
      <c r="N2543" s="103" t="s">
        <v>339</v>
      </c>
      <c r="O2543" s="26">
        <v>1.1000000000000001</v>
      </c>
      <c r="P2543" s="26" t="s">
        <v>293</v>
      </c>
    </row>
    <row r="2544" spans="1:16" x14ac:dyDescent="0.3">
      <c r="A2544" s="24">
        <v>83</v>
      </c>
      <c r="B2544" s="102">
        <v>46162</v>
      </c>
      <c r="C2544" s="25" t="s">
        <v>356</v>
      </c>
      <c r="D2544" s="103" t="s">
        <v>118</v>
      </c>
      <c r="E2544" s="26">
        <v>4.5</v>
      </c>
      <c r="F2544" s="26" t="s">
        <v>293</v>
      </c>
      <c r="K2544" s="24">
        <v>83</v>
      </c>
      <c r="L2544" s="102">
        <v>46162</v>
      </c>
      <c r="M2544" s="25" t="s">
        <v>357</v>
      </c>
      <c r="N2544" s="103" t="s">
        <v>118</v>
      </c>
      <c r="O2544" s="26">
        <v>9.5</v>
      </c>
      <c r="P2544" s="26" t="s">
        <v>293</v>
      </c>
    </row>
    <row r="2545" spans="1:16" x14ac:dyDescent="0.3">
      <c r="A2545" s="24">
        <v>83</v>
      </c>
      <c r="B2545" s="102">
        <v>46162</v>
      </c>
      <c r="C2545" s="25" t="s">
        <v>356</v>
      </c>
      <c r="D2545" s="103" t="s">
        <v>130</v>
      </c>
      <c r="E2545" s="26">
        <v>3.81</v>
      </c>
      <c r="F2545" s="26" t="s">
        <v>293</v>
      </c>
      <c r="K2545" s="24">
        <v>83</v>
      </c>
      <c r="L2545" s="102">
        <v>46162</v>
      </c>
      <c r="M2545" s="25" t="s">
        <v>357</v>
      </c>
      <c r="N2545" s="103" t="s">
        <v>130</v>
      </c>
      <c r="O2545" s="26">
        <v>2.39</v>
      </c>
      <c r="P2545" s="26" t="s">
        <v>293</v>
      </c>
    </row>
    <row r="2546" spans="1:16" x14ac:dyDescent="0.3">
      <c r="A2546" s="24">
        <v>83</v>
      </c>
      <c r="B2546" s="102">
        <v>46162</v>
      </c>
      <c r="C2546" s="25" t="s">
        <v>356</v>
      </c>
      <c r="D2546" s="103" t="s">
        <v>341</v>
      </c>
      <c r="E2546" s="26">
        <v>0.30499999999999999</v>
      </c>
      <c r="F2546" s="26" t="s">
        <v>293</v>
      </c>
      <c r="K2546" s="24">
        <v>83</v>
      </c>
      <c r="L2546" s="102">
        <v>46162</v>
      </c>
      <c r="M2546" s="25" t="s">
        <v>357</v>
      </c>
      <c r="N2546" s="103" t="s">
        <v>341</v>
      </c>
      <c r="O2546" s="26">
        <v>1.206</v>
      </c>
      <c r="P2546" s="26" t="s">
        <v>293</v>
      </c>
    </row>
    <row r="2547" spans="1:16" x14ac:dyDescent="0.3">
      <c r="A2547" s="24">
        <v>83</v>
      </c>
      <c r="B2547" s="102">
        <v>46162</v>
      </c>
      <c r="C2547" s="25" t="s">
        <v>356</v>
      </c>
      <c r="D2547" s="103" t="s">
        <v>127</v>
      </c>
      <c r="E2547" s="26">
        <v>1.22</v>
      </c>
      <c r="F2547" s="26" t="s">
        <v>293</v>
      </c>
      <c r="K2547" s="24">
        <v>83</v>
      </c>
      <c r="L2547" s="102">
        <v>46162</v>
      </c>
      <c r="M2547" s="25" t="s">
        <v>357</v>
      </c>
      <c r="N2547" s="103" t="s">
        <v>127</v>
      </c>
      <c r="O2547" s="26">
        <v>4.6989999999999998</v>
      </c>
      <c r="P2547" s="26" t="s">
        <v>293</v>
      </c>
    </row>
    <row r="2548" spans="1:16" x14ac:dyDescent="0.3">
      <c r="A2548" s="24">
        <v>83</v>
      </c>
      <c r="B2548" s="102">
        <v>46162</v>
      </c>
      <c r="C2548" s="25" t="s">
        <v>356</v>
      </c>
      <c r="D2548" s="103" t="s">
        <v>131</v>
      </c>
      <c r="E2548" s="26">
        <v>8.6</v>
      </c>
      <c r="F2548" s="26" t="s">
        <v>293</v>
      </c>
      <c r="K2548" s="24">
        <v>83</v>
      </c>
      <c r="L2548" s="102">
        <v>46162</v>
      </c>
      <c r="M2548" s="25" t="s">
        <v>357</v>
      </c>
      <c r="N2548" s="103" t="s">
        <v>131</v>
      </c>
      <c r="O2548" s="26">
        <v>11.7</v>
      </c>
      <c r="P2548" s="26" t="s">
        <v>293</v>
      </c>
    </row>
    <row r="2549" spans="1:16" x14ac:dyDescent="0.3">
      <c r="A2549" s="24">
        <v>83</v>
      </c>
      <c r="B2549" s="102">
        <v>46162</v>
      </c>
      <c r="C2549" s="25" t="s">
        <v>356</v>
      </c>
      <c r="D2549" s="103" t="s">
        <v>342</v>
      </c>
      <c r="E2549" s="26">
        <v>305</v>
      </c>
      <c r="F2549" s="26" t="s">
        <v>293</v>
      </c>
      <c r="K2549" s="24">
        <v>83</v>
      </c>
      <c r="L2549" s="102">
        <v>46162</v>
      </c>
      <c r="M2549" s="25" t="s">
        <v>357</v>
      </c>
      <c r="N2549" s="103" t="s">
        <v>342</v>
      </c>
      <c r="O2549" s="26">
        <v>182</v>
      </c>
      <c r="P2549" s="26" t="s">
        <v>293</v>
      </c>
    </row>
    <row r="2550" spans="1:16" x14ac:dyDescent="0.3">
      <c r="A2550" s="24">
        <v>83</v>
      </c>
      <c r="B2550" s="102">
        <v>46162</v>
      </c>
      <c r="C2550" s="25" t="s">
        <v>356</v>
      </c>
      <c r="D2550" s="103" t="s">
        <v>119</v>
      </c>
      <c r="E2550" s="26">
        <v>246</v>
      </c>
      <c r="F2550" s="26" t="s">
        <v>293</v>
      </c>
      <c r="K2550" s="24">
        <v>83</v>
      </c>
      <c r="L2550" s="102">
        <v>46162</v>
      </c>
      <c r="M2550" s="25" t="s">
        <v>357</v>
      </c>
      <c r="N2550" s="103" t="s">
        <v>119</v>
      </c>
      <c r="O2550" s="26">
        <v>91</v>
      </c>
      <c r="P2550" s="26" t="s">
        <v>293</v>
      </c>
    </row>
    <row r="2551" spans="1:16" x14ac:dyDescent="0.3">
      <c r="A2551" s="24">
        <v>83</v>
      </c>
      <c r="B2551" s="102">
        <v>46162</v>
      </c>
      <c r="C2551" s="25" t="s">
        <v>356</v>
      </c>
      <c r="D2551" s="103" t="s">
        <v>120</v>
      </c>
      <c r="E2551" s="26">
        <v>77</v>
      </c>
      <c r="F2551" s="26" t="s">
        <v>293</v>
      </c>
      <c r="K2551" s="24">
        <v>83</v>
      </c>
      <c r="L2551" s="102">
        <v>46162</v>
      </c>
      <c r="M2551" s="25" t="s">
        <v>357</v>
      </c>
      <c r="N2551" s="103" t="s">
        <v>120</v>
      </c>
      <c r="O2551" s="26">
        <v>27</v>
      </c>
      <c r="P2551" s="26" t="s">
        <v>293</v>
      </c>
    </row>
    <row r="2552" spans="1:16" x14ac:dyDescent="0.3">
      <c r="A2552" s="24">
        <v>83</v>
      </c>
      <c r="B2552" s="102">
        <v>46162</v>
      </c>
      <c r="C2552" s="25" t="s">
        <v>356</v>
      </c>
      <c r="D2552" s="103" t="s">
        <v>117</v>
      </c>
      <c r="E2552" s="26">
        <v>2.7</v>
      </c>
      <c r="F2552" s="26" t="s">
        <v>293</v>
      </c>
      <c r="K2552" s="24">
        <v>83</v>
      </c>
      <c r="L2552" s="102">
        <v>46162</v>
      </c>
      <c r="M2552" s="25" t="s">
        <v>357</v>
      </c>
      <c r="N2552" s="103" t="s">
        <v>117</v>
      </c>
      <c r="O2552" s="26">
        <v>6.37</v>
      </c>
      <c r="P2552" s="26" t="s">
        <v>293</v>
      </c>
    </row>
    <row r="2553" spans="1:16" x14ac:dyDescent="0.3">
      <c r="A2553" s="24">
        <v>83</v>
      </c>
      <c r="B2553" s="102">
        <v>46162</v>
      </c>
      <c r="C2553" s="25" t="s">
        <v>356</v>
      </c>
      <c r="D2553" s="103" t="s">
        <v>344</v>
      </c>
      <c r="E2553" s="26">
        <v>230</v>
      </c>
      <c r="F2553" s="26" t="s">
        <v>293</v>
      </c>
      <c r="K2553" s="24">
        <v>83</v>
      </c>
      <c r="L2553" s="102">
        <v>46162</v>
      </c>
      <c r="M2553" s="25" t="s">
        <v>357</v>
      </c>
      <c r="N2553" s="103" t="s">
        <v>344</v>
      </c>
      <c r="O2553" s="26">
        <v>71</v>
      </c>
      <c r="P2553" s="26" t="s">
        <v>293</v>
      </c>
    </row>
    <row r="2554" spans="1:16" x14ac:dyDescent="0.3">
      <c r="A2554" s="24">
        <v>83</v>
      </c>
      <c r="B2554" s="102">
        <v>46162</v>
      </c>
      <c r="C2554" s="25" t="s">
        <v>356</v>
      </c>
      <c r="D2554" s="103" t="s">
        <v>132</v>
      </c>
      <c r="E2554" s="26">
        <v>3.49</v>
      </c>
      <c r="F2554" s="26" t="s">
        <v>293</v>
      </c>
      <c r="K2554" s="24">
        <v>83</v>
      </c>
      <c r="L2554" s="102">
        <v>46162</v>
      </c>
      <c r="M2554" s="25" t="s">
        <v>357</v>
      </c>
      <c r="N2554" s="103" t="s">
        <v>132</v>
      </c>
      <c r="O2554" s="26">
        <v>7.1</v>
      </c>
      <c r="P2554" s="26" t="s">
        <v>293</v>
      </c>
    </row>
    <row r="2555" spans="1:16" x14ac:dyDescent="0.3">
      <c r="A2555" s="24">
        <v>83</v>
      </c>
      <c r="B2555" s="102">
        <v>46162</v>
      </c>
      <c r="C2555" s="25" t="s">
        <v>356</v>
      </c>
      <c r="D2555" s="103" t="s">
        <v>111</v>
      </c>
      <c r="E2555" s="26">
        <v>86</v>
      </c>
      <c r="F2555" s="26" t="s">
        <v>293</v>
      </c>
      <c r="K2555" s="24">
        <v>83</v>
      </c>
      <c r="L2555" s="102">
        <v>46162</v>
      </c>
      <c r="M2555" s="25" t="s">
        <v>357</v>
      </c>
      <c r="N2555" s="103" t="s">
        <v>111</v>
      </c>
      <c r="O2555" s="26">
        <v>281</v>
      </c>
      <c r="P2555" s="26" t="s">
        <v>293</v>
      </c>
    </row>
    <row r="2556" spans="1:16" x14ac:dyDescent="0.3">
      <c r="A2556" s="24">
        <v>83</v>
      </c>
      <c r="B2556" s="102">
        <v>46162</v>
      </c>
      <c r="C2556" s="25" t="s">
        <v>356</v>
      </c>
      <c r="D2556" s="103" t="s">
        <v>345</v>
      </c>
      <c r="E2556" s="26">
        <v>5.27</v>
      </c>
      <c r="F2556" s="26" t="s">
        <v>293</v>
      </c>
      <c r="K2556" s="24">
        <v>83</v>
      </c>
      <c r="L2556" s="102">
        <v>46162</v>
      </c>
      <c r="M2556" s="25" t="s">
        <v>357</v>
      </c>
      <c r="N2556" s="103" t="s">
        <v>345</v>
      </c>
      <c r="O2556" s="26">
        <v>5.27</v>
      </c>
      <c r="P2556" s="26" t="s">
        <v>293</v>
      </c>
    </row>
    <row r="2557" spans="1:16" x14ac:dyDescent="0.3">
      <c r="A2557" s="24">
        <v>83</v>
      </c>
      <c r="B2557" s="102">
        <v>46162</v>
      </c>
      <c r="C2557" s="25" t="s">
        <v>356</v>
      </c>
      <c r="D2557" s="103" t="s">
        <v>347</v>
      </c>
      <c r="E2557" s="26">
        <v>1.98</v>
      </c>
      <c r="F2557" s="26" t="s">
        <v>293</v>
      </c>
      <c r="K2557" s="24">
        <v>83</v>
      </c>
      <c r="L2557" s="102">
        <v>46162</v>
      </c>
      <c r="M2557" s="25" t="s">
        <v>357</v>
      </c>
      <c r="N2557" s="103" t="s">
        <v>347</v>
      </c>
      <c r="O2557" s="26">
        <v>4.49</v>
      </c>
      <c r="P2557" s="26" t="s">
        <v>293</v>
      </c>
    </row>
    <row r="2558" spans="1:16" x14ac:dyDescent="0.3">
      <c r="A2558" s="24">
        <v>83</v>
      </c>
      <c r="B2558" s="102">
        <v>46162</v>
      </c>
      <c r="C2558" s="25" t="s">
        <v>356</v>
      </c>
      <c r="D2558" s="103" t="s">
        <v>128</v>
      </c>
      <c r="E2558" s="26">
        <v>7.1</v>
      </c>
      <c r="F2558" s="26" t="s">
        <v>293</v>
      </c>
      <c r="K2558" s="24">
        <v>83</v>
      </c>
      <c r="L2558" s="102">
        <v>46162</v>
      </c>
      <c r="M2558" s="25" t="s">
        <v>357</v>
      </c>
      <c r="N2558" s="103" t="s">
        <v>128</v>
      </c>
      <c r="O2558" s="26">
        <v>4.5999999999999996</v>
      </c>
      <c r="P2558" s="26" t="s">
        <v>293</v>
      </c>
    </row>
    <row r="2559" spans="1:16" x14ac:dyDescent="0.3">
      <c r="A2559" s="24">
        <v>83</v>
      </c>
      <c r="B2559" s="102">
        <v>46162</v>
      </c>
      <c r="C2559" s="25" t="s">
        <v>356</v>
      </c>
      <c r="D2559" s="103" t="s">
        <v>121</v>
      </c>
      <c r="E2559" s="26">
        <v>162</v>
      </c>
      <c r="F2559" s="26" t="s">
        <v>293</v>
      </c>
      <c r="K2559" s="24">
        <v>83</v>
      </c>
      <c r="L2559" s="102">
        <v>46162</v>
      </c>
      <c r="M2559" s="25" t="s">
        <v>357</v>
      </c>
      <c r="N2559" s="103" t="s">
        <v>121</v>
      </c>
      <c r="O2559" s="26">
        <v>78</v>
      </c>
      <c r="P2559" s="26" t="s">
        <v>293</v>
      </c>
    </row>
    <row r="2560" spans="1:16" x14ac:dyDescent="0.3">
      <c r="A2560" s="24">
        <v>83</v>
      </c>
      <c r="B2560" s="102">
        <v>46162</v>
      </c>
      <c r="C2560" s="25" t="s">
        <v>356</v>
      </c>
      <c r="D2560" s="103" t="s">
        <v>115</v>
      </c>
      <c r="E2560" s="26">
        <v>35</v>
      </c>
      <c r="F2560" s="26" t="s">
        <v>293</v>
      </c>
      <c r="K2560" s="24">
        <v>83</v>
      </c>
      <c r="L2560" s="102">
        <v>46162</v>
      </c>
      <c r="M2560" s="25" t="s">
        <v>357</v>
      </c>
      <c r="N2560" s="103" t="s">
        <v>115</v>
      </c>
      <c r="O2560" s="26">
        <v>94</v>
      </c>
      <c r="P2560" s="26" t="s">
        <v>293</v>
      </c>
    </row>
    <row r="2561" spans="1:16" x14ac:dyDescent="0.3">
      <c r="A2561" s="24">
        <v>83</v>
      </c>
      <c r="B2561" s="102">
        <v>46162</v>
      </c>
      <c r="C2561" s="25" t="s">
        <v>356</v>
      </c>
      <c r="D2561" s="103" t="s">
        <v>137</v>
      </c>
      <c r="E2561" s="26">
        <v>74</v>
      </c>
      <c r="F2561" s="26" t="s">
        <v>293</v>
      </c>
      <c r="K2561" s="24">
        <v>83</v>
      </c>
      <c r="L2561" s="102">
        <v>46162</v>
      </c>
      <c r="M2561" s="25" t="s">
        <v>357</v>
      </c>
      <c r="N2561" s="103" t="s">
        <v>137</v>
      </c>
      <c r="O2561" s="26">
        <v>483</v>
      </c>
      <c r="P2561" s="26" t="s">
        <v>293</v>
      </c>
    </row>
    <row r="2562" spans="1:16" x14ac:dyDescent="0.3">
      <c r="A2562" s="24">
        <v>83</v>
      </c>
      <c r="B2562" s="102">
        <v>46162</v>
      </c>
      <c r="C2562" s="25" t="s">
        <v>356</v>
      </c>
      <c r="D2562" s="103" t="s">
        <v>348</v>
      </c>
      <c r="E2562" s="26">
        <v>138</v>
      </c>
      <c r="F2562" s="26" t="s">
        <v>293</v>
      </c>
      <c r="K2562" s="24">
        <v>83</v>
      </c>
      <c r="L2562" s="102">
        <v>46162</v>
      </c>
      <c r="M2562" s="25" t="s">
        <v>357</v>
      </c>
      <c r="N2562" s="103" t="s">
        <v>348</v>
      </c>
      <c r="O2562" s="26">
        <v>422</v>
      </c>
      <c r="P2562" s="26" t="s">
        <v>293</v>
      </c>
    </row>
    <row r="2563" spans="1:16" x14ac:dyDescent="0.3">
      <c r="A2563" s="24">
        <v>83</v>
      </c>
      <c r="B2563" s="102">
        <v>46162</v>
      </c>
      <c r="C2563" s="25" t="s">
        <v>356</v>
      </c>
      <c r="D2563" s="103" t="s">
        <v>125</v>
      </c>
      <c r="E2563" s="26">
        <v>120</v>
      </c>
      <c r="F2563" s="26" t="s">
        <v>293</v>
      </c>
      <c r="K2563" s="24">
        <v>83</v>
      </c>
      <c r="L2563" s="102">
        <v>46162</v>
      </c>
      <c r="M2563" s="25" t="s">
        <v>357</v>
      </c>
      <c r="N2563" s="103" t="s">
        <v>125</v>
      </c>
      <c r="O2563" s="26">
        <v>430</v>
      </c>
      <c r="P2563" s="26" t="s">
        <v>293</v>
      </c>
    </row>
    <row r="2564" spans="1:16" x14ac:dyDescent="0.3">
      <c r="A2564" s="24">
        <v>83</v>
      </c>
      <c r="B2564" s="102">
        <v>46162</v>
      </c>
      <c r="C2564" s="25" t="s">
        <v>356</v>
      </c>
      <c r="D2564" s="103" t="s">
        <v>126</v>
      </c>
      <c r="E2564" s="26">
        <v>81</v>
      </c>
      <c r="F2564" s="26" t="s">
        <v>293</v>
      </c>
      <c r="K2564" s="24">
        <v>83</v>
      </c>
      <c r="L2564" s="102">
        <v>46162</v>
      </c>
      <c r="M2564" s="25" t="s">
        <v>357</v>
      </c>
      <c r="N2564" s="103" t="s">
        <v>126</v>
      </c>
      <c r="O2564" s="26">
        <v>154</v>
      </c>
      <c r="P2564" s="26" t="s">
        <v>293</v>
      </c>
    </row>
    <row r="2565" spans="1:16" x14ac:dyDescent="0.3">
      <c r="A2565" s="24">
        <v>83</v>
      </c>
      <c r="B2565" s="102">
        <v>46162</v>
      </c>
      <c r="C2565" s="25" t="s">
        <v>356</v>
      </c>
      <c r="D2565" s="103" t="s">
        <v>349</v>
      </c>
      <c r="E2565" s="26">
        <v>147</v>
      </c>
      <c r="F2565" s="26" t="s">
        <v>293</v>
      </c>
      <c r="K2565" s="24">
        <v>83</v>
      </c>
      <c r="L2565" s="102">
        <v>46162</v>
      </c>
      <c r="M2565" s="25" t="s">
        <v>357</v>
      </c>
      <c r="N2565" s="103" t="s">
        <v>349</v>
      </c>
      <c r="O2565" s="26">
        <v>361</v>
      </c>
      <c r="P2565" s="26" t="s">
        <v>293</v>
      </c>
    </row>
    <row r="2566" spans="1:16" x14ac:dyDescent="0.3">
      <c r="A2566" s="24">
        <v>83</v>
      </c>
      <c r="B2566" s="102">
        <v>46162</v>
      </c>
      <c r="C2566" s="25" t="s">
        <v>356</v>
      </c>
      <c r="D2566" s="103" t="s">
        <v>350</v>
      </c>
      <c r="E2566" s="26">
        <v>60</v>
      </c>
      <c r="F2566" s="26" t="s">
        <v>293</v>
      </c>
      <c r="K2566" s="24">
        <v>83</v>
      </c>
      <c r="L2566" s="102">
        <v>46162</v>
      </c>
      <c r="M2566" s="25" t="s">
        <v>357</v>
      </c>
      <c r="N2566" s="103" t="s">
        <v>350</v>
      </c>
      <c r="O2566" s="26">
        <v>86</v>
      </c>
      <c r="P2566" s="26" t="s">
        <v>293</v>
      </c>
    </row>
    <row r="2567" spans="1:16" x14ac:dyDescent="0.3">
      <c r="A2567" s="24">
        <v>83</v>
      </c>
      <c r="B2567" s="102">
        <v>46162</v>
      </c>
      <c r="C2567" s="25" t="s">
        <v>356</v>
      </c>
      <c r="D2567" s="103" t="s">
        <v>122</v>
      </c>
      <c r="E2567" s="26">
        <v>45</v>
      </c>
      <c r="F2567" s="26" t="s">
        <v>293</v>
      </c>
      <c r="K2567" s="24">
        <v>83</v>
      </c>
      <c r="L2567" s="102">
        <v>46162</v>
      </c>
      <c r="M2567" s="25" t="s">
        <v>357</v>
      </c>
      <c r="N2567" s="103" t="s">
        <v>122</v>
      </c>
      <c r="O2567" s="26">
        <v>219</v>
      </c>
      <c r="P2567" s="26" t="s">
        <v>293</v>
      </c>
    </row>
    <row r="2568" spans="1:16" x14ac:dyDescent="0.3">
      <c r="A2568" s="24">
        <v>83</v>
      </c>
      <c r="B2568" s="102">
        <v>46162</v>
      </c>
      <c r="C2568" s="25" t="s">
        <v>356</v>
      </c>
      <c r="D2568" s="103" t="s">
        <v>124</v>
      </c>
      <c r="E2568" s="26">
        <v>29</v>
      </c>
      <c r="F2568" s="26" t="s">
        <v>293</v>
      </c>
      <c r="K2568" s="24">
        <v>83</v>
      </c>
      <c r="L2568" s="102">
        <v>46162</v>
      </c>
      <c r="M2568" s="25" t="s">
        <v>357</v>
      </c>
      <c r="N2568" s="103" t="s">
        <v>124</v>
      </c>
      <c r="O2568" s="26">
        <v>100</v>
      </c>
      <c r="P2568" s="26" t="s">
        <v>293</v>
      </c>
    </row>
    <row r="2569" spans="1:16" x14ac:dyDescent="0.3">
      <c r="A2569" s="24">
        <v>83</v>
      </c>
      <c r="B2569" s="102">
        <v>46162</v>
      </c>
      <c r="C2569" s="25" t="s">
        <v>356</v>
      </c>
      <c r="D2569" s="103" t="s">
        <v>351</v>
      </c>
      <c r="E2569" s="26">
        <v>0.99</v>
      </c>
      <c r="F2569" s="26" t="s">
        <v>293</v>
      </c>
      <c r="K2569" s="24">
        <v>83</v>
      </c>
      <c r="L2569" s="102">
        <v>46162</v>
      </c>
      <c r="M2569" s="25" t="s">
        <v>357</v>
      </c>
      <c r="N2569" s="103" t="s">
        <v>351</v>
      </c>
      <c r="O2569" s="26">
        <v>3.77</v>
      </c>
      <c r="P2569" s="26" t="s">
        <v>293</v>
      </c>
    </row>
    <row r="2570" spans="1:16" x14ac:dyDescent="0.3">
      <c r="A2570" s="24">
        <v>83</v>
      </c>
      <c r="B2570" s="102">
        <v>46162</v>
      </c>
      <c r="C2570" s="25" t="s">
        <v>356</v>
      </c>
      <c r="D2570" s="103" t="s">
        <v>353</v>
      </c>
      <c r="E2570" s="26">
        <v>31</v>
      </c>
      <c r="F2570" s="26" t="s">
        <v>293</v>
      </c>
      <c r="K2570" s="24">
        <v>83</v>
      </c>
      <c r="L2570" s="102">
        <v>46162</v>
      </c>
      <c r="M2570" s="25" t="s">
        <v>357</v>
      </c>
      <c r="N2570" s="103" t="s">
        <v>353</v>
      </c>
      <c r="O2570" s="26">
        <v>16</v>
      </c>
      <c r="P2570" s="26" t="s">
        <v>293</v>
      </c>
    </row>
    <row r="2571" spans="1:16" x14ac:dyDescent="0.3">
      <c r="A2571" s="24">
        <v>83</v>
      </c>
      <c r="B2571" s="102">
        <v>46162</v>
      </c>
      <c r="C2571" s="25" t="s">
        <v>356</v>
      </c>
      <c r="D2571" s="103" t="s">
        <v>133</v>
      </c>
      <c r="E2571" s="26">
        <v>147</v>
      </c>
      <c r="F2571" s="26" t="s">
        <v>293</v>
      </c>
      <c r="K2571" s="24">
        <v>83</v>
      </c>
      <c r="L2571" s="102">
        <v>46162</v>
      </c>
      <c r="M2571" s="25" t="s">
        <v>357</v>
      </c>
      <c r="N2571" s="103" t="s">
        <v>133</v>
      </c>
      <c r="O2571" s="26">
        <v>128</v>
      </c>
      <c r="P2571" s="26" t="s">
        <v>293</v>
      </c>
    </row>
    <row r="2572" spans="1:16" x14ac:dyDescent="0.3">
      <c r="A2572" s="24">
        <v>83</v>
      </c>
      <c r="B2572" s="102">
        <v>46162</v>
      </c>
      <c r="C2572" s="25" t="s">
        <v>356</v>
      </c>
      <c r="D2572" s="103" t="s">
        <v>135</v>
      </c>
      <c r="E2572" s="26">
        <v>3.8</v>
      </c>
      <c r="F2572" s="26" t="s">
        <v>293</v>
      </c>
      <c r="K2572" s="24">
        <v>83</v>
      </c>
      <c r="L2572" s="102">
        <v>46162</v>
      </c>
      <c r="M2572" s="25" t="s">
        <v>357</v>
      </c>
      <c r="N2572" s="103" t="s">
        <v>135</v>
      </c>
      <c r="O2572" s="26">
        <v>6.6</v>
      </c>
      <c r="P2572" s="26" t="s">
        <v>293</v>
      </c>
    </row>
    <row r="2573" spans="1:16" x14ac:dyDescent="0.3">
      <c r="A2573" s="24">
        <v>83</v>
      </c>
      <c r="B2573" s="102">
        <v>46162</v>
      </c>
      <c r="C2573" s="25" t="s">
        <v>356</v>
      </c>
      <c r="D2573" s="103" t="s">
        <v>136</v>
      </c>
      <c r="E2573" s="26">
        <v>118</v>
      </c>
      <c r="F2573" s="26" t="s">
        <v>293</v>
      </c>
      <c r="K2573" s="24">
        <v>83</v>
      </c>
      <c r="L2573" s="102">
        <v>46162</v>
      </c>
      <c r="M2573" s="25" t="s">
        <v>357</v>
      </c>
      <c r="N2573" s="103" t="s">
        <v>136</v>
      </c>
      <c r="O2573" s="26">
        <v>93</v>
      </c>
      <c r="P2573" s="26" t="s">
        <v>293</v>
      </c>
    </row>
    <row r="2574" spans="1:16" x14ac:dyDescent="0.3">
      <c r="A2574" s="24">
        <v>84</v>
      </c>
      <c r="B2574" s="102">
        <v>46163.369456018518</v>
      </c>
      <c r="C2574" s="25" t="s">
        <v>356</v>
      </c>
      <c r="D2574" s="103" t="s">
        <v>339</v>
      </c>
      <c r="E2574" s="26">
        <v>4.91</v>
      </c>
      <c r="F2574" s="26" t="s">
        <v>293</v>
      </c>
      <c r="K2574" s="24">
        <v>84</v>
      </c>
      <c r="L2574" s="102">
        <v>46163.37704861111</v>
      </c>
      <c r="M2574" s="25" t="s">
        <v>357</v>
      </c>
      <c r="N2574" s="103" t="s">
        <v>339</v>
      </c>
      <c r="O2574" s="26">
        <v>1.37</v>
      </c>
      <c r="P2574" s="26" t="s">
        <v>293</v>
      </c>
    </row>
    <row r="2575" spans="1:16" x14ac:dyDescent="0.3">
      <c r="A2575" s="24">
        <v>84</v>
      </c>
      <c r="B2575" s="102">
        <v>46163.369456018518</v>
      </c>
      <c r="C2575" s="25" t="s">
        <v>356</v>
      </c>
      <c r="D2575" s="103" t="s">
        <v>118</v>
      </c>
      <c r="E2575" s="26">
        <v>4.4000000000000004</v>
      </c>
      <c r="F2575" s="26" t="s">
        <v>293</v>
      </c>
      <c r="K2575" s="24">
        <v>84</v>
      </c>
      <c r="L2575" s="102">
        <v>46163.37704861111</v>
      </c>
      <c r="M2575" s="25" t="s">
        <v>357</v>
      </c>
      <c r="N2575" s="103" t="s">
        <v>118</v>
      </c>
      <c r="O2575" s="26">
        <v>9.6</v>
      </c>
      <c r="P2575" s="26" t="s">
        <v>293</v>
      </c>
    </row>
    <row r="2576" spans="1:16" x14ac:dyDescent="0.3">
      <c r="A2576" s="24">
        <v>84</v>
      </c>
      <c r="B2576" s="102">
        <v>46163.369456018518</v>
      </c>
      <c r="C2576" s="25" t="s">
        <v>356</v>
      </c>
      <c r="D2576" s="103" t="s">
        <v>130</v>
      </c>
      <c r="E2576" s="26">
        <v>4.24</v>
      </c>
      <c r="F2576" s="26" t="s">
        <v>293</v>
      </c>
      <c r="K2576" s="24">
        <v>84</v>
      </c>
      <c r="L2576" s="102">
        <v>46163.37704861111</v>
      </c>
      <c r="M2576" s="25" t="s">
        <v>357</v>
      </c>
      <c r="N2576" s="103" t="s">
        <v>130</v>
      </c>
      <c r="O2576" s="26">
        <v>2.46</v>
      </c>
      <c r="P2576" s="26" t="s">
        <v>293</v>
      </c>
    </row>
    <row r="2577" spans="1:16" x14ac:dyDescent="0.3">
      <c r="A2577" s="24">
        <v>84</v>
      </c>
      <c r="B2577" s="102">
        <v>46163.369456018518</v>
      </c>
      <c r="C2577" s="25" t="s">
        <v>356</v>
      </c>
      <c r="D2577" s="103" t="s">
        <v>341</v>
      </c>
      <c r="E2577" s="26">
        <v>0.28599999999999998</v>
      </c>
      <c r="F2577" s="26" t="s">
        <v>293</v>
      </c>
      <c r="K2577" s="24">
        <v>84</v>
      </c>
      <c r="L2577" s="102">
        <v>46163.37704861111</v>
      </c>
      <c r="M2577" s="25" t="s">
        <v>357</v>
      </c>
      <c r="N2577" s="103" t="s">
        <v>341</v>
      </c>
      <c r="O2577" s="26">
        <v>1.1679999999999999</v>
      </c>
      <c r="P2577" s="26" t="s">
        <v>293</v>
      </c>
    </row>
    <row r="2578" spans="1:16" x14ac:dyDescent="0.3">
      <c r="A2578" s="24">
        <v>84</v>
      </c>
      <c r="B2578" s="102">
        <v>46163.369456018518</v>
      </c>
      <c r="C2578" s="25" t="s">
        <v>356</v>
      </c>
      <c r="D2578" s="103" t="s">
        <v>127</v>
      </c>
      <c r="E2578" s="26">
        <v>1.22</v>
      </c>
      <c r="F2578" s="26" t="s">
        <v>293</v>
      </c>
      <c r="K2578" s="24">
        <v>84</v>
      </c>
      <c r="L2578" s="102">
        <v>46163.37704861111</v>
      </c>
      <c r="M2578" s="25" t="s">
        <v>357</v>
      </c>
      <c r="N2578" s="103" t="s">
        <v>127</v>
      </c>
      <c r="O2578" s="26">
        <v>4.673</v>
      </c>
      <c r="P2578" s="26" t="s">
        <v>293</v>
      </c>
    </row>
    <row r="2579" spans="1:16" x14ac:dyDescent="0.3">
      <c r="A2579" s="24">
        <v>84</v>
      </c>
      <c r="B2579" s="102">
        <v>46163.369456018518</v>
      </c>
      <c r="C2579" s="25" t="s">
        <v>356</v>
      </c>
      <c r="D2579" s="103" t="s">
        <v>131</v>
      </c>
      <c r="E2579" s="26">
        <v>8.6</v>
      </c>
      <c r="F2579" s="26" t="s">
        <v>293</v>
      </c>
      <c r="K2579" s="24">
        <v>84</v>
      </c>
      <c r="L2579" s="102">
        <v>46163.37704861111</v>
      </c>
      <c r="M2579" s="25" t="s">
        <v>357</v>
      </c>
      <c r="N2579" s="103" t="s">
        <v>131</v>
      </c>
      <c r="O2579" s="26">
        <v>11.7</v>
      </c>
      <c r="P2579" s="26" t="s">
        <v>293</v>
      </c>
    </row>
    <row r="2580" spans="1:16" x14ac:dyDescent="0.3">
      <c r="A2580" s="24">
        <v>84</v>
      </c>
      <c r="B2580" s="102">
        <v>46163.369456018518</v>
      </c>
      <c r="C2580" s="25" t="s">
        <v>356</v>
      </c>
      <c r="D2580" s="103" t="s">
        <v>342</v>
      </c>
      <c r="E2580" s="26">
        <v>304</v>
      </c>
      <c r="F2580" s="26" t="s">
        <v>293</v>
      </c>
      <c r="K2580" s="24">
        <v>84</v>
      </c>
      <c r="L2580" s="102">
        <v>46163.37704861111</v>
      </c>
      <c r="M2580" s="25" t="s">
        <v>357</v>
      </c>
      <c r="N2580" s="103" t="s">
        <v>342</v>
      </c>
      <c r="O2580" s="26">
        <v>171</v>
      </c>
      <c r="P2580" s="26" t="s">
        <v>293</v>
      </c>
    </row>
    <row r="2581" spans="1:16" x14ac:dyDescent="0.3">
      <c r="A2581" s="24">
        <v>84</v>
      </c>
      <c r="B2581" s="102">
        <v>46163.369456018518</v>
      </c>
      <c r="C2581" s="25" t="s">
        <v>356</v>
      </c>
      <c r="D2581" s="103" t="s">
        <v>119</v>
      </c>
      <c r="E2581" s="26">
        <v>249</v>
      </c>
      <c r="F2581" s="26" t="s">
        <v>293</v>
      </c>
      <c r="K2581" s="24">
        <v>84</v>
      </c>
      <c r="L2581" s="102">
        <v>46163.37704861111</v>
      </c>
      <c r="M2581" s="25" t="s">
        <v>357</v>
      </c>
      <c r="N2581" s="103" t="s">
        <v>119</v>
      </c>
      <c r="O2581" s="26">
        <v>92</v>
      </c>
      <c r="P2581" s="26" t="s">
        <v>293</v>
      </c>
    </row>
    <row r="2582" spans="1:16" x14ac:dyDescent="0.3">
      <c r="A2582" s="24">
        <v>84</v>
      </c>
      <c r="B2582" s="102">
        <v>46163.369456018518</v>
      </c>
      <c r="C2582" s="25" t="s">
        <v>356</v>
      </c>
      <c r="D2582" s="103" t="s">
        <v>120</v>
      </c>
      <c r="E2582" s="26">
        <v>75</v>
      </c>
      <c r="F2582" s="26" t="s">
        <v>293</v>
      </c>
      <c r="K2582" s="24">
        <v>84</v>
      </c>
      <c r="L2582" s="102">
        <v>46163.37704861111</v>
      </c>
      <c r="M2582" s="25" t="s">
        <v>357</v>
      </c>
      <c r="N2582" s="103" t="s">
        <v>120</v>
      </c>
      <c r="O2582" s="26">
        <v>26</v>
      </c>
      <c r="P2582" s="26" t="s">
        <v>293</v>
      </c>
    </row>
    <row r="2583" spans="1:16" x14ac:dyDescent="0.3">
      <c r="A2583" s="24">
        <v>84</v>
      </c>
      <c r="B2583" s="102">
        <v>46163.369456018518</v>
      </c>
      <c r="C2583" s="25" t="s">
        <v>356</v>
      </c>
      <c r="D2583" s="103" t="s">
        <v>117</v>
      </c>
      <c r="E2583" s="26">
        <v>2.74</v>
      </c>
      <c r="F2583" s="26" t="s">
        <v>293</v>
      </c>
      <c r="K2583" s="24">
        <v>84</v>
      </c>
      <c r="L2583" s="102">
        <v>46163.37704861111</v>
      </c>
      <c r="M2583" s="25" t="s">
        <v>357</v>
      </c>
      <c r="N2583" s="103" t="s">
        <v>117</v>
      </c>
      <c r="O2583" s="26">
        <v>6.21</v>
      </c>
      <c r="P2583" s="26" t="s">
        <v>293</v>
      </c>
    </row>
    <row r="2584" spans="1:16" x14ac:dyDescent="0.3">
      <c r="A2584" s="24">
        <v>84</v>
      </c>
      <c r="B2584" s="102">
        <v>46163.369456018518</v>
      </c>
      <c r="C2584" s="25" t="s">
        <v>356</v>
      </c>
      <c r="D2584" s="103" t="s">
        <v>344</v>
      </c>
      <c r="E2584" s="26">
        <v>233</v>
      </c>
      <c r="F2584" s="26" t="s">
        <v>293</v>
      </c>
      <c r="K2584" s="24">
        <v>84</v>
      </c>
      <c r="L2584" s="102">
        <v>46163.37704861111</v>
      </c>
      <c r="M2584" s="25" t="s">
        <v>357</v>
      </c>
      <c r="N2584" s="103" t="s">
        <v>344</v>
      </c>
      <c r="O2584" s="26">
        <v>70</v>
      </c>
      <c r="P2584" s="26" t="s">
        <v>293</v>
      </c>
    </row>
    <row r="2585" spans="1:16" x14ac:dyDescent="0.3">
      <c r="A2585" s="24">
        <v>84</v>
      </c>
      <c r="B2585" s="102">
        <v>46163.369456018518</v>
      </c>
      <c r="C2585" s="25" t="s">
        <v>356</v>
      </c>
      <c r="D2585" s="103" t="s">
        <v>132</v>
      </c>
      <c r="E2585" s="26">
        <v>3.55</v>
      </c>
      <c r="F2585" s="26" t="s">
        <v>293</v>
      </c>
      <c r="K2585" s="24">
        <v>84</v>
      </c>
      <c r="L2585" s="102">
        <v>46163.37704861111</v>
      </c>
      <c r="M2585" s="25" t="s">
        <v>357</v>
      </c>
      <c r="N2585" s="103" t="s">
        <v>132</v>
      </c>
      <c r="O2585" s="26">
        <v>7.07</v>
      </c>
      <c r="P2585" s="26" t="s">
        <v>293</v>
      </c>
    </row>
    <row r="2586" spans="1:16" x14ac:dyDescent="0.3">
      <c r="A2586" s="24">
        <v>84</v>
      </c>
      <c r="B2586" s="102">
        <v>46163.369456018518</v>
      </c>
      <c r="C2586" s="25" t="s">
        <v>356</v>
      </c>
      <c r="D2586" s="103" t="s">
        <v>111</v>
      </c>
      <c r="E2586" s="26">
        <v>86</v>
      </c>
      <c r="F2586" s="26" t="s">
        <v>293</v>
      </c>
      <c r="K2586" s="24">
        <v>84</v>
      </c>
      <c r="L2586" s="102">
        <v>46163.37704861111</v>
      </c>
      <c r="M2586" s="25" t="s">
        <v>357</v>
      </c>
      <c r="N2586" s="103" t="s">
        <v>111</v>
      </c>
      <c r="O2586" s="26">
        <v>279</v>
      </c>
      <c r="P2586" s="26" t="s">
        <v>293</v>
      </c>
    </row>
    <row r="2587" spans="1:16" x14ac:dyDescent="0.3">
      <c r="A2587" s="24">
        <v>84</v>
      </c>
      <c r="B2587" s="102">
        <v>46163.369456018518</v>
      </c>
      <c r="C2587" s="25" t="s">
        <v>356</v>
      </c>
      <c r="D2587" s="103" t="s">
        <v>345</v>
      </c>
      <c r="E2587" s="26">
        <v>5.19</v>
      </c>
      <c r="F2587" s="26" t="s">
        <v>293</v>
      </c>
      <c r="K2587" s="24">
        <v>84</v>
      </c>
      <c r="L2587" s="102">
        <v>46163.37704861111</v>
      </c>
      <c r="M2587" s="25" t="s">
        <v>357</v>
      </c>
      <c r="N2587" s="103" t="s">
        <v>345</v>
      </c>
      <c r="O2587" s="26">
        <v>9.84</v>
      </c>
      <c r="P2587" s="26" t="s">
        <v>293</v>
      </c>
    </row>
    <row r="2588" spans="1:16" x14ac:dyDescent="0.3">
      <c r="A2588" s="24">
        <v>84</v>
      </c>
      <c r="B2588" s="102">
        <v>46163.369456018518</v>
      </c>
      <c r="C2588" s="25" t="s">
        <v>356</v>
      </c>
      <c r="D2588" s="103" t="s">
        <v>347</v>
      </c>
      <c r="E2588" s="26">
        <v>2.09</v>
      </c>
      <c r="F2588" s="26" t="s">
        <v>293</v>
      </c>
      <c r="K2588" s="24">
        <v>84</v>
      </c>
      <c r="L2588" s="102">
        <v>46163.37704861111</v>
      </c>
      <c r="M2588" s="25" t="s">
        <v>357</v>
      </c>
      <c r="N2588" s="103" t="s">
        <v>347</v>
      </c>
      <c r="O2588" s="26">
        <v>4.5599999999999996</v>
      </c>
      <c r="P2588" s="26" t="s">
        <v>293</v>
      </c>
    </row>
    <row r="2589" spans="1:16" x14ac:dyDescent="0.3">
      <c r="A2589" s="24">
        <v>84</v>
      </c>
      <c r="B2589" s="102">
        <v>46163.369456018518</v>
      </c>
      <c r="C2589" s="25" t="s">
        <v>356</v>
      </c>
      <c r="D2589" s="103" t="s">
        <v>128</v>
      </c>
      <c r="E2589" s="26">
        <v>7.2</v>
      </c>
      <c r="F2589" s="26" t="s">
        <v>293</v>
      </c>
      <c r="K2589" s="24">
        <v>84</v>
      </c>
      <c r="L2589" s="102">
        <v>46163.37704861111</v>
      </c>
      <c r="M2589" s="25" t="s">
        <v>357</v>
      </c>
      <c r="N2589" s="103" t="s">
        <v>128</v>
      </c>
      <c r="O2589" s="26">
        <v>4.5999999999999996</v>
      </c>
      <c r="P2589" s="26" t="s">
        <v>293</v>
      </c>
    </row>
    <row r="2590" spans="1:16" x14ac:dyDescent="0.3">
      <c r="A2590" s="24">
        <v>84</v>
      </c>
      <c r="B2590" s="102">
        <v>46163.369456018518</v>
      </c>
      <c r="C2590" s="25" t="s">
        <v>356</v>
      </c>
      <c r="D2590" s="103" t="s">
        <v>121</v>
      </c>
      <c r="E2590" s="26">
        <v>163</v>
      </c>
      <c r="F2590" s="26" t="s">
        <v>293</v>
      </c>
      <c r="K2590" s="24">
        <v>84</v>
      </c>
      <c r="L2590" s="102">
        <v>46163.37704861111</v>
      </c>
      <c r="M2590" s="25" t="s">
        <v>357</v>
      </c>
      <c r="N2590" s="103" t="s">
        <v>121</v>
      </c>
      <c r="O2590" s="26">
        <v>79</v>
      </c>
      <c r="P2590" s="26" t="s">
        <v>293</v>
      </c>
    </row>
    <row r="2591" spans="1:16" x14ac:dyDescent="0.3">
      <c r="A2591" s="24">
        <v>84</v>
      </c>
      <c r="B2591" s="102">
        <v>46163.369456018518</v>
      </c>
      <c r="C2591" s="25" t="s">
        <v>356</v>
      </c>
      <c r="D2591" s="103" t="s">
        <v>115</v>
      </c>
      <c r="E2591" s="26">
        <v>33</v>
      </c>
      <c r="F2591" s="26" t="s">
        <v>293</v>
      </c>
      <c r="K2591" s="24">
        <v>84</v>
      </c>
      <c r="L2591" s="102">
        <v>46163.37704861111</v>
      </c>
      <c r="M2591" s="25" t="s">
        <v>357</v>
      </c>
      <c r="N2591" s="103" t="s">
        <v>115</v>
      </c>
      <c r="O2591" s="26">
        <v>91</v>
      </c>
      <c r="P2591" s="26" t="s">
        <v>293</v>
      </c>
    </row>
    <row r="2592" spans="1:16" x14ac:dyDescent="0.3">
      <c r="A2592" s="24">
        <v>84</v>
      </c>
      <c r="B2592" s="102">
        <v>46163.369456018518</v>
      </c>
      <c r="C2592" s="25" t="s">
        <v>356</v>
      </c>
      <c r="D2592" s="103" t="s">
        <v>137</v>
      </c>
      <c r="E2592" s="26">
        <v>75</v>
      </c>
      <c r="F2592" s="26" t="s">
        <v>293</v>
      </c>
      <c r="K2592" s="24">
        <v>84</v>
      </c>
      <c r="L2592" s="102">
        <v>46163.37704861111</v>
      </c>
      <c r="M2592" s="25" t="s">
        <v>357</v>
      </c>
      <c r="N2592" s="103" t="s">
        <v>137</v>
      </c>
      <c r="O2592" s="26">
        <v>482</v>
      </c>
      <c r="P2592" s="26" t="s">
        <v>293</v>
      </c>
    </row>
    <row r="2593" spans="1:16" x14ac:dyDescent="0.3">
      <c r="A2593" s="24">
        <v>84</v>
      </c>
      <c r="B2593" s="102">
        <v>46163.369456018518</v>
      </c>
      <c r="C2593" s="25" t="s">
        <v>356</v>
      </c>
      <c r="D2593" s="103" t="s">
        <v>348</v>
      </c>
      <c r="E2593" s="26">
        <v>139</v>
      </c>
      <c r="F2593" s="26" t="s">
        <v>293</v>
      </c>
      <c r="K2593" s="24">
        <v>84</v>
      </c>
      <c r="L2593" s="102">
        <v>46163.37704861111</v>
      </c>
      <c r="M2593" s="25" t="s">
        <v>357</v>
      </c>
      <c r="N2593" s="103" t="s">
        <v>348</v>
      </c>
      <c r="O2593" s="26">
        <v>418</v>
      </c>
      <c r="P2593" s="26" t="s">
        <v>293</v>
      </c>
    </row>
    <row r="2594" spans="1:16" x14ac:dyDescent="0.3">
      <c r="A2594" s="24">
        <v>84</v>
      </c>
      <c r="B2594" s="102">
        <v>46163.369456018518</v>
      </c>
      <c r="C2594" s="25" t="s">
        <v>356</v>
      </c>
      <c r="D2594" s="103" t="s">
        <v>125</v>
      </c>
      <c r="E2594" s="26">
        <v>123</v>
      </c>
      <c r="F2594" s="26" t="s">
        <v>293</v>
      </c>
      <c r="K2594" s="24">
        <v>84</v>
      </c>
      <c r="L2594" s="102">
        <v>46163.37704861111</v>
      </c>
      <c r="M2594" s="25" t="s">
        <v>357</v>
      </c>
      <c r="N2594" s="103" t="s">
        <v>125</v>
      </c>
      <c r="O2594" s="26">
        <v>427</v>
      </c>
      <c r="P2594" s="26" t="s">
        <v>293</v>
      </c>
    </row>
    <row r="2595" spans="1:16" x14ac:dyDescent="0.3">
      <c r="A2595" s="24">
        <v>84</v>
      </c>
      <c r="B2595" s="102">
        <v>46163.369456018518</v>
      </c>
      <c r="C2595" s="25" t="s">
        <v>356</v>
      </c>
      <c r="D2595" s="103" t="s">
        <v>126</v>
      </c>
      <c r="E2595" s="26">
        <v>80</v>
      </c>
      <c r="F2595" s="26" t="s">
        <v>293</v>
      </c>
      <c r="K2595" s="24">
        <v>84</v>
      </c>
      <c r="L2595" s="102">
        <v>46163.37704861111</v>
      </c>
      <c r="M2595" s="25" t="s">
        <v>357</v>
      </c>
      <c r="N2595" s="103" t="s">
        <v>126</v>
      </c>
      <c r="O2595" s="26">
        <v>155</v>
      </c>
      <c r="P2595" s="26" t="s">
        <v>293</v>
      </c>
    </row>
    <row r="2596" spans="1:16" x14ac:dyDescent="0.3">
      <c r="A2596" s="24">
        <v>84</v>
      </c>
      <c r="B2596" s="102">
        <v>46163.369456018518</v>
      </c>
      <c r="C2596" s="25" t="s">
        <v>356</v>
      </c>
      <c r="D2596" s="103" t="s">
        <v>349</v>
      </c>
      <c r="E2596" s="26">
        <v>164</v>
      </c>
      <c r="F2596" s="26" t="s">
        <v>293</v>
      </c>
      <c r="K2596" s="24">
        <v>84</v>
      </c>
      <c r="L2596" s="102">
        <v>46163.37704861111</v>
      </c>
      <c r="M2596" s="25" t="s">
        <v>357</v>
      </c>
      <c r="N2596" s="103" t="s">
        <v>349</v>
      </c>
      <c r="O2596" s="26">
        <v>380</v>
      </c>
      <c r="P2596" s="26" t="s">
        <v>293</v>
      </c>
    </row>
    <row r="2597" spans="1:16" x14ac:dyDescent="0.3">
      <c r="A2597" s="24">
        <v>84</v>
      </c>
      <c r="B2597" s="102">
        <v>46163.369456018518</v>
      </c>
      <c r="C2597" s="25" t="s">
        <v>356</v>
      </c>
      <c r="D2597" s="103" t="s">
        <v>350</v>
      </c>
      <c r="E2597" s="26">
        <v>61</v>
      </c>
      <c r="F2597" s="26" t="s">
        <v>293</v>
      </c>
      <c r="K2597" s="24">
        <v>84</v>
      </c>
      <c r="L2597" s="102">
        <v>46163.37704861111</v>
      </c>
      <c r="M2597" s="25" t="s">
        <v>357</v>
      </c>
      <c r="N2597" s="103" t="s">
        <v>350</v>
      </c>
      <c r="O2597" s="26">
        <v>87</v>
      </c>
      <c r="P2597" s="26" t="s">
        <v>293</v>
      </c>
    </row>
    <row r="2598" spans="1:16" x14ac:dyDescent="0.3">
      <c r="A2598" s="24">
        <v>84</v>
      </c>
      <c r="B2598" s="102">
        <v>46163.369456018518</v>
      </c>
      <c r="C2598" s="25" t="s">
        <v>356</v>
      </c>
      <c r="D2598" s="103" t="s">
        <v>122</v>
      </c>
      <c r="E2598" s="26">
        <v>45</v>
      </c>
      <c r="F2598" s="26" t="s">
        <v>293</v>
      </c>
      <c r="K2598" s="24">
        <v>84</v>
      </c>
      <c r="L2598" s="102">
        <v>46163.37704861111</v>
      </c>
      <c r="M2598" s="25" t="s">
        <v>357</v>
      </c>
      <c r="N2598" s="103" t="s">
        <v>122</v>
      </c>
      <c r="O2598" s="26">
        <v>218</v>
      </c>
      <c r="P2598" s="26" t="s">
        <v>293</v>
      </c>
    </row>
    <row r="2599" spans="1:16" x14ac:dyDescent="0.3">
      <c r="A2599" s="24">
        <v>84</v>
      </c>
      <c r="B2599" s="102">
        <v>46163.369456018518</v>
      </c>
      <c r="C2599" s="25" t="s">
        <v>356</v>
      </c>
      <c r="D2599" s="103" t="s">
        <v>124</v>
      </c>
      <c r="E2599" s="26">
        <v>27</v>
      </c>
      <c r="F2599" s="26" t="s">
        <v>293</v>
      </c>
      <c r="K2599" s="24">
        <v>84</v>
      </c>
      <c r="L2599" s="102">
        <v>46163.37704861111</v>
      </c>
      <c r="M2599" s="25" t="s">
        <v>357</v>
      </c>
      <c r="N2599" s="103" t="s">
        <v>124</v>
      </c>
      <c r="O2599" s="26">
        <v>100</v>
      </c>
      <c r="P2599" s="26" t="s">
        <v>293</v>
      </c>
    </row>
    <row r="2600" spans="1:16" x14ac:dyDescent="0.3">
      <c r="A2600" s="24">
        <v>84</v>
      </c>
      <c r="B2600" s="102">
        <v>46163.369456018518</v>
      </c>
      <c r="C2600" s="25" t="s">
        <v>356</v>
      </c>
      <c r="D2600" s="103" t="s">
        <v>351</v>
      </c>
      <c r="E2600" s="26">
        <v>0.99</v>
      </c>
      <c r="F2600" s="26" t="s">
        <v>293</v>
      </c>
      <c r="K2600" s="24">
        <v>84</v>
      </c>
      <c r="L2600" s="102">
        <v>46163.37704861111</v>
      </c>
      <c r="M2600" s="25" t="s">
        <v>357</v>
      </c>
      <c r="N2600" s="103" t="s">
        <v>351</v>
      </c>
      <c r="O2600" s="26">
        <v>3.63</v>
      </c>
      <c r="P2600" s="26" t="s">
        <v>293</v>
      </c>
    </row>
    <row r="2601" spans="1:16" x14ac:dyDescent="0.3">
      <c r="A2601" s="24">
        <v>84</v>
      </c>
      <c r="B2601" s="102">
        <v>46163.369456018518</v>
      </c>
      <c r="C2601" s="25" t="s">
        <v>356</v>
      </c>
      <c r="D2601" s="103" t="s">
        <v>353</v>
      </c>
      <c r="E2601" s="26">
        <v>35.6</v>
      </c>
      <c r="F2601" s="26" t="s">
        <v>293</v>
      </c>
      <c r="K2601" s="24">
        <v>84</v>
      </c>
      <c r="L2601" s="102">
        <v>46163.37704861111</v>
      </c>
      <c r="M2601" s="25" t="s">
        <v>357</v>
      </c>
      <c r="N2601" s="103" t="s">
        <v>353</v>
      </c>
      <c r="O2601" s="26">
        <v>18.399999999999999</v>
      </c>
      <c r="P2601" s="26" t="s">
        <v>293</v>
      </c>
    </row>
    <row r="2602" spans="1:16" x14ac:dyDescent="0.3">
      <c r="A2602" s="24">
        <v>84</v>
      </c>
      <c r="B2602" s="102">
        <v>46163.369456018518</v>
      </c>
      <c r="C2602" s="25" t="s">
        <v>356</v>
      </c>
      <c r="D2602" s="103" t="s">
        <v>133</v>
      </c>
      <c r="E2602" s="26">
        <v>148</v>
      </c>
      <c r="F2602" s="26" t="s">
        <v>293</v>
      </c>
      <c r="K2602" s="24">
        <v>84</v>
      </c>
      <c r="L2602" s="102">
        <v>46163.37704861111</v>
      </c>
      <c r="M2602" s="25" t="s">
        <v>357</v>
      </c>
      <c r="N2602" s="103" t="s">
        <v>133</v>
      </c>
      <c r="O2602" s="26">
        <v>127</v>
      </c>
      <c r="P2602" s="26" t="s">
        <v>293</v>
      </c>
    </row>
    <row r="2603" spans="1:16" x14ac:dyDescent="0.3">
      <c r="A2603" s="24">
        <v>84</v>
      </c>
      <c r="B2603" s="102">
        <v>46163.369456018518</v>
      </c>
      <c r="C2603" s="25" t="s">
        <v>356</v>
      </c>
      <c r="D2603" s="103" t="s">
        <v>135</v>
      </c>
      <c r="E2603" s="26">
        <v>3.8</v>
      </c>
      <c r="F2603" s="26" t="s">
        <v>293</v>
      </c>
      <c r="K2603" s="24">
        <v>84</v>
      </c>
      <c r="L2603" s="102">
        <v>46163.37704861111</v>
      </c>
      <c r="M2603" s="25" t="s">
        <v>357</v>
      </c>
      <c r="N2603" s="103" t="s">
        <v>135</v>
      </c>
      <c r="O2603" s="26">
        <v>6.5</v>
      </c>
      <c r="P2603" s="26" t="s">
        <v>293</v>
      </c>
    </row>
    <row r="2604" spans="1:16" x14ac:dyDescent="0.3">
      <c r="A2604" s="24">
        <v>84</v>
      </c>
      <c r="B2604" s="102">
        <v>46163.369456018518</v>
      </c>
      <c r="C2604" s="25" t="s">
        <v>356</v>
      </c>
      <c r="D2604" s="103" t="s">
        <v>136</v>
      </c>
      <c r="E2604" s="26">
        <v>119</v>
      </c>
      <c r="F2604" s="26" t="s">
        <v>293</v>
      </c>
      <c r="K2604" s="24">
        <v>84</v>
      </c>
      <c r="L2604" s="102">
        <v>46163.37704861111</v>
      </c>
      <c r="M2604" s="25" t="s">
        <v>357</v>
      </c>
      <c r="N2604" s="103" t="s">
        <v>136</v>
      </c>
      <c r="O2604" s="26">
        <v>93</v>
      </c>
      <c r="P2604" s="26" t="s">
        <v>293</v>
      </c>
    </row>
    <row r="2605" spans="1:16" x14ac:dyDescent="0.3">
      <c r="A2605" s="24">
        <v>85</v>
      </c>
      <c r="B2605" s="102">
        <v>46164.320844907408</v>
      </c>
      <c r="C2605" s="25" t="s">
        <v>356</v>
      </c>
      <c r="D2605" s="103" t="s">
        <v>339</v>
      </c>
      <c r="E2605" s="26">
        <v>4.68</v>
      </c>
      <c r="F2605" s="26" t="s">
        <v>293</v>
      </c>
      <c r="K2605" s="24">
        <v>85</v>
      </c>
      <c r="L2605" s="102">
        <v>46164.322835648149</v>
      </c>
      <c r="M2605" s="25" t="s">
        <v>357</v>
      </c>
      <c r="N2605" s="103" t="s">
        <v>339</v>
      </c>
      <c r="O2605" s="26">
        <v>1.27</v>
      </c>
      <c r="P2605" s="26" t="s">
        <v>293</v>
      </c>
    </row>
    <row r="2606" spans="1:16" x14ac:dyDescent="0.3">
      <c r="A2606" s="24">
        <v>85</v>
      </c>
      <c r="B2606" s="102">
        <v>46164.320844907408</v>
      </c>
      <c r="C2606" s="25" t="s">
        <v>356</v>
      </c>
      <c r="D2606" s="103" t="s">
        <v>118</v>
      </c>
      <c r="E2606" s="26">
        <v>4.3</v>
      </c>
      <c r="F2606" s="26" t="s">
        <v>293</v>
      </c>
      <c r="K2606" s="24">
        <v>85</v>
      </c>
      <c r="L2606" s="102">
        <v>46164.322835648149</v>
      </c>
      <c r="M2606" s="25" t="s">
        <v>357</v>
      </c>
      <c r="N2606" s="103" t="s">
        <v>118</v>
      </c>
      <c r="O2606" s="26">
        <v>9.5</v>
      </c>
      <c r="P2606" s="26" t="s">
        <v>293</v>
      </c>
    </row>
    <row r="2607" spans="1:16" x14ac:dyDescent="0.3">
      <c r="A2607" s="24">
        <v>85</v>
      </c>
      <c r="B2607" s="102">
        <v>46164.320844907408</v>
      </c>
      <c r="C2607" s="25" t="s">
        <v>356</v>
      </c>
      <c r="D2607" s="103" t="s">
        <v>130</v>
      </c>
      <c r="E2607" s="26">
        <v>3.76</v>
      </c>
      <c r="F2607" s="26" t="s">
        <v>293</v>
      </c>
      <c r="K2607" s="24">
        <v>85</v>
      </c>
      <c r="L2607" s="102">
        <v>46164.322835648149</v>
      </c>
      <c r="M2607" s="25" t="s">
        <v>357</v>
      </c>
      <c r="N2607" s="103" t="s">
        <v>130</v>
      </c>
      <c r="O2607" s="26">
        <v>2.41</v>
      </c>
      <c r="P2607" s="26" t="s">
        <v>293</v>
      </c>
    </row>
    <row r="2608" spans="1:16" x14ac:dyDescent="0.3">
      <c r="A2608" s="24">
        <v>85</v>
      </c>
      <c r="B2608" s="102">
        <v>46164.320844907408</v>
      </c>
      <c r="C2608" s="25" t="s">
        <v>356</v>
      </c>
      <c r="D2608" s="103" t="s">
        <v>341</v>
      </c>
      <c r="E2608" s="26">
        <v>0.32900000000000001</v>
      </c>
      <c r="F2608" s="26" t="s">
        <v>293</v>
      </c>
      <c r="K2608" s="24">
        <v>85</v>
      </c>
      <c r="L2608" s="102">
        <v>46164.322835648149</v>
      </c>
      <c r="M2608" s="25" t="s">
        <v>357</v>
      </c>
      <c r="N2608" s="103" t="s">
        <v>341</v>
      </c>
      <c r="O2608" s="26">
        <v>1.238</v>
      </c>
      <c r="P2608" s="26" t="s">
        <v>293</v>
      </c>
    </row>
    <row r="2609" spans="1:16" x14ac:dyDescent="0.3">
      <c r="A2609" s="24">
        <v>85</v>
      </c>
      <c r="B2609" s="102">
        <v>46164.320844907408</v>
      </c>
      <c r="C2609" s="25" t="s">
        <v>356</v>
      </c>
      <c r="D2609" s="103" t="s">
        <v>127</v>
      </c>
      <c r="E2609" s="26">
        <v>1.2190000000000001</v>
      </c>
      <c r="F2609" s="26" t="s">
        <v>293</v>
      </c>
      <c r="K2609" s="24">
        <v>85</v>
      </c>
      <c r="L2609" s="102">
        <v>46164.322835648149</v>
      </c>
      <c r="M2609" s="25" t="s">
        <v>357</v>
      </c>
      <c r="N2609" s="103" t="s">
        <v>127</v>
      </c>
      <c r="O2609" s="26">
        <v>4.7439999999999998</v>
      </c>
      <c r="P2609" s="26" t="s">
        <v>293</v>
      </c>
    </row>
    <row r="2610" spans="1:16" x14ac:dyDescent="0.3">
      <c r="A2610" s="24">
        <v>85</v>
      </c>
      <c r="B2610" s="102">
        <v>46164.320844907408</v>
      </c>
      <c r="C2610" s="25" t="s">
        <v>356</v>
      </c>
      <c r="D2610" s="103" t="s">
        <v>131</v>
      </c>
      <c r="E2610" s="26">
        <v>8.6</v>
      </c>
      <c r="F2610" s="26" t="s">
        <v>293</v>
      </c>
      <c r="K2610" s="24">
        <v>85</v>
      </c>
      <c r="L2610" s="102">
        <v>46164.322835648149</v>
      </c>
      <c r="M2610" s="25" t="s">
        <v>357</v>
      </c>
      <c r="N2610" s="103" t="s">
        <v>131</v>
      </c>
      <c r="O2610" s="26">
        <v>11.6</v>
      </c>
      <c r="P2610" s="26" t="s">
        <v>293</v>
      </c>
    </row>
    <row r="2611" spans="1:16" x14ac:dyDescent="0.3">
      <c r="A2611" s="24">
        <v>85</v>
      </c>
      <c r="B2611" s="102">
        <v>46164.320844907408</v>
      </c>
      <c r="C2611" s="25" t="s">
        <v>356</v>
      </c>
      <c r="D2611" s="103" t="s">
        <v>342</v>
      </c>
      <c r="E2611" s="26">
        <v>308</v>
      </c>
      <c r="F2611" s="26" t="s">
        <v>293</v>
      </c>
      <c r="K2611" s="24">
        <v>85</v>
      </c>
      <c r="L2611" s="102">
        <v>46164.322835648149</v>
      </c>
      <c r="M2611" s="25" t="s">
        <v>357</v>
      </c>
      <c r="N2611" s="103" t="s">
        <v>342</v>
      </c>
      <c r="O2611" s="26">
        <v>183</v>
      </c>
      <c r="P2611" s="26" t="s">
        <v>293</v>
      </c>
    </row>
    <row r="2612" spans="1:16" x14ac:dyDescent="0.3">
      <c r="A2612" s="24">
        <v>85</v>
      </c>
      <c r="B2612" s="102">
        <v>46164.320844907408</v>
      </c>
      <c r="C2612" s="25" t="s">
        <v>356</v>
      </c>
      <c r="D2612" s="103" t="s">
        <v>119</v>
      </c>
      <c r="E2612" s="26">
        <v>247</v>
      </c>
      <c r="F2612" s="26" t="s">
        <v>293</v>
      </c>
      <c r="K2612" s="24">
        <v>85</v>
      </c>
      <c r="L2612" s="102">
        <v>46164.322835648149</v>
      </c>
      <c r="M2612" s="25" t="s">
        <v>357</v>
      </c>
      <c r="N2612" s="103" t="s">
        <v>119</v>
      </c>
      <c r="O2612" s="26">
        <v>94</v>
      </c>
      <c r="P2612" s="26" t="s">
        <v>293</v>
      </c>
    </row>
    <row r="2613" spans="1:16" x14ac:dyDescent="0.3">
      <c r="A2613" s="24">
        <v>85</v>
      </c>
      <c r="B2613" s="102">
        <v>46164.320844907408</v>
      </c>
      <c r="C2613" s="25" t="s">
        <v>356</v>
      </c>
      <c r="D2613" s="103" t="s">
        <v>120</v>
      </c>
      <c r="E2613" s="26">
        <v>76</v>
      </c>
      <c r="F2613" s="26" t="s">
        <v>293</v>
      </c>
      <c r="K2613" s="24">
        <v>85</v>
      </c>
      <c r="L2613" s="102">
        <v>46164.322835648149</v>
      </c>
      <c r="M2613" s="25" t="s">
        <v>357</v>
      </c>
      <c r="N2613" s="103" t="s">
        <v>120</v>
      </c>
      <c r="O2613" s="26">
        <v>26</v>
      </c>
      <c r="P2613" s="26" t="s">
        <v>293</v>
      </c>
    </row>
    <row r="2614" spans="1:16" x14ac:dyDescent="0.3">
      <c r="A2614" s="24">
        <v>85</v>
      </c>
      <c r="B2614" s="102">
        <v>46164.320844907408</v>
      </c>
      <c r="C2614" s="25" t="s">
        <v>356</v>
      </c>
      <c r="D2614" s="103" t="s">
        <v>117</v>
      </c>
      <c r="E2614" s="26">
        <v>2.71</v>
      </c>
      <c r="F2614" s="26" t="s">
        <v>293</v>
      </c>
      <c r="K2614" s="24">
        <v>85</v>
      </c>
      <c r="L2614" s="102">
        <v>46164.322835648149</v>
      </c>
      <c r="M2614" s="25" t="s">
        <v>357</v>
      </c>
      <c r="N2614" s="103" t="s">
        <v>117</v>
      </c>
      <c r="O2614" s="26">
        <v>6.37</v>
      </c>
      <c r="P2614" s="26" t="s">
        <v>293</v>
      </c>
    </row>
    <row r="2615" spans="1:16" x14ac:dyDescent="0.3">
      <c r="A2615" s="24">
        <v>85</v>
      </c>
      <c r="B2615" s="102">
        <v>46164.320844907408</v>
      </c>
      <c r="C2615" s="25" t="s">
        <v>356</v>
      </c>
      <c r="D2615" s="103" t="s">
        <v>344</v>
      </c>
      <c r="E2615" s="26">
        <v>230</v>
      </c>
      <c r="F2615" s="26" t="s">
        <v>293</v>
      </c>
      <c r="K2615" s="24">
        <v>85</v>
      </c>
      <c r="L2615" s="102">
        <v>46164.322835648149</v>
      </c>
      <c r="M2615" s="25" t="s">
        <v>357</v>
      </c>
      <c r="N2615" s="103" t="s">
        <v>344</v>
      </c>
      <c r="O2615" s="26">
        <v>69</v>
      </c>
      <c r="P2615" s="26" t="s">
        <v>293</v>
      </c>
    </row>
    <row r="2616" spans="1:16" x14ac:dyDescent="0.3">
      <c r="A2616" s="24">
        <v>85</v>
      </c>
      <c r="B2616" s="102">
        <v>46164.320844907408</v>
      </c>
      <c r="C2616" s="25" t="s">
        <v>356</v>
      </c>
      <c r="D2616" s="103" t="s">
        <v>132</v>
      </c>
      <c r="E2616" s="26">
        <v>3.49</v>
      </c>
      <c r="F2616" s="26" t="s">
        <v>293</v>
      </c>
      <c r="K2616" s="24">
        <v>85</v>
      </c>
      <c r="L2616" s="102">
        <v>46164.322835648149</v>
      </c>
      <c r="M2616" s="25" t="s">
        <v>357</v>
      </c>
      <c r="N2616" s="103" t="s">
        <v>132</v>
      </c>
      <c r="O2616" s="26">
        <v>7.09</v>
      </c>
      <c r="P2616" s="26" t="s">
        <v>293</v>
      </c>
    </row>
    <row r="2617" spans="1:16" x14ac:dyDescent="0.3">
      <c r="A2617" s="24">
        <v>85</v>
      </c>
      <c r="B2617" s="102">
        <v>46164.320844907408</v>
      </c>
      <c r="C2617" s="25" t="s">
        <v>356</v>
      </c>
      <c r="D2617" s="103" t="s">
        <v>111</v>
      </c>
      <c r="E2617" s="26">
        <v>88</v>
      </c>
      <c r="F2617" s="26" t="s">
        <v>293</v>
      </c>
      <c r="K2617" s="24">
        <v>85</v>
      </c>
      <c r="L2617" s="102">
        <v>46164.322835648149</v>
      </c>
      <c r="M2617" s="25" t="s">
        <v>357</v>
      </c>
      <c r="N2617" s="103" t="s">
        <v>111</v>
      </c>
      <c r="O2617" s="26">
        <v>279</v>
      </c>
      <c r="P2617" s="26" t="s">
        <v>293</v>
      </c>
    </row>
    <row r="2618" spans="1:16" x14ac:dyDescent="0.3">
      <c r="A2618" s="24">
        <v>85</v>
      </c>
      <c r="B2618" s="102">
        <v>46164.320844907408</v>
      </c>
      <c r="C2618" s="25" t="s">
        <v>356</v>
      </c>
      <c r="D2618" s="103" t="s">
        <v>345</v>
      </c>
      <c r="E2618" s="26">
        <v>5.26</v>
      </c>
      <c r="F2618" s="26" t="s">
        <v>293</v>
      </c>
      <c r="K2618" s="24">
        <v>85</v>
      </c>
      <c r="L2618" s="102">
        <v>46164.322835648149</v>
      </c>
      <c r="M2618" s="25" t="s">
        <v>357</v>
      </c>
      <c r="N2618" s="103" t="s">
        <v>345</v>
      </c>
      <c r="O2618" s="26">
        <v>9.9600000000000009</v>
      </c>
      <c r="P2618" s="26" t="s">
        <v>293</v>
      </c>
    </row>
    <row r="2619" spans="1:16" x14ac:dyDescent="0.3">
      <c r="A2619" s="24">
        <v>85</v>
      </c>
      <c r="B2619" s="102">
        <v>46164.320844907408</v>
      </c>
      <c r="C2619" s="25" t="s">
        <v>356</v>
      </c>
      <c r="D2619" s="103" t="s">
        <v>347</v>
      </c>
      <c r="E2619" s="26">
        <v>2.25</v>
      </c>
      <c r="F2619" s="26" t="s">
        <v>293</v>
      </c>
      <c r="K2619" s="24">
        <v>85</v>
      </c>
      <c r="L2619" s="102">
        <v>46164.322835648149</v>
      </c>
      <c r="M2619" s="25" t="s">
        <v>357</v>
      </c>
      <c r="N2619" s="103" t="s">
        <v>347</v>
      </c>
      <c r="O2619" s="26">
        <v>4.71</v>
      </c>
      <c r="P2619" s="26" t="s">
        <v>293</v>
      </c>
    </row>
    <row r="2620" spans="1:16" x14ac:dyDescent="0.3">
      <c r="A2620" s="24">
        <v>85</v>
      </c>
      <c r="B2620" s="102">
        <v>46164.320844907408</v>
      </c>
      <c r="C2620" s="25" t="s">
        <v>356</v>
      </c>
      <c r="D2620" s="103" t="s">
        <v>128</v>
      </c>
      <c r="E2620" s="26">
        <v>7.2</v>
      </c>
      <c r="F2620" s="26" t="s">
        <v>293</v>
      </c>
      <c r="K2620" s="24">
        <v>85</v>
      </c>
      <c r="L2620" s="102">
        <v>46164.322835648149</v>
      </c>
      <c r="M2620" s="25" t="s">
        <v>357</v>
      </c>
      <c r="N2620" s="103" t="s">
        <v>128</v>
      </c>
      <c r="O2620" s="26">
        <v>4.5999999999999996</v>
      </c>
      <c r="P2620" s="26" t="s">
        <v>293</v>
      </c>
    </row>
    <row r="2621" spans="1:16" x14ac:dyDescent="0.3">
      <c r="A2621" s="24">
        <v>85</v>
      </c>
      <c r="B2621" s="102">
        <v>46164.320844907408</v>
      </c>
      <c r="C2621" s="25" t="s">
        <v>356</v>
      </c>
      <c r="D2621" s="103" t="s">
        <v>121</v>
      </c>
      <c r="E2621" s="26">
        <v>160</v>
      </c>
      <c r="F2621" s="26" t="s">
        <v>293</v>
      </c>
      <c r="K2621" s="24">
        <v>85</v>
      </c>
      <c r="L2621" s="102">
        <v>46164.322835648149</v>
      </c>
      <c r="M2621" s="25" t="s">
        <v>357</v>
      </c>
      <c r="N2621" s="103" t="s">
        <v>121</v>
      </c>
      <c r="O2621" s="26">
        <v>78</v>
      </c>
      <c r="P2621" s="26" t="s">
        <v>293</v>
      </c>
    </row>
    <row r="2622" spans="1:16" x14ac:dyDescent="0.3">
      <c r="A2622" s="24">
        <v>85</v>
      </c>
      <c r="B2622" s="102">
        <v>46164.320844907408</v>
      </c>
      <c r="C2622" s="25" t="s">
        <v>356</v>
      </c>
      <c r="D2622" s="103" t="s">
        <v>115</v>
      </c>
      <c r="E2622" s="26">
        <v>32</v>
      </c>
      <c r="F2622" s="26" t="s">
        <v>293</v>
      </c>
      <c r="K2622" s="24">
        <v>85</v>
      </c>
      <c r="L2622" s="102">
        <v>46164.322835648149</v>
      </c>
      <c r="M2622" s="25" t="s">
        <v>357</v>
      </c>
      <c r="N2622" s="103" t="s">
        <v>115</v>
      </c>
      <c r="O2622" s="26">
        <v>91</v>
      </c>
      <c r="P2622" s="26" t="s">
        <v>293</v>
      </c>
    </row>
    <row r="2623" spans="1:16" x14ac:dyDescent="0.3">
      <c r="A2623" s="24">
        <v>85</v>
      </c>
      <c r="B2623" s="102">
        <v>46164.320844907408</v>
      </c>
      <c r="C2623" s="25" t="s">
        <v>356</v>
      </c>
      <c r="D2623" s="103" t="s">
        <v>137</v>
      </c>
      <c r="E2623" s="26">
        <v>75</v>
      </c>
      <c r="F2623" s="26" t="s">
        <v>293</v>
      </c>
      <c r="K2623" s="24">
        <v>85</v>
      </c>
      <c r="L2623" s="102">
        <v>46164.322835648149</v>
      </c>
      <c r="M2623" s="25" t="s">
        <v>357</v>
      </c>
      <c r="N2623" s="103" t="s">
        <v>137</v>
      </c>
      <c r="O2623" s="26">
        <v>486</v>
      </c>
      <c r="P2623" s="26" t="s">
        <v>293</v>
      </c>
    </row>
    <row r="2624" spans="1:16" x14ac:dyDescent="0.3">
      <c r="A2624" s="24">
        <v>85</v>
      </c>
      <c r="B2624" s="102">
        <v>46164.320844907408</v>
      </c>
      <c r="C2624" s="25" t="s">
        <v>356</v>
      </c>
      <c r="D2624" s="103" t="s">
        <v>348</v>
      </c>
      <c r="E2624" s="26">
        <v>139</v>
      </c>
      <c r="F2624" s="26" t="s">
        <v>293</v>
      </c>
      <c r="K2624" s="24">
        <v>85</v>
      </c>
      <c r="L2624" s="102">
        <v>46164.322835648149</v>
      </c>
      <c r="M2624" s="25" t="s">
        <v>357</v>
      </c>
      <c r="N2624" s="103" t="s">
        <v>348</v>
      </c>
      <c r="O2624" s="26">
        <v>427</v>
      </c>
      <c r="P2624" s="26" t="s">
        <v>293</v>
      </c>
    </row>
    <row r="2625" spans="1:16" x14ac:dyDescent="0.3">
      <c r="A2625" s="24">
        <v>85</v>
      </c>
      <c r="B2625" s="102">
        <v>46164.320844907408</v>
      </c>
      <c r="C2625" s="25" t="s">
        <v>356</v>
      </c>
      <c r="D2625" s="103" t="s">
        <v>125</v>
      </c>
      <c r="E2625" s="26">
        <v>108</v>
      </c>
      <c r="F2625" s="26" t="s">
        <v>293</v>
      </c>
      <c r="K2625" s="24">
        <v>85</v>
      </c>
      <c r="L2625" s="102">
        <v>46164.322835648149</v>
      </c>
      <c r="M2625" s="25" t="s">
        <v>357</v>
      </c>
      <c r="N2625" s="103" t="s">
        <v>125</v>
      </c>
      <c r="O2625" s="26">
        <v>425</v>
      </c>
      <c r="P2625" s="26" t="s">
        <v>293</v>
      </c>
    </row>
    <row r="2626" spans="1:16" x14ac:dyDescent="0.3">
      <c r="A2626" s="24">
        <v>85</v>
      </c>
      <c r="B2626" s="102">
        <v>46164.320844907408</v>
      </c>
      <c r="C2626" s="25" t="s">
        <v>356</v>
      </c>
      <c r="D2626" s="103" t="s">
        <v>126</v>
      </c>
      <c r="E2626" s="26">
        <v>82</v>
      </c>
      <c r="F2626" s="26" t="s">
        <v>293</v>
      </c>
      <c r="K2626" s="24">
        <v>85</v>
      </c>
      <c r="L2626" s="102">
        <v>46164.322835648149</v>
      </c>
      <c r="M2626" s="25" t="s">
        <v>357</v>
      </c>
      <c r="N2626" s="103" t="s">
        <v>126</v>
      </c>
      <c r="O2626" s="26">
        <v>152</v>
      </c>
      <c r="P2626" s="26" t="s">
        <v>293</v>
      </c>
    </row>
    <row r="2627" spans="1:16" x14ac:dyDescent="0.3">
      <c r="A2627" s="24">
        <v>85</v>
      </c>
      <c r="B2627" s="102">
        <v>46164.320844907408</v>
      </c>
      <c r="C2627" s="25" t="s">
        <v>356</v>
      </c>
      <c r="D2627" s="103" t="s">
        <v>349</v>
      </c>
      <c r="E2627" s="26">
        <v>169</v>
      </c>
      <c r="F2627" s="26" t="s">
        <v>293</v>
      </c>
      <c r="K2627" s="24">
        <v>85</v>
      </c>
      <c r="L2627" s="102">
        <v>46164.322835648149</v>
      </c>
      <c r="M2627" s="25" t="s">
        <v>357</v>
      </c>
      <c r="N2627" s="103" t="s">
        <v>349</v>
      </c>
      <c r="O2627" s="26">
        <v>374</v>
      </c>
      <c r="P2627" s="26" t="s">
        <v>293</v>
      </c>
    </row>
    <row r="2628" spans="1:16" x14ac:dyDescent="0.3">
      <c r="A2628" s="24">
        <v>85</v>
      </c>
      <c r="B2628" s="102">
        <v>46164.320844907408</v>
      </c>
      <c r="C2628" s="25" t="s">
        <v>356</v>
      </c>
      <c r="D2628" s="103" t="s">
        <v>350</v>
      </c>
      <c r="E2628" s="26">
        <v>60</v>
      </c>
      <c r="F2628" s="26" t="s">
        <v>293</v>
      </c>
      <c r="K2628" s="24">
        <v>85</v>
      </c>
      <c r="L2628" s="102">
        <v>46164.322835648149</v>
      </c>
      <c r="M2628" s="25" t="s">
        <v>357</v>
      </c>
      <c r="N2628" s="103" t="s">
        <v>350</v>
      </c>
      <c r="O2628" s="26">
        <v>87</v>
      </c>
      <c r="P2628" s="26" t="s">
        <v>293</v>
      </c>
    </row>
    <row r="2629" spans="1:16" x14ac:dyDescent="0.3">
      <c r="A2629" s="24">
        <v>85</v>
      </c>
      <c r="B2629" s="102">
        <v>46164.320844907408</v>
      </c>
      <c r="C2629" s="25" t="s">
        <v>356</v>
      </c>
      <c r="D2629" s="103" t="s">
        <v>122</v>
      </c>
      <c r="E2629" s="26">
        <v>46</v>
      </c>
      <c r="F2629" s="26" t="s">
        <v>293</v>
      </c>
      <c r="K2629" s="24">
        <v>85</v>
      </c>
      <c r="L2629" s="102">
        <v>46164.322835648149</v>
      </c>
      <c r="M2629" s="25" t="s">
        <v>357</v>
      </c>
      <c r="N2629" s="103" t="s">
        <v>122</v>
      </c>
      <c r="O2629" s="26">
        <v>226</v>
      </c>
      <c r="P2629" s="26" t="s">
        <v>293</v>
      </c>
    </row>
    <row r="2630" spans="1:16" x14ac:dyDescent="0.3">
      <c r="A2630" s="24">
        <v>85</v>
      </c>
      <c r="B2630" s="102">
        <v>46164.320844907408</v>
      </c>
      <c r="C2630" s="25" t="s">
        <v>356</v>
      </c>
      <c r="D2630" s="103" t="s">
        <v>124</v>
      </c>
      <c r="E2630" s="26">
        <v>26</v>
      </c>
      <c r="F2630" s="26" t="s">
        <v>293</v>
      </c>
      <c r="K2630" s="24">
        <v>85</v>
      </c>
      <c r="L2630" s="102">
        <v>46164.322835648149</v>
      </c>
      <c r="M2630" s="25" t="s">
        <v>357</v>
      </c>
      <c r="N2630" s="103" t="s">
        <v>124</v>
      </c>
      <c r="O2630" s="26">
        <v>102</v>
      </c>
      <c r="P2630" s="26" t="s">
        <v>293</v>
      </c>
    </row>
    <row r="2631" spans="1:16" x14ac:dyDescent="0.3">
      <c r="A2631" s="24">
        <v>85</v>
      </c>
      <c r="B2631" s="102">
        <v>46164.320844907408</v>
      </c>
      <c r="C2631" s="25" t="s">
        <v>356</v>
      </c>
      <c r="D2631" s="103" t="s">
        <v>351</v>
      </c>
      <c r="E2631" s="26">
        <v>0.94</v>
      </c>
      <c r="F2631" s="26" t="s">
        <v>293</v>
      </c>
      <c r="K2631" s="24">
        <v>85</v>
      </c>
      <c r="L2631" s="102">
        <v>46164.322835648149</v>
      </c>
      <c r="M2631" s="25" t="s">
        <v>357</v>
      </c>
      <c r="N2631" s="103" t="s">
        <v>351</v>
      </c>
      <c r="O2631" s="26">
        <v>3.58</v>
      </c>
      <c r="P2631" s="26" t="s">
        <v>293</v>
      </c>
    </row>
    <row r="2632" spans="1:16" x14ac:dyDescent="0.3">
      <c r="A2632" s="24">
        <v>85</v>
      </c>
      <c r="B2632" s="102">
        <v>46164.320844907408</v>
      </c>
      <c r="C2632" s="25" t="s">
        <v>356</v>
      </c>
      <c r="D2632" s="103" t="s">
        <v>353</v>
      </c>
      <c r="E2632" s="26">
        <v>35.5</v>
      </c>
      <c r="F2632" s="26" t="s">
        <v>293</v>
      </c>
      <c r="K2632" s="24">
        <v>85</v>
      </c>
      <c r="L2632" s="102">
        <v>46164.322835648149</v>
      </c>
      <c r="M2632" s="25" t="s">
        <v>357</v>
      </c>
      <c r="N2632" s="103" t="s">
        <v>353</v>
      </c>
      <c r="O2632" s="26">
        <v>19.7</v>
      </c>
      <c r="P2632" s="26" t="s">
        <v>293</v>
      </c>
    </row>
    <row r="2633" spans="1:16" x14ac:dyDescent="0.3">
      <c r="A2633" s="24">
        <v>85</v>
      </c>
      <c r="B2633" s="102">
        <v>46164.320844907408</v>
      </c>
      <c r="C2633" s="25" t="s">
        <v>356</v>
      </c>
      <c r="D2633" s="103" t="s">
        <v>133</v>
      </c>
      <c r="E2633" s="26">
        <v>148</v>
      </c>
      <c r="F2633" s="26" t="s">
        <v>293</v>
      </c>
      <c r="K2633" s="24">
        <v>85</v>
      </c>
      <c r="L2633" s="102">
        <v>46164.322835648149</v>
      </c>
      <c r="M2633" s="25" t="s">
        <v>357</v>
      </c>
      <c r="N2633" s="103" t="s">
        <v>133</v>
      </c>
      <c r="O2633" s="26">
        <v>127</v>
      </c>
      <c r="P2633" s="26" t="s">
        <v>293</v>
      </c>
    </row>
    <row r="2634" spans="1:16" x14ac:dyDescent="0.3">
      <c r="A2634" s="24">
        <v>85</v>
      </c>
      <c r="B2634" s="102">
        <v>46164.320844907408</v>
      </c>
      <c r="C2634" s="25" t="s">
        <v>356</v>
      </c>
      <c r="D2634" s="103" t="s">
        <v>135</v>
      </c>
      <c r="E2634" s="26">
        <v>3.8</v>
      </c>
      <c r="F2634" s="26" t="s">
        <v>293</v>
      </c>
      <c r="K2634" s="24">
        <v>85</v>
      </c>
      <c r="L2634" s="102">
        <v>46164.322835648149</v>
      </c>
      <c r="M2634" s="25" t="s">
        <v>357</v>
      </c>
      <c r="N2634" s="103" t="s">
        <v>135</v>
      </c>
      <c r="O2634" s="26">
        <v>6.5</v>
      </c>
      <c r="P2634" s="26" t="s">
        <v>293</v>
      </c>
    </row>
    <row r="2635" spans="1:16" x14ac:dyDescent="0.3">
      <c r="A2635" s="24">
        <v>85</v>
      </c>
      <c r="B2635" s="102">
        <v>46164.320844907408</v>
      </c>
      <c r="C2635" s="25" t="s">
        <v>356</v>
      </c>
      <c r="D2635" s="103" t="s">
        <v>136</v>
      </c>
      <c r="E2635" s="26">
        <v>118</v>
      </c>
      <c r="F2635" s="26" t="s">
        <v>293</v>
      </c>
      <c r="K2635" s="24">
        <v>85</v>
      </c>
      <c r="L2635" s="102">
        <v>46164.322835648149</v>
      </c>
      <c r="M2635" s="25" t="s">
        <v>357</v>
      </c>
      <c r="N2635" s="103" t="s">
        <v>136</v>
      </c>
      <c r="O2635" s="26">
        <v>92</v>
      </c>
      <c r="P2635" s="26" t="s">
        <v>293</v>
      </c>
    </row>
    <row r="2636" spans="1:16" x14ac:dyDescent="0.3">
      <c r="A2636" s="24">
        <v>86</v>
      </c>
      <c r="B2636" s="102">
        <v>46167.362534722219</v>
      </c>
      <c r="C2636" s="25" t="s">
        <v>356</v>
      </c>
      <c r="D2636" s="103" t="s">
        <v>339</v>
      </c>
      <c r="E2636" s="26">
        <v>4.62</v>
      </c>
      <c r="F2636" s="26" t="s">
        <v>293</v>
      </c>
      <c r="K2636" s="24">
        <v>86</v>
      </c>
      <c r="L2636" s="102">
        <v>46167.362546296295</v>
      </c>
      <c r="M2636" s="25" t="s">
        <v>357</v>
      </c>
      <c r="N2636" s="103" t="s">
        <v>339</v>
      </c>
      <c r="O2636" s="26">
        <v>1.1399999999999999</v>
      </c>
      <c r="P2636" s="26" t="s">
        <v>293</v>
      </c>
    </row>
    <row r="2637" spans="1:16" x14ac:dyDescent="0.3">
      <c r="A2637" s="24">
        <v>86</v>
      </c>
      <c r="B2637" s="102">
        <v>46167.362534722219</v>
      </c>
      <c r="C2637" s="25" t="s">
        <v>356</v>
      </c>
      <c r="D2637" s="103" t="s">
        <v>118</v>
      </c>
      <c r="E2637" s="26">
        <v>4.5</v>
      </c>
      <c r="F2637" s="26" t="s">
        <v>293</v>
      </c>
      <c r="K2637" s="24">
        <v>86</v>
      </c>
      <c r="L2637" s="102">
        <v>46167.362546296295</v>
      </c>
      <c r="M2637" s="25" t="s">
        <v>357</v>
      </c>
      <c r="N2637" s="103" t="s">
        <v>118</v>
      </c>
      <c r="O2637" s="26">
        <v>9.5</v>
      </c>
      <c r="P2637" s="26" t="s">
        <v>293</v>
      </c>
    </row>
    <row r="2638" spans="1:16" x14ac:dyDescent="0.3">
      <c r="A2638" s="24">
        <v>86</v>
      </c>
      <c r="B2638" s="102">
        <v>46167.362534722219</v>
      </c>
      <c r="C2638" s="25" t="s">
        <v>356</v>
      </c>
      <c r="D2638" s="103" t="s">
        <v>130</v>
      </c>
      <c r="E2638" s="26">
        <v>3.77</v>
      </c>
      <c r="F2638" s="26" t="s">
        <v>293</v>
      </c>
      <c r="K2638" s="24">
        <v>86</v>
      </c>
      <c r="L2638" s="102">
        <v>46167.362546296295</v>
      </c>
      <c r="M2638" s="25" t="s">
        <v>357</v>
      </c>
      <c r="N2638" s="103" t="s">
        <v>130</v>
      </c>
      <c r="O2638" s="26">
        <v>2.4300000000000002</v>
      </c>
      <c r="P2638" s="26" t="s">
        <v>293</v>
      </c>
    </row>
    <row r="2639" spans="1:16" x14ac:dyDescent="0.3">
      <c r="A2639" s="24">
        <v>86</v>
      </c>
      <c r="B2639" s="102">
        <v>46167.362534722219</v>
      </c>
      <c r="C2639" s="25" t="s">
        <v>356</v>
      </c>
      <c r="D2639" s="103" t="s">
        <v>341</v>
      </c>
      <c r="E2639" s="26">
        <v>0.311</v>
      </c>
      <c r="F2639" s="26" t="s">
        <v>293</v>
      </c>
      <c r="K2639" s="24">
        <v>86</v>
      </c>
      <c r="L2639" s="102">
        <v>46167.362546296295</v>
      </c>
      <c r="M2639" s="25" t="s">
        <v>357</v>
      </c>
      <c r="N2639" s="103" t="s">
        <v>341</v>
      </c>
      <c r="O2639" s="26">
        <v>1.2110000000000001</v>
      </c>
      <c r="P2639" s="26" t="s">
        <v>293</v>
      </c>
    </row>
    <row r="2640" spans="1:16" x14ac:dyDescent="0.3">
      <c r="A2640" s="24">
        <v>86</v>
      </c>
      <c r="B2640" s="102">
        <v>46167.362534722219</v>
      </c>
      <c r="C2640" s="25" t="s">
        <v>356</v>
      </c>
      <c r="D2640" s="103" t="s">
        <v>127</v>
      </c>
      <c r="E2640" s="26">
        <v>1.28</v>
      </c>
      <c r="F2640" s="26" t="s">
        <v>293</v>
      </c>
      <c r="K2640" s="24">
        <v>86</v>
      </c>
      <c r="L2640" s="102">
        <v>46167.362546296295</v>
      </c>
      <c r="M2640" s="25" t="s">
        <v>357</v>
      </c>
      <c r="N2640" s="103" t="s">
        <v>127</v>
      </c>
      <c r="O2640" s="26">
        <v>4.7149999999999999</v>
      </c>
      <c r="P2640" s="26" t="s">
        <v>293</v>
      </c>
    </row>
    <row r="2641" spans="1:16" x14ac:dyDescent="0.3">
      <c r="A2641" s="24">
        <v>86</v>
      </c>
      <c r="B2641" s="102">
        <v>46167.362534722219</v>
      </c>
      <c r="C2641" s="25" t="s">
        <v>356</v>
      </c>
      <c r="D2641" s="103" t="s">
        <v>131</v>
      </c>
      <c r="E2641" s="26">
        <v>8.8000000000000007</v>
      </c>
      <c r="F2641" s="26" t="s">
        <v>293</v>
      </c>
      <c r="K2641" s="24">
        <v>86</v>
      </c>
      <c r="L2641" s="102">
        <v>46167.362546296295</v>
      </c>
      <c r="M2641" s="25" t="s">
        <v>357</v>
      </c>
      <c r="N2641" s="103" t="s">
        <v>131</v>
      </c>
      <c r="O2641" s="26">
        <v>12.1</v>
      </c>
      <c r="P2641" s="26" t="s">
        <v>293</v>
      </c>
    </row>
    <row r="2642" spans="1:16" x14ac:dyDescent="0.3">
      <c r="A2642" s="24">
        <v>86</v>
      </c>
      <c r="B2642" s="102">
        <v>46167.362534722219</v>
      </c>
      <c r="C2642" s="25" t="s">
        <v>356</v>
      </c>
      <c r="D2642" s="103" t="s">
        <v>342</v>
      </c>
      <c r="E2642" s="26">
        <v>312</v>
      </c>
      <c r="F2642" s="26" t="s">
        <v>293</v>
      </c>
      <c r="K2642" s="24">
        <v>86</v>
      </c>
      <c r="L2642" s="102">
        <v>46167.362546296295</v>
      </c>
      <c r="M2642" s="25" t="s">
        <v>357</v>
      </c>
      <c r="N2642" s="103" t="s">
        <v>342</v>
      </c>
      <c r="O2642" s="26">
        <v>183</v>
      </c>
      <c r="P2642" s="26" t="s">
        <v>293</v>
      </c>
    </row>
    <row r="2643" spans="1:16" x14ac:dyDescent="0.3">
      <c r="A2643" s="24">
        <v>86</v>
      </c>
      <c r="B2643" s="102">
        <v>46167.362534722219</v>
      </c>
      <c r="C2643" s="25" t="s">
        <v>356</v>
      </c>
      <c r="D2643" s="103" t="s">
        <v>119</v>
      </c>
      <c r="E2643" s="26">
        <v>249</v>
      </c>
      <c r="F2643" s="26" t="s">
        <v>293</v>
      </c>
      <c r="K2643" s="24">
        <v>86</v>
      </c>
      <c r="L2643" s="102">
        <v>46167.362546296295</v>
      </c>
      <c r="M2643" s="25" t="s">
        <v>357</v>
      </c>
      <c r="N2643" s="103" t="s">
        <v>119</v>
      </c>
      <c r="O2643" s="26">
        <v>92</v>
      </c>
      <c r="P2643" s="26" t="s">
        <v>293</v>
      </c>
    </row>
    <row r="2644" spans="1:16" x14ac:dyDescent="0.3">
      <c r="A2644" s="24">
        <v>86</v>
      </c>
      <c r="B2644" s="102">
        <v>46167.362534722219</v>
      </c>
      <c r="C2644" s="25" t="s">
        <v>356</v>
      </c>
      <c r="D2644" s="103" t="s">
        <v>120</v>
      </c>
      <c r="E2644" s="26">
        <v>77</v>
      </c>
      <c r="F2644" s="26" t="s">
        <v>293</v>
      </c>
      <c r="K2644" s="24">
        <v>86</v>
      </c>
      <c r="L2644" s="102">
        <v>46167.362546296295</v>
      </c>
      <c r="M2644" s="25" t="s">
        <v>357</v>
      </c>
      <c r="N2644" s="103" t="s">
        <v>120</v>
      </c>
      <c r="O2644" s="26">
        <v>26</v>
      </c>
      <c r="P2644" s="26" t="s">
        <v>293</v>
      </c>
    </row>
    <row r="2645" spans="1:16" x14ac:dyDescent="0.3">
      <c r="A2645" s="24">
        <v>86</v>
      </c>
      <c r="B2645" s="102">
        <v>46167.362534722219</v>
      </c>
      <c r="C2645" s="25" t="s">
        <v>356</v>
      </c>
      <c r="D2645" s="103" t="s">
        <v>117</v>
      </c>
      <c r="E2645" s="26">
        <v>2.72</v>
      </c>
      <c r="F2645" s="26" t="s">
        <v>293</v>
      </c>
      <c r="K2645" s="24">
        <v>86</v>
      </c>
      <c r="L2645" s="102">
        <v>46167.362546296295</v>
      </c>
      <c r="M2645" s="25" t="s">
        <v>357</v>
      </c>
      <c r="N2645" s="103" t="s">
        <v>117</v>
      </c>
      <c r="O2645" s="26">
        <v>6.39</v>
      </c>
      <c r="P2645" s="26" t="s">
        <v>293</v>
      </c>
    </row>
    <row r="2646" spans="1:16" x14ac:dyDescent="0.3">
      <c r="A2646" s="24">
        <v>86</v>
      </c>
      <c r="B2646" s="102">
        <v>46167.362534722219</v>
      </c>
      <c r="C2646" s="25" t="s">
        <v>356</v>
      </c>
      <c r="D2646" s="103" t="s">
        <v>344</v>
      </c>
      <c r="E2646" s="26">
        <v>231</v>
      </c>
      <c r="F2646" s="26" t="s">
        <v>293</v>
      </c>
      <c r="K2646" s="24">
        <v>86</v>
      </c>
      <c r="L2646" s="102">
        <v>46167.362546296295</v>
      </c>
      <c r="M2646" s="25" t="s">
        <v>357</v>
      </c>
      <c r="N2646" s="103" t="s">
        <v>344</v>
      </c>
      <c r="O2646" s="26">
        <v>69</v>
      </c>
      <c r="P2646" s="26" t="s">
        <v>293</v>
      </c>
    </row>
    <row r="2647" spans="1:16" x14ac:dyDescent="0.3">
      <c r="A2647" s="24">
        <v>86</v>
      </c>
      <c r="B2647" s="102">
        <v>46167.362534722219</v>
      </c>
      <c r="C2647" s="25" t="s">
        <v>356</v>
      </c>
      <c r="D2647" s="103" t="s">
        <v>132</v>
      </c>
      <c r="E2647" s="26">
        <v>3.43</v>
      </c>
      <c r="F2647" s="26" t="s">
        <v>293</v>
      </c>
      <c r="K2647" s="24">
        <v>86</v>
      </c>
      <c r="L2647" s="102">
        <v>46167.362546296295</v>
      </c>
      <c r="M2647" s="25" t="s">
        <v>357</v>
      </c>
      <c r="N2647" s="103" t="s">
        <v>132</v>
      </c>
      <c r="O2647" s="26">
        <v>7.06</v>
      </c>
      <c r="P2647" s="26" t="s">
        <v>293</v>
      </c>
    </row>
    <row r="2648" spans="1:16" x14ac:dyDescent="0.3">
      <c r="A2648" s="24">
        <v>86</v>
      </c>
      <c r="B2648" s="102">
        <v>46167.362534722219</v>
      </c>
      <c r="C2648" s="25" t="s">
        <v>356</v>
      </c>
      <c r="D2648" s="103" t="s">
        <v>111</v>
      </c>
      <c r="E2648" s="26">
        <v>86</v>
      </c>
      <c r="F2648" s="26" t="s">
        <v>293</v>
      </c>
      <c r="K2648" s="24">
        <v>86</v>
      </c>
      <c r="L2648" s="102">
        <v>46167.362546296295</v>
      </c>
      <c r="M2648" s="25" t="s">
        <v>357</v>
      </c>
      <c r="N2648" s="103" t="s">
        <v>111</v>
      </c>
      <c r="O2648" s="26">
        <v>280</v>
      </c>
      <c r="P2648" s="26" t="s">
        <v>293</v>
      </c>
    </row>
    <row r="2649" spans="1:16" x14ac:dyDescent="0.3">
      <c r="A2649" s="24">
        <v>86</v>
      </c>
      <c r="B2649" s="102">
        <v>46167.362534722219</v>
      </c>
      <c r="C2649" s="25" t="s">
        <v>356</v>
      </c>
      <c r="D2649" s="103" t="s">
        <v>345</v>
      </c>
      <c r="E2649" s="26">
        <v>5.24</v>
      </c>
      <c r="F2649" s="26" t="s">
        <v>293</v>
      </c>
      <c r="K2649" s="24">
        <v>86</v>
      </c>
      <c r="L2649" s="102">
        <v>46167.362546296295</v>
      </c>
      <c r="M2649" s="25" t="s">
        <v>357</v>
      </c>
      <c r="N2649" s="103" t="s">
        <v>345</v>
      </c>
      <c r="O2649" s="26">
        <v>9.4600000000000009</v>
      </c>
      <c r="P2649" s="26" t="s">
        <v>293</v>
      </c>
    </row>
    <row r="2650" spans="1:16" x14ac:dyDescent="0.3">
      <c r="A2650" s="24">
        <v>86</v>
      </c>
      <c r="B2650" s="102">
        <v>46167.362534722219</v>
      </c>
      <c r="C2650" s="25" t="s">
        <v>356</v>
      </c>
      <c r="D2650" s="103" t="s">
        <v>347</v>
      </c>
      <c r="E2650" s="26">
        <v>2.27</v>
      </c>
      <c r="F2650" s="26" t="s">
        <v>293</v>
      </c>
      <c r="K2650" s="24">
        <v>86</v>
      </c>
      <c r="L2650" s="102">
        <v>46167.362546296295</v>
      </c>
      <c r="M2650" s="25" t="s">
        <v>357</v>
      </c>
      <c r="N2650" s="103" t="s">
        <v>347</v>
      </c>
      <c r="O2650" s="26">
        <v>4.8099999999999996</v>
      </c>
      <c r="P2650" s="26" t="s">
        <v>293</v>
      </c>
    </row>
    <row r="2651" spans="1:16" x14ac:dyDescent="0.3">
      <c r="A2651" s="24">
        <v>86</v>
      </c>
      <c r="B2651" s="102">
        <v>46167.362534722219</v>
      </c>
      <c r="C2651" s="25" t="s">
        <v>356</v>
      </c>
      <c r="D2651" s="103" t="s">
        <v>128</v>
      </c>
      <c r="E2651" s="26">
        <v>7.1</v>
      </c>
      <c r="F2651" s="26" t="s">
        <v>293</v>
      </c>
      <c r="K2651" s="24">
        <v>86</v>
      </c>
      <c r="L2651" s="102">
        <v>46167.362546296295</v>
      </c>
      <c r="M2651" s="25" t="s">
        <v>357</v>
      </c>
      <c r="N2651" s="103" t="s">
        <v>128</v>
      </c>
      <c r="O2651" s="26">
        <v>4.5999999999999996</v>
      </c>
      <c r="P2651" s="26" t="s">
        <v>293</v>
      </c>
    </row>
    <row r="2652" spans="1:16" x14ac:dyDescent="0.3">
      <c r="A2652" s="24">
        <v>86</v>
      </c>
      <c r="B2652" s="102">
        <v>46167.362534722219</v>
      </c>
      <c r="C2652" s="25" t="s">
        <v>356</v>
      </c>
      <c r="D2652" s="103" t="s">
        <v>121</v>
      </c>
      <c r="E2652" s="26">
        <v>161</v>
      </c>
      <c r="F2652" s="26" t="s">
        <v>293</v>
      </c>
      <c r="K2652" s="24">
        <v>86</v>
      </c>
      <c r="L2652" s="102">
        <v>46167.362546296295</v>
      </c>
      <c r="M2652" s="25" t="s">
        <v>357</v>
      </c>
      <c r="N2652" s="103" t="s">
        <v>121</v>
      </c>
      <c r="O2652" s="26">
        <v>76</v>
      </c>
      <c r="P2652" s="26" t="s">
        <v>293</v>
      </c>
    </row>
    <row r="2653" spans="1:16" x14ac:dyDescent="0.3">
      <c r="A2653" s="24">
        <v>86</v>
      </c>
      <c r="B2653" s="102">
        <v>46167.362534722219</v>
      </c>
      <c r="C2653" s="25" t="s">
        <v>356</v>
      </c>
      <c r="D2653" s="103" t="s">
        <v>115</v>
      </c>
      <c r="E2653" s="26">
        <v>33</v>
      </c>
      <c r="F2653" s="26" t="s">
        <v>293</v>
      </c>
      <c r="K2653" s="24">
        <v>86</v>
      </c>
      <c r="L2653" s="102">
        <v>46167.362546296295</v>
      </c>
      <c r="M2653" s="25" t="s">
        <v>357</v>
      </c>
      <c r="N2653" s="103" t="s">
        <v>115</v>
      </c>
      <c r="O2653" s="26">
        <v>89</v>
      </c>
      <c r="P2653" s="26" t="s">
        <v>293</v>
      </c>
    </row>
    <row r="2654" spans="1:16" x14ac:dyDescent="0.3">
      <c r="A2654" s="24">
        <v>86</v>
      </c>
      <c r="B2654" s="102">
        <v>46167.362534722219</v>
      </c>
      <c r="C2654" s="25" t="s">
        <v>356</v>
      </c>
      <c r="D2654" s="103" t="s">
        <v>137</v>
      </c>
      <c r="E2654" s="26">
        <v>76</v>
      </c>
      <c r="F2654" s="26" t="s">
        <v>293</v>
      </c>
      <c r="K2654" s="24">
        <v>86</v>
      </c>
      <c r="L2654" s="102">
        <v>46167.362546296295</v>
      </c>
      <c r="M2654" s="25" t="s">
        <v>357</v>
      </c>
      <c r="N2654" s="103" t="s">
        <v>137</v>
      </c>
      <c r="O2654" s="26">
        <v>482</v>
      </c>
      <c r="P2654" s="26" t="s">
        <v>293</v>
      </c>
    </row>
    <row r="2655" spans="1:16" x14ac:dyDescent="0.3">
      <c r="A2655" s="24">
        <v>86</v>
      </c>
      <c r="B2655" s="102">
        <v>46167.362534722219</v>
      </c>
      <c r="C2655" s="25" t="s">
        <v>356</v>
      </c>
      <c r="D2655" s="103" t="s">
        <v>348</v>
      </c>
      <c r="E2655" s="26">
        <v>137</v>
      </c>
      <c r="F2655" s="26" t="s">
        <v>293</v>
      </c>
      <c r="K2655" s="24">
        <v>86</v>
      </c>
      <c r="L2655" s="102">
        <v>46167.362546296295</v>
      </c>
      <c r="M2655" s="25" t="s">
        <v>357</v>
      </c>
      <c r="N2655" s="103" t="s">
        <v>348</v>
      </c>
      <c r="O2655" s="26">
        <v>429</v>
      </c>
      <c r="P2655" s="26" t="s">
        <v>293</v>
      </c>
    </row>
    <row r="2656" spans="1:16" x14ac:dyDescent="0.3">
      <c r="A2656" s="24">
        <v>86</v>
      </c>
      <c r="B2656" s="102">
        <v>46167.362534722219</v>
      </c>
      <c r="C2656" s="25" t="s">
        <v>356</v>
      </c>
      <c r="D2656" s="103" t="s">
        <v>125</v>
      </c>
      <c r="E2656" s="26">
        <v>120</v>
      </c>
      <c r="F2656" s="26" t="s">
        <v>293</v>
      </c>
      <c r="K2656" s="24">
        <v>86</v>
      </c>
      <c r="L2656" s="102">
        <v>46167.362546296295</v>
      </c>
      <c r="M2656" s="25" t="s">
        <v>357</v>
      </c>
      <c r="N2656" s="103" t="s">
        <v>125</v>
      </c>
      <c r="O2656" s="26">
        <v>420</v>
      </c>
      <c r="P2656" s="26" t="s">
        <v>293</v>
      </c>
    </row>
    <row r="2657" spans="1:16" x14ac:dyDescent="0.3">
      <c r="A2657" s="24">
        <v>86</v>
      </c>
      <c r="B2657" s="102">
        <v>46167.362534722219</v>
      </c>
      <c r="C2657" s="25" t="s">
        <v>356</v>
      </c>
      <c r="D2657" s="103" t="s">
        <v>126</v>
      </c>
      <c r="E2657" s="26">
        <v>82</v>
      </c>
      <c r="F2657" s="26" t="s">
        <v>293</v>
      </c>
      <c r="K2657" s="24">
        <v>86</v>
      </c>
      <c r="L2657" s="102">
        <v>46167.362546296295</v>
      </c>
      <c r="M2657" s="25" t="s">
        <v>357</v>
      </c>
      <c r="N2657" s="103" t="s">
        <v>126</v>
      </c>
      <c r="O2657" s="26">
        <v>152</v>
      </c>
      <c r="P2657" s="26" t="s">
        <v>293</v>
      </c>
    </row>
    <row r="2658" spans="1:16" x14ac:dyDescent="0.3">
      <c r="A2658" s="24">
        <v>86</v>
      </c>
      <c r="B2658" s="102">
        <v>46167.362534722219</v>
      </c>
      <c r="C2658" s="25" t="s">
        <v>356</v>
      </c>
      <c r="D2658" s="103" t="s">
        <v>349</v>
      </c>
      <c r="E2658" s="26">
        <v>168</v>
      </c>
      <c r="F2658" s="26" t="s">
        <v>293</v>
      </c>
      <c r="K2658" s="24">
        <v>86</v>
      </c>
      <c r="L2658" s="102">
        <v>46167.362546296295</v>
      </c>
      <c r="M2658" s="25" t="s">
        <v>357</v>
      </c>
      <c r="N2658" s="103" t="s">
        <v>349</v>
      </c>
      <c r="O2658" s="26">
        <v>376</v>
      </c>
      <c r="P2658" s="26" t="s">
        <v>293</v>
      </c>
    </row>
    <row r="2659" spans="1:16" x14ac:dyDescent="0.3">
      <c r="A2659" s="24">
        <v>86</v>
      </c>
      <c r="B2659" s="102">
        <v>46167.362534722219</v>
      </c>
      <c r="C2659" s="25" t="s">
        <v>356</v>
      </c>
      <c r="D2659" s="103" t="s">
        <v>350</v>
      </c>
      <c r="E2659" s="26">
        <v>60</v>
      </c>
      <c r="F2659" s="26" t="s">
        <v>293</v>
      </c>
      <c r="K2659" s="24">
        <v>86</v>
      </c>
      <c r="L2659" s="102">
        <v>46167.362546296295</v>
      </c>
      <c r="M2659" s="25" t="s">
        <v>357</v>
      </c>
      <c r="N2659" s="103" t="s">
        <v>350</v>
      </c>
      <c r="O2659" s="26">
        <v>88</v>
      </c>
      <c r="P2659" s="26" t="s">
        <v>293</v>
      </c>
    </row>
    <row r="2660" spans="1:16" x14ac:dyDescent="0.3">
      <c r="A2660" s="24">
        <v>86</v>
      </c>
      <c r="B2660" s="102">
        <v>46167.362534722219</v>
      </c>
      <c r="C2660" s="25" t="s">
        <v>356</v>
      </c>
      <c r="D2660" s="103" t="s">
        <v>122</v>
      </c>
      <c r="E2660" s="26">
        <v>47</v>
      </c>
      <c r="F2660" s="26" t="s">
        <v>293</v>
      </c>
      <c r="K2660" s="24">
        <v>86</v>
      </c>
      <c r="L2660" s="102">
        <v>46167.362546296295</v>
      </c>
      <c r="M2660" s="25" t="s">
        <v>357</v>
      </c>
      <c r="N2660" s="103" t="s">
        <v>122</v>
      </c>
      <c r="O2660" s="26">
        <v>217</v>
      </c>
      <c r="P2660" s="26" t="s">
        <v>293</v>
      </c>
    </row>
    <row r="2661" spans="1:16" x14ac:dyDescent="0.3">
      <c r="A2661" s="24">
        <v>86</v>
      </c>
      <c r="B2661" s="102">
        <v>46167.362534722219</v>
      </c>
      <c r="C2661" s="25" t="s">
        <v>356</v>
      </c>
      <c r="D2661" s="103" t="s">
        <v>124</v>
      </c>
      <c r="E2661" s="26">
        <v>28</v>
      </c>
      <c r="F2661" s="26" t="s">
        <v>293</v>
      </c>
      <c r="K2661" s="24">
        <v>86</v>
      </c>
      <c r="L2661" s="102">
        <v>46167.362546296295</v>
      </c>
      <c r="M2661" s="25" t="s">
        <v>357</v>
      </c>
      <c r="N2661" s="103" t="s">
        <v>124</v>
      </c>
      <c r="O2661" s="26">
        <v>98</v>
      </c>
      <c r="P2661" s="26" t="s">
        <v>293</v>
      </c>
    </row>
    <row r="2662" spans="1:16" x14ac:dyDescent="0.3">
      <c r="A2662" s="24">
        <v>86</v>
      </c>
      <c r="B2662" s="102">
        <v>46167.362534722219</v>
      </c>
      <c r="C2662" s="25" t="s">
        <v>356</v>
      </c>
      <c r="D2662" s="103" t="s">
        <v>351</v>
      </c>
      <c r="E2662" s="26">
        <v>0.97</v>
      </c>
      <c r="F2662" s="26" t="s">
        <v>293</v>
      </c>
      <c r="K2662" s="24">
        <v>86</v>
      </c>
      <c r="L2662" s="102">
        <v>46167.362546296295</v>
      </c>
      <c r="M2662" s="25" t="s">
        <v>357</v>
      </c>
      <c r="N2662" s="103" t="s">
        <v>351</v>
      </c>
      <c r="O2662" s="26">
        <v>3.66</v>
      </c>
      <c r="P2662" s="26" t="s">
        <v>293</v>
      </c>
    </row>
    <row r="2663" spans="1:16" x14ac:dyDescent="0.3">
      <c r="A2663" s="24">
        <v>86</v>
      </c>
      <c r="B2663" s="102">
        <v>46167.362534722219</v>
      </c>
      <c r="C2663" s="25" t="s">
        <v>356</v>
      </c>
      <c r="D2663" s="103" t="s">
        <v>353</v>
      </c>
      <c r="E2663" s="26">
        <v>33.5</v>
      </c>
      <c r="F2663" s="26" t="s">
        <v>293</v>
      </c>
      <c r="K2663" s="24">
        <v>86</v>
      </c>
      <c r="L2663" s="102">
        <v>46167.362546296295</v>
      </c>
      <c r="M2663" s="25" t="s">
        <v>357</v>
      </c>
      <c r="N2663" s="103" t="s">
        <v>353</v>
      </c>
      <c r="O2663" s="26">
        <v>17</v>
      </c>
      <c r="P2663" s="26" t="s">
        <v>293</v>
      </c>
    </row>
    <row r="2664" spans="1:16" x14ac:dyDescent="0.3">
      <c r="A2664" s="24">
        <v>86</v>
      </c>
      <c r="B2664" s="102">
        <v>46167.362534722219</v>
      </c>
      <c r="C2664" s="25" t="s">
        <v>356</v>
      </c>
      <c r="D2664" s="103" t="s">
        <v>133</v>
      </c>
      <c r="E2664" s="26">
        <v>148</v>
      </c>
      <c r="F2664" s="26" t="s">
        <v>293</v>
      </c>
      <c r="K2664" s="24">
        <v>86</v>
      </c>
      <c r="L2664" s="102">
        <v>46167.362546296295</v>
      </c>
      <c r="M2664" s="25" t="s">
        <v>357</v>
      </c>
      <c r="N2664" s="103" t="s">
        <v>133</v>
      </c>
      <c r="O2664" s="26">
        <v>127</v>
      </c>
      <c r="P2664" s="26" t="s">
        <v>293</v>
      </c>
    </row>
    <row r="2665" spans="1:16" x14ac:dyDescent="0.3">
      <c r="A2665" s="24">
        <v>86</v>
      </c>
      <c r="B2665" s="102">
        <v>46167.362534722219</v>
      </c>
      <c r="C2665" s="25" t="s">
        <v>356</v>
      </c>
      <c r="D2665" s="103" t="s">
        <v>135</v>
      </c>
      <c r="E2665" s="26">
        <v>3.8</v>
      </c>
      <c r="F2665" s="26" t="s">
        <v>293</v>
      </c>
      <c r="K2665" s="24">
        <v>86</v>
      </c>
      <c r="L2665" s="102">
        <v>46167.362546296295</v>
      </c>
      <c r="M2665" s="25" t="s">
        <v>357</v>
      </c>
      <c r="N2665" s="103" t="s">
        <v>135</v>
      </c>
      <c r="O2665" s="26">
        <v>6.4</v>
      </c>
      <c r="P2665" s="26" t="s">
        <v>293</v>
      </c>
    </row>
    <row r="2666" spans="1:16" x14ac:dyDescent="0.3">
      <c r="A2666" s="24">
        <v>86</v>
      </c>
      <c r="B2666" s="102">
        <v>46167.362534722219</v>
      </c>
      <c r="C2666" s="25" t="s">
        <v>356</v>
      </c>
      <c r="D2666" s="103" t="s">
        <v>136</v>
      </c>
      <c r="E2666" s="26">
        <v>120</v>
      </c>
      <c r="F2666" s="26" t="s">
        <v>293</v>
      </c>
      <c r="K2666" s="24">
        <v>86</v>
      </c>
      <c r="L2666" s="102">
        <v>46167.362546296295</v>
      </c>
      <c r="M2666" s="25" t="s">
        <v>357</v>
      </c>
      <c r="N2666" s="103" t="s">
        <v>136</v>
      </c>
      <c r="O2666" s="26">
        <v>95</v>
      </c>
      <c r="P2666" s="26" t="s">
        <v>293</v>
      </c>
    </row>
    <row r="2667" spans="1:16" x14ac:dyDescent="0.3">
      <c r="A2667" s="24">
        <v>87</v>
      </c>
      <c r="B2667" s="102">
        <v>46168.355451388888</v>
      </c>
      <c r="C2667" s="25" t="s">
        <v>356</v>
      </c>
      <c r="D2667" s="103" t="s">
        <v>339</v>
      </c>
      <c r="E2667" s="26">
        <v>4.6399999999999997</v>
      </c>
      <c r="F2667" s="26" t="s">
        <v>293</v>
      </c>
      <c r="K2667" s="24">
        <v>87</v>
      </c>
      <c r="L2667" s="102">
        <v>46168.357222222221</v>
      </c>
      <c r="M2667" s="25" t="s">
        <v>357</v>
      </c>
      <c r="N2667" s="103" t="s">
        <v>339</v>
      </c>
      <c r="O2667" s="26">
        <v>1.31</v>
      </c>
      <c r="P2667" s="26" t="s">
        <v>293</v>
      </c>
    </row>
    <row r="2668" spans="1:16" x14ac:dyDescent="0.3">
      <c r="A2668" s="24">
        <v>87</v>
      </c>
      <c r="B2668" s="102">
        <v>46168.355451388888</v>
      </c>
      <c r="C2668" s="25" t="s">
        <v>356</v>
      </c>
      <c r="D2668" s="103" t="s">
        <v>118</v>
      </c>
      <c r="E2668" s="26">
        <v>4.5</v>
      </c>
      <c r="F2668" s="26" t="s">
        <v>293</v>
      </c>
      <c r="K2668" s="24">
        <v>87</v>
      </c>
      <c r="L2668" s="102">
        <v>46168.357222222221</v>
      </c>
      <c r="M2668" s="25" t="s">
        <v>357</v>
      </c>
      <c r="N2668" s="103" t="s">
        <v>118</v>
      </c>
      <c r="O2668" s="26">
        <v>9.6</v>
      </c>
      <c r="P2668" s="26" t="s">
        <v>293</v>
      </c>
    </row>
    <row r="2669" spans="1:16" x14ac:dyDescent="0.3">
      <c r="A2669" s="24">
        <v>87</v>
      </c>
      <c r="B2669" s="102">
        <v>46168.355451388888</v>
      </c>
      <c r="C2669" s="25" t="s">
        <v>356</v>
      </c>
      <c r="D2669" s="103" t="s">
        <v>130</v>
      </c>
      <c r="E2669" s="26">
        <v>3.65</v>
      </c>
      <c r="F2669" s="26" t="s">
        <v>293</v>
      </c>
      <c r="K2669" s="24">
        <v>87</v>
      </c>
      <c r="L2669" s="102">
        <v>46168.357222222221</v>
      </c>
      <c r="M2669" s="25" t="s">
        <v>357</v>
      </c>
      <c r="N2669" s="103" t="s">
        <v>130</v>
      </c>
      <c r="O2669" s="26">
        <v>2.41</v>
      </c>
      <c r="P2669" s="26" t="s">
        <v>293</v>
      </c>
    </row>
    <row r="2670" spans="1:16" x14ac:dyDescent="0.3">
      <c r="A2670" s="24">
        <v>87</v>
      </c>
      <c r="B2670" s="102">
        <v>46168.355451388888</v>
      </c>
      <c r="C2670" s="25" t="s">
        <v>356</v>
      </c>
      <c r="D2670" s="103" t="s">
        <v>341</v>
      </c>
      <c r="E2670" s="26">
        <v>0.29499999999999998</v>
      </c>
      <c r="F2670" s="26" t="s">
        <v>293</v>
      </c>
      <c r="K2670" s="24">
        <v>87</v>
      </c>
      <c r="L2670" s="102">
        <v>46168.357222222221</v>
      </c>
      <c r="M2670" s="25" t="s">
        <v>357</v>
      </c>
      <c r="N2670" s="103" t="s">
        <v>341</v>
      </c>
      <c r="O2670" s="26">
        <v>1.206</v>
      </c>
      <c r="P2670" s="26" t="s">
        <v>293</v>
      </c>
    </row>
    <row r="2671" spans="1:16" x14ac:dyDescent="0.3">
      <c r="A2671" s="24">
        <v>87</v>
      </c>
      <c r="B2671" s="102">
        <v>46168.355451388888</v>
      </c>
      <c r="C2671" s="25" t="s">
        <v>356</v>
      </c>
      <c r="D2671" s="103" t="s">
        <v>127</v>
      </c>
      <c r="E2671" s="26">
        <v>1.194</v>
      </c>
      <c r="F2671" s="26" t="s">
        <v>293</v>
      </c>
      <c r="K2671" s="24">
        <v>87</v>
      </c>
      <c r="L2671" s="102">
        <v>46168.357222222221</v>
      </c>
      <c r="M2671" s="25" t="s">
        <v>357</v>
      </c>
      <c r="N2671" s="103" t="s">
        <v>127</v>
      </c>
      <c r="O2671" s="26">
        <v>4.6619999999999999</v>
      </c>
      <c r="P2671" s="26" t="s">
        <v>293</v>
      </c>
    </row>
    <row r="2672" spans="1:16" x14ac:dyDescent="0.3">
      <c r="A2672" s="24">
        <v>87</v>
      </c>
      <c r="B2672" s="102">
        <v>46168.355451388888</v>
      </c>
      <c r="C2672" s="25" t="s">
        <v>356</v>
      </c>
      <c r="D2672" s="103" t="s">
        <v>131</v>
      </c>
      <c r="E2672" s="26">
        <v>8.5</v>
      </c>
      <c r="F2672" s="26" t="s">
        <v>293</v>
      </c>
      <c r="K2672" s="24">
        <v>87</v>
      </c>
      <c r="L2672" s="102">
        <v>46168.357222222221</v>
      </c>
      <c r="M2672" s="25" t="s">
        <v>357</v>
      </c>
      <c r="N2672" s="103" t="s">
        <v>131</v>
      </c>
      <c r="O2672" s="26">
        <v>11.5</v>
      </c>
      <c r="P2672" s="26" t="s">
        <v>293</v>
      </c>
    </row>
    <row r="2673" spans="1:16" x14ac:dyDescent="0.3">
      <c r="A2673" s="24">
        <v>87</v>
      </c>
      <c r="B2673" s="102">
        <v>46168.355451388888</v>
      </c>
      <c r="C2673" s="25" t="s">
        <v>356</v>
      </c>
      <c r="D2673" s="103" t="s">
        <v>342</v>
      </c>
      <c r="E2673" s="26">
        <v>293</v>
      </c>
      <c r="F2673" s="26" t="s">
        <v>293</v>
      </c>
      <c r="K2673" s="24">
        <v>87</v>
      </c>
      <c r="L2673" s="102">
        <v>46168.357222222221</v>
      </c>
      <c r="M2673" s="25" t="s">
        <v>357</v>
      </c>
      <c r="N2673" s="103" t="s">
        <v>342</v>
      </c>
      <c r="O2673" s="26">
        <v>177</v>
      </c>
      <c r="P2673" s="26" t="s">
        <v>293</v>
      </c>
    </row>
    <row r="2674" spans="1:16" x14ac:dyDescent="0.3">
      <c r="A2674" s="24">
        <v>87</v>
      </c>
      <c r="B2674" s="102">
        <v>46168.355451388888</v>
      </c>
      <c r="C2674" s="25" t="s">
        <v>356</v>
      </c>
      <c r="D2674" s="103" t="s">
        <v>119</v>
      </c>
      <c r="E2674" s="26">
        <v>245</v>
      </c>
      <c r="F2674" s="26" t="s">
        <v>293</v>
      </c>
      <c r="K2674" s="24">
        <v>87</v>
      </c>
      <c r="L2674" s="102">
        <v>46168.357222222221</v>
      </c>
      <c r="M2674" s="25" t="s">
        <v>357</v>
      </c>
      <c r="N2674" s="103" t="s">
        <v>119</v>
      </c>
      <c r="O2674" s="26">
        <v>91</v>
      </c>
      <c r="P2674" s="26" t="s">
        <v>293</v>
      </c>
    </row>
    <row r="2675" spans="1:16" x14ac:dyDescent="0.3">
      <c r="A2675" s="24">
        <v>87</v>
      </c>
      <c r="B2675" s="102">
        <v>46168.355451388888</v>
      </c>
      <c r="C2675" s="25" t="s">
        <v>356</v>
      </c>
      <c r="D2675" s="103" t="s">
        <v>120</v>
      </c>
      <c r="E2675" s="26">
        <v>77</v>
      </c>
      <c r="F2675" s="26" t="s">
        <v>293</v>
      </c>
      <c r="K2675" s="24">
        <v>87</v>
      </c>
      <c r="L2675" s="102">
        <v>46168.357222222221</v>
      </c>
      <c r="M2675" s="25" t="s">
        <v>357</v>
      </c>
      <c r="N2675" s="103" t="s">
        <v>120</v>
      </c>
      <c r="O2675" s="26">
        <v>27</v>
      </c>
      <c r="P2675" s="26" t="s">
        <v>293</v>
      </c>
    </row>
    <row r="2676" spans="1:16" x14ac:dyDescent="0.3">
      <c r="A2676" s="24">
        <v>87</v>
      </c>
      <c r="B2676" s="102">
        <v>46168.355451388888</v>
      </c>
      <c r="C2676" s="25" t="s">
        <v>356</v>
      </c>
      <c r="D2676" s="103" t="s">
        <v>117</v>
      </c>
      <c r="E2676" s="26">
        <v>2.52</v>
      </c>
      <c r="F2676" s="26" t="s">
        <v>293</v>
      </c>
      <c r="K2676" s="24">
        <v>87</v>
      </c>
      <c r="L2676" s="102">
        <v>46168.357222222221</v>
      </c>
      <c r="M2676" s="25" t="s">
        <v>357</v>
      </c>
      <c r="N2676" s="103" t="s">
        <v>117</v>
      </c>
      <c r="O2676" s="26">
        <v>6.48</v>
      </c>
      <c r="P2676" s="26" t="s">
        <v>293</v>
      </c>
    </row>
    <row r="2677" spans="1:16" x14ac:dyDescent="0.3">
      <c r="A2677" s="24">
        <v>87</v>
      </c>
      <c r="B2677" s="102">
        <v>46168.355451388888</v>
      </c>
      <c r="C2677" s="25" t="s">
        <v>356</v>
      </c>
      <c r="D2677" s="103" t="s">
        <v>344</v>
      </c>
      <c r="E2677" s="26">
        <v>230</v>
      </c>
      <c r="F2677" s="26" t="s">
        <v>293</v>
      </c>
      <c r="K2677" s="24">
        <v>87</v>
      </c>
      <c r="L2677" s="102">
        <v>46168.357222222221</v>
      </c>
      <c r="M2677" s="25" t="s">
        <v>357</v>
      </c>
      <c r="N2677" s="103" t="s">
        <v>344</v>
      </c>
      <c r="O2677" s="26">
        <v>69</v>
      </c>
      <c r="P2677" s="26" t="s">
        <v>293</v>
      </c>
    </row>
    <row r="2678" spans="1:16" x14ac:dyDescent="0.3">
      <c r="A2678" s="24">
        <v>87</v>
      </c>
      <c r="B2678" s="102">
        <v>46168.355451388888</v>
      </c>
      <c r="C2678" s="25" t="s">
        <v>356</v>
      </c>
      <c r="D2678" s="103" t="s">
        <v>132</v>
      </c>
      <c r="E2678" s="26">
        <v>3.43</v>
      </c>
      <c r="F2678" s="26" t="s">
        <v>293</v>
      </c>
      <c r="K2678" s="24">
        <v>87</v>
      </c>
      <c r="L2678" s="102">
        <v>46168.357222222221</v>
      </c>
      <c r="M2678" s="25" t="s">
        <v>357</v>
      </c>
      <c r="N2678" s="103" t="s">
        <v>132</v>
      </c>
      <c r="O2678" s="26">
        <v>7.11</v>
      </c>
      <c r="P2678" s="26" t="s">
        <v>293</v>
      </c>
    </row>
    <row r="2679" spans="1:16" x14ac:dyDescent="0.3">
      <c r="A2679" s="24">
        <v>87</v>
      </c>
      <c r="B2679" s="102">
        <v>46168.355451388888</v>
      </c>
      <c r="C2679" s="25" t="s">
        <v>356</v>
      </c>
      <c r="D2679" s="103" t="s">
        <v>111</v>
      </c>
      <c r="E2679" s="26">
        <v>86</v>
      </c>
      <c r="F2679" s="26" t="s">
        <v>293</v>
      </c>
      <c r="K2679" s="24">
        <v>87</v>
      </c>
      <c r="L2679" s="102">
        <v>46168.357222222221</v>
      </c>
      <c r="M2679" s="25" t="s">
        <v>357</v>
      </c>
      <c r="N2679" s="103" t="s">
        <v>111</v>
      </c>
      <c r="O2679" s="26">
        <v>276</v>
      </c>
      <c r="P2679" s="26" t="s">
        <v>293</v>
      </c>
    </row>
    <row r="2680" spans="1:16" x14ac:dyDescent="0.3">
      <c r="A2680" s="24">
        <v>87</v>
      </c>
      <c r="B2680" s="102">
        <v>46168.355451388888</v>
      </c>
      <c r="C2680" s="25" t="s">
        <v>356</v>
      </c>
      <c r="D2680" s="103" t="s">
        <v>345</v>
      </c>
      <c r="E2680" s="26">
        <v>5.07</v>
      </c>
      <c r="F2680" s="26" t="s">
        <v>293</v>
      </c>
      <c r="K2680" s="24">
        <v>87</v>
      </c>
      <c r="L2680" s="102">
        <v>46168.357222222221</v>
      </c>
      <c r="M2680" s="25" t="s">
        <v>357</v>
      </c>
      <c r="N2680" s="103" t="s">
        <v>345</v>
      </c>
      <c r="O2680" s="26">
        <v>9.6</v>
      </c>
      <c r="P2680" s="26" t="s">
        <v>293</v>
      </c>
    </row>
    <row r="2681" spans="1:16" x14ac:dyDescent="0.3">
      <c r="A2681" s="24">
        <v>87</v>
      </c>
      <c r="B2681" s="102">
        <v>46168.355451388888</v>
      </c>
      <c r="C2681" s="25" t="s">
        <v>356</v>
      </c>
      <c r="D2681" s="103" t="s">
        <v>347</v>
      </c>
      <c r="E2681" s="26">
        <v>2.0499999999999998</v>
      </c>
      <c r="F2681" s="26" t="s">
        <v>293</v>
      </c>
      <c r="K2681" s="24">
        <v>87</v>
      </c>
      <c r="L2681" s="102">
        <v>46168.357222222221</v>
      </c>
      <c r="M2681" s="25" t="s">
        <v>357</v>
      </c>
      <c r="N2681" s="103" t="s">
        <v>347</v>
      </c>
      <c r="O2681" s="26">
        <v>4.53</v>
      </c>
      <c r="P2681" s="26" t="s">
        <v>293</v>
      </c>
    </row>
    <row r="2682" spans="1:16" x14ac:dyDescent="0.3">
      <c r="A2682" s="24">
        <v>87</v>
      </c>
      <c r="B2682" s="102">
        <v>46168.355451388888</v>
      </c>
      <c r="C2682" s="25" t="s">
        <v>356</v>
      </c>
      <c r="D2682" s="103" t="s">
        <v>128</v>
      </c>
      <c r="E2682" s="26">
        <v>7</v>
      </c>
      <c r="F2682" s="26" t="s">
        <v>293</v>
      </c>
      <c r="K2682" s="24">
        <v>87</v>
      </c>
      <c r="L2682" s="102">
        <v>46168.357222222221</v>
      </c>
      <c r="M2682" s="25" t="s">
        <v>357</v>
      </c>
      <c r="N2682" s="103" t="s">
        <v>128</v>
      </c>
      <c r="O2682" s="26">
        <v>4.5</v>
      </c>
      <c r="P2682" s="26" t="s">
        <v>293</v>
      </c>
    </row>
    <row r="2683" spans="1:16" x14ac:dyDescent="0.3">
      <c r="A2683" s="24">
        <v>87</v>
      </c>
      <c r="B2683" s="102">
        <v>46168.355451388888</v>
      </c>
      <c r="C2683" s="25" t="s">
        <v>356</v>
      </c>
      <c r="D2683" s="103" t="s">
        <v>121</v>
      </c>
      <c r="E2683" s="26">
        <v>156</v>
      </c>
      <c r="F2683" s="26" t="s">
        <v>293</v>
      </c>
      <c r="K2683" s="24">
        <v>87</v>
      </c>
      <c r="L2683" s="102">
        <v>46168.357222222221</v>
      </c>
      <c r="M2683" s="25" t="s">
        <v>357</v>
      </c>
      <c r="N2683" s="103" t="s">
        <v>121</v>
      </c>
      <c r="O2683" s="26">
        <v>82</v>
      </c>
      <c r="P2683" s="26" t="s">
        <v>293</v>
      </c>
    </row>
    <row r="2684" spans="1:16" x14ac:dyDescent="0.3">
      <c r="A2684" s="24">
        <v>87</v>
      </c>
      <c r="B2684" s="102">
        <v>46168.355451388888</v>
      </c>
      <c r="C2684" s="25" t="s">
        <v>356</v>
      </c>
      <c r="D2684" s="103" t="s">
        <v>115</v>
      </c>
      <c r="E2684" s="26">
        <v>33</v>
      </c>
      <c r="F2684" s="26" t="s">
        <v>293</v>
      </c>
      <c r="K2684" s="24">
        <v>87</v>
      </c>
      <c r="L2684" s="102">
        <v>46168.357222222221</v>
      </c>
      <c r="M2684" s="25" t="s">
        <v>357</v>
      </c>
      <c r="N2684" s="103" t="s">
        <v>115</v>
      </c>
      <c r="O2684" s="26">
        <v>87</v>
      </c>
      <c r="P2684" s="26" t="s">
        <v>293</v>
      </c>
    </row>
    <row r="2685" spans="1:16" x14ac:dyDescent="0.3">
      <c r="A2685" s="24">
        <v>87</v>
      </c>
      <c r="B2685" s="102">
        <v>46168.355451388888</v>
      </c>
      <c r="C2685" s="25" t="s">
        <v>356</v>
      </c>
      <c r="D2685" s="103" t="s">
        <v>137</v>
      </c>
      <c r="E2685" s="26">
        <v>74</v>
      </c>
      <c r="F2685" s="26" t="s">
        <v>293</v>
      </c>
      <c r="K2685" s="24">
        <v>87</v>
      </c>
      <c r="L2685" s="102">
        <v>46168.357222222221</v>
      </c>
      <c r="M2685" s="25" t="s">
        <v>357</v>
      </c>
      <c r="N2685" s="103" t="s">
        <v>137</v>
      </c>
      <c r="O2685" s="26">
        <v>482</v>
      </c>
      <c r="P2685" s="26" t="s">
        <v>293</v>
      </c>
    </row>
    <row r="2686" spans="1:16" x14ac:dyDescent="0.3">
      <c r="A2686" s="24">
        <v>87</v>
      </c>
      <c r="B2686" s="102">
        <v>46168.355451388888</v>
      </c>
      <c r="C2686" s="25" t="s">
        <v>356</v>
      </c>
      <c r="D2686" s="103" t="s">
        <v>348</v>
      </c>
      <c r="E2686" s="26">
        <v>137</v>
      </c>
      <c r="F2686" s="26" t="s">
        <v>293</v>
      </c>
      <c r="K2686" s="24">
        <v>87</v>
      </c>
      <c r="L2686" s="102">
        <v>46168.357222222221</v>
      </c>
      <c r="M2686" s="25" t="s">
        <v>357</v>
      </c>
      <c r="N2686" s="103" t="s">
        <v>348</v>
      </c>
      <c r="O2686" s="26">
        <v>421</v>
      </c>
      <c r="P2686" s="26" t="s">
        <v>293</v>
      </c>
    </row>
    <row r="2687" spans="1:16" x14ac:dyDescent="0.3">
      <c r="A2687" s="24">
        <v>87</v>
      </c>
      <c r="B2687" s="102">
        <v>46168.355451388888</v>
      </c>
      <c r="C2687" s="25" t="s">
        <v>356</v>
      </c>
      <c r="D2687" s="103" t="s">
        <v>125</v>
      </c>
      <c r="E2687" s="26">
        <v>110</v>
      </c>
      <c r="F2687" s="26" t="s">
        <v>293</v>
      </c>
      <c r="K2687" s="24">
        <v>87</v>
      </c>
      <c r="L2687" s="102">
        <v>46168.357222222221</v>
      </c>
      <c r="M2687" s="25" t="s">
        <v>357</v>
      </c>
      <c r="N2687" s="103" t="s">
        <v>125</v>
      </c>
      <c r="O2687" s="26">
        <v>425</v>
      </c>
      <c r="P2687" s="26" t="s">
        <v>293</v>
      </c>
    </row>
    <row r="2688" spans="1:16" x14ac:dyDescent="0.3">
      <c r="A2688" s="24">
        <v>87</v>
      </c>
      <c r="B2688" s="102">
        <v>46168.355451388888</v>
      </c>
      <c r="C2688" s="25" t="s">
        <v>356</v>
      </c>
      <c r="D2688" s="103" t="s">
        <v>126</v>
      </c>
      <c r="E2688" s="26">
        <v>79</v>
      </c>
      <c r="F2688" s="26" t="s">
        <v>293</v>
      </c>
      <c r="K2688" s="24">
        <v>87</v>
      </c>
      <c r="L2688" s="102">
        <v>46168.357222222221</v>
      </c>
      <c r="M2688" s="25" t="s">
        <v>357</v>
      </c>
      <c r="N2688" s="103" t="s">
        <v>126</v>
      </c>
      <c r="O2688" s="26">
        <v>152</v>
      </c>
      <c r="P2688" s="26" t="s">
        <v>293</v>
      </c>
    </row>
    <row r="2689" spans="1:16" x14ac:dyDescent="0.3">
      <c r="A2689" s="24">
        <v>87</v>
      </c>
      <c r="B2689" s="102">
        <v>46168.355451388888</v>
      </c>
      <c r="C2689" s="25" t="s">
        <v>356</v>
      </c>
      <c r="D2689" s="103" t="s">
        <v>349</v>
      </c>
      <c r="E2689" s="26">
        <v>159</v>
      </c>
      <c r="F2689" s="26" t="s">
        <v>293</v>
      </c>
      <c r="K2689" s="24">
        <v>87</v>
      </c>
      <c r="L2689" s="102">
        <v>46168.357222222221</v>
      </c>
      <c r="M2689" s="25" t="s">
        <v>357</v>
      </c>
      <c r="N2689" s="103" t="s">
        <v>349</v>
      </c>
      <c r="O2689" s="26">
        <v>374</v>
      </c>
      <c r="P2689" s="26" t="s">
        <v>293</v>
      </c>
    </row>
    <row r="2690" spans="1:16" x14ac:dyDescent="0.3">
      <c r="A2690" s="24">
        <v>87</v>
      </c>
      <c r="B2690" s="102">
        <v>46168.355451388888</v>
      </c>
      <c r="C2690" s="25" t="s">
        <v>356</v>
      </c>
      <c r="D2690" s="103" t="s">
        <v>350</v>
      </c>
      <c r="E2690" s="26">
        <v>59</v>
      </c>
      <c r="F2690" s="26" t="s">
        <v>293</v>
      </c>
      <c r="K2690" s="24">
        <v>87</v>
      </c>
      <c r="L2690" s="102">
        <v>46168.357222222221</v>
      </c>
      <c r="M2690" s="25" t="s">
        <v>357</v>
      </c>
      <c r="N2690" s="103" t="s">
        <v>350</v>
      </c>
      <c r="O2690" s="26">
        <v>84</v>
      </c>
      <c r="P2690" s="26" t="s">
        <v>293</v>
      </c>
    </row>
    <row r="2691" spans="1:16" x14ac:dyDescent="0.3">
      <c r="A2691" s="24">
        <v>87</v>
      </c>
      <c r="B2691" s="102">
        <v>46168.355451388888</v>
      </c>
      <c r="C2691" s="25" t="s">
        <v>356</v>
      </c>
      <c r="D2691" s="103" t="s">
        <v>122</v>
      </c>
      <c r="E2691" s="26">
        <v>43</v>
      </c>
      <c r="F2691" s="26" t="s">
        <v>293</v>
      </c>
      <c r="K2691" s="24">
        <v>87</v>
      </c>
      <c r="L2691" s="102">
        <v>46168.357222222221</v>
      </c>
      <c r="M2691" s="25" t="s">
        <v>357</v>
      </c>
      <c r="N2691" s="103" t="s">
        <v>122</v>
      </c>
      <c r="O2691" s="26">
        <v>210</v>
      </c>
      <c r="P2691" s="26" t="s">
        <v>293</v>
      </c>
    </row>
    <row r="2692" spans="1:16" x14ac:dyDescent="0.3">
      <c r="A2692" s="24">
        <v>87</v>
      </c>
      <c r="B2692" s="102">
        <v>46168.355451388888</v>
      </c>
      <c r="C2692" s="25" t="s">
        <v>356</v>
      </c>
      <c r="D2692" s="103" t="s">
        <v>124</v>
      </c>
      <c r="E2692" s="26">
        <v>27</v>
      </c>
      <c r="F2692" s="26" t="s">
        <v>293</v>
      </c>
      <c r="K2692" s="24">
        <v>87</v>
      </c>
      <c r="L2692" s="102">
        <v>46168.357222222221</v>
      </c>
      <c r="M2692" s="25" t="s">
        <v>357</v>
      </c>
      <c r="N2692" s="103" t="s">
        <v>124</v>
      </c>
      <c r="O2692" s="26">
        <v>99</v>
      </c>
      <c r="P2692" s="26" t="s">
        <v>293</v>
      </c>
    </row>
    <row r="2693" spans="1:16" x14ac:dyDescent="0.3">
      <c r="A2693" s="24">
        <v>87</v>
      </c>
      <c r="B2693" s="102">
        <v>46168.355451388888</v>
      </c>
      <c r="C2693" s="25" t="s">
        <v>356</v>
      </c>
      <c r="D2693" s="103" t="s">
        <v>351</v>
      </c>
      <c r="E2693" s="26">
        <v>0.93</v>
      </c>
      <c r="F2693" s="26" t="s">
        <v>293</v>
      </c>
      <c r="K2693" s="24">
        <v>87</v>
      </c>
      <c r="L2693" s="102">
        <v>46168.357222222221</v>
      </c>
      <c r="M2693" s="25" t="s">
        <v>357</v>
      </c>
      <c r="N2693" s="103" t="s">
        <v>351</v>
      </c>
      <c r="O2693" s="26">
        <v>3.35</v>
      </c>
      <c r="P2693" s="26" t="s">
        <v>293</v>
      </c>
    </row>
    <row r="2694" spans="1:16" x14ac:dyDescent="0.3">
      <c r="A2694" s="24">
        <v>87</v>
      </c>
      <c r="B2694" s="102">
        <v>46168.355451388888</v>
      </c>
      <c r="C2694" s="25" t="s">
        <v>356</v>
      </c>
      <c r="D2694" s="103" t="s">
        <v>353</v>
      </c>
      <c r="E2694" s="26">
        <v>39.5</v>
      </c>
      <c r="F2694" s="26" t="s">
        <v>293</v>
      </c>
      <c r="K2694" s="24">
        <v>87</v>
      </c>
      <c r="L2694" s="102">
        <v>46168.357222222221</v>
      </c>
      <c r="M2694" s="25" t="s">
        <v>357</v>
      </c>
      <c r="N2694" s="103" t="s">
        <v>353</v>
      </c>
      <c r="O2694" s="26">
        <v>22.5</v>
      </c>
      <c r="P2694" s="26" t="s">
        <v>293</v>
      </c>
    </row>
    <row r="2695" spans="1:16" x14ac:dyDescent="0.3">
      <c r="A2695" s="24">
        <v>87</v>
      </c>
      <c r="B2695" s="102">
        <v>46168.355451388888</v>
      </c>
      <c r="C2695" s="25" t="s">
        <v>356</v>
      </c>
      <c r="D2695" s="103" t="s">
        <v>133</v>
      </c>
      <c r="E2695" s="26">
        <v>147</v>
      </c>
      <c r="F2695" s="26" t="s">
        <v>293</v>
      </c>
      <c r="K2695" s="24">
        <v>87</v>
      </c>
      <c r="L2695" s="102">
        <v>46168.357222222221</v>
      </c>
      <c r="M2695" s="25" t="s">
        <v>357</v>
      </c>
      <c r="N2695" s="103" t="s">
        <v>133</v>
      </c>
      <c r="O2695" s="26">
        <v>127</v>
      </c>
      <c r="P2695" s="26" t="s">
        <v>293</v>
      </c>
    </row>
    <row r="2696" spans="1:16" x14ac:dyDescent="0.3">
      <c r="A2696" s="24">
        <v>87</v>
      </c>
      <c r="B2696" s="102">
        <v>46168.355451388888</v>
      </c>
      <c r="C2696" s="25" t="s">
        <v>356</v>
      </c>
      <c r="D2696" s="103" t="s">
        <v>135</v>
      </c>
      <c r="E2696" s="26">
        <v>3.8</v>
      </c>
      <c r="F2696" s="26" t="s">
        <v>293</v>
      </c>
      <c r="K2696" s="24">
        <v>87</v>
      </c>
      <c r="L2696" s="102">
        <v>46168.357222222221</v>
      </c>
      <c r="M2696" s="25" t="s">
        <v>357</v>
      </c>
      <c r="N2696" s="103" t="s">
        <v>135</v>
      </c>
      <c r="O2696" s="26">
        <v>6.5</v>
      </c>
      <c r="P2696" s="26" t="s">
        <v>293</v>
      </c>
    </row>
    <row r="2697" spans="1:16" x14ac:dyDescent="0.3">
      <c r="A2697" s="24">
        <v>87</v>
      </c>
      <c r="B2697" s="102">
        <v>46168.355451388888</v>
      </c>
      <c r="C2697" s="25" t="s">
        <v>356</v>
      </c>
      <c r="D2697" s="103" t="s">
        <v>136</v>
      </c>
      <c r="E2697" s="26">
        <v>117</v>
      </c>
      <c r="F2697" s="26" t="s">
        <v>293</v>
      </c>
      <c r="K2697" s="24">
        <v>87</v>
      </c>
      <c r="L2697" s="102">
        <v>46168.357222222221</v>
      </c>
      <c r="M2697" s="25" t="s">
        <v>357</v>
      </c>
      <c r="N2697" s="103" t="s">
        <v>136</v>
      </c>
      <c r="O2697" s="26">
        <v>92</v>
      </c>
      <c r="P2697" s="26" t="s">
        <v>293</v>
      </c>
    </row>
    <row r="2698" spans="1:16" x14ac:dyDescent="0.3">
      <c r="A2698" s="24">
        <v>88</v>
      </c>
      <c r="B2698" s="102">
        <v>46169.362083333333</v>
      </c>
      <c r="C2698" s="25" t="s">
        <v>356</v>
      </c>
      <c r="D2698" s="103" t="s">
        <v>339</v>
      </c>
      <c r="E2698" s="26">
        <v>4.5999999999999996</v>
      </c>
      <c r="F2698" s="26" t="s">
        <v>293</v>
      </c>
      <c r="K2698" s="24">
        <v>88</v>
      </c>
      <c r="L2698" s="102">
        <v>46169.36209490741</v>
      </c>
      <c r="M2698" s="25" t="s">
        <v>357</v>
      </c>
      <c r="N2698" s="103" t="s">
        <v>339</v>
      </c>
      <c r="O2698" s="26">
        <v>1.28</v>
      </c>
      <c r="P2698" s="26" t="s">
        <v>293</v>
      </c>
    </row>
    <row r="2699" spans="1:16" x14ac:dyDescent="0.3">
      <c r="A2699" s="24">
        <v>88</v>
      </c>
      <c r="B2699" s="102">
        <v>46169.362083333333</v>
      </c>
      <c r="C2699" s="25" t="s">
        <v>356</v>
      </c>
      <c r="D2699" s="103" t="s">
        <v>118</v>
      </c>
      <c r="E2699" s="26">
        <v>4.5</v>
      </c>
      <c r="F2699" s="26" t="s">
        <v>293</v>
      </c>
      <c r="K2699" s="24">
        <v>88</v>
      </c>
      <c r="L2699" s="102">
        <v>46169.36209490741</v>
      </c>
      <c r="M2699" s="25" t="s">
        <v>357</v>
      </c>
      <c r="N2699" s="103" t="s">
        <v>118</v>
      </c>
      <c r="O2699" s="26">
        <v>9.5</v>
      </c>
      <c r="P2699" s="26" t="s">
        <v>293</v>
      </c>
    </row>
    <row r="2700" spans="1:16" x14ac:dyDescent="0.3">
      <c r="A2700" s="24">
        <v>88</v>
      </c>
      <c r="B2700" s="102">
        <v>46169.362083333333</v>
      </c>
      <c r="C2700" s="25" t="s">
        <v>356</v>
      </c>
      <c r="D2700" s="103" t="s">
        <v>130</v>
      </c>
      <c r="E2700" s="26">
        <v>3.72</v>
      </c>
      <c r="F2700" s="26" t="s">
        <v>293</v>
      </c>
      <c r="K2700" s="24">
        <v>88</v>
      </c>
      <c r="L2700" s="102">
        <v>46169.36209490741</v>
      </c>
      <c r="M2700" s="25" t="s">
        <v>357</v>
      </c>
      <c r="N2700" s="103" t="s">
        <v>130</v>
      </c>
      <c r="O2700" s="26">
        <v>2.46</v>
      </c>
      <c r="P2700" s="26" t="s">
        <v>293</v>
      </c>
    </row>
    <row r="2701" spans="1:16" x14ac:dyDescent="0.3">
      <c r="A2701" s="24">
        <v>88</v>
      </c>
      <c r="B2701" s="102">
        <v>46169.362083333333</v>
      </c>
      <c r="C2701" s="25" t="s">
        <v>356</v>
      </c>
      <c r="D2701" s="103" t="s">
        <v>341</v>
      </c>
      <c r="E2701" s="26">
        <v>0.313</v>
      </c>
      <c r="F2701" s="26" t="s">
        <v>293</v>
      </c>
      <c r="K2701" s="24">
        <v>88</v>
      </c>
      <c r="L2701" s="102">
        <v>46169.36209490741</v>
      </c>
      <c r="M2701" s="25" t="s">
        <v>357</v>
      </c>
      <c r="N2701" s="103" t="s">
        <v>341</v>
      </c>
      <c r="O2701" s="26">
        <v>1.212</v>
      </c>
      <c r="P2701" s="26" t="s">
        <v>293</v>
      </c>
    </row>
    <row r="2702" spans="1:16" x14ac:dyDescent="0.3">
      <c r="A2702" s="24">
        <v>88</v>
      </c>
      <c r="B2702" s="102">
        <v>46169.362083333333</v>
      </c>
      <c r="C2702" s="25" t="s">
        <v>356</v>
      </c>
      <c r="D2702" s="103" t="s">
        <v>127</v>
      </c>
      <c r="E2702" s="26">
        <v>1.2010000000000001</v>
      </c>
      <c r="F2702" s="26" t="s">
        <v>293</v>
      </c>
      <c r="K2702" s="24">
        <v>88</v>
      </c>
      <c r="L2702" s="102">
        <v>46169.36209490741</v>
      </c>
      <c r="M2702" s="25" t="s">
        <v>357</v>
      </c>
      <c r="N2702" s="103" t="s">
        <v>127</v>
      </c>
      <c r="O2702" s="26">
        <v>4.6980000000000004</v>
      </c>
      <c r="P2702" s="26" t="s">
        <v>293</v>
      </c>
    </row>
    <row r="2703" spans="1:16" x14ac:dyDescent="0.3">
      <c r="A2703" s="24">
        <v>88</v>
      </c>
      <c r="B2703" s="102">
        <v>46169.362083333333</v>
      </c>
      <c r="C2703" s="25" t="s">
        <v>356</v>
      </c>
      <c r="D2703" s="103" t="s">
        <v>131</v>
      </c>
      <c r="E2703" s="26">
        <v>8.4</v>
      </c>
      <c r="F2703" s="26" t="s">
        <v>293</v>
      </c>
      <c r="K2703" s="24">
        <v>88</v>
      </c>
      <c r="L2703" s="102">
        <v>46169.36209490741</v>
      </c>
      <c r="M2703" s="25" t="s">
        <v>357</v>
      </c>
      <c r="N2703" s="103" t="s">
        <v>131</v>
      </c>
      <c r="O2703" s="26">
        <v>11.5</v>
      </c>
      <c r="P2703" s="26" t="s">
        <v>293</v>
      </c>
    </row>
    <row r="2704" spans="1:16" x14ac:dyDescent="0.3">
      <c r="A2704" s="24">
        <v>88</v>
      </c>
      <c r="B2704" s="102">
        <v>46169.362083333333</v>
      </c>
      <c r="C2704" s="25" t="s">
        <v>356</v>
      </c>
      <c r="D2704" s="103" t="s">
        <v>342</v>
      </c>
      <c r="E2704" s="26">
        <v>303</v>
      </c>
      <c r="F2704" s="26" t="s">
        <v>293</v>
      </c>
      <c r="K2704" s="24">
        <v>88</v>
      </c>
      <c r="L2704" s="102">
        <v>46169.36209490741</v>
      </c>
      <c r="M2704" s="25" t="s">
        <v>357</v>
      </c>
      <c r="N2704" s="103" t="s">
        <v>342</v>
      </c>
      <c r="O2704" s="26">
        <v>180</v>
      </c>
      <c r="P2704" s="26" t="s">
        <v>293</v>
      </c>
    </row>
    <row r="2705" spans="1:16" x14ac:dyDescent="0.3">
      <c r="A2705" s="24">
        <v>88</v>
      </c>
      <c r="B2705" s="102">
        <v>46169.362083333333</v>
      </c>
      <c r="C2705" s="25" t="s">
        <v>356</v>
      </c>
      <c r="D2705" s="103" t="s">
        <v>119</v>
      </c>
      <c r="E2705" s="26">
        <v>244</v>
      </c>
      <c r="F2705" s="26" t="s">
        <v>293</v>
      </c>
      <c r="K2705" s="24">
        <v>88</v>
      </c>
      <c r="L2705" s="102">
        <v>46169.36209490741</v>
      </c>
      <c r="M2705" s="25" t="s">
        <v>357</v>
      </c>
      <c r="N2705" s="103" t="s">
        <v>119</v>
      </c>
      <c r="O2705" s="26">
        <v>91</v>
      </c>
      <c r="P2705" s="26" t="s">
        <v>293</v>
      </c>
    </row>
    <row r="2706" spans="1:16" x14ac:dyDescent="0.3">
      <c r="A2706" s="24">
        <v>88</v>
      </c>
      <c r="B2706" s="102">
        <v>46169.362083333333</v>
      </c>
      <c r="C2706" s="25" t="s">
        <v>356</v>
      </c>
      <c r="D2706" s="103" t="s">
        <v>120</v>
      </c>
      <c r="E2706" s="26">
        <v>75</v>
      </c>
      <c r="F2706" s="26" t="s">
        <v>293</v>
      </c>
      <c r="K2706" s="24">
        <v>88</v>
      </c>
      <c r="L2706" s="102">
        <v>46169.36209490741</v>
      </c>
      <c r="M2706" s="25" t="s">
        <v>357</v>
      </c>
      <c r="N2706" s="103" t="s">
        <v>120</v>
      </c>
      <c r="O2706" s="26">
        <v>27</v>
      </c>
      <c r="P2706" s="26" t="s">
        <v>293</v>
      </c>
    </row>
    <row r="2707" spans="1:16" x14ac:dyDescent="0.3">
      <c r="A2707" s="24">
        <v>88</v>
      </c>
      <c r="B2707" s="102">
        <v>46169.362083333333</v>
      </c>
      <c r="C2707" s="25" t="s">
        <v>356</v>
      </c>
      <c r="D2707" s="103" t="s">
        <v>117</v>
      </c>
      <c r="E2707" s="26">
        <v>2.69</v>
      </c>
      <c r="F2707" s="26" t="s">
        <v>293</v>
      </c>
      <c r="K2707" s="24">
        <v>88</v>
      </c>
      <c r="L2707" s="102">
        <v>46169.36209490741</v>
      </c>
      <c r="M2707" s="25" t="s">
        <v>357</v>
      </c>
      <c r="N2707" s="103" t="s">
        <v>117</v>
      </c>
      <c r="O2707" s="26">
        <v>6.27</v>
      </c>
      <c r="P2707" s="26" t="s">
        <v>293</v>
      </c>
    </row>
    <row r="2708" spans="1:16" x14ac:dyDescent="0.3">
      <c r="A2708" s="24">
        <v>88</v>
      </c>
      <c r="B2708" s="102">
        <v>46169.362083333333</v>
      </c>
      <c r="C2708" s="25" t="s">
        <v>356</v>
      </c>
      <c r="D2708" s="103" t="s">
        <v>344</v>
      </c>
      <c r="E2708" s="26">
        <v>231</v>
      </c>
      <c r="F2708" s="26" t="s">
        <v>293</v>
      </c>
      <c r="K2708" s="24">
        <v>88</v>
      </c>
      <c r="L2708" s="102">
        <v>46169.36209490741</v>
      </c>
      <c r="M2708" s="25" t="s">
        <v>357</v>
      </c>
      <c r="N2708" s="103" t="s">
        <v>344</v>
      </c>
      <c r="O2708" s="26">
        <v>70</v>
      </c>
      <c r="P2708" s="26" t="s">
        <v>293</v>
      </c>
    </row>
    <row r="2709" spans="1:16" x14ac:dyDescent="0.3">
      <c r="A2709" s="24">
        <v>88</v>
      </c>
      <c r="B2709" s="102">
        <v>46169.362083333333</v>
      </c>
      <c r="C2709" s="25" t="s">
        <v>356</v>
      </c>
      <c r="D2709" s="103" t="s">
        <v>132</v>
      </c>
      <c r="E2709" s="26">
        <v>3.4</v>
      </c>
      <c r="F2709" s="26" t="s">
        <v>293</v>
      </c>
      <c r="K2709" s="24">
        <v>88</v>
      </c>
      <c r="L2709" s="102">
        <v>46169.36209490741</v>
      </c>
      <c r="M2709" s="25" t="s">
        <v>357</v>
      </c>
      <c r="N2709" s="103" t="s">
        <v>132</v>
      </c>
      <c r="O2709" s="26">
        <v>7.07</v>
      </c>
      <c r="P2709" s="26" t="s">
        <v>293</v>
      </c>
    </row>
    <row r="2710" spans="1:16" x14ac:dyDescent="0.3">
      <c r="A2710" s="24">
        <v>88</v>
      </c>
      <c r="B2710" s="102">
        <v>46169.362083333333</v>
      </c>
      <c r="C2710" s="25" t="s">
        <v>356</v>
      </c>
      <c r="D2710" s="103" t="s">
        <v>111</v>
      </c>
      <c r="E2710" s="26">
        <v>86</v>
      </c>
      <c r="F2710" s="26" t="s">
        <v>293</v>
      </c>
      <c r="K2710" s="24">
        <v>88</v>
      </c>
      <c r="L2710" s="102">
        <v>46169.36209490741</v>
      </c>
      <c r="M2710" s="25" t="s">
        <v>357</v>
      </c>
      <c r="N2710" s="103" t="s">
        <v>111</v>
      </c>
      <c r="O2710" s="26">
        <v>282</v>
      </c>
      <c r="P2710" s="26" t="s">
        <v>293</v>
      </c>
    </row>
    <row r="2711" spans="1:16" x14ac:dyDescent="0.3">
      <c r="A2711" s="24">
        <v>88</v>
      </c>
      <c r="B2711" s="102">
        <v>46169.362083333333</v>
      </c>
      <c r="C2711" s="25" t="s">
        <v>356</v>
      </c>
      <c r="D2711" s="103" t="s">
        <v>345</v>
      </c>
      <c r="E2711" s="26">
        <v>5.03</v>
      </c>
      <c r="F2711" s="26" t="s">
        <v>293</v>
      </c>
      <c r="K2711" s="24">
        <v>88</v>
      </c>
      <c r="L2711" s="102">
        <v>46169.36209490741</v>
      </c>
      <c r="M2711" s="25" t="s">
        <v>357</v>
      </c>
      <c r="N2711" s="103" t="s">
        <v>345</v>
      </c>
      <c r="O2711" s="26">
        <v>9.66</v>
      </c>
      <c r="P2711" s="26" t="s">
        <v>293</v>
      </c>
    </row>
    <row r="2712" spans="1:16" x14ac:dyDescent="0.3">
      <c r="A2712" s="24">
        <v>88</v>
      </c>
      <c r="B2712" s="102">
        <v>46169.362083333333</v>
      </c>
      <c r="C2712" s="25" t="s">
        <v>356</v>
      </c>
      <c r="D2712" s="103" t="s">
        <v>347</v>
      </c>
      <c r="E2712" s="26">
        <v>2.17</v>
      </c>
      <c r="F2712" s="26" t="s">
        <v>293</v>
      </c>
      <c r="K2712" s="24">
        <v>88</v>
      </c>
      <c r="L2712" s="102">
        <v>46169.36209490741</v>
      </c>
      <c r="M2712" s="25" t="s">
        <v>357</v>
      </c>
      <c r="N2712" s="103" t="s">
        <v>347</v>
      </c>
      <c r="O2712" s="26">
        <v>4.82</v>
      </c>
      <c r="P2712" s="26" t="s">
        <v>293</v>
      </c>
    </row>
    <row r="2713" spans="1:16" x14ac:dyDescent="0.3">
      <c r="A2713" s="24">
        <v>88</v>
      </c>
      <c r="B2713" s="102">
        <v>46169.362083333333</v>
      </c>
      <c r="C2713" s="25" t="s">
        <v>356</v>
      </c>
      <c r="D2713" s="103" t="s">
        <v>128</v>
      </c>
      <c r="E2713" s="26">
        <v>7</v>
      </c>
      <c r="F2713" s="26" t="s">
        <v>293</v>
      </c>
      <c r="K2713" s="24">
        <v>88</v>
      </c>
      <c r="L2713" s="102">
        <v>46169.36209490741</v>
      </c>
      <c r="M2713" s="25" t="s">
        <v>357</v>
      </c>
      <c r="N2713" s="103" t="s">
        <v>128</v>
      </c>
      <c r="O2713" s="26">
        <v>4.5999999999999996</v>
      </c>
      <c r="P2713" s="26" t="s">
        <v>293</v>
      </c>
    </row>
    <row r="2714" spans="1:16" x14ac:dyDescent="0.3">
      <c r="A2714" s="24">
        <v>88</v>
      </c>
      <c r="B2714" s="102">
        <v>46169.362083333333</v>
      </c>
      <c r="C2714" s="25" t="s">
        <v>356</v>
      </c>
      <c r="D2714" s="103" t="s">
        <v>121</v>
      </c>
      <c r="E2714" s="26">
        <v>160</v>
      </c>
      <c r="F2714" s="26" t="s">
        <v>293</v>
      </c>
      <c r="K2714" s="24">
        <v>88</v>
      </c>
      <c r="L2714" s="102">
        <v>46169.36209490741</v>
      </c>
      <c r="M2714" s="25" t="s">
        <v>357</v>
      </c>
      <c r="N2714" s="103" t="s">
        <v>121</v>
      </c>
      <c r="O2714" s="26">
        <v>86</v>
      </c>
      <c r="P2714" s="26" t="s">
        <v>293</v>
      </c>
    </row>
    <row r="2715" spans="1:16" x14ac:dyDescent="0.3">
      <c r="A2715" s="24">
        <v>88</v>
      </c>
      <c r="B2715" s="102">
        <v>46169.362083333333</v>
      </c>
      <c r="C2715" s="25" t="s">
        <v>356</v>
      </c>
      <c r="D2715" s="103" t="s">
        <v>115</v>
      </c>
      <c r="E2715" s="26">
        <v>33</v>
      </c>
      <c r="F2715" s="26" t="s">
        <v>293</v>
      </c>
      <c r="K2715" s="24">
        <v>88</v>
      </c>
      <c r="L2715" s="102">
        <v>46169.36209490741</v>
      </c>
      <c r="M2715" s="25" t="s">
        <v>357</v>
      </c>
      <c r="N2715" s="103" t="s">
        <v>115</v>
      </c>
      <c r="O2715" s="26">
        <v>90</v>
      </c>
      <c r="P2715" s="26" t="s">
        <v>293</v>
      </c>
    </row>
    <row r="2716" spans="1:16" x14ac:dyDescent="0.3">
      <c r="A2716" s="24">
        <v>88</v>
      </c>
      <c r="B2716" s="102">
        <v>46169.362083333333</v>
      </c>
      <c r="C2716" s="25" t="s">
        <v>356</v>
      </c>
      <c r="D2716" s="103" t="s">
        <v>137</v>
      </c>
      <c r="E2716" s="26">
        <v>75</v>
      </c>
      <c r="F2716" s="26" t="s">
        <v>293</v>
      </c>
      <c r="K2716" s="24">
        <v>88</v>
      </c>
      <c r="L2716" s="102">
        <v>46169.36209490741</v>
      </c>
      <c r="M2716" s="25" t="s">
        <v>357</v>
      </c>
      <c r="N2716" s="103" t="s">
        <v>137</v>
      </c>
      <c r="O2716" s="26">
        <v>487</v>
      </c>
      <c r="P2716" s="26" t="s">
        <v>293</v>
      </c>
    </row>
    <row r="2717" spans="1:16" x14ac:dyDescent="0.3">
      <c r="A2717" s="24">
        <v>88</v>
      </c>
      <c r="B2717" s="102">
        <v>46169.362083333333</v>
      </c>
      <c r="C2717" s="25" t="s">
        <v>356</v>
      </c>
      <c r="D2717" s="103" t="s">
        <v>348</v>
      </c>
      <c r="E2717" s="26">
        <v>138</v>
      </c>
      <c r="F2717" s="26" t="s">
        <v>293</v>
      </c>
      <c r="K2717" s="24">
        <v>88</v>
      </c>
      <c r="L2717" s="102">
        <v>46169.36209490741</v>
      </c>
      <c r="M2717" s="25" t="s">
        <v>357</v>
      </c>
      <c r="N2717" s="103" t="s">
        <v>348</v>
      </c>
      <c r="O2717" s="26">
        <v>425</v>
      </c>
      <c r="P2717" s="26" t="s">
        <v>293</v>
      </c>
    </row>
    <row r="2718" spans="1:16" x14ac:dyDescent="0.3">
      <c r="A2718" s="24">
        <v>88</v>
      </c>
      <c r="B2718" s="102">
        <v>46169.362083333333</v>
      </c>
      <c r="C2718" s="25" t="s">
        <v>356</v>
      </c>
      <c r="D2718" s="103" t="s">
        <v>125</v>
      </c>
      <c r="E2718" s="26">
        <v>118</v>
      </c>
      <c r="F2718" s="26" t="s">
        <v>293</v>
      </c>
      <c r="K2718" s="24">
        <v>88</v>
      </c>
      <c r="L2718" s="102">
        <v>46169.36209490741</v>
      </c>
      <c r="M2718" s="25" t="s">
        <v>357</v>
      </c>
      <c r="N2718" s="103" t="s">
        <v>125</v>
      </c>
      <c r="O2718" s="26">
        <v>430</v>
      </c>
      <c r="P2718" s="26" t="s">
        <v>293</v>
      </c>
    </row>
    <row r="2719" spans="1:16" x14ac:dyDescent="0.3">
      <c r="A2719" s="24">
        <v>88</v>
      </c>
      <c r="B2719" s="102">
        <v>46169.362083333333</v>
      </c>
      <c r="C2719" s="25" t="s">
        <v>356</v>
      </c>
      <c r="D2719" s="103" t="s">
        <v>126</v>
      </c>
      <c r="E2719" s="26">
        <v>81</v>
      </c>
      <c r="F2719" s="26" t="s">
        <v>293</v>
      </c>
      <c r="K2719" s="24">
        <v>88</v>
      </c>
      <c r="L2719" s="102">
        <v>46169.36209490741</v>
      </c>
      <c r="M2719" s="25" t="s">
        <v>357</v>
      </c>
      <c r="N2719" s="103" t="s">
        <v>126</v>
      </c>
      <c r="O2719" s="26">
        <v>155</v>
      </c>
      <c r="P2719" s="26" t="s">
        <v>293</v>
      </c>
    </row>
    <row r="2720" spans="1:16" x14ac:dyDescent="0.3">
      <c r="A2720" s="24">
        <v>88</v>
      </c>
      <c r="B2720" s="102">
        <v>46169.362083333333</v>
      </c>
      <c r="C2720" s="25" t="s">
        <v>356</v>
      </c>
      <c r="D2720" s="103" t="s">
        <v>349</v>
      </c>
      <c r="E2720" s="26">
        <v>150</v>
      </c>
      <c r="F2720" s="26" t="s">
        <v>293</v>
      </c>
      <c r="K2720" s="24">
        <v>88</v>
      </c>
      <c r="L2720" s="102">
        <v>46169.36209490741</v>
      </c>
      <c r="M2720" s="25" t="s">
        <v>357</v>
      </c>
      <c r="N2720" s="103" t="s">
        <v>349</v>
      </c>
      <c r="O2720" s="26">
        <v>353</v>
      </c>
      <c r="P2720" s="26" t="s">
        <v>293</v>
      </c>
    </row>
    <row r="2721" spans="1:16" x14ac:dyDescent="0.3">
      <c r="A2721" s="24">
        <v>88</v>
      </c>
      <c r="B2721" s="102">
        <v>46169.362083333333</v>
      </c>
      <c r="C2721" s="25" t="s">
        <v>356</v>
      </c>
      <c r="D2721" s="103" t="s">
        <v>350</v>
      </c>
      <c r="E2721" s="26">
        <v>59</v>
      </c>
      <c r="F2721" s="26" t="s">
        <v>293</v>
      </c>
      <c r="K2721" s="24">
        <v>88</v>
      </c>
      <c r="L2721" s="102">
        <v>46169.36209490741</v>
      </c>
      <c r="M2721" s="25" t="s">
        <v>357</v>
      </c>
      <c r="N2721" s="103" t="s">
        <v>350</v>
      </c>
      <c r="O2721" s="26">
        <v>88</v>
      </c>
      <c r="P2721" s="26" t="s">
        <v>293</v>
      </c>
    </row>
    <row r="2722" spans="1:16" x14ac:dyDescent="0.3">
      <c r="A2722" s="24">
        <v>88</v>
      </c>
      <c r="B2722" s="102">
        <v>46169.362083333333</v>
      </c>
      <c r="C2722" s="25" t="s">
        <v>356</v>
      </c>
      <c r="D2722" s="103" t="s">
        <v>122</v>
      </c>
      <c r="E2722" s="26">
        <v>44</v>
      </c>
      <c r="F2722" s="26" t="s">
        <v>293</v>
      </c>
      <c r="K2722" s="24">
        <v>88</v>
      </c>
      <c r="L2722" s="102">
        <v>46169.36209490741</v>
      </c>
      <c r="M2722" s="25" t="s">
        <v>357</v>
      </c>
      <c r="N2722" s="103" t="s">
        <v>122</v>
      </c>
      <c r="O2722" s="26">
        <v>212</v>
      </c>
      <c r="P2722" s="26" t="s">
        <v>293</v>
      </c>
    </row>
    <row r="2723" spans="1:16" x14ac:dyDescent="0.3">
      <c r="A2723" s="24">
        <v>88</v>
      </c>
      <c r="B2723" s="102">
        <v>46169.362083333333</v>
      </c>
      <c r="C2723" s="25" t="s">
        <v>356</v>
      </c>
      <c r="D2723" s="103" t="s">
        <v>124</v>
      </c>
      <c r="E2723" s="26">
        <v>27</v>
      </c>
      <c r="F2723" s="26" t="s">
        <v>293</v>
      </c>
      <c r="K2723" s="24">
        <v>88</v>
      </c>
      <c r="L2723" s="102">
        <v>46169.36209490741</v>
      </c>
      <c r="M2723" s="25" t="s">
        <v>357</v>
      </c>
      <c r="N2723" s="103" t="s">
        <v>124</v>
      </c>
      <c r="O2723" s="26">
        <v>100</v>
      </c>
      <c r="P2723" s="26" t="s">
        <v>293</v>
      </c>
    </row>
    <row r="2724" spans="1:16" x14ac:dyDescent="0.3">
      <c r="A2724" s="24">
        <v>88</v>
      </c>
      <c r="B2724" s="102">
        <v>46169.362083333333</v>
      </c>
      <c r="C2724" s="25" t="s">
        <v>356</v>
      </c>
      <c r="D2724" s="103" t="s">
        <v>351</v>
      </c>
      <c r="E2724" s="26">
        <v>0.93</v>
      </c>
      <c r="F2724" s="26" t="s">
        <v>293</v>
      </c>
      <c r="K2724" s="24">
        <v>88</v>
      </c>
      <c r="L2724" s="102">
        <v>46169.36209490741</v>
      </c>
      <c r="M2724" s="25" t="s">
        <v>357</v>
      </c>
      <c r="N2724" s="103" t="s">
        <v>351</v>
      </c>
      <c r="O2724" s="26">
        <v>3.34</v>
      </c>
      <c r="P2724" s="26" t="s">
        <v>293</v>
      </c>
    </row>
    <row r="2725" spans="1:16" x14ac:dyDescent="0.3">
      <c r="A2725" s="24">
        <v>88</v>
      </c>
      <c r="B2725" s="102">
        <v>46169.362083333333</v>
      </c>
      <c r="C2725" s="25" t="s">
        <v>356</v>
      </c>
      <c r="D2725" s="103" t="s">
        <v>353</v>
      </c>
      <c r="E2725" s="26">
        <v>35.1</v>
      </c>
      <c r="F2725" s="26" t="s">
        <v>293</v>
      </c>
      <c r="K2725" s="24">
        <v>88</v>
      </c>
      <c r="L2725" s="102">
        <v>46169.36209490741</v>
      </c>
      <c r="M2725" s="25" t="s">
        <v>357</v>
      </c>
      <c r="N2725" s="103" t="s">
        <v>353</v>
      </c>
      <c r="O2725" s="26">
        <v>17.8</v>
      </c>
      <c r="P2725" s="26" t="s">
        <v>293</v>
      </c>
    </row>
    <row r="2726" spans="1:16" x14ac:dyDescent="0.3">
      <c r="A2726" s="24">
        <v>88</v>
      </c>
      <c r="B2726" s="102">
        <v>46169.362083333333</v>
      </c>
      <c r="C2726" s="25" t="s">
        <v>356</v>
      </c>
      <c r="D2726" s="103" t="s">
        <v>133</v>
      </c>
      <c r="E2726" s="26">
        <v>146</v>
      </c>
      <c r="F2726" s="26" t="s">
        <v>293</v>
      </c>
      <c r="K2726" s="24">
        <v>88</v>
      </c>
      <c r="L2726" s="102">
        <v>46169.36209490741</v>
      </c>
      <c r="M2726" s="25" t="s">
        <v>357</v>
      </c>
      <c r="N2726" s="103" t="s">
        <v>133</v>
      </c>
      <c r="O2726" s="26">
        <v>128</v>
      </c>
      <c r="P2726" s="26" t="s">
        <v>293</v>
      </c>
    </row>
    <row r="2727" spans="1:16" x14ac:dyDescent="0.3">
      <c r="A2727" s="24">
        <v>88</v>
      </c>
      <c r="B2727" s="102">
        <v>46169.362083333333</v>
      </c>
      <c r="C2727" s="25" t="s">
        <v>356</v>
      </c>
      <c r="D2727" s="103" t="s">
        <v>135</v>
      </c>
      <c r="E2727" s="26">
        <v>3.8</v>
      </c>
      <c r="F2727" s="26" t="s">
        <v>293</v>
      </c>
      <c r="K2727" s="24">
        <v>88</v>
      </c>
      <c r="L2727" s="102">
        <v>46169.36209490741</v>
      </c>
      <c r="M2727" s="25" t="s">
        <v>357</v>
      </c>
      <c r="N2727" s="103" t="s">
        <v>135</v>
      </c>
      <c r="O2727" s="26">
        <v>6.6</v>
      </c>
      <c r="P2727" s="26" t="s">
        <v>293</v>
      </c>
    </row>
    <row r="2728" spans="1:16" x14ac:dyDescent="0.3">
      <c r="A2728" s="24">
        <v>88</v>
      </c>
      <c r="B2728" s="102">
        <v>46169.362083333333</v>
      </c>
      <c r="C2728" s="25" t="s">
        <v>356</v>
      </c>
      <c r="D2728" s="103" t="s">
        <v>136</v>
      </c>
      <c r="E2728" s="26">
        <v>116</v>
      </c>
      <c r="F2728" s="26" t="s">
        <v>293</v>
      </c>
      <c r="K2728" s="24">
        <v>88</v>
      </c>
      <c r="L2728" s="102">
        <v>46169.36209490741</v>
      </c>
      <c r="M2728" s="25" t="s">
        <v>357</v>
      </c>
      <c r="N2728" s="103" t="s">
        <v>136</v>
      </c>
      <c r="O2728" s="26">
        <v>92</v>
      </c>
      <c r="P2728" s="26" t="s">
        <v>293</v>
      </c>
    </row>
    <row r="2729" spans="1:16" x14ac:dyDescent="0.3">
      <c r="A2729" s="24">
        <v>89</v>
      </c>
      <c r="B2729" s="102">
        <v>46170.349756944444</v>
      </c>
      <c r="C2729" s="25" t="s">
        <v>356</v>
      </c>
      <c r="D2729" s="103" t="s">
        <v>339</v>
      </c>
      <c r="E2729" s="26">
        <v>4.55</v>
      </c>
      <c r="F2729" s="26" t="s">
        <v>293</v>
      </c>
      <c r="K2729" s="24">
        <v>89</v>
      </c>
      <c r="L2729" s="102">
        <v>46170.349756944444</v>
      </c>
      <c r="M2729" s="25" t="s">
        <v>357</v>
      </c>
      <c r="N2729" s="103" t="s">
        <v>339</v>
      </c>
      <c r="O2729" s="26">
        <v>1.25</v>
      </c>
      <c r="P2729" s="26" t="s">
        <v>293</v>
      </c>
    </row>
    <row r="2730" spans="1:16" x14ac:dyDescent="0.3">
      <c r="A2730" s="24">
        <v>89</v>
      </c>
      <c r="B2730" s="102">
        <v>46170.349756944444</v>
      </c>
      <c r="C2730" s="25" t="s">
        <v>356</v>
      </c>
      <c r="D2730" s="103" t="s">
        <v>118</v>
      </c>
      <c r="E2730" s="26">
        <v>4.4000000000000004</v>
      </c>
      <c r="F2730" s="26" t="s">
        <v>293</v>
      </c>
      <c r="K2730" s="24">
        <v>89</v>
      </c>
      <c r="L2730" s="102">
        <v>46170.349756944444</v>
      </c>
      <c r="M2730" s="25" t="s">
        <v>357</v>
      </c>
      <c r="N2730" s="103" t="s">
        <v>118</v>
      </c>
      <c r="O2730" s="26">
        <v>9.6</v>
      </c>
      <c r="P2730" s="26" t="s">
        <v>293</v>
      </c>
    </row>
    <row r="2731" spans="1:16" x14ac:dyDescent="0.3">
      <c r="A2731" s="24">
        <v>89</v>
      </c>
      <c r="B2731" s="102">
        <v>46170.349756944444</v>
      </c>
      <c r="C2731" s="25" t="s">
        <v>356</v>
      </c>
      <c r="D2731" s="103" t="s">
        <v>130</v>
      </c>
      <c r="E2731" s="26">
        <v>3.63</v>
      </c>
      <c r="F2731" s="26" t="s">
        <v>293</v>
      </c>
      <c r="K2731" s="24">
        <v>89</v>
      </c>
      <c r="L2731" s="102">
        <v>46170.349756944444</v>
      </c>
      <c r="M2731" s="25" t="s">
        <v>357</v>
      </c>
      <c r="N2731" s="103" t="s">
        <v>130</v>
      </c>
      <c r="O2731" s="26">
        <v>2.4700000000000002</v>
      </c>
      <c r="P2731" s="26" t="s">
        <v>293</v>
      </c>
    </row>
    <row r="2732" spans="1:16" x14ac:dyDescent="0.3">
      <c r="A2732" s="24">
        <v>89</v>
      </c>
      <c r="B2732" s="102">
        <v>46170.349756944444</v>
      </c>
      <c r="C2732" s="25" t="s">
        <v>356</v>
      </c>
      <c r="D2732" s="103" t="s">
        <v>341</v>
      </c>
      <c r="E2732" s="26">
        <v>0.318</v>
      </c>
      <c r="F2732" s="26" t="s">
        <v>293</v>
      </c>
      <c r="K2732" s="24">
        <v>89</v>
      </c>
      <c r="L2732" s="102">
        <v>46170.349756944444</v>
      </c>
      <c r="M2732" s="25" t="s">
        <v>357</v>
      </c>
      <c r="N2732" s="103" t="s">
        <v>341</v>
      </c>
      <c r="O2732" s="26">
        <v>1.2150000000000001</v>
      </c>
      <c r="P2732" s="26" t="s">
        <v>293</v>
      </c>
    </row>
    <row r="2733" spans="1:16" x14ac:dyDescent="0.3">
      <c r="A2733" s="24">
        <v>89</v>
      </c>
      <c r="B2733" s="102">
        <v>46170.349756944444</v>
      </c>
      <c r="C2733" s="25" t="s">
        <v>356</v>
      </c>
      <c r="D2733" s="103" t="s">
        <v>127</v>
      </c>
      <c r="E2733" s="26">
        <v>1.212</v>
      </c>
      <c r="F2733" s="26" t="s">
        <v>293</v>
      </c>
      <c r="K2733" s="24">
        <v>89</v>
      </c>
      <c r="L2733" s="102">
        <v>46170.349756944444</v>
      </c>
      <c r="M2733" s="25" t="s">
        <v>357</v>
      </c>
      <c r="N2733" s="103" t="s">
        <v>127</v>
      </c>
      <c r="O2733" s="26">
        <v>4.7350000000000003</v>
      </c>
      <c r="P2733" s="26" t="s">
        <v>293</v>
      </c>
    </row>
    <row r="2734" spans="1:16" x14ac:dyDescent="0.3">
      <c r="A2734" s="24">
        <v>89</v>
      </c>
      <c r="B2734" s="102">
        <v>46170.349756944444</v>
      </c>
      <c r="C2734" s="25" t="s">
        <v>356</v>
      </c>
      <c r="D2734" s="103" t="s">
        <v>131</v>
      </c>
      <c r="E2734" s="26">
        <v>8.6</v>
      </c>
      <c r="F2734" s="26" t="s">
        <v>293</v>
      </c>
      <c r="K2734" s="24">
        <v>89</v>
      </c>
      <c r="L2734" s="102">
        <v>46170.349756944444</v>
      </c>
      <c r="M2734" s="25" t="s">
        <v>357</v>
      </c>
      <c r="N2734" s="103" t="s">
        <v>131</v>
      </c>
      <c r="O2734" s="26">
        <v>11.9</v>
      </c>
      <c r="P2734" s="26" t="s">
        <v>293</v>
      </c>
    </row>
    <row r="2735" spans="1:16" x14ac:dyDescent="0.3">
      <c r="A2735" s="24">
        <v>89</v>
      </c>
      <c r="B2735" s="102">
        <v>46170.349756944444</v>
      </c>
      <c r="C2735" s="25" t="s">
        <v>356</v>
      </c>
      <c r="D2735" s="103" t="s">
        <v>342</v>
      </c>
      <c r="E2735" s="26">
        <v>302</v>
      </c>
      <c r="F2735" s="26" t="s">
        <v>293</v>
      </c>
      <c r="K2735" s="24">
        <v>89</v>
      </c>
      <c r="L2735" s="102">
        <v>46170.349756944444</v>
      </c>
      <c r="M2735" s="25" t="s">
        <v>357</v>
      </c>
      <c r="N2735" s="103" t="s">
        <v>342</v>
      </c>
      <c r="O2735" s="26">
        <v>185</v>
      </c>
      <c r="P2735" s="26" t="s">
        <v>293</v>
      </c>
    </row>
    <row r="2736" spans="1:16" x14ac:dyDescent="0.3">
      <c r="A2736" s="24">
        <v>89</v>
      </c>
      <c r="B2736" s="102">
        <v>46170.349756944444</v>
      </c>
      <c r="C2736" s="25" t="s">
        <v>356</v>
      </c>
      <c r="D2736" s="103" t="s">
        <v>119</v>
      </c>
      <c r="E2736" s="26">
        <v>247</v>
      </c>
      <c r="F2736" s="26" t="s">
        <v>293</v>
      </c>
      <c r="K2736" s="24">
        <v>89</v>
      </c>
      <c r="L2736" s="102">
        <v>46170.349756944444</v>
      </c>
      <c r="M2736" s="25" t="s">
        <v>357</v>
      </c>
      <c r="N2736" s="103" t="s">
        <v>119</v>
      </c>
      <c r="O2736" s="26">
        <v>93</v>
      </c>
      <c r="P2736" s="26" t="s">
        <v>293</v>
      </c>
    </row>
    <row r="2737" spans="1:16" x14ac:dyDescent="0.3">
      <c r="A2737" s="24">
        <v>89</v>
      </c>
      <c r="B2737" s="102">
        <v>46170.349756944444</v>
      </c>
      <c r="C2737" s="25" t="s">
        <v>356</v>
      </c>
      <c r="D2737" s="103" t="s">
        <v>120</v>
      </c>
      <c r="E2737" s="26">
        <v>75</v>
      </c>
      <c r="F2737" s="26" t="s">
        <v>293</v>
      </c>
      <c r="K2737" s="24">
        <v>89</v>
      </c>
      <c r="L2737" s="102">
        <v>46170.349756944444</v>
      </c>
      <c r="M2737" s="25" t="s">
        <v>357</v>
      </c>
      <c r="N2737" s="103" t="s">
        <v>120</v>
      </c>
      <c r="O2737" s="26">
        <v>27</v>
      </c>
      <c r="P2737" s="26" t="s">
        <v>293</v>
      </c>
    </row>
    <row r="2738" spans="1:16" x14ac:dyDescent="0.3">
      <c r="A2738" s="24">
        <v>89</v>
      </c>
      <c r="B2738" s="102">
        <v>46170.349756944444</v>
      </c>
      <c r="C2738" s="25" t="s">
        <v>356</v>
      </c>
      <c r="D2738" s="103" t="s">
        <v>117</v>
      </c>
      <c r="E2738" s="26">
        <v>2.74</v>
      </c>
      <c r="F2738" s="26" t="s">
        <v>293</v>
      </c>
      <c r="K2738" s="24">
        <v>89</v>
      </c>
      <c r="L2738" s="102">
        <v>46170.349756944444</v>
      </c>
      <c r="M2738" s="25" t="s">
        <v>357</v>
      </c>
      <c r="N2738" s="103" t="s">
        <v>117</v>
      </c>
      <c r="O2738" s="26">
        <v>6.52</v>
      </c>
      <c r="P2738" s="26" t="s">
        <v>293</v>
      </c>
    </row>
    <row r="2739" spans="1:16" x14ac:dyDescent="0.3">
      <c r="A2739" s="24">
        <v>89</v>
      </c>
      <c r="B2739" s="102">
        <v>46170.349756944444</v>
      </c>
      <c r="C2739" s="25" t="s">
        <v>356</v>
      </c>
      <c r="D2739" s="103" t="s">
        <v>344</v>
      </c>
      <c r="E2739" s="26">
        <v>230</v>
      </c>
      <c r="F2739" s="26" t="s">
        <v>293</v>
      </c>
      <c r="K2739" s="24">
        <v>89</v>
      </c>
      <c r="L2739" s="102">
        <v>46170.349756944444</v>
      </c>
      <c r="M2739" s="25" t="s">
        <v>357</v>
      </c>
      <c r="N2739" s="103" t="s">
        <v>344</v>
      </c>
      <c r="O2739" s="26">
        <v>71</v>
      </c>
      <c r="P2739" s="26" t="s">
        <v>293</v>
      </c>
    </row>
    <row r="2740" spans="1:16" x14ac:dyDescent="0.3">
      <c r="A2740" s="24">
        <v>89</v>
      </c>
      <c r="B2740" s="102">
        <v>46170.349756944444</v>
      </c>
      <c r="C2740" s="25" t="s">
        <v>356</v>
      </c>
      <c r="D2740" s="103" t="s">
        <v>132</v>
      </c>
      <c r="E2740" s="26">
        <v>3.39</v>
      </c>
      <c r="F2740" s="26" t="s">
        <v>293</v>
      </c>
      <c r="K2740" s="24">
        <v>89</v>
      </c>
      <c r="L2740" s="102">
        <v>46170.349756944444</v>
      </c>
      <c r="M2740" s="25" t="s">
        <v>357</v>
      </c>
      <c r="N2740" s="103" t="s">
        <v>132</v>
      </c>
      <c r="O2740" s="26">
        <v>7.13</v>
      </c>
      <c r="P2740" s="26" t="s">
        <v>293</v>
      </c>
    </row>
    <row r="2741" spans="1:16" x14ac:dyDescent="0.3">
      <c r="A2741" s="24">
        <v>89</v>
      </c>
      <c r="B2741" s="102">
        <v>46170.349756944444</v>
      </c>
      <c r="C2741" s="25" t="s">
        <v>356</v>
      </c>
      <c r="D2741" s="103" t="s">
        <v>111</v>
      </c>
      <c r="E2741" s="26">
        <v>86</v>
      </c>
      <c r="F2741" s="26" t="s">
        <v>293</v>
      </c>
      <c r="K2741" s="24">
        <v>89</v>
      </c>
      <c r="L2741" s="102">
        <v>46170.349756944444</v>
      </c>
      <c r="M2741" s="25" t="s">
        <v>357</v>
      </c>
      <c r="N2741" s="103" t="s">
        <v>111</v>
      </c>
      <c r="O2741" s="26">
        <v>286</v>
      </c>
      <c r="P2741" s="26" t="s">
        <v>293</v>
      </c>
    </row>
    <row r="2742" spans="1:16" x14ac:dyDescent="0.3">
      <c r="A2742" s="24">
        <v>89</v>
      </c>
      <c r="B2742" s="102">
        <v>46170.349756944444</v>
      </c>
      <c r="C2742" s="25" t="s">
        <v>356</v>
      </c>
      <c r="D2742" s="103" t="s">
        <v>345</v>
      </c>
      <c r="E2742" s="26">
        <v>4.96</v>
      </c>
      <c r="F2742" s="26" t="s">
        <v>293</v>
      </c>
      <c r="K2742" s="24">
        <v>89</v>
      </c>
      <c r="L2742" s="102">
        <v>46170.349756944444</v>
      </c>
      <c r="M2742" s="25" t="s">
        <v>357</v>
      </c>
      <c r="N2742" s="103" t="s">
        <v>345</v>
      </c>
      <c r="O2742" s="26">
        <v>9.69</v>
      </c>
      <c r="P2742" s="26" t="s">
        <v>293</v>
      </c>
    </row>
    <row r="2743" spans="1:16" x14ac:dyDescent="0.3">
      <c r="A2743" s="24">
        <v>89</v>
      </c>
      <c r="B2743" s="102">
        <v>46170.349756944444</v>
      </c>
      <c r="C2743" s="25" t="s">
        <v>356</v>
      </c>
      <c r="D2743" s="103" t="s">
        <v>347</v>
      </c>
      <c r="E2743" s="26">
        <v>2</v>
      </c>
      <c r="F2743" s="26" t="s">
        <v>293</v>
      </c>
      <c r="K2743" s="24">
        <v>89</v>
      </c>
      <c r="L2743" s="102">
        <v>46170.349756944444</v>
      </c>
      <c r="M2743" s="25" t="s">
        <v>357</v>
      </c>
      <c r="N2743" s="103" t="s">
        <v>347</v>
      </c>
      <c r="O2743" s="26">
        <v>4.6399999999999997</v>
      </c>
      <c r="P2743" s="26" t="s">
        <v>293</v>
      </c>
    </row>
    <row r="2744" spans="1:16" x14ac:dyDescent="0.3">
      <c r="A2744" s="24">
        <v>89</v>
      </c>
      <c r="B2744" s="102">
        <v>46170.349756944444</v>
      </c>
      <c r="C2744" s="25" t="s">
        <v>356</v>
      </c>
      <c r="D2744" s="103" t="s">
        <v>128</v>
      </c>
      <c r="E2744" s="26">
        <v>7.1</v>
      </c>
      <c r="F2744" s="26" t="s">
        <v>293</v>
      </c>
      <c r="K2744" s="24">
        <v>89</v>
      </c>
      <c r="L2744" s="102">
        <v>46170.349756944444</v>
      </c>
      <c r="M2744" s="25" t="s">
        <v>357</v>
      </c>
      <c r="N2744" s="103" t="s">
        <v>128</v>
      </c>
      <c r="O2744" s="26">
        <v>4.5999999999999996</v>
      </c>
      <c r="P2744" s="26" t="s">
        <v>293</v>
      </c>
    </row>
    <row r="2745" spans="1:16" x14ac:dyDescent="0.3">
      <c r="A2745" s="24">
        <v>89</v>
      </c>
      <c r="B2745" s="102">
        <v>46170.349756944444</v>
      </c>
      <c r="C2745" s="25" t="s">
        <v>356</v>
      </c>
      <c r="D2745" s="103" t="s">
        <v>121</v>
      </c>
      <c r="E2745" s="26">
        <v>156</v>
      </c>
      <c r="F2745" s="26" t="s">
        <v>293</v>
      </c>
      <c r="K2745" s="24">
        <v>89</v>
      </c>
      <c r="L2745" s="102">
        <v>46170.349756944444</v>
      </c>
      <c r="M2745" s="25" t="s">
        <v>357</v>
      </c>
      <c r="N2745" s="103" t="s">
        <v>121</v>
      </c>
      <c r="O2745" s="26">
        <v>78</v>
      </c>
      <c r="P2745" s="26" t="s">
        <v>293</v>
      </c>
    </row>
    <row r="2746" spans="1:16" x14ac:dyDescent="0.3">
      <c r="A2746" s="24">
        <v>89</v>
      </c>
      <c r="B2746" s="102">
        <v>46170.349756944444</v>
      </c>
      <c r="C2746" s="25" t="s">
        <v>356</v>
      </c>
      <c r="D2746" s="103" t="s">
        <v>115</v>
      </c>
      <c r="E2746" s="26">
        <v>32</v>
      </c>
      <c r="F2746" s="26" t="s">
        <v>293</v>
      </c>
      <c r="K2746" s="24">
        <v>89</v>
      </c>
      <c r="L2746" s="102">
        <v>46170.349756944444</v>
      </c>
      <c r="M2746" s="25" t="s">
        <v>357</v>
      </c>
      <c r="N2746" s="103" t="s">
        <v>115</v>
      </c>
      <c r="O2746" s="26">
        <v>94</v>
      </c>
      <c r="P2746" s="26" t="s">
        <v>293</v>
      </c>
    </row>
    <row r="2747" spans="1:16" x14ac:dyDescent="0.3">
      <c r="A2747" s="24">
        <v>89</v>
      </c>
      <c r="B2747" s="102">
        <v>46170.349756944444</v>
      </c>
      <c r="C2747" s="25" t="s">
        <v>356</v>
      </c>
      <c r="D2747" s="103" t="s">
        <v>137</v>
      </c>
      <c r="E2747" s="26">
        <v>75</v>
      </c>
      <c r="F2747" s="26" t="s">
        <v>293</v>
      </c>
      <c r="K2747" s="24">
        <v>89</v>
      </c>
      <c r="L2747" s="102">
        <v>46170.349756944444</v>
      </c>
      <c r="M2747" s="25" t="s">
        <v>357</v>
      </c>
      <c r="N2747" s="103" t="s">
        <v>137</v>
      </c>
      <c r="O2747" s="26">
        <v>487</v>
      </c>
      <c r="P2747" s="26" t="s">
        <v>293</v>
      </c>
    </row>
    <row r="2748" spans="1:16" x14ac:dyDescent="0.3">
      <c r="A2748" s="24">
        <v>89</v>
      </c>
      <c r="B2748" s="102">
        <v>46170.349756944444</v>
      </c>
      <c r="C2748" s="25" t="s">
        <v>356</v>
      </c>
      <c r="D2748" s="103" t="s">
        <v>348</v>
      </c>
      <c r="E2748" s="26">
        <v>138</v>
      </c>
      <c r="F2748" s="26" t="s">
        <v>293</v>
      </c>
      <c r="K2748" s="24">
        <v>89</v>
      </c>
      <c r="L2748" s="102">
        <v>46170.349756944444</v>
      </c>
      <c r="M2748" s="25" t="s">
        <v>357</v>
      </c>
      <c r="N2748" s="103" t="s">
        <v>348</v>
      </c>
      <c r="O2748" s="26">
        <v>427</v>
      </c>
      <c r="P2748" s="26" t="s">
        <v>293</v>
      </c>
    </row>
    <row r="2749" spans="1:16" x14ac:dyDescent="0.3">
      <c r="A2749" s="24">
        <v>89</v>
      </c>
      <c r="B2749" s="102">
        <v>46170.349756944444</v>
      </c>
      <c r="C2749" s="25" t="s">
        <v>356</v>
      </c>
      <c r="D2749" s="103" t="s">
        <v>125</v>
      </c>
      <c r="E2749" s="26">
        <v>120</v>
      </c>
      <c r="F2749" s="26" t="s">
        <v>293</v>
      </c>
      <c r="K2749" s="24">
        <v>89</v>
      </c>
      <c r="L2749" s="102">
        <v>46170.349756944444</v>
      </c>
      <c r="M2749" s="25" t="s">
        <v>357</v>
      </c>
      <c r="N2749" s="103" t="s">
        <v>125</v>
      </c>
      <c r="O2749" s="26">
        <v>423</v>
      </c>
      <c r="P2749" s="26" t="s">
        <v>293</v>
      </c>
    </row>
    <row r="2750" spans="1:16" x14ac:dyDescent="0.3">
      <c r="A2750" s="24">
        <v>89</v>
      </c>
      <c r="B2750" s="102">
        <v>46170.349756944444</v>
      </c>
      <c r="C2750" s="25" t="s">
        <v>356</v>
      </c>
      <c r="D2750" s="103" t="s">
        <v>126</v>
      </c>
      <c r="E2750" s="26">
        <v>77</v>
      </c>
      <c r="F2750" s="26" t="s">
        <v>293</v>
      </c>
      <c r="K2750" s="24">
        <v>89</v>
      </c>
      <c r="L2750" s="102">
        <v>46170.349756944444</v>
      </c>
      <c r="M2750" s="25" t="s">
        <v>357</v>
      </c>
      <c r="N2750" s="103" t="s">
        <v>126</v>
      </c>
      <c r="O2750" s="26">
        <v>155</v>
      </c>
      <c r="P2750" s="26" t="s">
        <v>293</v>
      </c>
    </row>
    <row r="2751" spans="1:16" x14ac:dyDescent="0.3">
      <c r="A2751" s="24">
        <v>89</v>
      </c>
      <c r="B2751" s="102">
        <v>46170.349756944444</v>
      </c>
      <c r="C2751" s="25" t="s">
        <v>356</v>
      </c>
      <c r="D2751" s="103" t="s">
        <v>349</v>
      </c>
      <c r="E2751" s="26">
        <v>132</v>
      </c>
      <c r="F2751" s="26" t="s">
        <v>293</v>
      </c>
      <c r="K2751" s="24">
        <v>89</v>
      </c>
      <c r="L2751" s="102">
        <v>46170.349756944444</v>
      </c>
      <c r="M2751" s="25" t="s">
        <v>357</v>
      </c>
      <c r="N2751" s="103" t="s">
        <v>349</v>
      </c>
      <c r="O2751" s="26">
        <v>388</v>
      </c>
      <c r="P2751" s="26" t="s">
        <v>293</v>
      </c>
    </row>
    <row r="2752" spans="1:16" x14ac:dyDescent="0.3">
      <c r="A2752" s="24">
        <v>89</v>
      </c>
      <c r="B2752" s="102">
        <v>46170.349756944444</v>
      </c>
      <c r="C2752" s="25" t="s">
        <v>356</v>
      </c>
      <c r="D2752" s="103" t="s">
        <v>350</v>
      </c>
      <c r="E2752" s="26">
        <v>55</v>
      </c>
      <c r="F2752" s="26" t="s">
        <v>293</v>
      </c>
      <c r="K2752" s="24">
        <v>89</v>
      </c>
      <c r="L2752" s="102">
        <v>46170.349756944444</v>
      </c>
      <c r="M2752" s="25" t="s">
        <v>357</v>
      </c>
      <c r="N2752" s="103" t="s">
        <v>350</v>
      </c>
      <c r="O2752" s="26">
        <v>88</v>
      </c>
      <c r="P2752" s="26" t="s">
        <v>293</v>
      </c>
    </row>
    <row r="2753" spans="1:16" x14ac:dyDescent="0.3">
      <c r="A2753" s="24">
        <v>89</v>
      </c>
      <c r="B2753" s="102">
        <v>46170.349756944444</v>
      </c>
      <c r="C2753" s="25" t="s">
        <v>356</v>
      </c>
      <c r="D2753" s="103" t="s">
        <v>122</v>
      </c>
      <c r="E2753" s="26">
        <v>45</v>
      </c>
      <c r="F2753" s="26" t="s">
        <v>293</v>
      </c>
      <c r="K2753" s="24">
        <v>89</v>
      </c>
      <c r="L2753" s="102">
        <v>46170.349756944444</v>
      </c>
      <c r="M2753" s="25" t="s">
        <v>357</v>
      </c>
      <c r="N2753" s="103" t="s">
        <v>122</v>
      </c>
      <c r="O2753" s="26">
        <v>214</v>
      </c>
      <c r="P2753" s="26" t="s">
        <v>293</v>
      </c>
    </row>
    <row r="2754" spans="1:16" x14ac:dyDescent="0.3">
      <c r="A2754" s="24">
        <v>89</v>
      </c>
      <c r="B2754" s="102">
        <v>46170.349756944444</v>
      </c>
      <c r="C2754" s="25" t="s">
        <v>356</v>
      </c>
      <c r="D2754" s="103" t="s">
        <v>124</v>
      </c>
      <c r="E2754" s="26">
        <v>26</v>
      </c>
      <c r="F2754" s="26" t="s">
        <v>293</v>
      </c>
      <c r="K2754" s="24">
        <v>89</v>
      </c>
      <c r="L2754" s="102">
        <v>46170.349756944444</v>
      </c>
      <c r="M2754" s="25" t="s">
        <v>357</v>
      </c>
      <c r="N2754" s="103" t="s">
        <v>124</v>
      </c>
      <c r="O2754" s="26">
        <v>103</v>
      </c>
      <c r="P2754" s="26" t="s">
        <v>293</v>
      </c>
    </row>
    <row r="2755" spans="1:16" x14ac:dyDescent="0.3">
      <c r="A2755" s="24">
        <v>89</v>
      </c>
      <c r="B2755" s="102">
        <v>46170.349756944444</v>
      </c>
      <c r="C2755" s="25" t="s">
        <v>356</v>
      </c>
      <c r="D2755" s="103" t="s">
        <v>351</v>
      </c>
      <c r="E2755" s="26">
        <v>0.92</v>
      </c>
      <c r="F2755" s="26" t="s">
        <v>293</v>
      </c>
      <c r="K2755" s="24">
        <v>89</v>
      </c>
      <c r="L2755" s="102">
        <v>46170.349756944444</v>
      </c>
      <c r="M2755" s="25" t="s">
        <v>357</v>
      </c>
      <c r="N2755" s="103" t="s">
        <v>351</v>
      </c>
      <c r="O2755" s="26">
        <v>3.33</v>
      </c>
      <c r="P2755" s="26" t="s">
        <v>293</v>
      </c>
    </row>
    <row r="2756" spans="1:16" x14ac:dyDescent="0.3">
      <c r="A2756" s="24">
        <v>89</v>
      </c>
      <c r="B2756" s="102">
        <v>46170.349756944444</v>
      </c>
      <c r="C2756" s="25" t="s">
        <v>356</v>
      </c>
      <c r="D2756" s="103" t="s">
        <v>353</v>
      </c>
      <c r="E2756" s="26">
        <v>34.4</v>
      </c>
      <c r="F2756" s="26" t="s">
        <v>293</v>
      </c>
      <c r="K2756" s="24">
        <v>89</v>
      </c>
      <c r="L2756" s="102">
        <v>46170.349756944444</v>
      </c>
      <c r="M2756" s="25" t="s">
        <v>357</v>
      </c>
      <c r="N2756" s="103" t="s">
        <v>353</v>
      </c>
      <c r="O2756" s="26">
        <v>18.600000000000001</v>
      </c>
      <c r="P2756" s="26" t="s">
        <v>293</v>
      </c>
    </row>
    <row r="2757" spans="1:16" x14ac:dyDescent="0.3">
      <c r="A2757" s="24">
        <v>89</v>
      </c>
      <c r="B2757" s="102">
        <v>46170.349756944444</v>
      </c>
      <c r="C2757" s="25" t="s">
        <v>356</v>
      </c>
      <c r="D2757" s="103" t="s">
        <v>133</v>
      </c>
      <c r="E2757" s="26">
        <v>146</v>
      </c>
      <c r="F2757" s="26" t="s">
        <v>293</v>
      </c>
      <c r="K2757" s="24">
        <v>89</v>
      </c>
      <c r="L2757" s="102">
        <v>46170.349756944444</v>
      </c>
      <c r="M2757" s="25" t="s">
        <v>357</v>
      </c>
      <c r="N2757" s="103" t="s">
        <v>133</v>
      </c>
      <c r="O2757" s="26">
        <v>130</v>
      </c>
      <c r="P2757" s="26" t="s">
        <v>293</v>
      </c>
    </row>
    <row r="2758" spans="1:16" x14ac:dyDescent="0.3">
      <c r="A2758" s="24">
        <v>89</v>
      </c>
      <c r="B2758" s="102">
        <v>46170.349756944444</v>
      </c>
      <c r="C2758" s="25" t="s">
        <v>356</v>
      </c>
      <c r="D2758" s="103" t="s">
        <v>135</v>
      </c>
      <c r="E2758" s="26">
        <v>3.8</v>
      </c>
      <c r="F2758" s="26" t="s">
        <v>293</v>
      </c>
      <c r="K2758" s="24">
        <v>89</v>
      </c>
      <c r="L2758" s="102">
        <v>46170.349756944444</v>
      </c>
      <c r="M2758" s="25" t="s">
        <v>357</v>
      </c>
      <c r="N2758" s="103" t="s">
        <v>135</v>
      </c>
      <c r="O2758" s="26">
        <v>6.6</v>
      </c>
      <c r="P2758" s="26" t="s">
        <v>293</v>
      </c>
    </row>
    <row r="2759" spans="1:16" x14ac:dyDescent="0.3">
      <c r="A2759" s="24">
        <v>89</v>
      </c>
      <c r="B2759" s="102">
        <v>46170.349756944444</v>
      </c>
      <c r="C2759" s="25" t="s">
        <v>356</v>
      </c>
      <c r="D2759" s="103" t="s">
        <v>136</v>
      </c>
      <c r="E2759" s="26">
        <v>116</v>
      </c>
      <c r="F2759" s="26" t="s">
        <v>293</v>
      </c>
      <c r="K2759" s="24">
        <v>89</v>
      </c>
      <c r="L2759" s="102">
        <v>46170.349756944444</v>
      </c>
      <c r="M2759" s="25" t="s">
        <v>357</v>
      </c>
      <c r="N2759" s="103" t="s">
        <v>136</v>
      </c>
      <c r="O2759" s="26">
        <v>93</v>
      </c>
      <c r="P2759" s="26" t="s">
        <v>293</v>
      </c>
    </row>
    <row r="2760" spans="1:16" x14ac:dyDescent="0.3">
      <c r="A2760" s="24">
        <v>90</v>
      </c>
      <c r="B2760" s="102">
        <v>46171.378495370373</v>
      </c>
      <c r="C2760" s="25" t="s">
        <v>356</v>
      </c>
      <c r="D2760" s="103" t="s">
        <v>339</v>
      </c>
      <c r="E2760" s="26">
        <v>4.55</v>
      </c>
      <c r="F2760" s="26" t="s">
        <v>293</v>
      </c>
      <c r="K2760" s="24">
        <v>90</v>
      </c>
      <c r="L2760" s="102">
        <v>46171.378506944442</v>
      </c>
      <c r="M2760" s="25" t="s">
        <v>357</v>
      </c>
      <c r="N2760" s="103" t="s">
        <v>339</v>
      </c>
      <c r="O2760" s="26">
        <v>1.1499999999999999</v>
      </c>
      <c r="P2760" s="26" t="s">
        <v>293</v>
      </c>
    </row>
    <row r="2761" spans="1:16" x14ac:dyDescent="0.3">
      <c r="A2761" s="24">
        <v>90</v>
      </c>
      <c r="B2761" s="102">
        <v>46171.378495370373</v>
      </c>
      <c r="C2761" s="25" t="s">
        <v>356</v>
      </c>
      <c r="D2761" s="103" t="s">
        <v>118</v>
      </c>
      <c r="E2761" s="26">
        <v>4.4000000000000004</v>
      </c>
      <c r="F2761" s="26" t="s">
        <v>293</v>
      </c>
      <c r="K2761" s="24">
        <v>90</v>
      </c>
      <c r="L2761" s="102">
        <v>46171.378506944442</v>
      </c>
      <c r="M2761" s="25" t="s">
        <v>357</v>
      </c>
      <c r="N2761" s="103" t="s">
        <v>118</v>
      </c>
      <c r="O2761" s="26">
        <v>9.5</v>
      </c>
      <c r="P2761" s="26" t="s">
        <v>293</v>
      </c>
    </row>
    <row r="2762" spans="1:16" x14ac:dyDescent="0.3">
      <c r="A2762" s="24">
        <v>90</v>
      </c>
      <c r="B2762" s="102">
        <v>46171.378495370373</v>
      </c>
      <c r="C2762" s="25" t="s">
        <v>356</v>
      </c>
      <c r="D2762" s="103" t="s">
        <v>130</v>
      </c>
      <c r="E2762" s="26">
        <v>3.88</v>
      </c>
      <c r="F2762" s="26" t="s">
        <v>293</v>
      </c>
      <c r="K2762" s="24">
        <v>90</v>
      </c>
      <c r="L2762" s="102">
        <v>46171.378506944442</v>
      </c>
      <c r="M2762" s="25" t="s">
        <v>357</v>
      </c>
      <c r="N2762" s="103" t="s">
        <v>130</v>
      </c>
      <c r="O2762" s="26">
        <v>2.4500000000000002</v>
      </c>
      <c r="P2762" s="26" t="s">
        <v>293</v>
      </c>
    </row>
    <row r="2763" spans="1:16" x14ac:dyDescent="0.3">
      <c r="A2763" s="24">
        <v>90</v>
      </c>
      <c r="B2763" s="102">
        <v>46171.378495370373</v>
      </c>
      <c r="C2763" s="25" t="s">
        <v>356</v>
      </c>
      <c r="D2763" s="103" t="s">
        <v>341</v>
      </c>
      <c r="E2763" s="26">
        <v>0.34599999999999997</v>
      </c>
      <c r="F2763" s="26" t="s">
        <v>293</v>
      </c>
      <c r="K2763" s="24">
        <v>90</v>
      </c>
      <c r="L2763" s="102">
        <v>46171.378506944442</v>
      </c>
      <c r="M2763" s="25" t="s">
        <v>357</v>
      </c>
      <c r="N2763" s="103" t="s">
        <v>341</v>
      </c>
      <c r="O2763" s="26">
        <v>1.2390000000000001</v>
      </c>
      <c r="P2763" s="26" t="s">
        <v>293</v>
      </c>
    </row>
    <row r="2764" spans="1:16" x14ac:dyDescent="0.3">
      <c r="A2764" s="24">
        <v>90</v>
      </c>
      <c r="B2764" s="102">
        <v>46171.378495370373</v>
      </c>
      <c r="C2764" s="25" t="s">
        <v>356</v>
      </c>
      <c r="D2764" s="103" t="s">
        <v>127</v>
      </c>
      <c r="E2764" s="26">
        <v>1.2390000000000001</v>
      </c>
      <c r="F2764" s="26" t="s">
        <v>293</v>
      </c>
      <c r="K2764" s="24">
        <v>90</v>
      </c>
      <c r="L2764" s="102">
        <v>46171.378506944442</v>
      </c>
      <c r="M2764" s="25" t="s">
        <v>357</v>
      </c>
      <c r="N2764" s="103" t="s">
        <v>127</v>
      </c>
      <c r="O2764" s="26">
        <v>4.7149999999999999</v>
      </c>
      <c r="P2764" s="26" t="s">
        <v>293</v>
      </c>
    </row>
    <row r="2765" spans="1:16" x14ac:dyDescent="0.3">
      <c r="A2765" s="24">
        <v>90</v>
      </c>
      <c r="B2765" s="102">
        <v>46171.378495370373</v>
      </c>
      <c r="C2765" s="25" t="s">
        <v>356</v>
      </c>
      <c r="D2765" s="103" t="s">
        <v>131</v>
      </c>
      <c r="E2765" s="26">
        <v>8.4</v>
      </c>
      <c r="F2765" s="26" t="s">
        <v>293</v>
      </c>
      <c r="K2765" s="24">
        <v>90</v>
      </c>
      <c r="L2765" s="102">
        <v>46171.378506944442</v>
      </c>
      <c r="M2765" s="25" t="s">
        <v>357</v>
      </c>
      <c r="N2765" s="103" t="s">
        <v>131</v>
      </c>
      <c r="O2765" s="26">
        <v>11.8</v>
      </c>
      <c r="P2765" s="26" t="s">
        <v>293</v>
      </c>
    </row>
    <row r="2766" spans="1:16" x14ac:dyDescent="0.3">
      <c r="A2766" s="24">
        <v>90</v>
      </c>
      <c r="B2766" s="102">
        <v>46171.378495370373</v>
      </c>
      <c r="C2766" s="25" t="s">
        <v>356</v>
      </c>
      <c r="D2766" s="103" t="s">
        <v>342</v>
      </c>
      <c r="E2766" s="26">
        <v>311</v>
      </c>
      <c r="F2766" s="26" t="s">
        <v>293</v>
      </c>
      <c r="K2766" s="24">
        <v>90</v>
      </c>
      <c r="L2766" s="102">
        <v>46171.378506944442</v>
      </c>
      <c r="M2766" s="25" t="s">
        <v>357</v>
      </c>
      <c r="N2766" s="103" t="s">
        <v>342</v>
      </c>
      <c r="O2766" s="26">
        <v>178</v>
      </c>
      <c r="P2766" s="26" t="s">
        <v>293</v>
      </c>
    </row>
    <row r="2767" spans="1:16" x14ac:dyDescent="0.3">
      <c r="A2767" s="24">
        <v>90</v>
      </c>
      <c r="B2767" s="102">
        <v>46171.378495370373</v>
      </c>
      <c r="C2767" s="25" t="s">
        <v>356</v>
      </c>
      <c r="D2767" s="103" t="s">
        <v>119</v>
      </c>
      <c r="E2767" s="26">
        <v>242</v>
      </c>
      <c r="F2767" s="26" t="s">
        <v>293</v>
      </c>
      <c r="K2767" s="24">
        <v>90</v>
      </c>
      <c r="L2767" s="102">
        <v>46171.378506944442</v>
      </c>
      <c r="M2767" s="25" t="s">
        <v>357</v>
      </c>
      <c r="N2767" s="103" t="s">
        <v>119</v>
      </c>
      <c r="O2767" s="26">
        <v>89</v>
      </c>
      <c r="P2767" s="26" t="s">
        <v>293</v>
      </c>
    </row>
    <row r="2768" spans="1:16" x14ac:dyDescent="0.3">
      <c r="A2768" s="24">
        <v>90</v>
      </c>
      <c r="B2768" s="102">
        <v>46171.378495370373</v>
      </c>
      <c r="C2768" s="25" t="s">
        <v>356</v>
      </c>
      <c r="D2768" s="103" t="s">
        <v>120</v>
      </c>
      <c r="E2768" s="26">
        <v>79</v>
      </c>
      <c r="F2768" s="26" t="s">
        <v>293</v>
      </c>
      <c r="K2768" s="24">
        <v>90</v>
      </c>
      <c r="L2768" s="102">
        <v>46171.378506944442</v>
      </c>
      <c r="M2768" s="25" t="s">
        <v>357</v>
      </c>
      <c r="N2768" s="103" t="s">
        <v>120</v>
      </c>
      <c r="O2768" s="26">
        <v>27</v>
      </c>
      <c r="P2768" s="26" t="s">
        <v>293</v>
      </c>
    </row>
    <row r="2769" spans="1:16" x14ac:dyDescent="0.3">
      <c r="A2769" s="24">
        <v>90</v>
      </c>
      <c r="B2769" s="102">
        <v>46171.378495370373</v>
      </c>
      <c r="C2769" s="25" t="s">
        <v>356</v>
      </c>
      <c r="D2769" s="103" t="s">
        <v>117</v>
      </c>
      <c r="E2769" s="26">
        <v>2.75</v>
      </c>
      <c r="F2769" s="26" t="s">
        <v>293</v>
      </c>
      <c r="K2769" s="24">
        <v>90</v>
      </c>
      <c r="L2769" s="102">
        <v>46171.378506944442</v>
      </c>
      <c r="M2769" s="25" t="s">
        <v>357</v>
      </c>
      <c r="N2769" s="103" t="s">
        <v>117</v>
      </c>
      <c r="O2769" s="26">
        <v>6.25</v>
      </c>
      <c r="P2769" s="26" t="s">
        <v>293</v>
      </c>
    </row>
    <row r="2770" spans="1:16" x14ac:dyDescent="0.3">
      <c r="A2770" s="24">
        <v>90</v>
      </c>
      <c r="B2770" s="102">
        <v>46171.378495370373</v>
      </c>
      <c r="C2770" s="25" t="s">
        <v>356</v>
      </c>
      <c r="D2770" s="103" t="s">
        <v>344</v>
      </c>
      <c r="E2770" s="26">
        <v>227</v>
      </c>
      <c r="F2770" s="26" t="s">
        <v>293</v>
      </c>
      <c r="K2770" s="24">
        <v>90</v>
      </c>
      <c r="L2770" s="102">
        <v>46171.378506944442</v>
      </c>
      <c r="M2770" s="25" t="s">
        <v>357</v>
      </c>
      <c r="N2770" s="103" t="s">
        <v>344</v>
      </c>
      <c r="O2770" s="26">
        <v>69</v>
      </c>
      <c r="P2770" s="26" t="s">
        <v>293</v>
      </c>
    </row>
    <row r="2771" spans="1:16" x14ac:dyDescent="0.3">
      <c r="A2771" s="24">
        <v>90</v>
      </c>
      <c r="B2771" s="102">
        <v>46171.378495370373</v>
      </c>
      <c r="C2771" s="25" t="s">
        <v>356</v>
      </c>
      <c r="D2771" s="103" t="s">
        <v>132</v>
      </c>
      <c r="E2771" s="26">
        <v>3.41</v>
      </c>
      <c r="F2771" s="26" t="s">
        <v>293</v>
      </c>
      <c r="K2771" s="24">
        <v>90</v>
      </c>
      <c r="L2771" s="102">
        <v>46171.378506944442</v>
      </c>
      <c r="M2771" s="25" t="s">
        <v>357</v>
      </c>
      <c r="N2771" s="103" t="s">
        <v>132</v>
      </c>
      <c r="O2771" s="26">
        <v>7.05</v>
      </c>
      <c r="P2771" s="26" t="s">
        <v>293</v>
      </c>
    </row>
    <row r="2772" spans="1:16" x14ac:dyDescent="0.3">
      <c r="A2772" s="24">
        <v>90</v>
      </c>
      <c r="B2772" s="102">
        <v>46171.378495370373</v>
      </c>
      <c r="C2772" s="25" t="s">
        <v>356</v>
      </c>
      <c r="D2772" s="103" t="s">
        <v>111</v>
      </c>
      <c r="E2772" s="26">
        <v>85</v>
      </c>
      <c r="F2772" s="26" t="s">
        <v>293</v>
      </c>
      <c r="K2772" s="24">
        <v>90</v>
      </c>
      <c r="L2772" s="102">
        <v>46171.378506944442</v>
      </c>
      <c r="M2772" s="25" t="s">
        <v>357</v>
      </c>
      <c r="N2772" s="103" t="s">
        <v>111</v>
      </c>
      <c r="O2772" s="26">
        <v>279</v>
      </c>
      <c r="P2772" s="26" t="s">
        <v>293</v>
      </c>
    </row>
    <row r="2773" spans="1:16" x14ac:dyDescent="0.3">
      <c r="A2773" s="24">
        <v>90</v>
      </c>
      <c r="B2773" s="102">
        <v>46171.378495370373</v>
      </c>
      <c r="C2773" s="25" t="s">
        <v>356</v>
      </c>
      <c r="D2773" s="103" t="s">
        <v>345</v>
      </c>
      <c r="E2773" s="26">
        <v>4.9800000000000004</v>
      </c>
      <c r="F2773" s="26" t="s">
        <v>293</v>
      </c>
      <c r="K2773" s="24">
        <v>90</v>
      </c>
      <c r="L2773" s="102">
        <v>46171.378506944442</v>
      </c>
      <c r="M2773" s="25" t="s">
        <v>357</v>
      </c>
      <c r="N2773" s="103" t="s">
        <v>345</v>
      </c>
      <c r="O2773" s="26">
        <v>9.85</v>
      </c>
      <c r="P2773" s="26" t="s">
        <v>293</v>
      </c>
    </row>
    <row r="2774" spans="1:16" x14ac:dyDescent="0.3">
      <c r="A2774" s="24">
        <v>90</v>
      </c>
      <c r="B2774" s="102">
        <v>46171.378495370373</v>
      </c>
      <c r="C2774" s="25" t="s">
        <v>356</v>
      </c>
      <c r="D2774" s="103" t="s">
        <v>347</v>
      </c>
      <c r="E2774" s="26">
        <v>2.1800000000000002</v>
      </c>
      <c r="F2774" s="26" t="s">
        <v>293</v>
      </c>
      <c r="K2774" s="24">
        <v>90</v>
      </c>
      <c r="L2774" s="102">
        <v>46171.378506944442</v>
      </c>
      <c r="M2774" s="25" t="s">
        <v>357</v>
      </c>
      <c r="N2774" s="103" t="s">
        <v>347</v>
      </c>
      <c r="O2774" s="26">
        <v>4.75</v>
      </c>
      <c r="P2774" s="26" t="s">
        <v>293</v>
      </c>
    </row>
    <row r="2775" spans="1:16" x14ac:dyDescent="0.3">
      <c r="A2775" s="24">
        <v>90</v>
      </c>
      <c r="B2775" s="102">
        <v>46171.378495370373</v>
      </c>
      <c r="C2775" s="25" t="s">
        <v>356</v>
      </c>
      <c r="D2775" s="103" t="s">
        <v>128</v>
      </c>
      <c r="E2775" s="26">
        <v>7.1</v>
      </c>
      <c r="F2775" s="26" t="s">
        <v>293</v>
      </c>
      <c r="K2775" s="24">
        <v>90</v>
      </c>
      <c r="L2775" s="102">
        <v>46171.378506944442</v>
      </c>
      <c r="M2775" s="25" t="s">
        <v>357</v>
      </c>
      <c r="N2775" s="103" t="s">
        <v>128</v>
      </c>
      <c r="O2775" s="26">
        <v>4.5</v>
      </c>
      <c r="P2775" s="26" t="s">
        <v>293</v>
      </c>
    </row>
    <row r="2776" spans="1:16" x14ac:dyDescent="0.3">
      <c r="A2776" s="24">
        <v>90</v>
      </c>
      <c r="B2776" s="102">
        <v>46171.378495370373</v>
      </c>
      <c r="C2776" s="25" t="s">
        <v>356</v>
      </c>
      <c r="D2776" s="103" t="s">
        <v>121</v>
      </c>
      <c r="E2776" s="26">
        <v>155</v>
      </c>
      <c r="F2776" s="26" t="s">
        <v>293</v>
      </c>
      <c r="K2776" s="24">
        <v>90</v>
      </c>
      <c r="L2776" s="102">
        <v>46171.378506944442</v>
      </c>
      <c r="M2776" s="25" t="s">
        <v>357</v>
      </c>
      <c r="N2776" s="103" t="s">
        <v>121</v>
      </c>
      <c r="O2776" s="26">
        <v>80</v>
      </c>
      <c r="P2776" s="26" t="s">
        <v>293</v>
      </c>
    </row>
    <row r="2777" spans="1:16" x14ac:dyDescent="0.3">
      <c r="A2777" s="24">
        <v>90</v>
      </c>
      <c r="B2777" s="102">
        <v>46171.378495370373</v>
      </c>
      <c r="C2777" s="25" t="s">
        <v>356</v>
      </c>
      <c r="D2777" s="103" t="s">
        <v>115</v>
      </c>
      <c r="E2777" s="26">
        <v>34</v>
      </c>
      <c r="F2777" s="26" t="s">
        <v>293</v>
      </c>
      <c r="K2777" s="24">
        <v>90</v>
      </c>
      <c r="L2777" s="102">
        <v>46171.378506944442</v>
      </c>
      <c r="M2777" s="25" t="s">
        <v>357</v>
      </c>
      <c r="N2777" s="103" t="s">
        <v>115</v>
      </c>
      <c r="O2777" s="26">
        <v>92</v>
      </c>
      <c r="P2777" s="26" t="s">
        <v>293</v>
      </c>
    </row>
    <row r="2778" spans="1:16" x14ac:dyDescent="0.3">
      <c r="A2778" s="24">
        <v>90</v>
      </c>
      <c r="B2778" s="102">
        <v>46171.378495370373</v>
      </c>
      <c r="C2778" s="25" t="s">
        <v>356</v>
      </c>
      <c r="D2778" s="103" t="s">
        <v>137</v>
      </c>
      <c r="E2778" s="26">
        <v>75</v>
      </c>
      <c r="F2778" s="26" t="s">
        <v>293</v>
      </c>
      <c r="K2778" s="24">
        <v>90</v>
      </c>
      <c r="L2778" s="102">
        <v>46171.378506944442</v>
      </c>
      <c r="M2778" s="25" t="s">
        <v>357</v>
      </c>
      <c r="N2778" s="103" t="s">
        <v>137</v>
      </c>
      <c r="O2778" s="26">
        <v>488</v>
      </c>
      <c r="P2778" s="26" t="s">
        <v>293</v>
      </c>
    </row>
    <row r="2779" spans="1:16" x14ac:dyDescent="0.3">
      <c r="A2779" s="24">
        <v>90</v>
      </c>
      <c r="B2779" s="102">
        <v>46171.378495370373</v>
      </c>
      <c r="C2779" s="25" t="s">
        <v>356</v>
      </c>
      <c r="D2779" s="103" t="s">
        <v>348</v>
      </c>
      <c r="E2779" s="26">
        <v>131</v>
      </c>
      <c r="F2779" s="26" t="s">
        <v>293</v>
      </c>
      <c r="K2779" s="24">
        <v>90</v>
      </c>
      <c r="L2779" s="102">
        <v>46171.378506944442</v>
      </c>
      <c r="M2779" s="25" t="s">
        <v>357</v>
      </c>
      <c r="N2779" s="103" t="s">
        <v>348</v>
      </c>
      <c r="O2779" s="26">
        <v>411</v>
      </c>
      <c r="P2779" s="26" t="s">
        <v>293</v>
      </c>
    </row>
    <row r="2780" spans="1:16" x14ac:dyDescent="0.3">
      <c r="A2780" s="24">
        <v>90</v>
      </c>
      <c r="B2780" s="102">
        <v>46171.378495370373</v>
      </c>
      <c r="C2780" s="25" t="s">
        <v>356</v>
      </c>
      <c r="D2780" s="103" t="s">
        <v>125</v>
      </c>
      <c r="E2780" s="26">
        <v>108</v>
      </c>
      <c r="F2780" s="26" t="s">
        <v>293</v>
      </c>
      <c r="K2780" s="24">
        <v>90</v>
      </c>
      <c r="L2780" s="102">
        <v>46171.378506944442</v>
      </c>
      <c r="M2780" s="25" t="s">
        <v>357</v>
      </c>
      <c r="N2780" s="103" t="s">
        <v>125</v>
      </c>
      <c r="O2780" s="26">
        <v>416</v>
      </c>
      <c r="P2780" s="26" t="s">
        <v>293</v>
      </c>
    </row>
    <row r="2781" spans="1:16" x14ac:dyDescent="0.3">
      <c r="A2781" s="24">
        <v>90</v>
      </c>
      <c r="B2781" s="102">
        <v>46171.378495370373</v>
      </c>
      <c r="C2781" s="25" t="s">
        <v>356</v>
      </c>
      <c r="D2781" s="103" t="s">
        <v>126</v>
      </c>
      <c r="E2781" s="26">
        <v>80</v>
      </c>
      <c r="F2781" s="26" t="s">
        <v>293</v>
      </c>
      <c r="K2781" s="24">
        <v>90</v>
      </c>
      <c r="L2781" s="102">
        <v>46171.378506944442</v>
      </c>
      <c r="M2781" s="25" t="s">
        <v>357</v>
      </c>
      <c r="N2781" s="103" t="s">
        <v>126</v>
      </c>
      <c r="O2781" s="26">
        <v>151</v>
      </c>
      <c r="P2781" s="26" t="s">
        <v>293</v>
      </c>
    </row>
    <row r="2782" spans="1:16" x14ac:dyDescent="0.3">
      <c r="A2782" s="24">
        <v>90</v>
      </c>
      <c r="B2782" s="102">
        <v>46171.378495370373</v>
      </c>
      <c r="C2782" s="25" t="s">
        <v>356</v>
      </c>
      <c r="D2782" s="103" t="s">
        <v>349</v>
      </c>
      <c r="E2782" s="26">
        <v>166</v>
      </c>
      <c r="F2782" s="26" t="s">
        <v>293</v>
      </c>
      <c r="K2782" s="24">
        <v>90</v>
      </c>
      <c r="L2782" s="102">
        <v>46171.378506944442</v>
      </c>
      <c r="M2782" s="25" t="s">
        <v>357</v>
      </c>
      <c r="N2782" s="103" t="s">
        <v>349</v>
      </c>
      <c r="O2782" s="26">
        <v>375</v>
      </c>
      <c r="P2782" s="26" t="s">
        <v>293</v>
      </c>
    </row>
    <row r="2783" spans="1:16" x14ac:dyDescent="0.3">
      <c r="A2783" s="24">
        <v>90</v>
      </c>
      <c r="B2783" s="102">
        <v>46171.378495370373</v>
      </c>
      <c r="C2783" s="25" t="s">
        <v>356</v>
      </c>
      <c r="D2783" s="103" t="s">
        <v>350</v>
      </c>
      <c r="E2783" s="26">
        <v>59</v>
      </c>
      <c r="F2783" s="26" t="s">
        <v>293</v>
      </c>
      <c r="K2783" s="24">
        <v>90</v>
      </c>
      <c r="L2783" s="102">
        <v>46171.378506944442</v>
      </c>
      <c r="M2783" s="25" t="s">
        <v>357</v>
      </c>
      <c r="N2783" s="103" t="s">
        <v>350</v>
      </c>
      <c r="O2783" s="26">
        <v>86</v>
      </c>
      <c r="P2783" s="26" t="s">
        <v>293</v>
      </c>
    </row>
    <row r="2784" spans="1:16" x14ac:dyDescent="0.3">
      <c r="A2784" s="24">
        <v>90</v>
      </c>
      <c r="B2784" s="102">
        <v>46171.378495370373</v>
      </c>
      <c r="C2784" s="25" t="s">
        <v>356</v>
      </c>
      <c r="D2784" s="103" t="s">
        <v>122</v>
      </c>
      <c r="E2784" s="26">
        <v>43</v>
      </c>
      <c r="F2784" s="26" t="s">
        <v>293</v>
      </c>
      <c r="K2784" s="24">
        <v>90</v>
      </c>
      <c r="L2784" s="102">
        <v>46171.378506944442</v>
      </c>
      <c r="M2784" s="25" t="s">
        <v>357</v>
      </c>
      <c r="N2784" s="103" t="s">
        <v>122</v>
      </c>
      <c r="O2784" s="26">
        <v>214</v>
      </c>
      <c r="P2784" s="26" t="s">
        <v>293</v>
      </c>
    </row>
    <row r="2785" spans="1:16" x14ac:dyDescent="0.3">
      <c r="A2785" s="24">
        <v>90</v>
      </c>
      <c r="B2785" s="102">
        <v>46171.378495370373</v>
      </c>
      <c r="C2785" s="25" t="s">
        <v>356</v>
      </c>
      <c r="D2785" s="103" t="s">
        <v>124</v>
      </c>
      <c r="E2785" s="26">
        <v>29</v>
      </c>
      <c r="F2785" s="26" t="s">
        <v>293</v>
      </c>
      <c r="K2785" s="24">
        <v>90</v>
      </c>
      <c r="L2785" s="102">
        <v>46171.378506944442</v>
      </c>
      <c r="M2785" s="25" t="s">
        <v>357</v>
      </c>
      <c r="N2785" s="103" t="s">
        <v>124</v>
      </c>
      <c r="O2785" s="26">
        <v>104</v>
      </c>
      <c r="P2785" s="26" t="s">
        <v>293</v>
      </c>
    </row>
    <row r="2786" spans="1:16" x14ac:dyDescent="0.3">
      <c r="A2786" s="24">
        <v>90</v>
      </c>
      <c r="B2786" s="102">
        <v>46171.378495370373</v>
      </c>
      <c r="C2786" s="25" t="s">
        <v>356</v>
      </c>
      <c r="D2786" s="103" t="s">
        <v>351</v>
      </c>
      <c r="E2786" s="26">
        <v>0.9</v>
      </c>
      <c r="F2786" s="26" t="s">
        <v>293</v>
      </c>
      <c r="K2786" s="24">
        <v>90</v>
      </c>
      <c r="L2786" s="102">
        <v>46171.378506944442</v>
      </c>
      <c r="M2786" s="25" t="s">
        <v>357</v>
      </c>
      <c r="N2786" s="103" t="s">
        <v>351</v>
      </c>
      <c r="O2786" s="26">
        <v>3.36</v>
      </c>
      <c r="P2786" s="26" t="s">
        <v>293</v>
      </c>
    </row>
    <row r="2787" spans="1:16" x14ac:dyDescent="0.3">
      <c r="A2787" s="24">
        <v>90</v>
      </c>
      <c r="B2787" s="102">
        <v>46171.378495370373</v>
      </c>
      <c r="C2787" s="25" t="s">
        <v>356</v>
      </c>
      <c r="D2787" s="103" t="s">
        <v>353</v>
      </c>
      <c r="E2787" s="26">
        <v>32.9</v>
      </c>
      <c r="F2787" s="26" t="s">
        <v>293</v>
      </c>
      <c r="K2787" s="24">
        <v>90</v>
      </c>
      <c r="L2787" s="102">
        <v>46171.378506944442</v>
      </c>
      <c r="M2787" s="25" t="s">
        <v>357</v>
      </c>
      <c r="N2787" s="103" t="s">
        <v>353</v>
      </c>
      <c r="O2787" s="26">
        <v>17.3</v>
      </c>
      <c r="P2787" s="26" t="s">
        <v>293</v>
      </c>
    </row>
    <row r="2788" spans="1:16" x14ac:dyDescent="0.3">
      <c r="A2788" s="24">
        <v>90</v>
      </c>
      <c r="B2788" s="102">
        <v>46171.378495370373</v>
      </c>
      <c r="C2788" s="25" t="s">
        <v>356</v>
      </c>
      <c r="D2788" s="103" t="s">
        <v>133</v>
      </c>
      <c r="E2788" s="26">
        <v>147</v>
      </c>
      <c r="F2788" s="26" t="s">
        <v>293</v>
      </c>
      <c r="K2788" s="24">
        <v>90</v>
      </c>
      <c r="L2788" s="102">
        <v>46171.378506944442</v>
      </c>
      <c r="M2788" s="25" t="s">
        <v>357</v>
      </c>
      <c r="N2788" s="103" t="s">
        <v>133</v>
      </c>
      <c r="O2788" s="26">
        <v>127</v>
      </c>
      <c r="P2788" s="26" t="s">
        <v>293</v>
      </c>
    </row>
    <row r="2789" spans="1:16" x14ac:dyDescent="0.3">
      <c r="A2789" s="24">
        <v>90</v>
      </c>
      <c r="B2789" s="102">
        <v>46171.378495370373</v>
      </c>
      <c r="C2789" s="25" t="s">
        <v>356</v>
      </c>
      <c r="D2789" s="103" t="s">
        <v>135</v>
      </c>
      <c r="E2789" s="26">
        <v>3.8</v>
      </c>
      <c r="F2789" s="26" t="s">
        <v>293</v>
      </c>
      <c r="K2789" s="24">
        <v>90</v>
      </c>
      <c r="L2789" s="102">
        <v>46171.378506944442</v>
      </c>
      <c r="M2789" s="25" t="s">
        <v>357</v>
      </c>
      <c r="N2789" s="103" t="s">
        <v>135</v>
      </c>
      <c r="O2789" s="26">
        <v>6.5</v>
      </c>
      <c r="P2789" s="26" t="s">
        <v>293</v>
      </c>
    </row>
    <row r="2790" spans="1:16" x14ac:dyDescent="0.3">
      <c r="A2790" s="24">
        <v>90</v>
      </c>
      <c r="B2790" s="102">
        <v>46171.378495370373</v>
      </c>
      <c r="C2790" s="25" t="s">
        <v>356</v>
      </c>
      <c r="D2790" s="103" t="s">
        <v>136</v>
      </c>
      <c r="E2790" s="26">
        <v>117</v>
      </c>
      <c r="F2790" s="26" t="s">
        <v>293</v>
      </c>
      <c r="K2790" s="24">
        <v>90</v>
      </c>
      <c r="L2790" s="102">
        <v>46171.378506944442</v>
      </c>
      <c r="M2790" s="25" t="s">
        <v>357</v>
      </c>
      <c r="N2790" s="103" t="s">
        <v>136</v>
      </c>
      <c r="O2790" s="26">
        <v>91</v>
      </c>
      <c r="P2790" s="26" t="s">
        <v>293</v>
      </c>
    </row>
    <row r="2791" spans="1:16" x14ac:dyDescent="0.3">
      <c r="A2791" s="24">
        <v>91</v>
      </c>
      <c r="B2791" s="102">
        <v>46174.363946759258</v>
      </c>
      <c r="C2791" s="25" t="s">
        <v>356</v>
      </c>
      <c r="D2791" s="103" t="s">
        <v>339</v>
      </c>
      <c r="E2791" s="26">
        <v>4.71</v>
      </c>
      <c r="F2791" s="26" t="s">
        <v>293</v>
      </c>
      <c r="K2791" s="24">
        <v>91</v>
      </c>
      <c r="L2791" s="102">
        <v>46174.363958333335</v>
      </c>
      <c r="M2791" s="25" t="s">
        <v>357</v>
      </c>
      <c r="N2791" s="103" t="s">
        <v>339</v>
      </c>
      <c r="O2791" s="26">
        <v>1.4</v>
      </c>
      <c r="P2791" s="26" t="s">
        <v>293</v>
      </c>
    </row>
    <row r="2792" spans="1:16" x14ac:dyDescent="0.3">
      <c r="A2792" s="24">
        <v>91</v>
      </c>
      <c r="B2792" s="102">
        <v>46174.363946759258</v>
      </c>
      <c r="C2792" s="25" t="s">
        <v>356</v>
      </c>
      <c r="D2792" s="103" t="s">
        <v>118</v>
      </c>
      <c r="E2792" s="26">
        <v>4.5</v>
      </c>
      <c r="F2792" s="26" t="s">
        <v>293</v>
      </c>
      <c r="K2792" s="24">
        <v>91</v>
      </c>
      <c r="L2792" s="102">
        <v>46174.363958333335</v>
      </c>
      <c r="M2792" s="25" t="s">
        <v>357</v>
      </c>
      <c r="N2792" s="103" t="s">
        <v>118</v>
      </c>
      <c r="O2792" s="26">
        <v>9.5</v>
      </c>
      <c r="P2792" s="26" t="s">
        <v>293</v>
      </c>
    </row>
    <row r="2793" spans="1:16" x14ac:dyDescent="0.3">
      <c r="A2793" s="24">
        <v>91</v>
      </c>
      <c r="B2793" s="102">
        <v>46174.363946759258</v>
      </c>
      <c r="C2793" s="25" t="s">
        <v>356</v>
      </c>
      <c r="D2793" s="103" t="s">
        <v>130</v>
      </c>
      <c r="E2793" s="26">
        <v>3.84</v>
      </c>
      <c r="F2793" s="26" t="s">
        <v>293</v>
      </c>
      <c r="K2793" s="24">
        <v>91</v>
      </c>
      <c r="L2793" s="102">
        <v>46174.363958333335</v>
      </c>
      <c r="M2793" s="25" t="s">
        <v>357</v>
      </c>
      <c r="N2793" s="103" t="s">
        <v>130</v>
      </c>
      <c r="O2793" s="26">
        <v>2.4300000000000002</v>
      </c>
      <c r="P2793" s="26" t="s">
        <v>293</v>
      </c>
    </row>
    <row r="2794" spans="1:16" x14ac:dyDescent="0.3">
      <c r="A2794" s="24">
        <v>91</v>
      </c>
      <c r="B2794" s="102">
        <v>46174.363946759258</v>
      </c>
      <c r="C2794" s="25" t="s">
        <v>356</v>
      </c>
      <c r="D2794" s="103" t="s">
        <v>341</v>
      </c>
      <c r="E2794" s="26">
        <v>0.31</v>
      </c>
      <c r="F2794" s="26" t="s">
        <v>293</v>
      </c>
      <c r="K2794" s="24">
        <v>91</v>
      </c>
      <c r="L2794" s="102">
        <v>46174.363958333335</v>
      </c>
      <c r="M2794" s="25" t="s">
        <v>357</v>
      </c>
      <c r="N2794" s="103" t="s">
        <v>341</v>
      </c>
      <c r="O2794" s="26">
        <v>1.196</v>
      </c>
      <c r="P2794" s="26" t="s">
        <v>293</v>
      </c>
    </row>
    <row r="2795" spans="1:16" x14ac:dyDescent="0.3">
      <c r="A2795" s="24">
        <v>91</v>
      </c>
      <c r="B2795" s="102">
        <v>46174.363946759258</v>
      </c>
      <c r="C2795" s="25" t="s">
        <v>356</v>
      </c>
      <c r="D2795" s="103" t="s">
        <v>127</v>
      </c>
      <c r="E2795" s="26">
        <v>1.242</v>
      </c>
      <c r="F2795" s="26" t="s">
        <v>293</v>
      </c>
      <c r="K2795" s="24">
        <v>91</v>
      </c>
      <c r="L2795" s="102">
        <v>46174.363958333335</v>
      </c>
      <c r="M2795" s="25" t="s">
        <v>357</v>
      </c>
      <c r="N2795" s="103" t="s">
        <v>127</v>
      </c>
      <c r="O2795" s="26">
        <v>4.6349999999999998</v>
      </c>
      <c r="P2795" s="26" t="s">
        <v>293</v>
      </c>
    </row>
    <row r="2796" spans="1:16" x14ac:dyDescent="0.3">
      <c r="A2796" s="24">
        <v>91</v>
      </c>
      <c r="B2796" s="102">
        <v>46174.363946759258</v>
      </c>
      <c r="C2796" s="25" t="s">
        <v>356</v>
      </c>
      <c r="D2796" s="103" t="s">
        <v>131</v>
      </c>
      <c r="E2796" s="26">
        <v>8.8000000000000007</v>
      </c>
      <c r="F2796" s="26" t="s">
        <v>293</v>
      </c>
      <c r="K2796" s="24">
        <v>91</v>
      </c>
      <c r="L2796" s="102">
        <v>46174.363958333335</v>
      </c>
      <c r="M2796" s="25" t="s">
        <v>357</v>
      </c>
      <c r="N2796" s="103" t="s">
        <v>131</v>
      </c>
      <c r="O2796" s="26">
        <v>12.1</v>
      </c>
      <c r="P2796" s="26" t="s">
        <v>293</v>
      </c>
    </row>
    <row r="2797" spans="1:16" x14ac:dyDescent="0.3">
      <c r="A2797" s="24">
        <v>91</v>
      </c>
      <c r="B2797" s="102">
        <v>46174.363946759258</v>
      </c>
      <c r="C2797" s="25" t="s">
        <v>356</v>
      </c>
      <c r="D2797" s="103" t="s">
        <v>342</v>
      </c>
      <c r="E2797" s="26">
        <v>328</v>
      </c>
      <c r="F2797" s="26" t="s">
        <v>293</v>
      </c>
      <c r="K2797" s="24">
        <v>91</v>
      </c>
      <c r="L2797" s="102">
        <v>46174.363958333335</v>
      </c>
      <c r="M2797" s="25" t="s">
        <v>357</v>
      </c>
      <c r="N2797" s="103" t="s">
        <v>342</v>
      </c>
      <c r="O2797" s="26">
        <v>185</v>
      </c>
      <c r="P2797" s="26" t="s">
        <v>293</v>
      </c>
    </row>
    <row r="2798" spans="1:16" x14ac:dyDescent="0.3">
      <c r="A2798" s="24">
        <v>91</v>
      </c>
      <c r="B2798" s="102">
        <v>46174.363946759258</v>
      </c>
      <c r="C2798" s="25" t="s">
        <v>356</v>
      </c>
      <c r="D2798" s="103" t="s">
        <v>119</v>
      </c>
      <c r="E2798" s="26">
        <v>247</v>
      </c>
      <c r="F2798" s="26" t="s">
        <v>293</v>
      </c>
      <c r="K2798" s="24">
        <v>91</v>
      </c>
      <c r="L2798" s="102">
        <v>46174.363958333335</v>
      </c>
      <c r="M2798" s="25" t="s">
        <v>357</v>
      </c>
      <c r="N2798" s="103" t="s">
        <v>119</v>
      </c>
      <c r="O2798" s="26">
        <v>92</v>
      </c>
      <c r="P2798" s="26" t="s">
        <v>293</v>
      </c>
    </row>
    <row r="2799" spans="1:16" x14ac:dyDescent="0.3">
      <c r="A2799" s="24">
        <v>91</v>
      </c>
      <c r="B2799" s="102">
        <v>46174.363946759258</v>
      </c>
      <c r="C2799" s="25" t="s">
        <v>356</v>
      </c>
      <c r="D2799" s="103" t="s">
        <v>120</v>
      </c>
      <c r="E2799" s="26">
        <v>76</v>
      </c>
      <c r="F2799" s="26" t="s">
        <v>293</v>
      </c>
      <c r="K2799" s="24">
        <v>91</v>
      </c>
      <c r="L2799" s="102">
        <v>46174.363958333335</v>
      </c>
      <c r="M2799" s="25" t="s">
        <v>357</v>
      </c>
      <c r="N2799" s="103" t="s">
        <v>120</v>
      </c>
      <c r="O2799" s="26">
        <v>27</v>
      </c>
      <c r="P2799" s="26" t="s">
        <v>293</v>
      </c>
    </row>
    <row r="2800" spans="1:16" x14ac:dyDescent="0.3">
      <c r="A2800" s="24">
        <v>91</v>
      </c>
      <c r="B2800" s="102">
        <v>46174.363946759258</v>
      </c>
      <c r="C2800" s="25" t="s">
        <v>356</v>
      </c>
      <c r="D2800" s="103" t="s">
        <v>117</v>
      </c>
      <c r="E2800" s="26">
        <v>2.69</v>
      </c>
      <c r="F2800" s="26" t="s">
        <v>293</v>
      </c>
      <c r="K2800" s="24">
        <v>91</v>
      </c>
      <c r="L2800" s="102">
        <v>46174.363958333335</v>
      </c>
      <c r="M2800" s="25" t="s">
        <v>357</v>
      </c>
      <c r="N2800" s="103" t="s">
        <v>117</v>
      </c>
      <c r="O2800" s="26">
        <v>6.34</v>
      </c>
      <c r="P2800" s="26" t="s">
        <v>293</v>
      </c>
    </row>
    <row r="2801" spans="1:16" x14ac:dyDescent="0.3">
      <c r="A2801" s="24">
        <v>91</v>
      </c>
      <c r="B2801" s="102">
        <v>46174.363946759258</v>
      </c>
      <c r="C2801" s="25" t="s">
        <v>356</v>
      </c>
      <c r="D2801" s="103" t="s">
        <v>344</v>
      </c>
      <c r="E2801" s="26">
        <v>230</v>
      </c>
      <c r="F2801" s="26" t="s">
        <v>293</v>
      </c>
      <c r="K2801" s="24">
        <v>91</v>
      </c>
      <c r="L2801" s="102">
        <v>46174.363958333335</v>
      </c>
      <c r="M2801" s="25" t="s">
        <v>357</v>
      </c>
      <c r="N2801" s="103" t="s">
        <v>344</v>
      </c>
      <c r="O2801" s="26">
        <v>69</v>
      </c>
      <c r="P2801" s="26" t="s">
        <v>293</v>
      </c>
    </row>
    <row r="2802" spans="1:16" x14ac:dyDescent="0.3">
      <c r="A2802" s="24">
        <v>91</v>
      </c>
      <c r="B2802" s="102">
        <v>46174.363946759258</v>
      </c>
      <c r="C2802" s="25" t="s">
        <v>356</v>
      </c>
      <c r="D2802" s="103" t="s">
        <v>132</v>
      </c>
      <c r="E2802" s="26">
        <v>3.45</v>
      </c>
      <c r="F2802" s="26" t="s">
        <v>293</v>
      </c>
      <c r="K2802" s="24">
        <v>91</v>
      </c>
      <c r="L2802" s="102">
        <v>46174.363958333335</v>
      </c>
      <c r="M2802" s="25" t="s">
        <v>357</v>
      </c>
      <c r="N2802" s="103" t="s">
        <v>132</v>
      </c>
      <c r="O2802" s="26">
        <v>7.06</v>
      </c>
      <c r="P2802" s="26" t="s">
        <v>293</v>
      </c>
    </row>
    <row r="2803" spans="1:16" x14ac:dyDescent="0.3">
      <c r="A2803" s="24">
        <v>91</v>
      </c>
      <c r="B2803" s="102">
        <v>46174.363946759258</v>
      </c>
      <c r="C2803" s="25" t="s">
        <v>356</v>
      </c>
      <c r="D2803" s="103" t="s">
        <v>111</v>
      </c>
      <c r="E2803" s="26">
        <v>87</v>
      </c>
      <c r="F2803" s="26" t="s">
        <v>293</v>
      </c>
      <c r="K2803" s="24">
        <v>91</v>
      </c>
      <c r="L2803" s="102">
        <v>46174.363958333335</v>
      </c>
      <c r="M2803" s="25" t="s">
        <v>357</v>
      </c>
      <c r="N2803" s="103" t="s">
        <v>111</v>
      </c>
      <c r="O2803" s="26">
        <v>279</v>
      </c>
      <c r="P2803" s="26" t="s">
        <v>293</v>
      </c>
    </row>
    <row r="2804" spans="1:16" x14ac:dyDescent="0.3">
      <c r="A2804" s="24">
        <v>91</v>
      </c>
      <c r="B2804" s="102">
        <v>46174.363946759258</v>
      </c>
      <c r="C2804" s="25" t="s">
        <v>356</v>
      </c>
      <c r="D2804" s="103" t="s">
        <v>345</v>
      </c>
      <c r="E2804" s="26">
        <v>5.08</v>
      </c>
      <c r="F2804" s="26" t="s">
        <v>293</v>
      </c>
      <c r="K2804" s="24">
        <v>91</v>
      </c>
      <c r="L2804" s="102">
        <v>46174.363958333335</v>
      </c>
      <c r="M2804" s="25" t="s">
        <v>357</v>
      </c>
      <c r="N2804" s="103" t="s">
        <v>345</v>
      </c>
      <c r="O2804" s="26">
        <v>9.68</v>
      </c>
      <c r="P2804" s="26" t="s">
        <v>293</v>
      </c>
    </row>
    <row r="2805" spans="1:16" x14ac:dyDescent="0.3">
      <c r="A2805" s="24">
        <v>91</v>
      </c>
      <c r="B2805" s="102">
        <v>46174.363946759258</v>
      </c>
      <c r="C2805" s="25" t="s">
        <v>356</v>
      </c>
      <c r="D2805" s="103" t="s">
        <v>347</v>
      </c>
      <c r="E2805" s="26">
        <v>2.33</v>
      </c>
      <c r="F2805" s="26" t="s">
        <v>293</v>
      </c>
      <c r="K2805" s="24">
        <v>91</v>
      </c>
      <c r="L2805" s="102">
        <v>46174.363958333335</v>
      </c>
      <c r="M2805" s="25" t="s">
        <v>357</v>
      </c>
      <c r="N2805" s="103" t="s">
        <v>347</v>
      </c>
      <c r="O2805" s="26">
        <v>4.87</v>
      </c>
      <c r="P2805" s="26" t="s">
        <v>293</v>
      </c>
    </row>
    <row r="2806" spans="1:16" x14ac:dyDescent="0.3">
      <c r="A2806" s="24">
        <v>91</v>
      </c>
      <c r="B2806" s="102">
        <v>46174.363946759258</v>
      </c>
      <c r="C2806" s="25" t="s">
        <v>356</v>
      </c>
      <c r="D2806" s="103" t="s">
        <v>128</v>
      </c>
      <c r="E2806" s="26">
        <v>7.2</v>
      </c>
      <c r="F2806" s="26" t="s">
        <v>293</v>
      </c>
      <c r="K2806" s="24">
        <v>91</v>
      </c>
      <c r="L2806" s="102">
        <v>46174.363958333335</v>
      </c>
      <c r="M2806" s="25" t="s">
        <v>357</v>
      </c>
      <c r="N2806" s="103" t="s">
        <v>128</v>
      </c>
      <c r="O2806" s="26">
        <v>4.5999999999999996</v>
      </c>
      <c r="P2806" s="26" t="s">
        <v>293</v>
      </c>
    </row>
    <row r="2807" spans="1:16" x14ac:dyDescent="0.3">
      <c r="A2807" s="24">
        <v>91</v>
      </c>
      <c r="B2807" s="102">
        <v>46174.363946759258</v>
      </c>
      <c r="C2807" s="25" t="s">
        <v>356</v>
      </c>
      <c r="D2807" s="103" t="s">
        <v>121</v>
      </c>
      <c r="E2807" s="26">
        <v>159</v>
      </c>
      <c r="F2807" s="26" t="s">
        <v>293</v>
      </c>
      <c r="K2807" s="24">
        <v>91</v>
      </c>
      <c r="L2807" s="102">
        <v>46174.363958333335</v>
      </c>
      <c r="M2807" s="25" t="s">
        <v>357</v>
      </c>
      <c r="N2807" s="103" t="s">
        <v>121</v>
      </c>
      <c r="O2807" s="26">
        <v>82</v>
      </c>
      <c r="P2807" s="26" t="s">
        <v>293</v>
      </c>
    </row>
    <row r="2808" spans="1:16" x14ac:dyDescent="0.3">
      <c r="A2808" s="24">
        <v>91</v>
      </c>
      <c r="B2808" s="102">
        <v>46174.363946759258</v>
      </c>
      <c r="C2808" s="25" t="s">
        <v>356</v>
      </c>
      <c r="D2808" s="103" t="s">
        <v>115</v>
      </c>
      <c r="E2808" s="26">
        <v>36</v>
      </c>
      <c r="F2808" s="26" t="s">
        <v>293</v>
      </c>
      <c r="K2808" s="24">
        <v>91</v>
      </c>
      <c r="L2808" s="102">
        <v>46174.363958333335</v>
      </c>
      <c r="M2808" s="25" t="s">
        <v>357</v>
      </c>
      <c r="N2808" s="103" t="s">
        <v>115</v>
      </c>
      <c r="O2808" s="26">
        <v>94</v>
      </c>
      <c r="P2808" s="26" t="s">
        <v>293</v>
      </c>
    </row>
    <row r="2809" spans="1:16" x14ac:dyDescent="0.3">
      <c r="A2809" s="24">
        <v>91</v>
      </c>
      <c r="B2809" s="102">
        <v>46174.363946759258</v>
      </c>
      <c r="C2809" s="25" t="s">
        <v>356</v>
      </c>
      <c r="D2809" s="103" t="s">
        <v>137</v>
      </c>
      <c r="E2809" s="26">
        <v>75</v>
      </c>
      <c r="F2809" s="26" t="s">
        <v>293</v>
      </c>
      <c r="K2809" s="24">
        <v>91</v>
      </c>
      <c r="L2809" s="102">
        <v>46174.363958333335</v>
      </c>
      <c r="M2809" s="25" t="s">
        <v>357</v>
      </c>
      <c r="N2809" s="103" t="s">
        <v>137</v>
      </c>
      <c r="O2809" s="26">
        <v>481</v>
      </c>
      <c r="P2809" s="26" t="s">
        <v>293</v>
      </c>
    </row>
    <row r="2810" spans="1:16" x14ac:dyDescent="0.3">
      <c r="A2810" s="24">
        <v>91</v>
      </c>
      <c r="B2810" s="102">
        <v>46174.363946759258</v>
      </c>
      <c r="C2810" s="25" t="s">
        <v>356</v>
      </c>
      <c r="D2810" s="103" t="s">
        <v>348</v>
      </c>
      <c r="E2810" s="26">
        <v>130</v>
      </c>
      <c r="F2810" s="26" t="s">
        <v>293</v>
      </c>
      <c r="K2810" s="24">
        <v>91</v>
      </c>
      <c r="L2810" s="102">
        <v>46174.363958333335</v>
      </c>
      <c r="M2810" s="25" t="s">
        <v>357</v>
      </c>
      <c r="N2810" s="103" t="s">
        <v>348</v>
      </c>
      <c r="O2810" s="26">
        <v>409</v>
      </c>
      <c r="P2810" s="26" t="s">
        <v>293</v>
      </c>
    </row>
    <row r="2811" spans="1:16" x14ac:dyDescent="0.3">
      <c r="A2811" s="24">
        <v>91</v>
      </c>
      <c r="B2811" s="102">
        <v>46174.363946759258</v>
      </c>
      <c r="C2811" s="25" t="s">
        <v>356</v>
      </c>
      <c r="D2811" s="103" t="s">
        <v>125</v>
      </c>
      <c r="E2811" s="26">
        <v>120</v>
      </c>
      <c r="F2811" s="26" t="s">
        <v>293</v>
      </c>
      <c r="K2811" s="24">
        <v>91</v>
      </c>
      <c r="L2811" s="102">
        <v>46174.363958333335</v>
      </c>
      <c r="M2811" s="25" t="s">
        <v>357</v>
      </c>
      <c r="N2811" s="103" t="s">
        <v>125</v>
      </c>
      <c r="O2811" s="26">
        <v>428</v>
      </c>
      <c r="P2811" s="26" t="s">
        <v>293</v>
      </c>
    </row>
    <row r="2812" spans="1:16" x14ac:dyDescent="0.3">
      <c r="A2812" s="24">
        <v>91</v>
      </c>
      <c r="B2812" s="102">
        <v>46174.363946759258</v>
      </c>
      <c r="C2812" s="25" t="s">
        <v>356</v>
      </c>
      <c r="D2812" s="103" t="s">
        <v>126</v>
      </c>
      <c r="E2812" s="26">
        <v>82</v>
      </c>
      <c r="F2812" s="26" t="s">
        <v>293</v>
      </c>
      <c r="K2812" s="24">
        <v>91</v>
      </c>
      <c r="L2812" s="102">
        <v>46174.363958333335</v>
      </c>
      <c r="M2812" s="25" t="s">
        <v>357</v>
      </c>
      <c r="N2812" s="103" t="s">
        <v>126</v>
      </c>
      <c r="O2812" s="26">
        <v>152</v>
      </c>
      <c r="P2812" s="26" t="s">
        <v>293</v>
      </c>
    </row>
    <row r="2813" spans="1:16" x14ac:dyDescent="0.3">
      <c r="A2813" s="24">
        <v>91</v>
      </c>
      <c r="B2813" s="102">
        <v>46174.363946759258</v>
      </c>
      <c r="C2813" s="25" t="s">
        <v>356</v>
      </c>
      <c r="D2813" s="103" t="s">
        <v>349</v>
      </c>
      <c r="E2813" s="26">
        <v>153</v>
      </c>
      <c r="F2813" s="26" t="s">
        <v>293</v>
      </c>
      <c r="K2813" s="24">
        <v>91</v>
      </c>
      <c r="L2813" s="102">
        <v>46174.363958333335</v>
      </c>
      <c r="M2813" s="25" t="s">
        <v>357</v>
      </c>
      <c r="N2813" s="103" t="s">
        <v>349</v>
      </c>
      <c r="O2813" s="26">
        <v>357</v>
      </c>
      <c r="P2813" s="26" t="s">
        <v>293</v>
      </c>
    </row>
    <row r="2814" spans="1:16" x14ac:dyDescent="0.3">
      <c r="A2814" s="24">
        <v>91</v>
      </c>
      <c r="B2814" s="102">
        <v>46174.363946759258</v>
      </c>
      <c r="C2814" s="25" t="s">
        <v>356</v>
      </c>
      <c r="D2814" s="103" t="s">
        <v>350</v>
      </c>
      <c r="E2814" s="26">
        <v>59</v>
      </c>
      <c r="F2814" s="26" t="s">
        <v>293</v>
      </c>
      <c r="K2814" s="24">
        <v>91</v>
      </c>
      <c r="L2814" s="102">
        <v>46174.363958333335</v>
      </c>
      <c r="M2814" s="25" t="s">
        <v>357</v>
      </c>
      <c r="N2814" s="103" t="s">
        <v>350</v>
      </c>
      <c r="O2814" s="26">
        <v>86</v>
      </c>
      <c r="P2814" s="26" t="s">
        <v>293</v>
      </c>
    </row>
    <row r="2815" spans="1:16" x14ac:dyDescent="0.3">
      <c r="A2815" s="24">
        <v>91</v>
      </c>
      <c r="B2815" s="102">
        <v>46174.363946759258</v>
      </c>
      <c r="C2815" s="25" t="s">
        <v>356</v>
      </c>
      <c r="D2815" s="103" t="s">
        <v>122</v>
      </c>
      <c r="E2815" s="26">
        <v>48</v>
      </c>
      <c r="F2815" s="26" t="s">
        <v>293</v>
      </c>
      <c r="K2815" s="24">
        <v>91</v>
      </c>
      <c r="L2815" s="102">
        <v>46174.363958333335</v>
      </c>
      <c r="M2815" s="25" t="s">
        <v>357</v>
      </c>
      <c r="N2815" s="103" t="s">
        <v>122</v>
      </c>
      <c r="O2815" s="26">
        <v>217</v>
      </c>
      <c r="P2815" s="26" t="s">
        <v>293</v>
      </c>
    </row>
    <row r="2816" spans="1:16" x14ac:dyDescent="0.3">
      <c r="A2816" s="24">
        <v>91</v>
      </c>
      <c r="B2816" s="102">
        <v>46174.363946759258</v>
      </c>
      <c r="C2816" s="25" t="s">
        <v>356</v>
      </c>
      <c r="D2816" s="103" t="s">
        <v>124</v>
      </c>
      <c r="E2816" s="26">
        <v>28</v>
      </c>
      <c r="F2816" s="26" t="s">
        <v>293</v>
      </c>
      <c r="K2816" s="24">
        <v>91</v>
      </c>
      <c r="L2816" s="102">
        <v>46174.363958333335</v>
      </c>
      <c r="M2816" s="25" t="s">
        <v>357</v>
      </c>
      <c r="N2816" s="103" t="s">
        <v>124</v>
      </c>
      <c r="O2816" s="26">
        <v>100</v>
      </c>
      <c r="P2816" s="26" t="s">
        <v>293</v>
      </c>
    </row>
    <row r="2817" spans="1:16" x14ac:dyDescent="0.3">
      <c r="A2817" s="24">
        <v>91</v>
      </c>
      <c r="B2817" s="102">
        <v>46174.363946759258</v>
      </c>
      <c r="C2817" s="25" t="s">
        <v>356</v>
      </c>
      <c r="D2817" s="103" t="s">
        <v>351</v>
      </c>
      <c r="E2817" s="26">
        <v>0.95</v>
      </c>
      <c r="F2817" s="26" t="s">
        <v>293</v>
      </c>
      <c r="K2817" s="24">
        <v>91</v>
      </c>
      <c r="L2817" s="102">
        <v>46174.363958333335</v>
      </c>
      <c r="M2817" s="25" t="s">
        <v>357</v>
      </c>
      <c r="N2817" s="103" t="s">
        <v>351</v>
      </c>
      <c r="O2817" s="26">
        <v>3.46</v>
      </c>
      <c r="P2817" s="26" t="s">
        <v>293</v>
      </c>
    </row>
    <row r="2818" spans="1:16" x14ac:dyDescent="0.3">
      <c r="A2818" s="24">
        <v>91</v>
      </c>
      <c r="B2818" s="102">
        <v>46174.363946759258</v>
      </c>
      <c r="C2818" s="25" t="s">
        <v>356</v>
      </c>
      <c r="D2818" s="103" t="s">
        <v>353</v>
      </c>
      <c r="E2818" s="26">
        <v>32.5</v>
      </c>
      <c r="F2818" s="26" t="s">
        <v>293</v>
      </c>
      <c r="K2818" s="24">
        <v>91</v>
      </c>
      <c r="L2818" s="102">
        <v>46174.363958333335</v>
      </c>
      <c r="M2818" s="25" t="s">
        <v>357</v>
      </c>
      <c r="N2818" s="103" t="s">
        <v>353</v>
      </c>
      <c r="O2818" s="26">
        <v>16.899999999999999</v>
      </c>
      <c r="P2818" s="26" t="s">
        <v>293</v>
      </c>
    </row>
    <row r="2819" spans="1:16" x14ac:dyDescent="0.3">
      <c r="A2819" s="24">
        <v>91</v>
      </c>
      <c r="B2819" s="102">
        <v>46174.363946759258</v>
      </c>
      <c r="C2819" s="25" t="s">
        <v>356</v>
      </c>
      <c r="D2819" s="103" t="s">
        <v>133</v>
      </c>
      <c r="E2819" s="26">
        <v>147</v>
      </c>
      <c r="F2819" s="26" t="s">
        <v>293</v>
      </c>
      <c r="K2819" s="24">
        <v>91</v>
      </c>
      <c r="L2819" s="102">
        <v>46174.363958333335</v>
      </c>
      <c r="M2819" s="25" t="s">
        <v>357</v>
      </c>
      <c r="N2819" s="103" t="s">
        <v>133</v>
      </c>
      <c r="O2819" s="26">
        <v>127</v>
      </c>
      <c r="P2819" s="26" t="s">
        <v>293</v>
      </c>
    </row>
    <row r="2820" spans="1:16" x14ac:dyDescent="0.3">
      <c r="A2820" s="24">
        <v>91</v>
      </c>
      <c r="B2820" s="102">
        <v>46174.363946759258</v>
      </c>
      <c r="C2820" s="25" t="s">
        <v>356</v>
      </c>
      <c r="D2820" s="103" t="s">
        <v>135</v>
      </c>
      <c r="E2820" s="26">
        <v>3.8</v>
      </c>
      <c r="F2820" s="26" t="s">
        <v>293</v>
      </c>
      <c r="K2820" s="24">
        <v>91</v>
      </c>
      <c r="L2820" s="102">
        <v>46174.363958333335</v>
      </c>
      <c r="M2820" s="25" t="s">
        <v>357</v>
      </c>
      <c r="N2820" s="103" t="s">
        <v>135</v>
      </c>
      <c r="O2820" s="26">
        <v>6.4</v>
      </c>
      <c r="P2820" s="26" t="s">
        <v>293</v>
      </c>
    </row>
    <row r="2821" spans="1:16" x14ac:dyDescent="0.3">
      <c r="A2821" s="24">
        <v>91</v>
      </c>
      <c r="B2821" s="102">
        <v>46174.363946759258</v>
      </c>
      <c r="C2821" s="25" t="s">
        <v>356</v>
      </c>
      <c r="D2821" s="103" t="s">
        <v>136</v>
      </c>
      <c r="E2821" s="26">
        <v>114</v>
      </c>
      <c r="F2821" s="26" t="s">
        <v>293</v>
      </c>
      <c r="K2821" s="24">
        <v>91</v>
      </c>
      <c r="L2821" s="102">
        <v>46174.363958333335</v>
      </c>
      <c r="M2821" s="25" t="s">
        <v>357</v>
      </c>
      <c r="N2821" s="103" t="s">
        <v>136</v>
      </c>
      <c r="O2821" s="26">
        <v>90</v>
      </c>
      <c r="P2821" s="26" t="s">
        <v>293</v>
      </c>
    </row>
    <row r="2822" spans="1:16" x14ac:dyDescent="0.3">
      <c r="A2822" s="24">
        <v>92</v>
      </c>
      <c r="B2822" s="102">
        <v>46175.348912037036</v>
      </c>
      <c r="C2822" s="25" t="s">
        <v>356</v>
      </c>
      <c r="D2822" s="103" t="s">
        <v>339</v>
      </c>
      <c r="E2822" s="26">
        <v>4.68</v>
      </c>
      <c r="F2822" s="26" t="s">
        <v>293</v>
      </c>
      <c r="K2822" s="24">
        <v>92</v>
      </c>
      <c r="L2822" s="102">
        <v>46175.348912037036</v>
      </c>
      <c r="M2822" s="25" t="s">
        <v>357</v>
      </c>
      <c r="N2822" s="103" t="s">
        <v>339</v>
      </c>
      <c r="O2822" s="26">
        <v>1.27</v>
      </c>
      <c r="P2822" s="26" t="s">
        <v>293</v>
      </c>
    </row>
    <row r="2823" spans="1:16" x14ac:dyDescent="0.3">
      <c r="A2823" s="24">
        <v>92</v>
      </c>
      <c r="B2823" s="102">
        <v>46175.348912037036</v>
      </c>
      <c r="C2823" s="25" t="s">
        <v>356</v>
      </c>
      <c r="D2823" s="103" t="s">
        <v>118</v>
      </c>
      <c r="E2823" s="26">
        <v>4.5999999999999996</v>
      </c>
      <c r="F2823" s="26" t="s">
        <v>293</v>
      </c>
      <c r="K2823" s="24">
        <v>92</v>
      </c>
      <c r="L2823" s="102">
        <v>46175.348912037036</v>
      </c>
      <c r="M2823" s="25" t="s">
        <v>357</v>
      </c>
      <c r="N2823" s="103" t="s">
        <v>118</v>
      </c>
      <c r="O2823" s="26">
        <v>9.5</v>
      </c>
      <c r="P2823" s="26" t="s">
        <v>293</v>
      </c>
    </row>
    <row r="2824" spans="1:16" x14ac:dyDescent="0.3">
      <c r="A2824" s="24">
        <v>92</v>
      </c>
      <c r="B2824" s="102">
        <v>46175.348912037036</v>
      </c>
      <c r="C2824" s="25" t="s">
        <v>356</v>
      </c>
      <c r="D2824" s="103" t="s">
        <v>130</v>
      </c>
      <c r="E2824" s="26">
        <v>3.88</v>
      </c>
      <c r="F2824" s="26" t="s">
        <v>293</v>
      </c>
      <c r="K2824" s="24">
        <v>92</v>
      </c>
      <c r="L2824" s="102">
        <v>46175.348912037036</v>
      </c>
      <c r="M2824" s="25" t="s">
        <v>357</v>
      </c>
      <c r="N2824" s="103" t="s">
        <v>130</v>
      </c>
      <c r="O2824" s="26">
        <v>2.4300000000000002</v>
      </c>
      <c r="P2824" s="26" t="s">
        <v>293</v>
      </c>
    </row>
    <row r="2825" spans="1:16" x14ac:dyDescent="0.3">
      <c r="A2825" s="24">
        <v>92</v>
      </c>
      <c r="B2825" s="102">
        <v>46175.348912037036</v>
      </c>
      <c r="C2825" s="25" t="s">
        <v>356</v>
      </c>
      <c r="D2825" s="103" t="s">
        <v>341</v>
      </c>
      <c r="E2825" s="26">
        <v>0.317</v>
      </c>
      <c r="F2825" s="26" t="s">
        <v>293</v>
      </c>
      <c r="K2825" s="24">
        <v>92</v>
      </c>
      <c r="L2825" s="102">
        <v>46175.348912037036</v>
      </c>
      <c r="M2825" s="25" t="s">
        <v>357</v>
      </c>
      <c r="N2825" s="103" t="s">
        <v>341</v>
      </c>
      <c r="O2825" s="26">
        <v>1.2090000000000001</v>
      </c>
      <c r="P2825" s="26" t="s">
        <v>293</v>
      </c>
    </row>
    <row r="2826" spans="1:16" x14ac:dyDescent="0.3">
      <c r="A2826" s="24">
        <v>92</v>
      </c>
      <c r="B2826" s="102">
        <v>46175.348912037036</v>
      </c>
      <c r="C2826" s="25" t="s">
        <v>356</v>
      </c>
      <c r="D2826" s="103" t="s">
        <v>127</v>
      </c>
      <c r="E2826" s="26">
        <v>1.2290000000000001</v>
      </c>
      <c r="F2826" s="26" t="s">
        <v>293</v>
      </c>
      <c r="K2826" s="24">
        <v>92</v>
      </c>
      <c r="L2826" s="102">
        <v>46175.348912037036</v>
      </c>
      <c r="M2826" s="25" t="s">
        <v>357</v>
      </c>
      <c r="N2826" s="103" t="s">
        <v>127</v>
      </c>
      <c r="O2826" s="26">
        <v>4.641</v>
      </c>
      <c r="P2826" s="26" t="s">
        <v>293</v>
      </c>
    </row>
    <row r="2827" spans="1:16" x14ac:dyDescent="0.3">
      <c r="A2827" s="24">
        <v>92</v>
      </c>
      <c r="B2827" s="102">
        <v>46175.348912037036</v>
      </c>
      <c r="C2827" s="25" t="s">
        <v>356</v>
      </c>
      <c r="D2827" s="103" t="s">
        <v>131</v>
      </c>
      <c r="E2827" s="26">
        <v>8.6</v>
      </c>
      <c r="F2827" s="26" t="s">
        <v>293</v>
      </c>
      <c r="K2827" s="24">
        <v>92</v>
      </c>
      <c r="L2827" s="102">
        <v>46175.348912037036</v>
      </c>
      <c r="M2827" s="25" t="s">
        <v>357</v>
      </c>
      <c r="N2827" s="103" t="s">
        <v>131</v>
      </c>
      <c r="O2827" s="26">
        <v>11.8</v>
      </c>
      <c r="P2827" s="26" t="s">
        <v>293</v>
      </c>
    </row>
    <row r="2828" spans="1:16" x14ac:dyDescent="0.3">
      <c r="A2828" s="24">
        <v>92</v>
      </c>
      <c r="B2828" s="102">
        <v>46175.348912037036</v>
      </c>
      <c r="C2828" s="25" t="s">
        <v>356</v>
      </c>
      <c r="D2828" s="103" t="s">
        <v>342</v>
      </c>
      <c r="E2828" s="26">
        <v>315</v>
      </c>
      <c r="F2828" s="26" t="s">
        <v>293</v>
      </c>
      <c r="K2828" s="24">
        <v>92</v>
      </c>
      <c r="L2828" s="102">
        <v>46175.348912037036</v>
      </c>
      <c r="M2828" s="25" t="s">
        <v>357</v>
      </c>
      <c r="N2828" s="103" t="s">
        <v>342</v>
      </c>
      <c r="O2828" s="26">
        <v>186</v>
      </c>
      <c r="P2828" s="26" t="s">
        <v>293</v>
      </c>
    </row>
    <row r="2829" spans="1:16" x14ac:dyDescent="0.3">
      <c r="A2829" s="24">
        <v>92</v>
      </c>
      <c r="B2829" s="102">
        <v>46175.348912037036</v>
      </c>
      <c r="C2829" s="25" t="s">
        <v>356</v>
      </c>
      <c r="D2829" s="103" t="s">
        <v>119</v>
      </c>
      <c r="E2829" s="26">
        <v>246</v>
      </c>
      <c r="F2829" s="26" t="s">
        <v>293</v>
      </c>
      <c r="K2829" s="24">
        <v>92</v>
      </c>
      <c r="L2829" s="102">
        <v>46175.348912037036</v>
      </c>
      <c r="M2829" s="25" t="s">
        <v>357</v>
      </c>
      <c r="N2829" s="103" t="s">
        <v>119</v>
      </c>
      <c r="O2829" s="26">
        <v>93</v>
      </c>
      <c r="P2829" s="26" t="s">
        <v>293</v>
      </c>
    </row>
    <row r="2830" spans="1:16" x14ac:dyDescent="0.3">
      <c r="A2830" s="24">
        <v>92</v>
      </c>
      <c r="B2830" s="102">
        <v>46175.348912037036</v>
      </c>
      <c r="C2830" s="25" t="s">
        <v>356</v>
      </c>
      <c r="D2830" s="103" t="s">
        <v>120</v>
      </c>
      <c r="E2830" s="26">
        <v>75</v>
      </c>
      <c r="F2830" s="26" t="s">
        <v>293</v>
      </c>
      <c r="K2830" s="24">
        <v>92</v>
      </c>
      <c r="L2830" s="102">
        <v>46175.348912037036</v>
      </c>
      <c r="M2830" s="25" t="s">
        <v>357</v>
      </c>
      <c r="N2830" s="103" t="s">
        <v>120</v>
      </c>
      <c r="O2830" s="26">
        <v>27</v>
      </c>
      <c r="P2830" s="26" t="s">
        <v>293</v>
      </c>
    </row>
    <row r="2831" spans="1:16" x14ac:dyDescent="0.3">
      <c r="A2831" s="24">
        <v>92</v>
      </c>
      <c r="B2831" s="102">
        <v>46175.348912037036</v>
      </c>
      <c r="C2831" s="25" t="s">
        <v>356</v>
      </c>
      <c r="D2831" s="103" t="s">
        <v>117</v>
      </c>
      <c r="E2831" s="26">
        <v>2.78</v>
      </c>
      <c r="F2831" s="26" t="s">
        <v>293</v>
      </c>
      <c r="K2831" s="24">
        <v>92</v>
      </c>
      <c r="L2831" s="102">
        <v>46175.348912037036</v>
      </c>
      <c r="M2831" s="25" t="s">
        <v>357</v>
      </c>
      <c r="N2831" s="103" t="s">
        <v>117</v>
      </c>
      <c r="O2831" s="26">
        <v>6.42</v>
      </c>
      <c r="P2831" s="26" t="s">
        <v>293</v>
      </c>
    </row>
    <row r="2832" spans="1:16" x14ac:dyDescent="0.3">
      <c r="A2832" s="24">
        <v>92</v>
      </c>
      <c r="B2832" s="102">
        <v>46175.348912037036</v>
      </c>
      <c r="C2832" s="25" t="s">
        <v>356</v>
      </c>
      <c r="D2832" s="103" t="s">
        <v>344</v>
      </c>
      <c r="E2832" s="26">
        <v>231</v>
      </c>
      <c r="F2832" s="26" t="s">
        <v>293</v>
      </c>
      <c r="K2832" s="24">
        <v>92</v>
      </c>
      <c r="L2832" s="102">
        <v>46175.348912037036</v>
      </c>
      <c r="M2832" s="25" t="s">
        <v>357</v>
      </c>
      <c r="N2832" s="103" t="s">
        <v>344</v>
      </c>
      <c r="O2832" s="26">
        <v>69</v>
      </c>
      <c r="P2832" s="26" t="s">
        <v>293</v>
      </c>
    </row>
    <row r="2833" spans="1:16" x14ac:dyDescent="0.3">
      <c r="A2833" s="24">
        <v>92</v>
      </c>
      <c r="B2833" s="102">
        <v>46175.348912037036</v>
      </c>
      <c r="C2833" s="25" t="s">
        <v>356</v>
      </c>
      <c r="D2833" s="103" t="s">
        <v>132</v>
      </c>
      <c r="E2833" s="26">
        <v>3.45</v>
      </c>
      <c r="F2833" s="26" t="s">
        <v>293</v>
      </c>
      <c r="K2833" s="24">
        <v>92</v>
      </c>
      <c r="L2833" s="102">
        <v>46175.348912037036</v>
      </c>
      <c r="M2833" s="25" t="s">
        <v>357</v>
      </c>
      <c r="N2833" s="103" t="s">
        <v>132</v>
      </c>
      <c r="O2833" s="26">
        <v>7</v>
      </c>
      <c r="P2833" s="26" t="s">
        <v>293</v>
      </c>
    </row>
    <row r="2834" spans="1:16" x14ac:dyDescent="0.3">
      <c r="A2834" s="24">
        <v>92</v>
      </c>
      <c r="B2834" s="102">
        <v>46175.348912037036</v>
      </c>
      <c r="C2834" s="25" t="s">
        <v>356</v>
      </c>
      <c r="D2834" s="103" t="s">
        <v>111</v>
      </c>
      <c r="E2834" s="26">
        <v>86</v>
      </c>
      <c r="F2834" s="26" t="s">
        <v>293</v>
      </c>
      <c r="K2834" s="24">
        <v>92</v>
      </c>
      <c r="L2834" s="102">
        <v>46175.348912037036</v>
      </c>
      <c r="M2834" s="25" t="s">
        <v>357</v>
      </c>
      <c r="N2834" s="103" t="s">
        <v>111</v>
      </c>
      <c r="O2834" s="26">
        <v>280</v>
      </c>
      <c r="P2834" s="26" t="s">
        <v>293</v>
      </c>
    </row>
    <row r="2835" spans="1:16" x14ac:dyDescent="0.3">
      <c r="A2835" s="24">
        <v>92</v>
      </c>
      <c r="B2835" s="102">
        <v>46175.348912037036</v>
      </c>
      <c r="C2835" s="25" t="s">
        <v>356</v>
      </c>
      <c r="D2835" s="103" t="s">
        <v>345</v>
      </c>
      <c r="E2835" s="26">
        <v>5.2</v>
      </c>
      <c r="F2835" s="26" t="s">
        <v>293</v>
      </c>
      <c r="K2835" s="24">
        <v>92</v>
      </c>
      <c r="L2835" s="102">
        <v>46175.348912037036</v>
      </c>
      <c r="M2835" s="25" t="s">
        <v>357</v>
      </c>
      <c r="N2835" s="103" t="s">
        <v>345</v>
      </c>
      <c r="O2835" s="26">
        <v>9.5399999999999991</v>
      </c>
      <c r="P2835" s="26" t="s">
        <v>293</v>
      </c>
    </row>
    <row r="2836" spans="1:16" x14ac:dyDescent="0.3">
      <c r="A2836" s="24">
        <v>92</v>
      </c>
      <c r="B2836" s="102">
        <v>46175.348912037036</v>
      </c>
      <c r="C2836" s="25" t="s">
        <v>356</v>
      </c>
      <c r="D2836" s="103" t="s">
        <v>347</v>
      </c>
      <c r="E2836" s="26">
        <v>2.3199999999999998</v>
      </c>
      <c r="F2836" s="26" t="s">
        <v>293</v>
      </c>
      <c r="K2836" s="24">
        <v>92</v>
      </c>
      <c r="L2836" s="102">
        <v>46175.348912037036</v>
      </c>
      <c r="M2836" s="25" t="s">
        <v>357</v>
      </c>
      <c r="N2836" s="103" t="s">
        <v>347</v>
      </c>
      <c r="O2836" s="26">
        <v>4.78</v>
      </c>
      <c r="P2836" s="26" t="s">
        <v>293</v>
      </c>
    </row>
    <row r="2837" spans="1:16" x14ac:dyDescent="0.3">
      <c r="A2837" s="24">
        <v>92</v>
      </c>
      <c r="B2837" s="102">
        <v>46175.348912037036</v>
      </c>
      <c r="C2837" s="25" t="s">
        <v>356</v>
      </c>
      <c r="D2837" s="103" t="s">
        <v>128</v>
      </c>
      <c r="E2837" s="26">
        <v>7.2</v>
      </c>
      <c r="F2837" s="26" t="s">
        <v>293</v>
      </c>
      <c r="K2837" s="24">
        <v>92</v>
      </c>
      <c r="L2837" s="102">
        <v>46175.348912037036</v>
      </c>
      <c r="M2837" s="25" t="s">
        <v>357</v>
      </c>
      <c r="N2837" s="103" t="s">
        <v>128</v>
      </c>
      <c r="O2837" s="26">
        <v>4.5999999999999996</v>
      </c>
      <c r="P2837" s="26" t="s">
        <v>293</v>
      </c>
    </row>
    <row r="2838" spans="1:16" x14ac:dyDescent="0.3">
      <c r="A2838" s="24">
        <v>92</v>
      </c>
      <c r="B2838" s="102">
        <v>46175.348912037036</v>
      </c>
      <c r="C2838" s="25" t="s">
        <v>356</v>
      </c>
      <c r="D2838" s="103" t="s">
        <v>121</v>
      </c>
      <c r="E2838" s="26">
        <v>156</v>
      </c>
      <c r="F2838" s="26" t="s">
        <v>293</v>
      </c>
      <c r="K2838" s="24">
        <v>92</v>
      </c>
      <c r="L2838" s="102">
        <v>46175.348912037036</v>
      </c>
      <c r="M2838" s="25" t="s">
        <v>357</v>
      </c>
      <c r="N2838" s="103" t="s">
        <v>121</v>
      </c>
      <c r="O2838" s="26">
        <v>83</v>
      </c>
      <c r="P2838" s="26" t="s">
        <v>293</v>
      </c>
    </row>
    <row r="2839" spans="1:16" x14ac:dyDescent="0.3">
      <c r="A2839" s="24">
        <v>92</v>
      </c>
      <c r="B2839" s="102">
        <v>46175.348912037036</v>
      </c>
      <c r="C2839" s="25" t="s">
        <v>356</v>
      </c>
      <c r="D2839" s="103" t="s">
        <v>115</v>
      </c>
      <c r="E2839" s="26">
        <v>36</v>
      </c>
      <c r="F2839" s="26" t="s">
        <v>293</v>
      </c>
      <c r="K2839" s="24">
        <v>92</v>
      </c>
      <c r="L2839" s="102">
        <v>46175.348912037036</v>
      </c>
      <c r="M2839" s="25" t="s">
        <v>357</v>
      </c>
      <c r="N2839" s="103" t="s">
        <v>115</v>
      </c>
      <c r="O2839" s="26">
        <v>96</v>
      </c>
      <c r="P2839" s="26" t="s">
        <v>293</v>
      </c>
    </row>
    <row r="2840" spans="1:16" x14ac:dyDescent="0.3">
      <c r="A2840" s="24">
        <v>92</v>
      </c>
      <c r="B2840" s="102">
        <v>46175.348912037036</v>
      </c>
      <c r="C2840" s="25" t="s">
        <v>356</v>
      </c>
      <c r="D2840" s="103" t="s">
        <v>137</v>
      </c>
      <c r="E2840" s="26">
        <v>75</v>
      </c>
      <c r="F2840" s="26" t="s">
        <v>293</v>
      </c>
      <c r="K2840" s="24">
        <v>92</v>
      </c>
      <c r="L2840" s="102">
        <v>46175.348912037036</v>
      </c>
      <c r="M2840" s="25" t="s">
        <v>357</v>
      </c>
      <c r="N2840" s="103" t="s">
        <v>137</v>
      </c>
      <c r="O2840" s="26">
        <v>482</v>
      </c>
      <c r="P2840" s="26" t="s">
        <v>293</v>
      </c>
    </row>
    <row r="2841" spans="1:16" x14ac:dyDescent="0.3">
      <c r="A2841" s="24">
        <v>92</v>
      </c>
      <c r="B2841" s="102">
        <v>46175.348912037036</v>
      </c>
      <c r="C2841" s="25" t="s">
        <v>356</v>
      </c>
      <c r="D2841" s="103" t="s">
        <v>348</v>
      </c>
      <c r="E2841" s="26">
        <v>131</v>
      </c>
      <c r="F2841" s="26" t="s">
        <v>293</v>
      </c>
      <c r="K2841" s="24">
        <v>92</v>
      </c>
      <c r="L2841" s="102">
        <v>46175.348912037036</v>
      </c>
      <c r="M2841" s="25" t="s">
        <v>357</v>
      </c>
      <c r="N2841" s="103" t="s">
        <v>348</v>
      </c>
      <c r="O2841" s="26">
        <v>409</v>
      </c>
      <c r="P2841" s="26" t="s">
        <v>293</v>
      </c>
    </row>
    <row r="2842" spans="1:16" x14ac:dyDescent="0.3">
      <c r="A2842" s="24">
        <v>92</v>
      </c>
      <c r="B2842" s="102">
        <v>46175.348912037036</v>
      </c>
      <c r="C2842" s="25" t="s">
        <v>356</v>
      </c>
      <c r="D2842" s="103" t="s">
        <v>125</v>
      </c>
      <c r="E2842" s="26">
        <v>122</v>
      </c>
      <c r="F2842" s="26" t="s">
        <v>293</v>
      </c>
      <c r="K2842" s="24">
        <v>92</v>
      </c>
      <c r="L2842" s="102">
        <v>46175.348912037036</v>
      </c>
      <c r="M2842" s="25" t="s">
        <v>357</v>
      </c>
      <c r="N2842" s="103" t="s">
        <v>125</v>
      </c>
      <c r="O2842" s="26">
        <v>432</v>
      </c>
      <c r="P2842" s="26" t="s">
        <v>293</v>
      </c>
    </row>
    <row r="2843" spans="1:16" x14ac:dyDescent="0.3">
      <c r="A2843" s="24">
        <v>92</v>
      </c>
      <c r="B2843" s="102">
        <v>46175.348912037036</v>
      </c>
      <c r="C2843" s="25" t="s">
        <v>356</v>
      </c>
      <c r="D2843" s="103" t="s">
        <v>126</v>
      </c>
      <c r="E2843" s="26">
        <v>85</v>
      </c>
      <c r="F2843" s="26" t="s">
        <v>293</v>
      </c>
      <c r="K2843" s="24">
        <v>92</v>
      </c>
      <c r="L2843" s="102">
        <v>46175.348912037036</v>
      </c>
      <c r="M2843" s="25" t="s">
        <v>357</v>
      </c>
      <c r="N2843" s="103" t="s">
        <v>126</v>
      </c>
      <c r="O2843" s="26">
        <v>156</v>
      </c>
      <c r="P2843" s="26" t="s">
        <v>293</v>
      </c>
    </row>
    <row r="2844" spans="1:16" x14ac:dyDescent="0.3">
      <c r="A2844" s="24">
        <v>92</v>
      </c>
      <c r="B2844" s="102">
        <v>46175.348912037036</v>
      </c>
      <c r="C2844" s="25" t="s">
        <v>356</v>
      </c>
      <c r="D2844" s="103" t="s">
        <v>349</v>
      </c>
      <c r="E2844" s="26">
        <v>155</v>
      </c>
      <c r="F2844" s="26" t="s">
        <v>293</v>
      </c>
      <c r="K2844" s="24">
        <v>92</v>
      </c>
      <c r="L2844" s="102">
        <v>46175.348912037036</v>
      </c>
      <c r="M2844" s="25" t="s">
        <v>357</v>
      </c>
      <c r="N2844" s="103" t="s">
        <v>349</v>
      </c>
      <c r="O2844" s="26">
        <v>354</v>
      </c>
      <c r="P2844" s="26" t="s">
        <v>293</v>
      </c>
    </row>
    <row r="2845" spans="1:16" x14ac:dyDescent="0.3">
      <c r="A2845" s="24">
        <v>92</v>
      </c>
      <c r="B2845" s="102">
        <v>46175.348912037036</v>
      </c>
      <c r="C2845" s="25" t="s">
        <v>356</v>
      </c>
      <c r="D2845" s="103" t="s">
        <v>350</v>
      </c>
      <c r="E2845" s="26">
        <v>61</v>
      </c>
      <c r="F2845" s="26" t="s">
        <v>293</v>
      </c>
      <c r="K2845" s="24">
        <v>92</v>
      </c>
      <c r="L2845" s="102">
        <v>46175.348912037036</v>
      </c>
      <c r="M2845" s="25" t="s">
        <v>357</v>
      </c>
      <c r="N2845" s="103" t="s">
        <v>350</v>
      </c>
      <c r="O2845" s="26">
        <v>89</v>
      </c>
      <c r="P2845" s="26" t="s">
        <v>293</v>
      </c>
    </row>
    <row r="2846" spans="1:16" x14ac:dyDescent="0.3">
      <c r="A2846" s="24">
        <v>92</v>
      </c>
      <c r="B2846" s="102">
        <v>46175.348912037036</v>
      </c>
      <c r="C2846" s="25" t="s">
        <v>356</v>
      </c>
      <c r="D2846" s="103" t="s">
        <v>122</v>
      </c>
      <c r="E2846" s="26">
        <v>47</v>
      </c>
      <c r="F2846" s="26" t="s">
        <v>293</v>
      </c>
      <c r="K2846" s="24">
        <v>92</v>
      </c>
      <c r="L2846" s="102">
        <v>46175.348912037036</v>
      </c>
      <c r="M2846" s="25" t="s">
        <v>357</v>
      </c>
      <c r="N2846" s="103" t="s">
        <v>122</v>
      </c>
      <c r="O2846" s="26">
        <v>215</v>
      </c>
      <c r="P2846" s="26" t="s">
        <v>293</v>
      </c>
    </row>
    <row r="2847" spans="1:16" x14ac:dyDescent="0.3">
      <c r="A2847" s="24">
        <v>92</v>
      </c>
      <c r="B2847" s="102">
        <v>46175.348912037036</v>
      </c>
      <c r="C2847" s="25" t="s">
        <v>356</v>
      </c>
      <c r="D2847" s="103" t="s">
        <v>124</v>
      </c>
      <c r="E2847" s="26">
        <v>28</v>
      </c>
      <c r="F2847" s="26" t="s">
        <v>293</v>
      </c>
      <c r="K2847" s="24">
        <v>92</v>
      </c>
      <c r="L2847" s="102">
        <v>46175.348912037036</v>
      </c>
      <c r="M2847" s="25" t="s">
        <v>357</v>
      </c>
      <c r="N2847" s="103" t="s">
        <v>124</v>
      </c>
      <c r="O2847" s="26">
        <v>100</v>
      </c>
      <c r="P2847" s="26" t="s">
        <v>293</v>
      </c>
    </row>
    <row r="2848" spans="1:16" x14ac:dyDescent="0.3">
      <c r="A2848" s="24">
        <v>92</v>
      </c>
      <c r="B2848" s="102">
        <v>46175.348912037036</v>
      </c>
      <c r="C2848" s="25" t="s">
        <v>356</v>
      </c>
      <c r="D2848" s="103" t="s">
        <v>351</v>
      </c>
      <c r="E2848" s="26">
        <v>0.94</v>
      </c>
      <c r="F2848" s="26" t="s">
        <v>293</v>
      </c>
      <c r="K2848" s="24">
        <v>92</v>
      </c>
      <c r="L2848" s="102">
        <v>46175.348912037036</v>
      </c>
      <c r="M2848" s="25" t="s">
        <v>357</v>
      </c>
      <c r="N2848" s="103" t="s">
        <v>351</v>
      </c>
      <c r="O2848" s="26">
        <v>3.45</v>
      </c>
      <c r="P2848" s="26" t="s">
        <v>293</v>
      </c>
    </row>
    <row r="2849" spans="1:16" x14ac:dyDescent="0.3">
      <c r="A2849" s="24">
        <v>92</v>
      </c>
      <c r="B2849" s="102">
        <v>46175.348912037036</v>
      </c>
      <c r="C2849" s="25" t="s">
        <v>356</v>
      </c>
      <c r="D2849" s="103" t="s">
        <v>353</v>
      </c>
      <c r="E2849" s="26">
        <v>33.299999999999997</v>
      </c>
      <c r="F2849" s="26" t="s">
        <v>293</v>
      </c>
      <c r="K2849" s="24">
        <v>92</v>
      </c>
      <c r="L2849" s="102">
        <v>46175.348912037036</v>
      </c>
      <c r="M2849" s="25" t="s">
        <v>357</v>
      </c>
      <c r="N2849" s="103" t="s">
        <v>353</v>
      </c>
      <c r="O2849" s="26">
        <v>16.899999999999999</v>
      </c>
      <c r="P2849" s="26" t="s">
        <v>293</v>
      </c>
    </row>
    <row r="2850" spans="1:16" x14ac:dyDescent="0.3">
      <c r="A2850" s="24">
        <v>92</v>
      </c>
      <c r="B2850" s="102">
        <v>46175.348912037036</v>
      </c>
      <c r="C2850" s="25" t="s">
        <v>356</v>
      </c>
      <c r="D2850" s="103" t="s">
        <v>133</v>
      </c>
      <c r="E2850" s="26">
        <v>147</v>
      </c>
      <c r="F2850" s="26" t="s">
        <v>293</v>
      </c>
      <c r="K2850" s="24">
        <v>92</v>
      </c>
      <c r="L2850" s="102">
        <v>46175.348912037036</v>
      </c>
      <c r="M2850" s="25" t="s">
        <v>357</v>
      </c>
      <c r="N2850" s="103" t="s">
        <v>133</v>
      </c>
      <c r="O2850" s="26">
        <v>128</v>
      </c>
      <c r="P2850" s="26" t="s">
        <v>293</v>
      </c>
    </row>
    <row r="2851" spans="1:16" x14ac:dyDescent="0.3">
      <c r="A2851" s="24">
        <v>92</v>
      </c>
      <c r="B2851" s="102">
        <v>46175.348912037036</v>
      </c>
      <c r="C2851" s="25" t="s">
        <v>356</v>
      </c>
      <c r="D2851" s="103" t="s">
        <v>135</v>
      </c>
      <c r="E2851" s="26">
        <v>3.8</v>
      </c>
      <c r="F2851" s="26" t="s">
        <v>293</v>
      </c>
      <c r="K2851" s="24">
        <v>92</v>
      </c>
      <c r="L2851" s="102">
        <v>46175.348912037036</v>
      </c>
      <c r="M2851" s="25" t="s">
        <v>357</v>
      </c>
      <c r="N2851" s="103" t="s">
        <v>135</v>
      </c>
      <c r="O2851" s="26">
        <v>6.6</v>
      </c>
      <c r="P2851" s="26" t="s">
        <v>293</v>
      </c>
    </row>
    <row r="2852" spans="1:16" x14ac:dyDescent="0.3">
      <c r="A2852" s="24">
        <v>92</v>
      </c>
      <c r="B2852" s="102">
        <v>46175.348912037036</v>
      </c>
      <c r="C2852" s="25" t="s">
        <v>356</v>
      </c>
      <c r="D2852" s="103" t="s">
        <v>136</v>
      </c>
      <c r="E2852" s="26">
        <v>114</v>
      </c>
      <c r="F2852" s="26" t="s">
        <v>293</v>
      </c>
      <c r="K2852" s="24">
        <v>92</v>
      </c>
      <c r="L2852" s="102">
        <v>46175.348912037036</v>
      </c>
      <c r="M2852" s="25" t="s">
        <v>357</v>
      </c>
      <c r="N2852" s="103" t="s">
        <v>136</v>
      </c>
      <c r="O2852" s="26">
        <v>90</v>
      </c>
      <c r="P2852" s="26" t="s">
        <v>293</v>
      </c>
    </row>
    <row r="2853" spans="1:16" x14ac:dyDescent="0.3">
      <c r="A2853" s="24">
        <v>93</v>
      </c>
      <c r="B2853" s="102">
        <v>46115</v>
      </c>
      <c r="C2853" s="25" t="s">
        <v>356</v>
      </c>
      <c r="D2853" s="103" t="s">
        <v>339</v>
      </c>
      <c r="E2853" s="26">
        <v>4.7</v>
      </c>
      <c r="F2853" s="26" t="s">
        <v>293</v>
      </c>
      <c r="K2853" s="24">
        <v>111</v>
      </c>
      <c r="L2853" s="102">
        <v>46176</v>
      </c>
      <c r="M2853" s="25" t="s">
        <v>357</v>
      </c>
      <c r="N2853" s="103" t="s">
        <v>339</v>
      </c>
      <c r="O2853" s="26">
        <v>1.18</v>
      </c>
      <c r="P2853" s="26" t="s">
        <v>293</v>
      </c>
    </row>
    <row r="2854" spans="1:16" x14ac:dyDescent="0.3">
      <c r="A2854" s="24">
        <v>93</v>
      </c>
      <c r="B2854" s="102">
        <v>46115</v>
      </c>
      <c r="C2854" s="25" t="s">
        <v>356</v>
      </c>
      <c r="D2854" s="103" t="s">
        <v>118</v>
      </c>
      <c r="E2854" s="26">
        <v>4.5999999999999996</v>
      </c>
      <c r="F2854" s="26" t="s">
        <v>293</v>
      </c>
      <c r="K2854" s="24">
        <v>111</v>
      </c>
      <c r="L2854" s="102">
        <v>46176</v>
      </c>
      <c r="M2854" s="25" t="s">
        <v>357</v>
      </c>
      <c r="N2854" s="103" t="s">
        <v>118</v>
      </c>
      <c r="O2854" s="26">
        <v>9.5</v>
      </c>
      <c r="P2854" s="26" t="s">
        <v>293</v>
      </c>
    </row>
    <row r="2855" spans="1:16" x14ac:dyDescent="0.3">
      <c r="A2855" s="24">
        <v>93</v>
      </c>
      <c r="B2855" s="102">
        <v>46115</v>
      </c>
      <c r="C2855" s="25" t="s">
        <v>356</v>
      </c>
      <c r="D2855" s="103" t="s">
        <v>130</v>
      </c>
      <c r="E2855" s="26">
        <v>3.8</v>
      </c>
      <c r="F2855" s="26" t="s">
        <v>293</v>
      </c>
      <c r="K2855" s="24">
        <v>111</v>
      </c>
      <c r="L2855" s="102">
        <v>46176</v>
      </c>
      <c r="M2855" s="25" t="s">
        <v>357</v>
      </c>
      <c r="N2855" s="103" t="s">
        <v>130</v>
      </c>
      <c r="O2855" s="26">
        <v>2.4500000000000002</v>
      </c>
      <c r="P2855" s="26" t="s">
        <v>293</v>
      </c>
    </row>
    <row r="2856" spans="1:16" x14ac:dyDescent="0.3">
      <c r="A2856" s="24">
        <v>93</v>
      </c>
      <c r="B2856" s="102">
        <v>46115</v>
      </c>
      <c r="C2856" s="25" t="s">
        <v>356</v>
      </c>
      <c r="D2856" s="103" t="s">
        <v>341</v>
      </c>
      <c r="E2856" s="26">
        <v>0.31</v>
      </c>
      <c r="F2856" s="26" t="s">
        <v>293</v>
      </c>
      <c r="K2856" s="24">
        <v>111</v>
      </c>
      <c r="L2856" s="102">
        <v>46176</v>
      </c>
      <c r="M2856" s="25" t="s">
        <v>357</v>
      </c>
      <c r="N2856" s="103" t="s">
        <v>341</v>
      </c>
      <c r="O2856" s="26">
        <v>1.22</v>
      </c>
      <c r="P2856" s="26" t="s">
        <v>293</v>
      </c>
    </row>
    <row r="2857" spans="1:16" x14ac:dyDescent="0.3">
      <c r="A2857" s="24">
        <v>93</v>
      </c>
      <c r="B2857" s="102">
        <v>46115</v>
      </c>
      <c r="C2857" s="25" t="s">
        <v>356</v>
      </c>
      <c r="D2857" s="103" t="s">
        <v>127</v>
      </c>
      <c r="E2857" s="26">
        <v>1.2</v>
      </c>
      <c r="F2857" s="26" t="s">
        <v>293</v>
      </c>
      <c r="K2857" s="24">
        <v>111</v>
      </c>
      <c r="L2857" s="102">
        <v>46176</v>
      </c>
      <c r="M2857" s="25" t="s">
        <v>357</v>
      </c>
      <c r="N2857" s="103" t="s">
        <v>127</v>
      </c>
      <c r="O2857" s="26">
        <v>4.78</v>
      </c>
      <c r="P2857" s="26" t="s">
        <v>293</v>
      </c>
    </row>
    <row r="2858" spans="1:16" x14ac:dyDescent="0.3">
      <c r="A2858" s="24">
        <v>93</v>
      </c>
      <c r="B2858" s="102">
        <v>46115</v>
      </c>
      <c r="C2858" s="25" t="s">
        <v>356</v>
      </c>
      <c r="D2858" s="103" t="s">
        <v>131</v>
      </c>
      <c r="E2858" s="26">
        <v>8.6</v>
      </c>
      <c r="F2858" s="26" t="s">
        <v>293</v>
      </c>
      <c r="K2858" s="24">
        <v>111</v>
      </c>
      <c r="L2858" s="102">
        <v>46176</v>
      </c>
      <c r="M2858" s="25" t="s">
        <v>357</v>
      </c>
      <c r="N2858" s="103" t="s">
        <v>131</v>
      </c>
      <c r="O2858" s="26">
        <v>11.8</v>
      </c>
      <c r="P2858" s="26" t="s">
        <v>293</v>
      </c>
    </row>
    <row r="2859" spans="1:16" x14ac:dyDescent="0.3">
      <c r="A2859" s="24">
        <v>93</v>
      </c>
      <c r="B2859" s="102">
        <v>46115</v>
      </c>
      <c r="C2859" s="25" t="s">
        <v>356</v>
      </c>
      <c r="D2859" s="103" t="s">
        <v>342</v>
      </c>
      <c r="E2859" s="26">
        <v>317</v>
      </c>
      <c r="F2859" s="26" t="s">
        <v>293</v>
      </c>
      <c r="K2859" s="24">
        <v>111</v>
      </c>
      <c r="L2859" s="102">
        <v>46176</v>
      </c>
      <c r="M2859" s="25" t="s">
        <v>357</v>
      </c>
      <c r="N2859" s="103" t="s">
        <v>342</v>
      </c>
      <c r="O2859" s="26">
        <v>180</v>
      </c>
      <c r="P2859" s="26" t="s">
        <v>293</v>
      </c>
    </row>
    <row r="2860" spans="1:16" x14ac:dyDescent="0.3">
      <c r="A2860" s="24">
        <v>93</v>
      </c>
      <c r="B2860" s="102">
        <v>46115</v>
      </c>
      <c r="C2860" s="25" t="s">
        <v>356</v>
      </c>
      <c r="D2860" s="103" t="s">
        <v>119</v>
      </c>
      <c r="E2860" s="26">
        <v>247</v>
      </c>
      <c r="F2860" s="26" t="s">
        <v>293</v>
      </c>
      <c r="K2860" s="24">
        <v>111</v>
      </c>
      <c r="L2860" s="102">
        <v>46176</v>
      </c>
      <c r="M2860" s="25" t="s">
        <v>357</v>
      </c>
      <c r="N2860" s="103" t="s">
        <v>119</v>
      </c>
      <c r="O2860" s="26">
        <v>92</v>
      </c>
      <c r="P2860" s="26" t="s">
        <v>293</v>
      </c>
    </row>
    <row r="2861" spans="1:16" x14ac:dyDescent="0.3">
      <c r="A2861" s="24">
        <v>93</v>
      </c>
      <c r="B2861" s="102">
        <v>46115</v>
      </c>
      <c r="C2861" s="25" t="s">
        <v>356</v>
      </c>
      <c r="D2861" s="103" t="s">
        <v>120</v>
      </c>
      <c r="E2861" s="26">
        <v>77</v>
      </c>
      <c r="F2861" s="26" t="s">
        <v>293</v>
      </c>
      <c r="K2861" s="24">
        <v>111</v>
      </c>
      <c r="L2861" s="102">
        <v>46176</v>
      </c>
      <c r="M2861" s="25" t="s">
        <v>357</v>
      </c>
      <c r="N2861" s="103" t="s">
        <v>120</v>
      </c>
      <c r="O2861" s="26">
        <v>27</v>
      </c>
      <c r="P2861" s="26" t="s">
        <v>293</v>
      </c>
    </row>
    <row r="2862" spans="1:16" x14ac:dyDescent="0.3">
      <c r="A2862" s="24">
        <v>93</v>
      </c>
      <c r="B2862" s="102">
        <v>46115</v>
      </c>
      <c r="C2862" s="25" t="s">
        <v>356</v>
      </c>
      <c r="D2862" s="103" t="s">
        <v>117</v>
      </c>
      <c r="E2862" s="26">
        <v>2.67</v>
      </c>
      <c r="F2862" s="26" t="s">
        <v>293</v>
      </c>
      <c r="K2862" s="24">
        <v>111</v>
      </c>
      <c r="L2862" s="102">
        <v>46176</v>
      </c>
      <c r="M2862" s="25" t="s">
        <v>357</v>
      </c>
      <c r="N2862" s="103" t="s">
        <v>117</v>
      </c>
      <c r="O2862" s="26">
        <v>6.25</v>
      </c>
      <c r="P2862" s="26" t="s">
        <v>293</v>
      </c>
    </row>
    <row r="2863" spans="1:16" x14ac:dyDescent="0.3">
      <c r="A2863" s="24">
        <v>93</v>
      </c>
      <c r="B2863" s="102">
        <v>46115</v>
      </c>
      <c r="C2863" s="25" t="s">
        <v>356</v>
      </c>
      <c r="D2863" s="103" t="s">
        <v>344</v>
      </c>
      <c r="E2863" s="26">
        <v>232</v>
      </c>
      <c r="F2863" s="26" t="s">
        <v>293</v>
      </c>
      <c r="K2863" s="24">
        <v>111</v>
      </c>
      <c r="L2863" s="102">
        <v>46176</v>
      </c>
      <c r="M2863" s="25" t="s">
        <v>357</v>
      </c>
      <c r="N2863" s="103" t="s">
        <v>344</v>
      </c>
      <c r="O2863" s="26">
        <v>70</v>
      </c>
      <c r="P2863" s="26" t="s">
        <v>293</v>
      </c>
    </row>
    <row r="2864" spans="1:16" x14ac:dyDescent="0.3">
      <c r="A2864" s="24">
        <v>93</v>
      </c>
      <c r="B2864" s="102">
        <v>46115</v>
      </c>
      <c r="C2864" s="25" t="s">
        <v>356</v>
      </c>
      <c r="D2864" s="103" t="s">
        <v>132</v>
      </c>
      <c r="E2864" s="26">
        <v>3.4</v>
      </c>
      <c r="F2864" s="26" t="s">
        <v>293</v>
      </c>
      <c r="K2864" s="24">
        <v>111</v>
      </c>
      <c r="L2864" s="102">
        <v>46176</v>
      </c>
      <c r="M2864" s="25" t="s">
        <v>357</v>
      </c>
      <c r="N2864" s="103" t="s">
        <v>132</v>
      </c>
      <c r="O2864" s="26">
        <v>7.02</v>
      </c>
      <c r="P2864" s="26" t="s">
        <v>293</v>
      </c>
    </row>
    <row r="2865" spans="1:16" x14ac:dyDescent="0.3">
      <c r="A2865" s="24">
        <v>93</v>
      </c>
      <c r="B2865" s="102">
        <v>46115</v>
      </c>
      <c r="C2865" s="25" t="s">
        <v>356</v>
      </c>
      <c r="D2865" s="103" t="s">
        <v>111</v>
      </c>
      <c r="E2865" s="26">
        <v>85</v>
      </c>
      <c r="F2865" s="26" t="s">
        <v>293</v>
      </c>
      <c r="K2865" s="24">
        <v>111</v>
      </c>
      <c r="L2865" s="102">
        <v>46176</v>
      </c>
      <c r="M2865" s="25" t="s">
        <v>357</v>
      </c>
      <c r="N2865" s="103" t="s">
        <v>111</v>
      </c>
      <c r="O2865" s="26">
        <v>281</v>
      </c>
      <c r="P2865" s="26" t="s">
        <v>293</v>
      </c>
    </row>
    <row r="2866" spans="1:16" x14ac:dyDescent="0.3">
      <c r="A2866" s="24">
        <v>93</v>
      </c>
      <c r="B2866" s="102">
        <v>46115</v>
      </c>
      <c r="C2866" s="25" t="s">
        <v>356</v>
      </c>
      <c r="D2866" s="103" t="s">
        <v>345</v>
      </c>
      <c r="E2866" s="26">
        <v>5.12</v>
      </c>
      <c r="F2866" s="26" t="s">
        <v>293</v>
      </c>
      <c r="K2866" s="24">
        <v>111</v>
      </c>
      <c r="L2866" s="102">
        <v>46176</v>
      </c>
      <c r="M2866" s="25" t="s">
        <v>357</v>
      </c>
      <c r="N2866" s="103" t="s">
        <v>345</v>
      </c>
      <c r="O2866" s="26">
        <v>9.6999999999999993</v>
      </c>
      <c r="P2866" s="26" t="s">
        <v>293</v>
      </c>
    </row>
    <row r="2867" spans="1:16" x14ac:dyDescent="0.3">
      <c r="A2867" s="24">
        <v>93</v>
      </c>
      <c r="B2867" s="102">
        <v>46115</v>
      </c>
      <c r="C2867" s="25" t="s">
        <v>356</v>
      </c>
      <c r="D2867" s="103" t="s">
        <v>347</v>
      </c>
      <c r="E2867" s="26">
        <v>2.23</v>
      </c>
      <c r="F2867" s="26" t="s">
        <v>293</v>
      </c>
      <c r="K2867" s="24">
        <v>111</v>
      </c>
      <c r="L2867" s="102">
        <v>46176</v>
      </c>
      <c r="M2867" s="25" t="s">
        <v>357</v>
      </c>
      <c r="N2867" s="103" t="s">
        <v>347</v>
      </c>
      <c r="O2867" s="26">
        <v>4.76</v>
      </c>
      <c r="P2867" s="26" t="s">
        <v>293</v>
      </c>
    </row>
    <row r="2868" spans="1:16" x14ac:dyDescent="0.3">
      <c r="A2868" s="24">
        <v>93</v>
      </c>
      <c r="B2868" s="102">
        <v>46115</v>
      </c>
      <c r="C2868" s="25" t="s">
        <v>356</v>
      </c>
      <c r="D2868" s="103" t="s">
        <v>128</v>
      </c>
      <c r="E2868" s="26">
        <v>7.1</v>
      </c>
      <c r="F2868" s="26" t="s">
        <v>293</v>
      </c>
      <c r="K2868" s="24">
        <v>111</v>
      </c>
      <c r="L2868" s="102">
        <v>46176</v>
      </c>
      <c r="M2868" s="25" t="s">
        <v>357</v>
      </c>
      <c r="N2868" s="103" t="s">
        <v>128</v>
      </c>
      <c r="O2868" s="26">
        <v>4.5</v>
      </c>
      <c r="P2868" s="26" t="s">
        <v>293</v>
      </c>
    </row>
    <row r="2869" spans="1:16" x14ac:dyDescent="0.3">
      <c r="A2869" s="24">
        <v>93</v>
      </c>
      <c r="B2869" s="102">
        <v>46115</v>
      </c>
      <c r="C2869" s="25" t="s">
        <v>356</v>
      </c>
      <c r="D2869" s="103" t="s">
        <v>121</v>
      </c>
      <c r="E2869" s="26">
        <v>159</v>
      </c>
      <c r="F2869" s="26" t="s">
        <v>293</v>
      </c>
      <c r="K2869" s="24">
        <v>111</v>
      </c>
      <c r="L2869" s="102">
        <v>46176</v>
      </c>
      <c r="M2869" s="25" t="s">
        <v>357</v>
      </c>
      <c r="N2869" s="103" t="s">
        <v>121</v>
      </c>
      <c r="O2869" s="26">
        <v>79</v>
      </c>
      <c r="P2869" s="26" t="s">
        <v>293</v>
      </c>
    </row>
    <row r="2870" spans="1:16" x14ac:dyDescent="0.3">
      <c r="A2870" s="24">
        <v>93</v>
      </c>
      <c r="B2870" s="102">
        <v>46115</v>
      </c>
      <c r="C2870" s="25" t="s">
        <v>356</v>
      </c>
      <c r="D2870" s="103" t="s">
        <v>115</v>
      </c>
      <c r="E2870" s="26">
        <v>36</v>
      </c>
      <c r="F2870" s="26" t="s">
        <v>293</v>
      </c>
      <c r="K2870" s="24">
        <v>111</v>
      </c>
      <c r="L2870" s="102">
        <v>46176</v>
      </c>
      <c r="M2870" s="25" t="s">
        <v>357</v>
      </c>
      <c r="N2870" s="103" t="s">
        <v>115</v>
      </c>
      <c r="O2870" s="26">
        <v>93</v>
      </c>
      <c r="P2870" s="26" t="s">
        <v>293</v>
      </c>
    </row>
    <row r="2871" spans="1:16" x14ac:dyDescent="0.3">
      <c r="A2871" s="24">
        <v>93</v>
      </c>
      <c r="B2871" s="102">
        <v>46115</v>
      </c>
      <c r="C2871" s="25" t="s">
        <v>356</v>
      </c>
      <c r="D2871" s="103" t="s">
        <v>137</v>
      </c>
      <c r="E2871" s="26">
        <v>75</v>
      </c>
      <c r="F2871" s="26" t="s">
        <v>293</v>
      </c>
      <c r="K2871" s="24">
        <v>111</v>
      </c>
      <c r="L2871" s="102">
        <v>46176</v>
      </c>
      <c r="M2871" s="25" t="s">
        <v>357</v>
      </c>
      <c r="N2871" s="103" t="s">
        <v>137</v>
      </c>
      <c r="O2871" s="26">
        <v>483</v>
      </c>
      <c r="P2871" s="26" t="s">
        <v>293</v>
      </c>
    </row>
    <row r="2872" spans="1:16" x14ac:dyDescent="0.3">
      <c r="A2872" s="24">
        <v>93</v>
      </c>
      <c r="B2872" s="102">
        <v>46115</v>
      </c>
      <c r="C2872" s="25" t="s">
        <v>356</v>
      </c>
      <c r="D2872" s="103" t="s">
        <v>348</v>
      </c>
      <c r="E2872" s="26">
        <v>129</v>
      </c>
      <c r="F2872" s="26" t="s">
        <v>293</v>
      </c>
      <c r="K2872" s="24">
        <v>111</v>
      </c>
      <c r="L2872" s="102">
        <v>46176</v>
      </c>
      <c r="M2872" s="25" t="s">
        <v>357</v>
      </c>
      <c r="N2872" s="103" t="s">
        <v>348</v>
      </c>
      <c r="O2872" s="26">
        <v>415</v>
      </c>
      <c r="P2872" s="26" t="s">
        <v>293</v>
      </c>
    </row>
    <row r="2873" spans="1:16" x14ac:dyDescent="0.3">
      <c r="A2873" s="24">
        <v>93</v>
      </c>
      <c r="B2873" s="102">
        <v>46115</v>
      </c>
      <c r="C2873" s="25" t="s">
        <v>356</v>
      </c>
      <c r="D2873" s="103" t="s">
        <v>125</v>
      </c>
      <c r="E2873" s="26">
        <v>118</v>
      </c>
      <c r="F2873" s="26" t="s">
        <v>293</v>
      </c>
      <c r="K2873" s="24">
        <v>111</v>
      </c>
      <c r="L2873" s="102">
        <v>46176</v>
      </c>
      <c r="M2873" s="25" t="s">
        <v>357</v>
      </c>
      <c r="N2873" s="103" t="s">
        <v>125</v>
      </c>
      <c r="O2873" s="26">
        <v>415</v>
      </c>
      <c r="P2873" s="26" t="s">
        <v>293</v>
      </c>
    </row>
    <row r="2874" spans="1:16" x14ac:dyDescent="0.3">
      <c r="A2874" s="24">
        <v>93</v>
      </c>
      <c r="B2874" s="102">
        <v>46115</v>
      </c>
      <c r="C2874" s="25" t="s">
        <v>356</v>
      </c>
      <c r="D2874" s="103" t="s">
        <v>126</v>
      </c>
      <c r="E2874" s="26">
        <v>82</v>
      </c>
      <c r="F2874" s="26" t="s">
        <v>293</v>
      </c>
      <c r="K2874" s="24">
        <v>111</v>
      </c>
      <c r="L2874" s="102">
        <v>46176</v>
      </c>
      <c r="M2874" s="25" t="s">
        <v>357</v>
      </c>
      <c r="N2874" s="103" t="s">
        <v>126</v>
      </c>
      <c r="O2874" s="26">
        <v>154</v>
      </c>
      <c r="P2874" s="26" t="s">
        <v>293</v>
      </c>
    </row>
    <row r="2875" spans="1:16" x14ac:dyDescent="0.3">
      <c r="A2875" s="24">
        <v>93</v>
      </c>
      <c r="B2875" s="102">
        <v>46115</v>
      </c>
      <c r="C2875" s="25" t="s">
        <v>356</v>
      </c>
      <c r="D2875" s="103" t="s">
        <v>349</v>
      </c>
      <c r="E2875" s="26">
        <v>145</v>
      </c>
      <c r="F2875" s="26" t="s">
        <v>293</v>
      </c>
      <c r="K2875" s="24">
        <v>111</v>
      </c>
      <c r="L2875" s="102">
        <v>46176</v>
      </c>
      <c r="M2875" s="25" t="s">
        <v>357</v>
      </c>
      <c r="N2875" s="103" t="s">
        <v>349</v>
      </c>
      <c r="O2875" s="26">
        <v>360</v>
      </c>
      <c r="P2875" s="26" t="s">
        <v>293</v>
      </c>
    </row>
    <row r="2876" spans="1:16" x14ac:dyDescent="0.3">
      <c r="A2876" s="24">
        <v>93</v>
      </c>
      <c r="B2876" s="102">
        <v>46115</v>
      </c>
      <c r="C2876" s="25" t="s">
        <v>356</v>
      </c>
      <c r="D2876" s="103" t="s">
        <v>350</v>
      </c>
      <c r="E2876" s="26">
        <v>59</v>
      </c>
      <c r="F2876" s="26" t="s">
        <v>293</v>
      </c>
      <c r="K2876" s="24">
        <v>111</v>
      </c>
      <c r="L2876" s="102">
        <v>46176</v>
      </c>
      <c r="M2876" s="25" t="s">
        <v>357</v>
      </c>
      <c r="N2876" s="103" t="s">
        <v>350</v>
      </c>
      <c r="O2876" s="26">
        <v>85</v>
      </c>
      <c r="P2876" s="26" t="s">
        <v>293</v>
      </c>
    </row>
    <row r="2877" spans="1:16" x14ac:dyDescent="0.3">
      <c r="A2877" s="24">
        <v>93</v>
      </c>
      <c r="B2877" s="102">
        <v>46115</v>
      </c>
      <c r="C2877" s="25" t="s">
        <v>356</v>
      </c>
      <c r="D2877" s="103" t="s">
        <v>122</v>
      </c>
      <c r="E2877" s="26">
        <v>45</v>
      </c>
      <c r="F2877" s="26" t="s">
        <v>293</v>
      </c>
      <c r="K2877" s="24">
        <v>111</v>
      </c>
      <c r="L2877" s="102">
        <v>46176</v>
      </c>
      <c r="M2877" s="25" t="s">
        <v>357</v>
      </c>
      <c r="N2877" s="103" t="s">
        <v>122</v>
      </c>
      <c r="O2877" s="26">
        <v>216</v>
      </c>
      <c r="P2877" s="26" t="s">
        <v>293</v>
      </c>
    </row>
    <row r="2878" spans="1:16" x14ac:dyDescent="0.3">
      <c r="A2878" s="24">
        <v>93</v>
      </c>
      <c r="B2878" s="102">
        <v>46115</v>
      </c>
      <c r="C2878" s="25" t="s">
        <v>356</v>
      </c>
      <c r="D2878" s="103" t="s">
        <v>124</v>
      </c>
      <c r="E2878" s="26">
        <v>30</v>
      </c>
      <c r="F2878" s="26" t="s">
        <v>293</v>
      </c>
      <c r="K2878" s="24">
        <v>111</v>
      </c>
      <c r="L2878" s="102">
        <v>46176</v>
      </c>
      <c r="M2878" s="25" t="s">
        <v>357</v>
      </c>
      <c r="N2878" s="103" t="s">
        <v>124</v>
      </c>
      <c r="O2878" s="26">
        <v>101</v>
      </c>
      <c r="P2878" s="26" t="s">
        <v>293</v>
      </c>
    </row>
    <row r="2879" spans="1:16" x14ac:dyDescent="0.3">
      <c r="A2879" s="24">
        <v>93</v>
      </c>
      <c r="B2879" s="102">
        <v>46115</v>
      </c>
      <c r="C2879" s="25" t="s">
        <v>356</v>
      </c>
      <c r="D2879" s="103" t="s">
        <v>351</v>
      </c>
      <c r="E2879" s="26">
        <v>0.93</v>
      </c>
      <c r="F2879" s="26" t="s">
        <v>293</v>
      </c>
      <c r="K2879" s="24">
        <v>111</v>
      </c>
      <c r="L2879" s="102">
        <v>46176</v>
      </c>
      <c r="M2879" s="25" t="s">
        <v>357</v>
      </c>
      <c r="N2879" s="103" t="s">
        <v>351</v>
      </c>
      <c r="O2879" s="26">
        <v>3.51</v>
      </c>
      <c r="P2879" s="26" t="s">
        <v>293</v>
      </c>
    </row>
    <row r="2880" spans="1:16" x14ac:dyDescent="0.3">
      <c r="A2880" s="24">
        <v>93</v>
      </c>
      <c r="B2880" s="102">
        <v>46115</v>
      </c>
      <c r="C2880" s="25" t="s">
        <v>356</v>
      </c>
      <c r="D2880" s="103" t="s">
        <v>353</v>
      </c>
      <c r="E2880" s="26">
        <v>32.4</v>
      </c>
      <c r="F2880" s="26" t="s">
        <v>293</v>
      </c>
      <c r="K2880" s="24">
        <v>111</v>
      </c>
      <c r="L2880" s="102">
        <v>46176</v>
      </c>
      <c r="M2880" s="25" t="s">
        <v>357</v>
      </c>
      <c r="N2880" s="103" t="s">
        <v>353</v>
      </c>
      <c r="O2880" s="26">
        <v>17</v>
      </c>
      <c r="P2880" s="26" t="s">
        <v>293</v>
      </c>
    </row>
    <row r="2881" spans="1:16" x14ac:dyDescent="0.3">
      <c r="A2881" s="24">
        <v>93</v>
      </c>
      <c r="B2881" s="102">
        <v>46115</v>
      </c>
      <c r="C2881" s="25" t="s">
        <v>356</v>
      </c>
      <c r="D2881" s="103" t="s">
        <v>133</v>
      </c>
      <c r="E2881" s="26">
        <v>147</v>
      </c>
      <c r="F2881" s="26" t="s">
        <v>293</v>
      </c>
      <c r="K2881" s="24">
        <v>111</v>
      </c>
      <c r="L2881" s="102">
        <v>46176</v>
      </c>
      <c r="M2881" s="25" t="s">
        <v>357</v>
      </c>
      <c r="N2881" s="103" t="s">
        <v>133</v>
      </c>
      <c r="O2881" s="26">
        <v>127</v>
      </c>
      <c r="P2881" s="26" t="s">
        <v>293</v>
      </c>
    </row>
    <row r="2882" spans="1:16" x14ac:dyDescent="0.3">
      <c r="A2882" s="24">
        <v>93</v>
      </c>
      <c r="B2882" s="102">
        <v>46115</v>
      </c>
      <c r="C2882" s="25" t="s">
        <v>356</v>
      </c>
      <c r="D2882" s="103" t="s">
        <v>135</v>
      </c>
      <c r="E2882" s="26">
        <v>3.9</v>
      </c>
      <c r="F2882" s="26" t="s">
        <v>293</v>
      </c>
      <c r="K2882" s="24">
        <v>111</v>
      </c>
      <c r="L2882" s="102">
        <v>46176</v>
      </c>
      <c r="M2882" s="25" t="s">
        <v>357</v>
      </c>
      <c r="N2882" s="103" t="s">
        <v>135</v>
      </c>
      <c r="O2882" s="26">
        <v>6.5</v>
      </c>
      <c r="P2882" s="26" t="s">
        <v>293</v>
      </c>
    </row>
    <row r="2883" spans="1:16" x14ac:dyDescent="0.3">
      <c r="A2883" s="24">
        <v>93</v>
      </c>
      <c r="B2883" s="102">
        <v>46115</v>
      </c>
      <c r="C2883" s="25" t="s">
        <v>356</v>
      </c>
      <c r="D2883" s="103" t="s">
        <v>136</v>
      </c>
      <c r="E2883" s="26">
        <v>109</v>
      </c>
      <c r="F2883" s="26" t="s">
        <v>293</v>
      </c>
      <c r="K2883" s="24">
        <v>111</v>
      </c>
      <c r="L2883" s="102">
        <v>46176</v>
      </c>
      <c r="M2883" s="25" t="s">
        <v>357</v>
      </c>
      <c r="N2883" s="103" t="s">
        <v>136</v>
      </c>
      <c r="O2883" s="26">
        <v>93</v>
      </c>
      <c r="P2883" s="26" t="s">
        <v>293</v>
      </c>
    </row>
    <row r="2884" spans="1:16" x14ac:dyDescent="0.3">
      <c r="A2884" s="24">
        <v>94</v>
      </c>
      <c r="B2884" s="102">
        <v>46181</v>
      </c>
      <c r="C2884" s="25" t="s">
        <v>356</v>
      </c>
      <c r="D2884" s="103" t="s">
        <v>339</v>
      </c>
      <c r="E2884" s="26">
        <v>4.83</v>
      </c>
      <c r="F2884" s="26" t="s">
        <v>293</v>
      </c>
      <c r="K2884" s="24">
        <v>94</v>
      </c>
      <c r="L2884" s="102">
        <v>46181</v>
      </c>
      <c r="M2884" s="25" t="s">
        <v>357</v>
      </c>
      <c r="N2884" s="103" t="s">
        <v>339</v>
      </c>
      <c r="O2884" s="26">
        <v>1.2</v>
      </c>
      <c r="P2884" s="26" t="s">
        <v>293</v>
      </c>
    </row>
    <row r="2885" spans="1:16" x14ac:dyDescent="0.3">
      <c r="A2885" s="24">
        <v>94</v>
      </c>
      <c r="B2885" s="102">
        <v>46181</v>
      </c>
      <c r="C2885" s="25" t="s">
        <v>356</v>
      </c>
      <c r="D2885" s="103" t="s">
        <v>118</v>
      </c>
      <c r="E2885" s="26">
        <v>4.4000000000000004</v>
      </c>
      <c r="F2885" s="26" t="s">
        <v>293</v>
      </c>
      <c r="K2885" s="24">
        <v>94</v>
      </c>
      <c r="L2885" s="102">
        <v>46181</v>
      </c>
      <c r="M2885" s="25" t="s">
        <v>357</v>
      </c>
      <c r="N2885" s="103" t="s">
        <v>118</v>
      </c>
      <c r="O2885" s="26">
        <v>9.4</v>
      </c>
      <c r="P2885" s="26" t="s">
        <v>293</v>
      </c>
    </row>
    <row r="2886" spans="1:16" x14ac:dyDescent="0.3">
      <c r="A2886" s="24">
        <v>94</v>
      </c>
      <c r="B2886" s="102">
        <v>46181</v>
      </c>
      <c r="C2886" s="25" t="s">
        <v>356</v>
      </c>
      <c r="D2886" s="103" t="s">
        <v>130</v>
      </c>
      <c r="E2886" s="26">
        <v>3.89</v>
      </c>
      <c r="F2886" s="26" t="s">
        <v>293</v>
      </c>
      <c r="K2886" s="24">
        <v>94</v>
      </c>
      <c r="L2886" s="102">
        <v>46181</v>
      </c>
      <c r="M2886" s="25" t="s">
        <v>357</v>
      </c>
      <c r="N2886" s="103" t="s">
        <v>130</v>
      </c>
      <c r="O2886" s="26">
        <v>2.46</v>
      </c>
      <c r="P2886" s="26" t="s">
        <v>293</v>
      </c>
    </row>
    <row r="2887" spans="1:16" x14ac:dyDescent="0.3">
      <c r="A2887" s="24">
        <v>94</v>
      </c>
      <c r="B2887" s="102">
        <v>46181</v>
      </c>
      <c r="C2887" s="25" t="s">
        <v>356</v>
      </c>
      <c r="D2887" s="103" t="s">
        <v>341</v>
      </c>
      <c r="E2887" s="26">
        <v>0.28999999999999998</v>
      </c>
      <c r="F2887" s="26" t="s">
        <v>293</v>
      </c>
      <c r="K2887" s="24">
        <v>94</v>
      </c>
      <c r="L2887" s="102">
        <v>46181</v>
      </c>
      <c r="M2887" s="25" t="s">
        <v>357</v>
      </c>
      <c r="N2887" s="103" t="s">
        <v>341</v>
      </c>
      <c r="O2887" s="26">
        <v>1.21</v>
      </c>
      <c r="P2887" s="26" t="s">
        <v>293</v>
      </c>
    </row>
    <row r="2888" spans="1:16" x14ac:dyDescent="0.3">
      <c r="A2888" s="24">
        <v>94</v>
      </c>
      <c r="B2888" s="102">
        <v>46181</v>
      </c>
      <c r="C2888" s="25" t="s">
        <v>356</v>
      </c>
      <c r="D2888" s="103" t="s">
        <v>127</v>
      </c>
      <c r="E2888" s="26">
        <v>1.21</v>
      </c>
      <c r="F2888" s="26" t="s">
        <v>293</v>
      </c>
      <c r="K2888" s="24">
        <v>94</v>
      </c>
      <c r="L2888" s="102">
        <v>46181</v>
      </c>
      <c r="M2888" s="25" t="s">
        <v>357</v>
      </c>
      <c r="N2888" s="103" t="s">
        <v>127</v>
      </c>
      <c r="O2888" s="26">
        <v>4.6500000000000004</v>
      </c>
      <c r="P2888" s="26" t="s">
        <v>293</v>
      </c>
    </row>
    <row r="2889" spans="1:16" x14ac:dyDescent="0.3">
      <c r="A2889" s="24">
        <v>94</v>
      </c>
      <c r="B2889" s="102">
        <v>46181</v>
      </c>
      <c r="C2889" s="25" t="s">
        <v>356</v>
      </c>
      <c r="D2889" s="103" t="s">
        <v>131</v>
      </c>
      <c r="E2889" s="26">
        <v>8.8000000000000007</v>
      </c>
      <c r="F2889" s="26" t="s">
        <v>293</v>
      </c>
      <c r="K2889" s="24">
        <v>94</v>
      </c>
      <c r="L2889" s="102">
        <v>46181</v>
      </c>
      <c r="M2889" s="25" t="s">
        <v>357</v>
      </c>
      <c r="N2889" s="103" t="s">
        <v>131</v>
      </c>
      <c r="O2889" s="26">
        <v>11.82</v>
      </c>
      <c r="P2889" s="26" t="s">
        <v>293</v>
      </c>
    </row>
    <row r="2890" spans="1:16" x14ac:dyDescent="0.3">
      <c r="A2890" s="24">
        <v>94</v>
      </c>
      <c r="B2890" s="102">
        <v>46181</v>
      </c>
      <c r="C2890" s="25" t="s">
        <v>356</v>
      </c>
      <c r="D2890" s="103" t="s">
        <v>342</v>
      </c>
      <c r="E2890" s="26">
        <v>321</v>
      </c>
      <c r="F2890" s="26" t="s">
        <v>293</v>
      </c>
      <c r="K2890" s="24">
        <v>94</v>
      </c>
      <c r="L2890" s="102">
        <v>46181</v>
      </c>
      <c r="M2890" s="25" t="s">
        <v>357</v>
      </c>
      <c r="N2890" s="103" t="s">
        <v>342</v>
      </c>
      <c r="O2890" s="26">
        <v>187</v>
      </c>
      <c r="P2890" s="26" t="s">
        <v>293</v>
      </c>
    </row>
    <row r="2891" spans="1:16" x14ac:dyDescent="0.3">
      <c r="A2891" s="24">
        <v>94</v>
      </c>
      <c r="B2891" s="102">
        <v>46181</v>
      </c>
      <c r="C2891" s="25" t="s">
        <v>356</v>
      </c>
      <c r="D2891" s="103" t="s">
        <v>119</v>
      </c>
      <c r="E2891" s="26">
        <v>248</v>
      </c>
      <c r="F2891" s="26" t="s">
        <v>293</v>
      </c>
      <c r="K2891" s="24">
        <v>94</v>
      </c>
      <c r="L2891" s="102">
        <v>46181</v>
      </c>
      <c r="M2891" s="25" t="s">
        <v>357</v>
      </c>
      <c r="N2891" s="103" t="s">
        <v>119</v>
      </c>
      <c r="O2891" s="26">
        <v>95</v>
      </c>
      <c r="P2891" s="26" t="s">
        <v>293</v>
      </c>
    </row>
    <row r="2892" spans="1:16" x14ac:dyDescent="0.3">
      <c r="A2892" s="24">
        <v>94</v>
      </c>
      <c r="B2892" s="102">
        <v>46181</v>
      </c>
      <c r="C2892" s="25" t="s">
        <v>356</v>
      </c>
      <c r="D2892" s="103" t="s">
        <v>120</v>
      </c>
      <c r="E2892" s="26">
        <v>76</v>
      </c>
      <c r="F2892" s="26" t="s">
        <v>293</v>
      </c>
      <c r="K2892" s="24">
        <v>94</v>
      </c>
      <c r="L2892" s="102">
        <v>46181</v>
      </c>
      <c r="M2892" s="25" t="s">
        <v>357</v>
      </c>
      <c r="N2892" s="103" t="s">
        <v>120</v>
      </c>
      <c r="O2892" s="26">
        <v>27</v>
      </c>
      <c r="P2892" s="26" t="s">
        <v>293</v>
      </c>
    </row>
    <row r="2893" spans="1:16" x14ac:dyDescent="0.3">
      <c r="A2893" s="24">
        <v>94</v>
      </c>
      <c r="B2893" s="102">
        <v>46181</v>
      </c>
      <c r="C2893" s="25" t="s">
        <v>356</v>
      </c>
      <c r="D2893" s="103" t="s">
        <v>117</v>
      </c>
      <c r="E2893" s="26">
        <v>2.87</v>
      </c>
      <c r="F2893" s="26" t="s">
        <v>293</v>
      </c>
      <c r="K2893" s="24">
        <v>94</v>
      </c>
      <c r="L2893" s="102">
        <v>46181</v>
      </c>
      <c r="M2893" s="25" t="s">
        <v>357</v>
      </c>
      <c r="N2893" s="103" t="s">
        <v>117</v>
      </c>
      <c r="O2893" s="26">
        <v>6.56</v>
      </c>
      <c r="P2893" s="26" t="s">
        <v>293</v>
      </c>
    </row>
    <row r="2894" spans="1:16" x14ac:dyDescent="0.3">
      <c r="A2894" s="24">
        <v>94</v>
      </c>
      <c r="B2894" s="102">
        <v>46181</v>
      </c>
      <c r="C2894" s="25" t="s">
        <v>356</v>
      </c>
      <c r="D2894" s="103" t="s">
        <v>344</v>
      </c>
      <c r="E2894" s="26">
        <v>234</v>
      </c>
      <c r="F2894" s="26" t="s">
        <v>293</v>
      </c>
      <c r="K2894" s="24">
        <v>94</v>
      </c>
      <c r="L2894" s="102">
        <v>46181</v>
      </c>
      <c r="M2894" s="25" t="s">
        <v>357</v>
      </c>
      <c r="N2894" s="103" t="s">
        <v>344</v>
      </c>
      <c r="O2894" s="26">
        <v>71</v>
      </c>
      <c r="P2894" s="26" t="s">
        <v>293</v>
      </c>
    </row>
    <row r="2895" spans="1:16" x14ac:dyDescent="0.3">
      <c r="A2895" s="24">
        <v>94</v>
      </c>
      <c r="B2895" s="102">
        <v>46181</v>
      </c>
      <c r="C2895" s="25" t="s">
        <v>356</v>
      </c>
      <c r="D2895" s="103" t="s">
        <v>132</v>
      </c>
      <c r="E2895" s="26">
        <v>3.51</v>
      </c>
      <c r="F2895" s="26" t="s">
        <v>293</v>
      </c>
      <c r="K2895" s="24">
        <v>94</v>
      </c>
      <c r="L2895" s="102">
        <v>46181</v>
      </c>
      <c r="M2895" s="25" t="s">
        <v>357</v>
      </c>
      <c r="N2895" s="103" t="s">
        <v>132</v>
      </c>
      <c r="O2895" s="26">
        <v>7.22</v>
      </c>
      <c r="P2895" s="26" t="s">
        <v>293</v>
      </c>
    </row>
    <row r="2896" spans="1:16" x14ac:dyDescent="0.3">
      <c r="A2896" s="24">
        <v>94</v>
      </c>
      <c r="B2896" s="102">
        <v>46181</v>
      </c>
      <c r="C2896" s="25" t="s">
        <v>356</v>
      </c>
      <c r="D2896" s="103" t="s">
        <v>111</v>
      </c>
      <c r="E2896" s="26">
        <v>87</v>
      </c>
      <c r="F2896" s="26" t="s">
        <v>293</v>
      </c>
      <c r="K2896" s="24">
        <v>94</v>
      </c>
      <c r="L2896" s="102">
        <v>46181</v>
      </c>
      <c r="M2896" s="25" t="s">
        <v>357</v>
      </c>
      <c r="N2896" s="103" t="s">
        <v>111</v>
      </c>
      <c r="O2896" s="26">
        <v>284</v>
      </c>
      <c r="P2896" s="26" t="s">
        <v>293</v>
      </c>
    </row>
    <row r="2897" spans="1:16" x14ac:dyDescent="0.3">
      <c r="A2897" s="24">
        <v>94</v>
      </c>
      <c r="B2897" s="102">
        <v>46181</v>
      </c>
      <c r="C2897" s="25" t="s">
        <v>356</v>
      </c>
      <c r="D2897" s="103" t="s">
        <v>345</v>
      </c>
      <c r="E2897" s="26">
        <v>5.0999999999999996</v>
      </c>
      <c r="F2897" s="26" t="s">
        <v>293</v>
      </c>
      <c r="K2897" s="24">
        <v>94</v>
      </c>
      <c r="L2897" s="102">
        <v>46181</v>
      </c>
      <c r="M2897" s="25" t="s">
        <v>357</v>
      </c>
      <c r="N2897" s="103" t="s">
        <v>345</v>
      </c>
      <c r="O2897" s="26">
        <v>9.6</v>
      </c>
      <c r="P2897" s="26" t="s">
        <v>293</v>
      </c>
    </row>
    <row r="2898" spans="1:16" x14ac:dyDescent="0.3">
      <c r="A2898" s="24">
        <v>94</v>
      </c>
      <c r="B2898" s="102">
        <v>46181</v>
      </c>
      <c r="C2898" s="25" t="s">
        <v>356</v>
      </c>
      <c r="D2898" s="103" t="s">
        <v>347</v>
      </c>
      <c r="E2898" s="26">
        <v>2.2599999999999998</v>
      </c>
      <c r="F2898" s="26" t="s">
        <v>293</v>
      </c>
      <c r="K2898" s="24">
        <v>94</v>
      </c>
      <c r="L2898" s="102">
        <v>46181</v>
      </c>
      <c r="M2898" s="25" t="s">
        <v>357</v>
      </c>
      <c r="N2898" s="103" t="s">
        <v>347</v>
      </c>
      <c r="O2898" s="26">
        <v>4.88</v>
      </c>
      <c r="P2898" s="26" t="s">
        <v>293</v>
      </c>
    </row>
    <row r="2899" spans="1:16" x14ac:dyDescent="0.3">
      <c r="A2899" s="24">
        <v>94</v>
      </c>
      <c r="B2899" s="102">
        <v>46181</v>
      </c>
      <c r="C2899" s="25" t="s">
        <v>356</v>
      </c>
      <c r="D2899" s="103" t="s">
        <v>128</v>
      </c>
      <c r="E2899" s="26">
        <v>7.2</v>
      </c>
      <c r="F2899" s="26" t="s">
        <v>293</v>
      </c>
      <c r="K2899" s="24">
        <v>94</v>
      </c>
      <c r="L2899" s="102">
        <v>46181</v>
      </c>
      <c r="M2899" s="25" t="s">
        <v>357</v>
      </c>
      <c r="N2899" s="103" t="s">
        <v>128</v>
      </c>
      <c r="O2899" s="26">
        <v>4.7</v>
      </c>
      <c r="P2899" s="26" t="s">
        <v>293</v>
      </c>
    </row>
    <row r="2900" spans="1:16" x14ac:dyDescent="0.3">
      <c r="A2900" s="24">
        <v>94</v>
      </c>
      <c r="B2900" s="102">
        <v>46181</v>
      </c>
      <c r="C2900" s="25" t="s">
        <v>356</v>
      </c>
      <c r="D2900" s="103" t="s">
        <v>121</v>
      </c>
      <c r="E2900" s="26">
        <v>159</v>
      </c>
      <c r="F2900" s="26" t="s">
        <v>293</v>
      </c>
      <c r="K2900" s="24">
        <v>94</v>
      </c>
      <c r="L2900" s="102">
        <v>46181</v>
      </c>
      <c r="M2900" s="25" t="s">
        <v>357</v>
      </c>
      <c r="N2900" s="103" t="s">
        <v>121</v>
      </c>
      <c r="O2900" s="26">
        <v>81</v>
      </c>
      <c r="P2900" s="26" t="s">
        <v>293</v>
      </c>
    </row>
    <row r="2901" spans="1:16" x14ac:dyDescent="0.3">
      <c r="A2901" s="24">
        <v>94</v>
      </c>
      <c r="B2901" s="102">
        <v>46181</v>
      </c>
      <c r="C2901" s="25" t="s">
        <v>356</v>
      </c>
      <c r="D2901" s="103" t="s">
        <v>115</v>
      </c>
      <c r="E2901" s="26">
        <v>37</v>
      </c>
      <c r="F2901" s="26" t="s">
        <v>293</v>
      </c>
      <c r="K2901" s="24">
        <v>94</v>
      </c>
      <c r="L2901" s="102">
        <v>46181</v>
      </c>
      <c r="M2901" s="25" t="s">
        <v>357</v>
      </c>
      <c r="N2901" s="103" t="s">
        <v>115</v>
      </c>
      <c r="O2901" s="26">
        <v>96</v>
      </c>
      <c r="P2901" s="26" t="s">
        <v>293</v>
      </c>
    </row>
    <row r="2902" spans="1:16" x14ac:dyDescent="0.3">
      <c r="A2902" s="24">
        <v>94</v>
      </c>
      <c r="B2902" s="102">
        <v>46181</v>
      </c>
      <c r="C2902" s="25" t="s">
        <v>356</v>
      </c>
      <c r="D2902" s="103" t="s">
        <v>137</v>
      </c>
      <c r="E2902" s="26">
        <v>76</v>
      </c>
      <c r="F2902" s="26" t="s">
        <v>293</v>
      </c>
      <c r="K2902" s="24">
        <v>94</v>
      </c>
      <c r="L2902" s="102">
        <v>46181</v>
      </c>
      <c r="M2902" s="25" t="s">
        <v>357</v>
      </c>
      <c r="N2902" s="103" t="s">
        <v>137</v>
      </c>
      <c r="O2902" s="26">
        <v>484</v>
      </c>
      <c r="P2902" s="26" t="s">
        <v>293</v>
      </c>
    </row>
    <row r="2903" spans="1:16" x14ac:dyDescent="0.3">
      <c r="A2903" s="24">
        <v>94</v>
      </c>
      <c r="B2903" s="102">
        <v>46181</v>
      </c>
      <c r="C2903" s="25" t="s">
        <v>356</v>
      </c>
      <c r="D2903" s="103" t="s">
        <v>348</v>
      </c>
      <c r="E2903" s="26">
        <v>129</v>
      </c>
      <c r="F2903" s="26" t="s">
        <v>293</v>
      </c>
      <c r="K2903" s="24">
        <v>94</v>
      </c>
      <c r="L2903" s="102">
        <v>46181</v>
      </c>
      <c r="M2903" s="25" t="s">
        <v>357</v>
      </c>
      <c r="N2903" s="103" t="s">
        <v>348</v>
      </c>
      <c r="O2903" s="26">
        <v>410</v>
      </c>
      <c r="P2903" s="26" t="s">
        <v>293</v>
      </c>
    </row>
    <row r="2904" spans="1:16" x14ac:dyDescent="0.3">
      <c r="A2904" s="24">
        <v>94</v>
      </c>
      <c r="B2904" s="102">
        <v>46181</v>
      </c>
      <c r="C2904" s="25" t="s">
        <v>356</v>
      </c>
      <c r="D2904" s="103" t="s">
        <v>125</v>
      </c>
      <c r="E2904" s="26">
        <v>124</v>
      </c>
      <c r="F2904" s="26" t="s">
        <v>293</v>
      </c>
      <c r="K2904" s="24">
        <v>94</v>
      </c>
      <c r="L2904" s="102">
        <v>46181</v>
      </c>
      <c r="M2904" s="25" t="s">
        <v>357</v>
      </c>
      <c r="N2904" s="103" t="s">
        <v>125</v>
      </c>
      <c r="O2904" s="26">
        <v>427</v>
      </c>
      <c r="P2904" s="26" t="s">
        <v>293</v>
      </c>
    </row>
    <row r="2905" spans="1:16" x14ac:dyDescent="0.3">
      <c r="A2905" s="24">
        <v>94</v>
      </c>
      <c r="B2905" s="102">
        <v>46181</v>
      </c>
      <c r="C2905" s="25" t="s">
        <v>356</v>
      </c>
      <c r="D2905" s="103" t="s">
        <v>126</v>
      </c>
      <c r="E2905" s="26">
        <v>82</v>
      </c>
      <c r="F2905" s="26" t="s">
        <v>293</v>
      </c>
      <c r="K2905" s="24">
        <v>94</v>
      </c>
      <c r="L2905" s="102">
        <v>46181</v>
      </c>
      <c r="M2905" s="25" t="s">
        <v>357</v>
      </c>
      <c r="N2905" s="103" t="s">
        <v>126</v>
      </c>
      <c r="O2905" s="26">
        <v>156</v>
      </c>
      <c r="P2905" s="26" t="s">
        <v>293</v>
      </c>
    </row>
    <row r="2906" spans="1:16" x14ac:dyDescent="0.3">
      <c r="A2906" s="24">
        <v>94</v>
      </c>
      <c r="B2906" s="102">
        <v>46181</v>
      </c>
      <c r="C2906" s="25" t="s">
        <v>356</v>
      </c>
      <c r="D2906" s="103" t="s">
        <v>349</v>
      </c>
      <c r="E2906" s="26">
        <v>153</v>
      </c>
      <c r="F2906" s="26" t="s">
        <v>293</v>
      </c>
      <c r="K2906" s="24">
        <v>94</v>
      </c>
      <c r="L2906" s="102">
        <v>46181</v>
      </c>
      <c r="M2906" s="25" t="s">
        <v>357</v>
      </c>
      <c r="N2906" s="103" t="s">
        <v>349</v>
      </c>
      <c r="O2906" s="26">
        <v>355</v>
      </c>
      <c r="P2906" s="26" t="s">
        <v>293</v>
      </c>
    </row>
    <row r="2907" spans="1:16" x14ac:dyDescent="0.3">
      <c r="A2907" s="24">
        <v>94</v>
      </c>
      <c r="B2907" s="102">
        <v>46181</v>
      </c>
      <c r="C2907" s="25" t="s">
        <v>356</v>
      </c>
      <c r="D2907" s="103" t="s">
        <v>350</v>
      </c>
      <c r="E2907" s="26">
        <v>58</v>
      </c>
      <c r="F2907" s="26" t="s">
        <v>293</v>
      </c>
      <c r="K2907" s="24">
        <v>94</v>
      </c>
      <c r="L2907" s="102">
        <v>46181</v>
      </c>
      <c r="M2907" s="25" t="s">
        <v>357</v>
      </c>
      <c r="N2907" s="103" t="s">
        <v>350</v>
      </c>
      <c r="O2907" s="26">
        <v>86</v>
      </c>
      <c r="P2907" s="26" t="s">
        <v>293</v>
      </c>
    </row>
    <row r="2908" spans="1:16" x14ac:dyDescent="0.3">
      <c r="A2908" s="24">
        <v>94</v>
      </c>
      <c r="B2908" s="102">
        <v>46181</v>
      </c>
      <c r="C2908" s="25" t="s">
        <v>356</v>
      </c>
      <c r="D2908" s="103" t="s">
        <v>122</v>
      </c>
      <c r="E2908" s="26">
        <v>47</v>
      </c>
      <c r="F2908" s="26" t="s">
        <v>293</v>
      </c>
      <c r="K2908" s="24">
        <v>94</v>
      </c>
      <c r="L2908" s="102">
        <v>46181</v>
      </c>
      <c r="M2908" s="25" t="s">
        <v>357</v>
      </c>
      <c r="N2908" s="103" t="s">
        <v>122</v>
      </c>
      <c r="O2908" s="26">
        <v>218</v>
      </c>
      <c r="P2908" s="26" t="s">
        <v>293</v>
      </c>
    </row>
    <row r="2909" spans="1:16" x14ac:dyDescent="0.3">
      <c r="A2909" s="24">
        <v>94</v>
      </c>
      <c r="B2909" s="102">
        <v>46181</v>
      </c>
      <c r="C2909" s="25" t="s">
        <v>356</v>
      </c>
      <c r="D2909" s="103" t="s">
        <v>124</v>
      </c>
      <c r="E2909" s="26">
        <v>28</v>
      </c>
      <c r="F2909" s="26" t="s">
        <v>293</v>
      </c>
      <c r="K2909" s="24">
        <v>94</v>
      </c>
      <c r="L2909" s="102">
        <v>46181</v>
      </c>
      <c r="M2909" s="25" t="s">
        <v>357</v>
      </c>
      <c r="N2909" s="103" t="s">
        <v>124</v>
      </c>
      <c r="O2909" s="26">
        <v>100</v>
      </c>
      <c r="P2909" s="26" t="s">
        <v>293</v>
      </c>
    </row>
    <row r="2910" spans="1:16" x14ac:dyDescent="0.3">
      <c r="A2910" s="24">
        <v>94</v>
      </c>
      <c r="B2910" s="102">
        <v>46181</v>
      </c>
      <c r="C2910" s="25" t="s">
        <v>356</v>
      </c>
      <c r="D2910" s="103" t="s">
        <v>351</v>
      </c>
      <c r="E2910" s="26">
        <v>0.95</v>
      </c>
      <c r="F2910" s="26" t="s">
        <v>293</v>
      </c>
      <c r="K2910" s="24">
        <v>94</v>
      </c>
      <c r="L2910" s="102">
        <v>46181</v>
      </c>
      <c r="M2910" s="25" t="s">
        <v>357</v>
      </c>
      <c r="N2910" s="103" t="s">
        <v>351</v>
      </c>
      <c r="O2910" s="26">
        <v>3.53</v>
      </c>
      <c r="P2910" s="26" t="s">
        <v>293</v>
      </c>
    </row>
    <row r="2911" spans="1:16" x14ac:dyDescent="0.3">
      <c r="A2911" s="24">
        <v>94</v>
      </c>
      <c r="B2911" s="102">
        <v>46181</v>
      </c>
      <c r="C2911" s="25" t="s">
        <v>356</v>
      </c>
      <c r="D2911" s="103" t="s">
        <v>353</v>
      </c>
      <c r="E2911" s="26">
        <v>32</v>
      </c>
      <c r="F2911" s="26" t="s">
        <v>293</v>
      </c>
      <c r="K2911" s="24">
        <v>94</v>
      </c>
      <c r="L2911" s="102">
        <v>46181</v>
      </c>
      <c r="M2911" s="25" t="s">
        <v>357</v>
      </c>
      <c r="N2911" s="103" t="s">
        <v>353</v>
      </c>
      <c r="O2911" s="26">
        <v>14.7</v>
      </c>
      <c r="P2911" s="26" t="s">
        <v>293</v>
      </c>
    </row>
    <row r="2912" spans="1:16" x14ac:dyDescent="0.3">
      <c r="A2912" s="24">
        <v>94</v>
      </c>
      <c r="B2912" s="102">
        <v>46181</v>
      </c>
      <c r="C2912" s="25" t="s">
        <v>356</v>
      </c>
      <c r="D2912" s="103" t="s">
        <v>133</v>
      </c>
      <c r="E2912" s="26">
        <v>146</v>
      </c>
      <c r="F2912" s="26" t="s">
        <v>293</v>
      </c>
      <c r="K2912" s="24">
        <v>94</v>
      </c>
      <c r="L2912" s="102">
        <v>46181</v>
      </c>
      <c r="M2912" s="25" t="s">
        <v>357</v>
      </c>
      <c r="N2912" s="103" t="s">
        <v>133</v>
      </c>
      <c r="O2912" s="26">
        <v>128</v>
      </c>
      <c r="P2912" s="26" t="s">
        <v>293</v>
      </c>
    </row>
    <row r="2913" spans="1:16" x14ac:dyDescent="0.3">
      <c r="A2913" s="24">
        <v>94</v>
      </c>
      <c r="B2913" s="102">
        <v>46181</v>
      </c>
      <c r="C2913" s="25" t="s">
        <v>356</v>
      </c>
      <c r="D2913" s="103" t="s">
        <v>135</v>
      </c>
      <c r="E2913" s="26">
        <v>3.7</v>
      </c>
      <c r="F2913" s="26" t="s">
        <v>293</v>
      </c>
      <c r="K2913" s="24">
        <v>94</v>
      </c>
      <c r="L2913" s="102">
        <v>46181</v>
      </c>
      <c r="M2913" s="25" t="s">
        <v>357</v>
      </c>
      <c r="N2913" s="103" t="s">
        <v>135</v>
      </c>
      <c r="O2913" s="26">
        <v>6.5</v>
      </c>
      <c r="P2913" s="26" t="s">
        <v>293</v>
      </c>
    </row>
    <row r="2914" spans="1:16" x14ac:dyDescent="0.3">
      <c r="A2914" s="24">
        <v>94</v>
      </c>
      <c r="B2914" s="102">
        <v>46181</v>
      </c>
      <c r="C2914" s="25" t="s">
        <v>356</v>
      </c>
      <c r="D2914" s="103" t="s">
        <v>136</v>
      </c>
      <c r="E2914" s="26">
        <v>110</v>
      </c>
      <c r="F2914" s="26" t="s">
        <v>293</v>
      </c>
      <c r="K2914" s="24">
        <v>94</v>
      </c>
      <c r="L2914" s="102">
        <v>46181</v>
      </c>
      <c r="M2914" s="25" t="s">
        <v>357</v>
      </c>
      <c r="N2914" s="103" t="s">
        <v>136</v>
      </c>
      <c r="O2914" s="26">
        <v>94</v>
      </c>
      <c r="P2914" s="26" t="s">
        <v>293</v>
      </c>
    </row>
    <row r="2915" spans="1:16" x14ac:dyDescent="0.3">
      <c r="A2915" s="24">
        <v>95</v>
      </c>
      <c r="B2915" s="102">
        <v>46182</v>
      </c>
      <c r="C2915" s="25" t="s">
        <v>356</v>
      </c>
      <c r="D2915" s="103" t="s">
        <v>339</v>
      </c>
      <c r="E2915" s="26">
        <v>4.5999999999999996</v>
      </c>
      <c r="F2915" s="26" t="s">
        <v>293</v>
      </c>
      <c r="K2915" s="24">
        <v>95</v>
      </c>
      <c r="L2915" s="102">
        <v>46182</v>
      </c>
      <c r="M2915" s="25" t="s">
        <v>357</v>
      </c>
      <c r="N2915" s="103" t="s">
        <v>339</v>
      </c>
      <c r="O2915" s="26">
        <v>1.28</v>
      </c>
      <c r="P2915" s="26" t="s">
        <v>293</v>
      </c>
    </row>
    <row r="2916" spans="1:16" x14ac:dyDescent="0.3">
      <c r="A2916" s="24">
        <v>95</v>
      </c>
      <c r="B2916" s="102">
        <v>46182</v>
      </c>
      <c r="C2916" s="25" t="s">
        <v>356</v>
      </c>
      <c r="D2916" s="103" t="s">
        <v>118</v>
      </c>
      <c r="E2916" s="26">
        <v>4.5999999999999996</v>
      </c>
      <c r="F2916" s="26" t="s">
        <v>293</v>
      </c>
      <c r="K2916" s="24">
        <v>95</v>
      </c>
      <c r="L2916" s="102">
        <v>46182</v>
      </c>
      <c r="M2916" s="25" t="s">
        <v>357</v>
      </c>
      <c r="N2916" s="103" t="s">
        <v>118</v>
      </c>
      <c r="O2916" s="26">
        <v>9.6</v>
      </c>
      <c r="P2916" s="26" t="s">
        <v>293</v>
      </c>
    </row>
    <row r="2917" spans="1:16" x14ac:dyDescent="0.3">
      <c r="A2917" s="24">
        <v>95</v>
      </c>
      <c r="B2917" s="102">
        <v>46182</v>
      </c>
      <c r="C2917" s="25" t="s">
        <v>356</v>
      </c>
      <c r="D2917" s="103" t="s">
        <v>130</v>
      </c>
      <c r="E2917" s="26">
        <v>3.82</v>
      </c>
      <c r="F2917" s="26" t="s">
        <v>293</v>
      </c>
      <c r="K2917" s="24">
        <v>95</v>
      </c>
      <c r="L2917" s="102">
        <v>46182</v>
      </c>
      <c r="M2917" s="25" t="s">
        <v>357</v>
      </c>
      <c r="N2917" s="103" t="s">
        <v>130</v>
      </c>
      <c r="O2917" s="26">
        <v>2.41</v>
      </c>
      <c r="P2917" s="26" t="s">
        <v>293</v>
      </c>
    </row>
    <row r="2918" spans="1:16" x14ac:dyDescent="0.3">
      <c r="A2918" s="24">
        <v>95</v>
      </c>
      <c r="B2918" s="102">
        <v>46182</v>
      </c>
      <c r="C2918" s="25" t="s">
        <v>356</v>
      </c>
      <c r="D2918" s="103" t="s">
        <v>341</v>
      </c>
      <c r="E2918" s="26">
        <v>0.33</v>
      </c>
      <c r="F2918" s="26" t="s">
        <v>293</v>
      </c>
      <c r="K2918" s="24">
        <v>95</v>
      </c>
      <c r="L2918" s="102">
        <v>46182</v>
      </c>
      <c r="M2918" s="25" t="s">
        <v>357</v>
      </c>
      <c r="N2918" s="103" t="s">
        <v>341</v>
      </c>
      <c r="O2918" s="26">
        <v>1.24</v>
      </c>
      <c r="P2918" s="26" t="s">
        <v>293</v>
      </c>
    </row>
    <row r="2919" spans="1:16" x14ac:dyDescent="0.3">
      <c r="A2919" s="24">
        <v>95</v>
      </c>
      <c r="B2919" s="102">
        <v>46182</v>
      </c>
      <c r="C2919" s="25" t="s">
        <v>356</v>
      </c>
      <c r="D2919" s="103" t="s">
        <v>127</v>
      </c>
      <c r="E2919" s="26">
        <v>1.24</v>
      </c>
      <c r="F2919" s="26" t="s">
        <v>293</v>
      </c>
      <c r="K2919" s="24">
        <v>95</v>
      </c>
      <c r="L2919" s="102">
        <v>46182</v>
      </c>
      <c r="M2919" s="25" t="s">
        <v>357</v>
      </c>
      <c r="N2919" s="103" t="s">
        <v>127</v>
      </c>
      <c r="O2919" s="26">
        <v>4.75</v>
      </c>
      <c r="P2919" s="26" t="s">
        <v>293</v>
      </c>
    </row>
    <row r="2920" spans="1:16" x14ac:dyDescent="0.3">
      <c r="A2920" s="24">
        <v>95</v>
      </c>
      <c r="B2920" s="102">
        <v>46182</v>
      </c>
      <c r="C2920" s="25" t="s">
        <v>356</v>
      </c>
      <c r="D2920" s="103" t="s">
        <v>131</v>
      </c>
      <c r="E2920" s="26">
        <v>8.6</v>
      </c>
      <c r="F2920" s="26" t="s">
        <v>293</v>
      </c>
      <c r="K2920" s="24">
        <v>95</v>
      </c>
      <c r="L2920" s="102">
        <v>46182</v>
      </c>
      <c r="M2920" s="25" t="s">
        <v>357</v>
      </c>
      <c r="N2920" s="103" t="s">
        <v>131</v>
      </c>
      <c r="O2920" s="26">
        <v>11.8</v>
      </c>
      <c r="P2920" s="26" t="s">
        <v>293</v>
      </c>
    </row>
    <row r="2921" spans="1:16" x14ac:dyDescent="0.3">
      <c r="A2921" s="24">
        <v>95</v>
      </c>
      <c r="B2921" s="102">
        <v>46182</v>
      </c>
      <c r="C2921" s="25" t="s">
        <v>356</v>
      </c>
      <c r="D2921" s="103" t="s">
        <v>342</v>
      </c>
      <c r="E2921" s="26">
        <v>319</v>
      </c>
      <c r="F2921" s="26" t="s">
        <v>293</v>
      </c>
      <c r="K2921" s="24">
        <v>95</v>
      </c>
      <c r="L2921" s="102">
        <v>46182</v>
      </c>
      <c r="M2921" s="25" t="s">
        <v>357</v>
      </c>
      <c r="N2921" s="103" t="s">
        <v>342</v>
      </c>
      <c r="O2921" s="26">
        <v>178</v>
      </c>
      <c r="P2921" s="26" t="s">
        <v>293</v>
      </c>
    </row>
    <row r="2922" spans="1:16" x14ac:dyDescent="0.3">
      <c r="A2922" s="24">
        <v>95</v>
      </c>
      <c r="B2922" s="102">
        <v>46182</v>
      </c>
      <c r="C2922" s="25" t="s">
        <v>356</v>
      </c>
      <c r="D2922" s="103" t="s">
        <v>119</v>
      </c>
      <c r="E2922" s="26">
        <v>250</v>
      </c>
      <c r="F2922" s="26" t="s">
        <v>293</v>
      </c>
      <c r="K2922" s="24">
        <v>95</v>
      </c>
      <c r="L2922" s="102">
        <v>46182</v>
      </c>
      <c r="M2922" s="25" t="s">
        <v>357</v>
      </c>
      <c r="N2922" s="103" t="s">
        <v>119</v>
      </c>
      <c r="O2922" s="26">
        <v>93</v>
      </c>
      <c r="P2922" s="26" t="s">
        <v>293</v>
      </c>
    </row>
    <row r="2923" spans="1:16" x14ac:dyDescent="0.3">
      <c r="A2923" s="24">
        <v>95</v>
      </c>
      <c r="B2923" s="102">
        <v>46182</v>
      </c>
      <c r="C2923" s="25" t="s">
        <v>356</v>
      </c>
      <c r="D2923" s="103" t="s">
        <v>120</v>
      </c>
      <c r="E2923" s="26">
        <v>80</v>
      </c>
      <c r="F2923" s="26" t="s">
        <v>293</v>
      </c>
      <c r="K2923" s="24">
        <v>95</v>
      </c>
      <c r="L2923" s="102">
        <v>46182</v>
      </c>
      <c r="M2923" s="25" t="s">
        <v>357</v>
      </c>
      <c r="N2923" s="103" t="s">
        <v>120</v>
      </c>
      <c r="O2923" s="26">
        <v>27</v>
      </c>
      <c r="P2923" s="26" t="s">
        <v>293</v>
      </c>
    </row>
    <row r="2924" spans="1:16" x14ac:dyDescent="0.3">
      <c r="A2924" s="24">
        <v>95</v>
      </c>
      <c r="B2924" s="102">
        <v>46182</v>
      </c>
      <c r="C2924" s="25" t="s">
        <v>356</v>
      </c>
      <c r="D2924" s="103" t="s">
        <v>117</v>
      </c>
      <c r="E2924" s="26">
        <v>2.72</v>
      </c>
      <c r="F2924" s="26" t="s">
        <v>293</v>
      </c>
      <c r="K2924" s="24">
        <v>95</v>
      </c>
      <c r="L2924" s="102">
        <v>46182</v>
      </c>
      <c r="M2924" s="25" t="s">
        <v>357</v>
      </c>
      <c r="N2924" s="103" t="s">
        <v>117</v>
      </c>
      <c r="O2924" s="26">
        <v>6.33</v>
      </c>
      <c r="P2924" s="26" t="s">
        <v>293</v>
      </c>
    </row>
    <row r="2925" spans="1:16" x14ac:dyDescent="0.3">
      <c r="A2925" s="24">
        <v>95</v>
      </c>
      <c r="B2925" s="102">
        <v>46182</v>
      </c>
      <c r="C2925" s="25" t="s">
        <v>356</v>
      </c>
      <c r="D2925" s="103" t="s">
        <v>344</v>
      </c>
      <c r="E2925" s="26">
        <v>230</v>
      </c>
      <c r="F2925" s="26" t="s">
        <v>293</v>
      </c>
      <c r="K2925" s="24">
        <v>95</v>
      </c>
      <c r="L2925" s="102">
        <v>46182</v>
      </c>
      <c r="M2925" s="25" t="s">
        <v>357</v>
      </c>
      <c r="N2925" s="103" t="s">
        <v>344</v>
      </c>
      <c r="O2925" s="26">
        <v>69</v>
      </c>
      <c r="P2925" s="26" t="s">
        <v>293</v>
      </c>
    </row>
    <row r="2926" spans="1:16" x14ac:dyDescent="0.3">
      <c r="A2926" s="24">
        <v>95</v>
      </c>
      <c r="B2926" s="102">
        <v>46182</v>
      </c>
      <c r="C2926" s="25" t="s">
        <v>356</v>
      </c>
      <c r="D2926" s="103" t="s">
        <v>132</v>
      </c>
      <c r="E2926" s="26">
        <v>3.41</v>
      </c>
      <c r="F2926" s="26" t="s">
        <v>293</v>
      </c>
      <c r="K2926" s="24">
        <v>95</v>
      </c>
      <c r="L2926" s="102">
        <v>46182</v>
      </c>
      <c r="M2926" s="25" t="s">
        <v>357</v>
      </c>
      <c r="N2926" s="103" t="s">
        <v>132</v>
      </c>
      <c r="O2926" s="26">
        <v>7.1</v>
      </c>
      <c r="P2926" s="26" t="s">
        <v>293</v>
      </c>
    </row>
    <row r="2927" spans="1:16" x14ac:dyDescent="0.3">
      <c r="A2927" s="24">
        <v>95</v>
      </c>
      <c r="B2927" s="102">
        <v>46182</v>
      </c>
      <c r="C2927" s="25" t="s">
        <v>356</v>
      </c>
      <c r="D2927" s="103" t="s">
        <v>111</v>
      </c>
      <c r="E2927" s="26">
        <v>84</v>
      </c>
      <c r="F2927" s="26" t="s">
        <v>293</v>
      </c>
      <c r="K2927" s="24">
        <v>95</v>
      </c>
      <c r="L2927" s="102">
        <v>46182</v>
      </c>
      <c r="M2927" s="25" t="s">
        <v>357</v>
      </c>
      <c r="N2927" s="103" t="s">
        <v>111</v>
      </c>
      <c r="O2927" s="26">
        <v>280</v>
      </c>
      <c r="P2927" s="26" t="s">
        <v>293</v>
      </c>
    </row>
    <row r="2928" spans="1:16" x14ac:dyDescent="0.3">
      <c r="A2928" s="24">
        <v>95</v>
      </c>
      <c r="B2928" s="102">
        <v>46182</v>
      </c>
      <c r="C2928" s="25" t="s">
        <v>356</v>
      </c>
      <c r="D2928" s="103" t="s">
        <v>345</v>
      </c>
      <c r="E2928" s="26">
        <v>5.14</v>
      </c>
      <c r="F2928" s="26" t="s">
        <v>293</v>
      </c>
      <c r="K2928" s="24">
        <v>95</v>
      </c>
      <c r="L2928" s="102">
        <v>46182</v>
      </c>
      <c r="M2928" s="25" t="s">
        <v>357</v>
      </c>
      <c r="N2928" s="103" t="s">
        <v>345</v>
      </c>
      <c r="O2928" s="26">
        <v>9.6999999999999993</v>
      </c>
      <c r="P2928" s="26" t="s">
        <v>293</v>
      </c>
    </row>
    <row r="2929" spans="1:16" x14ac:dyDescent="0.3">
      <c r="A2929" s="24">
        <v>95</v>
      </c>
      <c r="B2929" s="102">
        <v>46182</v>
      </c>
      <c r="C2929" s="25" t="s">
        <v>356</v>
      </c>
      <c r="D2929" s="103" t="s">
        <v>347</v>
      </c>
      <c r="E2929" s="26">
        <v>2.2400000000000002</v>
      </c>
      <c r="F2929" s="26" t="s">
        <v>293</v>
      </c>
      <c r="K2929" s="24">
        <v>95</v>
      </c>
      <c r="L2929" s="102">
        <v>46182</v>
      </c>
      <c r="M2929" s="25" t="s">
        <v>357</v>
      </c>
      <c r="N2929" s="103" t="s">
        <v>347</v>
      </c>
      <c r="O2929" s="26">
        <v>4.7</v>
      </c>
      <c r="P2929" s="26" t="s">
        <v>293</v>
      </c>
    </row>
    <row r="2930" spans="1:16" x14ac:dyDescent="0.3">
      <c r="A2930" s="24">
        <v>95</v>
      </c>
      <c r="B2930" s="102">
        <v>46182</v>
      </c>
      <c r="C2930" s="25" t="s">
        <v>356</v>
      </c>
      <c r="D2930" s="103" t="s">
        <v>128</v>
      </c>
      <c r="E2930" s="26">
        <v>7.1</v>
      </c>
      <c r="F2930" s="26" t="s">
        <v>293</v>
      </c>
      <c r="K2930" s="24">
        <v>95</v>
      </c>
      <c r="L2930" s="102">
        <v>46182</v>
      </c>
      <c r="M2930" s="25" t="s">
        <v>357</v>
      </c>
      <c r="N2930" s="103" t="s">
        <v>128</v>
      </c>
      <c r="O2930" s="26">
        <v>4.5999999999999996</v>
      </c>
      <c r="P2930" s="26" t="s">
        <v>293</v>
      </c>
    </row>
    <row r="2931" spans="1:16" x14ac:dyDescent="0.3">
      <c r="A2931" s="24">
        <v>95</v>
      </c>
      <c r="B2931" s="102">
        <v>46182</v>
      </c>
      <c r="C2931" s="25" t="s">
        <v>356</v>
      </c>
      <c r="D2931" s="103" t="s">
        <v>121</v>
      </c>
      <c r="E2931" s="26">
        <v>162</v>
      </c>
      <c r="F2931" s="26" t="s">
        <v>293</v>
      </c>
      <c r="K2931" s="24">
        <v>95</v>
      </c>
      <c r="L2931" s="102">
        <v>46182</v>
      </c>
      <c r="M2931" s="25" t="s">
        <v>357</v>
      </c>
      <c r="N2931" s="103" t="s">
        <v>121</v>
      </c>
      <c r="O2931" s="26">
        <v>81</v>
      </c>
      <c r="P2931" s="26" t="s">
        <v>293</v>
      </c>
    </row>
    <row r="2932" spans="1:16" x14ac:dyDescent="0.3">
      <c r="A2932" s="24">
        <v>95</v>
      </c>
      <c r="B2932" s="102">
        <v>46182</v>
      </c>
      <c r="C2932" s="25" t="s">
        <v>356</v>
      </c>
      <c r="D2932" s="103" t="s">
        <v>115</v>
      </c>
      <c r="E2932" s="26">
        <v>36</v>
      </c>
      <c r="F2932" s="26" t="s">
        <v>293</v>
      </c>
      <c r="K2932" s="24">
        <v>95</v>
      </c>
      <c r="L2932" s="102">
        <v>46182</v>
      </c>
      <c r="M2932" s="25" t="s">
        <v>357</v>
      </c>
      <c r="N2932" s="103" t="s">
        <v>115</v>
      </c>
      <c r="O2932" s="26">
        <v>99</v>
      </c>
      <c r="P2932" s="26" t="s">
        <v>293</v>
      </c>
    </row>
    <row r="2933" spans="1:16" x14ac:dyDescent="0.3">
      <c r="A2933" s="24">
        <v>95</v>
      </c>
      <c r="B2933" s="102">
        <v>46182</v>
      </c>
      <c r="C2933" s="25" t="s">
        <v>356</v>
      </c>
      <c r="D2933" s="103" t="s">
        <v>137</v>
      </c>
      <c r="E2933" s="26">
        <v>76</v>
      </c>
      <c r="F2933" s="26" t="s">
        <v>293</v>
      </c>
      <c r="K2933" s="24">
        <v>95</v>
      </c>
      <c r="L2933" s="102">
        <v>46182</v>
      </c>
      <c r="M2933" s="25" t="s">
        <v>357</v>
      </c>
      <c r="N2933" s="103" t="s">
        <v>137</v>
      </c>
      <c r="O2933" s="26">
        <v>487</v>
      </c>
      <c r="P2933" s="26" t="s">
        <v>293</v>
      </c>
    </row>
    <row r="2934" spans="1:16" x14ac:dyDescent="0.3">
      <c r="A2934" s="24">
        <v>95</v>
      </c>
      <c r="B2934" s="102">
        <v>46182</v>
      </c>
      <c r="C2934" s="25" t="s">
        <v>356</v>
      </c>
      <c r="D2934" s="103" t="s">
        <v>348</v>
      </c>
      <c r="E2934" s="26">
        <v>131</v>
      </c>
      <c r="F2934" s="26" t="s">
        <v>293</v>
      </c>
      <c r="K2934" s="24">
        <v>95</v>
      </c>
      <c r="L2934" s="102">
        <v>46182</v>
      </c>
      <c r="M2934" s="25" t="s">
        <v>357</v>
      </c>
      <c r="N2934" s="103" t="s">
        <v>348</v>
      </c>
      <c r="O2934" s="26">
        <v>407</v>
      </c>
      <c r="P2934" s="26" t="s">
        <v>293</v>
      </c>
    </row>
    <row r="2935" spans="1:16" x14ac:dyDescent="0.3">
      <c r="A2935" s="24">
        <v>95</v>
      </c>
      <c r="B2935" s="102">
        <v>46182</v>
      </c>
      <c r="C2935" s="25" t="s">
        <v>356</v>
      </c>
      <c r="D2935" s="103" t="s">
        <v>125</v>
      </c>
      <c r="E2935" s="26">
        <v>113</v>
      </c>
      <c r="F2935" s="26" t="s">
        <v>293</v>
      </c>
      <c r="K2935" s="24">
        <v>95</v>
      </c>
      <c r="L2935" s="102">
        <v>46182</v>
      </c>
      <c r="M2935" s="25" t="s">
        <v>357</v>
      </c>
      <c r="N2935" s="103" t="s">
        <v>125</v>
      </c>
      <c r="O2935" s="26">
        <v>412</v>
      </c>
      <c r="P2935" s="26" t="s">
        <v>293</v>
      </c>
    </row>
    <row r="2936" spans="1:16" x14ac:dyDescent="0.3">
      <c r="A2936" s="24">
        <v>95</v>
      </c>
      <c r="B2936" s="102">
        <v>46182</v>
      </c>
      <c r="C2936" s="25" t="s">
        <v>356</v>
      </c>
      <c r="D2936" s="103" t="s">
        <v>126</v>
      </c>
      <c r="E2936" s="26">
        <v>81</v>
      </c>
      <c r="F2936" s="26" t="s">
        <v>293</v>
      </c>
      <c r="K2936" s="24">
        <v>95</v>
      </c>
      <c r="L2936" s="102">
        <v>46182</v>
      </c>
      <c r="M2936" s="25" t="s">
        <v>357</v>
      </c>
      <c r="N2936" s="103" t="s">
        <v>126</v>
      </c>
      <c r="O2936" s="26">
        <v>154</v>
      </c>
      <c r="P2936" s="26" t="s">
        <v>293</v>
      </c>
    </row>
    <row r="2937" spans="1:16" x14ac:dyDescent="0.3">
      <c r="A2937" s="24">
        <v>95</v>
      </c>
      <c r="B2937" s="102">
        <v>46182</v>
      </c>
      <c r="C2937" s="25" t="s">
        <v>356</v>
      </c>
      <c r="D2937" s="103" t="s">
        <v>349</v>
      </c>
      <c r="E2937" s="26">
        <v>151</v>
      </c>
      <c r="F2937" s="26" t="s">
        <v>293</v>
      </c>
      <c r="K2937" s="24">
        <v>95</v>
      </c>
      <c r="L2937" s="102">
        <v>46182</v>
      </c>
      <c r="M2937" s="25" t="s">
        <v>357</v>
      </c>
      <c r="N2937" s="103" t="s">
        <v>349</v>
      </c>
      <c r="O2937" s="26">
        <v>354</v>
      </c>
      <c r="P2937" s="26" t="s">
        <v>293</v>
      </c>
    </row>
    <row r="2938" spans="1:16" x14ac:dyDescent="0.3">
      <c r="A2938" s="24">
        <v>95</v>
      </c>
      <c r="B2938" s="102">
        <v>46182</v>
      </c>
      <c r="C2938" s="25" t="s">
        <v>356</v>
      </c>
      <c r="D2938" s="103" t="s">
        <v>350</v>
      </c>
      <c r="E2938" s="26">
        <v>56</v>
      </c>
      <c r="F2938" s="26" t="s">
        <v>293</v>
      </c>
      <c r="K2938" s="24">
        <v>95</v>
      </c>
      <c r="L2938" s="102">
        <v>46182</v>
      </c>
      <c r="M2938" s="25" t="s">
        <v>357</v>
      </c>
      <c r="N2938" s="103" t="s">
        <v>350</v>
      </c>
      <c r="O2938" s="26">
        <v>83</v>
      </c>
      <c r="P2938" s="26" t="s">
        <v>293</v>
      </c>
    </row>
    <row r="2939" spans="1:16" x14ac:dyDescent="0.3">
      <c r="A2939" s="24">
        <v>95</v>
      </c>
      <c r="B2939" s="102">
        <v>46182</v>
      </c>
      <c r="C2939" s="25" t="s">
        <v>356</v>
      </c>
      <c r="D2939" s="103" t="s">
        <v>122</v>
      </c>
      <c r="E2939" s="26">
        <v>44</v>
      </c>
      <c r="F2939" s="26" t="s">
        <v>293</v>
      </c>
      <c r="K2939" s="24">
        <v>95</v>
      </c>
      <c r="L2939" s="102">
        <v>46182</v>
      </c>
      <c r="M2939" s="25" t="s">
        <v>357</v>
      </c>
      <c r="N2939" s="103" t="s">
        <v>122</v>
      </c>
      <c r="O2939" s="26">
        <v>215</v>
      </c>
      <c r="P2939" s="26" t="s">
        <v>293</v>
      </c>
    </row>
    <row r="2940" spans="1:16" x14ac:dyDescent="0.3">
      <c r="A2940" s="24">
        <v>95</v>
      </c>
      <c r="B2940" s="102">
        <v>46182</v>
      </c>
      <c r="C2940" s="25" t="s">
        <v>356</v>
      </c>
      <c r="D2940" s="103" t="s">
        <v>124</v>
      </c>
      <c r="E2940" s="26">
        <v>28</v>
      </c>
      <c r="F2940" s="26" t="s">
        <v>293</v>
      </c>
      <c r="K2940" s="24">
        <v>95</v>
      </c>
      <c r="L2940" s="102">
        <v>46182</v>
      </c>
      <c r="M2940" s="25" t="s">
        <v>357</v>
      </c>
      <c r="N2940" s="103" t="s">
        <v>124</v>
      </c>
      <c r="O2940" s="26">
        <v>106</v>
      </c>
      <c r="P2940" s="26" t="s">
        <v>293</v>
      </c>
    </row>
    <row r="2941" spans="1:16" x14ac:dyDescent="0.3">
      <c r="A2941" s="24">
        <v>95</v>
      </c>
      <c r="B2941" s="102">
        <v>46182</v>
      </c>
      <c r="C2941" s="25" t="s">
        <v>356</v>
      </c>
      <c r="D2941" s="103" t="s">
        <v>351</v>
      </c>
      <c r="E2941" s="26">
        <v>0.96</v>
      </c>
      <c r="F2941" s="26" t="s">
        <v>293</v>
      </c>
      <c r="K2941" s="24">
        <v>95</v>
      </c>
      <c r="L2941" s="102">
        <v>46182</v>
      </c>
      <c r="M2941" s="25" t="s">
        <v>357</v>
      </c>
      <c r="N2941" s="103" t="s">
        <v>351</v>
      </c>
      <c r="O2941" s="26">
        <v>3.6</v>
      </c>
      <c r="P2941" s="26" t="s">
        <v>293</v>
      </c>
    </row>
    <row r="2942" spans="1:16" x14ac:dyDescent="0.3">
      <c r="A2942" s="24">
        <v>95</v>
      </c>
      <c r="B2942" s="102">
        <v>46182</v>
      </c>
      <c r="C2942" s="25" t="s">
        <v>356</v>
      </c>
      <c r="D2942" s="103" t="s">
        <v>353</v>
      </c>
      <c r="E2942" s="26">
        <v>34.200000000000003</v>
      </c>
      <c r="F2942" s="26" t="s">
        <v>293</v>
      </c>
      <c r="K2942" s="24">
        <v>95</v>
      </c>
      <c r="L2942" s="102">
        <v>46182</v>
      </c>
      <c r="M2942" s="25" t="s">
        <v>357</v>
      </c>
      <c r="N2942" s="103" t="s">
        <v>353</v>
      </c>
      <c r="O2942" s="26">
        <v>16</v>
      </c>
      <c r="P2942" s="26" t="s">
        <v>293</v>
      </c>
    </row>
    <row r="2943" spans="1:16" x14ac:dyDescent="0.3">
      <c r="A2943" s="24">
        <v>95</v>
      </c>
      <c r="B2943" s="102">
        <v>46182</v>
      </c>
      <c r="C2943" s="25" t="s">
        <v>356</v>
      </c>
      <c r="D2943" s="103" t="s">
        <v>133</v>
      </c>
      <c r="E2943" s="26">
        <v>149</v>
      </c>
      <c r="F2943" s="26" t="s">
        <v>293</v>
      </c>
      <c r="K2943" s="24">
        <v>95</v>
      </c>
      <c r="L2943" s="102">
        <v>46182</v>
      </c>
      <c r="M2943" s="25" t="s">
        <v>357</v>
      </c>
      <c r="N2943" s="103" t="s">
        <v>133</v>
      </c>
      <c r="O2943" s="26">
        <v>127</v>
      </c>
      <c r="P2943" s="26" t="s">
        <v>293</v>
      </c>
    </row>
    <row r="2944" spans="1:16" x14ac:dyDescent="0.3">
      <c r="A2944" s="24">
        <v>95</v>
      </c>
      <c r="B2944" s="102">
        <v>46182</v>
      </c>
      <c r="C2944" s="25" t="s">
        <v>356</v>
      </c>
      <c r="D2944" s="103" t="s">
        <v>135</v>
      </c>
      <c r="E2944" s="26">
        <v>3.9</v>
      </c>
      <c r="F2944" s="26" t="s">
        <v>293</v>
      </c>
      <c r="K2944" s="24">
        <v>95</v>
      </c>
      <c r="L2944" s="102">
        <v>46182</v>
      </c>
      <c r="M2944" s="25" t="s">
        <v>357</v>
      </c>
      <c r="N2944" s="103" t="s">
        <v>135</v>
      </c>
      <c r="O2944" s="26">
        <v>6.5</v>
      </c>
      <c r="P2944" s="26" t="s">
        <v>293</v>
      </c>
    </row>
    <row r="2945" spans="1:16" x14ac:dyDescent="0.3">
      <c r="A2945" s="24">
        <v>95</v>
      </c>
      <c r="B2945" s="102">
        <v>46182</v>
      </c>
      <c r="C2945" s="25" t="s">
        <v>356</v>
      </c>
      <c r="D2945" s="103" t="s">
        <v>136</v>
      </c>
      <c r="E2945" s="26">
        <v>110</v>
      </c>
      <c r="F2945" s="26" t="s">
        <v>293</v>
      </c>
      <c r="K2945" s="24">
        <v>95</v>
      </c>
      <c r="L2945" s="102">
        <v>46182</v>
      </c>
      <c r="M2945" s="25" t="s">
        <v>357</v>
      </c>
      <c r="N2945" s="103" t="s">
        <v>136</v>
      </c>
      <c r="O2945" s="26">
        <v>93</v>
      </c>
      <c r="P2945" s="26" t="s">
        <v>293</v>
      </c>
    </row>
    <row r="2946" spans="1:16" x14ac:dyDescent="0.3">
      <c r="A2946" s="24">
        <v>96</v>
      </c>
      <c r="B2946" s="102">
        <v>46183</v>
      </c>
      <c r="C2946" s="25" t="s">
        <v>356</v>
      </c>
      <c r="D2946" s="103" t="s">
        <v>339</v>
      </c>
      <c r="E2946" s="26">
        <v>4.62</v>
      </c>
      <c r="F2946" s="26" t="s">
        <v>293</v>
      </c>
      <c r="K2946" s="24">
        <v>96</v>
      </c>
      <c r="L2946" s="102">
        <v>46183</v>
      </c>
      <c r="M2946" s="25" t="s">
        <v>357</v>
      </c>
      <c r="N2946" s="103" t="s">
        <v>339</v>
      </c>
      <c r="O2946" s="26">
        <v>1.25</v>
      </c>
      <c r="P2946" s="26" t="s">
        <v>293</v>
      </c>
    </row>
    <row r="2947" spans="1:16" x14ac:dyDescent="0.3">
      <c r="A2947" s="24">
        <v>96</v>
      </c>
      <c r="B2947" s="102">
        <v>46183</v>
      </c>
      <c r="C2947" s="25" t="s">
        <v>356</v>
      </c>
      <c r="D2947" s="103" t="s">
        <v>118</v>
      </c>
      <c r="E2947" s="26">
        <v>4.5</v>
      </c>
      <c r="F2947" s="26" t="s">
        <v>293</v>
      </c>
      <c r="K2947" s="24">
        <v>96</v>
      </c>
      <c r="L2947" s="102">
        <v>46183</v>
      </c>
      <c r="M2947" s="25" t="s">
        <v>357</v>
      </c>
      <c r="N2947" s="103" t="s">
        <v>118</v>
      </c>
      <c r="O2947" s="26">
        <v>9.5</v>
      </c>
      <c r="P2947" s="26" t="s">
        <v>293</v>
      </c>
    </row>
    <row r="2948" spans="1:16" x14ac:dyDescent="0.3">
      <c r="A2948" s="24">
        <v>96</v>
      </c>
      <c r="B2948" s="102">
        <v>46183</v>
      </c>
      <c r="C2948" s="25" t="s">
        <v>356</v>
      </c>
      <c r="D2948" s="103" t="s">
        <v>130</v>
      </c>
      <c r="E2948" s="26">
        <v>3.83</v>
      </c>
      <c r="F2948" s="26" t="s">
        <v>293</v>
      </c>
      <c r="K2948" s="24">
        <v>96</v>
      </c>
      <c r="L2948" s="102">
        <v>46183</v>
      </c>
      <c r="M2948" s="25" t="s">
        <v>357</v>
      </c>
      <c r="N2948" s="103" t="s">
        <v>130</v>
      </c>
      <c r="O2948" s="26">
        <v>2.46</v>
      </c>
      <c r="P2948" s="26" t="s">
        <v>293</v>
      </c>
    </row>
    <row r="2949" spans="1:16" x14ac:dyDescent="0.3">
      <c r="A2949" s="24">
        <v>96</v>
      </c>
      <c r="B2949" s="102">
        <v>46183</v>
      </c>
      <c r="C2949" s="25" t="s">
        <v>356</v>
      </c>
      <c r="D2949" s="103" t="s">
        <v>341</v>
      </c>
      <c r="E2949" s="26">
        <v>0.33</v>
      </c>
      <c r="F2949" s="26" t="s">
        <v>293</v>
      </c>
      <c r="K2949" s="24">
        <v>96</v>
      </c>
      <c r="L2949" s="102">
        <v>46183</v>
      </c>
      <c r="M2949" s="25" t="s">
        <v>357</v>
      </c>
      <c r="N2949" s="103" t="s">
        <v>341</v>
      </c>
      <c r="O2949" s="26">
        <v>1.24</v>
      </c>
      <c r="P2949" s="26" t="s">
        <v>293</v>
      </c>
    </row>
    <row r="2950" spans="1:16" x14ac:dyDescent="0.3">
      <c r="A2950" s="24">
        <v>96</v>
      </c>
      <c r="B2950" s="102">
        <v>46183</v>
      </c>
      <c r="C2950" s="25" t="s">
        <v>356</v>
      </c>
      <c r="D2950" s="103" t="s">
        <v>127</v>
      </c>
      <c r="E2950" s="26">
        <v>1.22</v>
      </c>
      <c r="F2950" s="26" t="s">
        <v>293</v>
      </c>
      <c r="K2950" s="24">
        <v>96</v>
      </c>
      <c r="L2950" s="102">
        <v>46183</v>
      </c>
      <c r="M2950" s="25" t="s">
        <v>357</v>
      </c>
      <c r="N2950" s="103" t="s">
        <v>127</v>
      </c>
      <c r="O2950" s="26">
        <v>4.79</v>
      </c>
      <c r="P2950" s="26" t="s">
        <v>293</v>
      </c>
    </row>
    <row r="2951" spans="1:16" x14ac:dyDescent="0.3">
      <c r="A2951" s="24">
        <v>96</v>
      </c>
      <c r="B2951" s="102">
        <v>46183</v>
      </c>
      <c r="C2951" s="25" t="s">
        <v>356</v>
      </c>
      <c r="D2951" s="103" t="s">
        <v>131</v>
      </c>
      <c r="E2951" s="26">
        <v>8.6</v>
      </c>
      <c r="F2951" s="26" t="s">
        <v>293</v>
      </c>
      <c r="K2951" s="24">
        <v>96</v>
      </c>
      <c r="L2951" s="102">
        <v>46183</v>
      </c>
      <c r="M2951" s="25" t="s">
        <v>357</v>
      </c>
      <c r="N2951" s="103" t="s">
        <v>131</v>
      </c>
      <c r="O2951" s="26">
        <v>11.8</v>
      </c>
      <c r="P2951" s="26" t="s">
        <v>293</v>
      </c>
    </row>
    <row r="2952" spans="1:16" x14ac:dyDescent="0.3">
      <c r="A2952" s="24">
        <v>96</v>
      </c>
      <c r="B2952" s="102">
        <v>46183</v>
      </c>
      <c r="C2952" s="25" t="s">
        <v>356</v>
      </c>
      <c r="D2952" s="103" t="s">
        <v>342</v>
      </c>
      <c r="E2952" s="26">
        <v>309</v>
      </c>
      <c r="F2952" s="26" t="s">
        <v>293</v>
      </c>
      <c r="K2952" s="24">
        <v>96</v>
      </c>
      <c r="L2952" s="102">
        <v>46183</v>
      </c>
      <c r="M2952" s="25" t="s">
        <v>357</v>
      </c>
      <c r="N2952" s="103" t="s">
        <v>342</v>
      </c>
      <c r="O2952" s="26">
        <v>198</v>
      </c>
      <c r="P2952" s="26" t="s">
        <v>293</v>
      </c>
    </row>
    <row r="2953" spans="1:16" x14ac:dyDescent="0.3">
      <c r="A2953" s="24">
        <v>96</v>
      </c>
      <c r="B2953" s="102">
        <v>46183</v>
      </c>
      <c r="C2953" s="25" t="s">
        <v>356</v>
      </c>
      <c r="D2953" s="103" t="s">
        <v>119</v>
      </c>
      <c r="E2953" s="26">
        <v>247</v>
      </c>
      <c r="F2953" s="26" t="s">
        <v>293</v>
      </c>
      <c r="K2953" s="24">
        <v>96</v>
      </c>
      <c r="L2953" s="102">
        <v>46183</v>
      </c>
      <c r="M2953" s="25" t="s">
        <v>357</v>
      </c>
      <c r="N2953" s="103" t="s">
        <v>119</v>
      </c>
      <c r="O2953" s="26">
        <v>94</v>
      </c>
      <c r="P2953" s="26" t="s">
        <v>293</v>
      </c>
    </row>
    <row r="2954" spans="1:16" x14ac:dyDescent="0.3">
      <c r="A2954" s="24">
        <v>96</v>
      </c>
      <c r="B2954" s="102">
        <v>46183</v>
      </c>
      <c r="C2954" s="25" t="s">
        <v>356</v>
      </c>
      <c r="D2954" s="103" t="s">
        <v>120</v>
      </c>
      <c r="E2954" s="26">
        <v>77</v>
      </c>
      <c r="F2954" s="26" t="s">
        <v>293</v>
      </c>
      <c r="K2954" s="24">
        <v>96</v>
      </c>
      <c r="L2954" s="102">
        <v>46183</v>
      </c>
      <c r="M2954" s="25" t="s">
        <v>357</v>
      </c>
      <c r="N2954" s="103" t="s">
        <v>120</v>
      </c>
      <c r="O2954" s="26">
        <v>27</v>
      </c>
      <c r="P2954" s="26" t="s">
        <v>293</v>
      </c>
    </row>
    <row r="2955" spans="1:16" x14ac:dyDescent="0.3">
      <c r="A2955" s="24">
        <v>96</v>
      </c>
      <c r="B2955" s="102">
        <v>46183</v>
      </c>
      <c r="C2955" s="25" t="s">
        <v>356</v>
      </c>
      <c r="D2955" s="103" t="s">
        <v>117</v>
      </c>
      <c r="E2955" s="26">
        <v>2.72</v>
      </c>
      <c r="F2955" s="26" t="s">
        <v>293</v>
      </c>
      <c r="K2955" s="24">
        <v>96</v>
      </c>
      <c r="L2955" s="102">
        <v>46183</v>
      </c>
      <c r="M2955" s="25" t="s">
        <v>357</v>
      </c>
      <c r="N2955" s="103" t="s">
        <v>117</v>
      </c>
      <c r="O2955" s="26">
        <v>6.42</v>
      </c>
      <c r="P2955" s="26" t="s">
        <v>293</v>
      </c>
    </row>
    <row r="2956" spans="1:16" x14ac:dyDescent="0.3">
      <c r="A2956" s="24">
        <v>96</v>
      </c>
      <c r="B2956" s="102">
        <v>46183</v>
      </c>
      <c r="C2956" s="25" t="s">
        <v>356</v>
      </c>
      <c r="D2956" s="103" t="s">
        <v>344</v>
      </c>
      <c r="E2956" s="26">
        <v>232</v>
      </c>
      <c r="F2956" s="26" t="s">
        <v>293</v>
      </c>
      <c r="K2956" s="24">
        <v>96</v>
      </c>
      <c r="L2956" s="102">
        <v>46183</v>
      </c>
      <c r="M2956" s="25" t="s">
        <v>357</v>
      </c>
      <c r="N2956" s="103" t="s">
        <v>344</v>
      </c>
      <c r="O2956" s="26">
        <v>69</v>
      </c>
      <c r="P2956" s="26" t="s">
        <v>293</v>
      </c>
    </row>
    <row r="2957" spans="1:16" x14ac:dyDescent="0.3">
      <c r="A2957" s="24">
        <v>96</v>
      </c>
      <c r="B2957" s="102">
        <v>46183</v>
      </c>
      <c r="C2957" s="25" t="s">
        <v>356</v>
      </c>
      <c r="D2957" s="103" t="s">
        <v>132</v>
      </c>
      <c r="E2957" s="26">
        <v>3.49</v>
      </c>
      <c r="F2957" s="26" t="s">
        <v>293</v>
      </c>
      <c r="K2957" s="24">
        <v>96</v>
      </c>
      <c r="L2957" s="102">
        <v>46183</v>
      </c>
      <c r="M2957" s="25" t="s">
        <v>357</v>
      </c>
      <c r="N2957" s="103" t="s">
        <v>132</v>
      </c>
      <c r="O2957" s="26">
        <v>7.08</v>
      </c>
      <c r="P2957" s="26" t="s">
        <v>293</v>
      </c>
    </row>
    <row r="2958" spans="1:16" x14ac:dyDescent="0.3">
      <c r="A2958" s="24">
        <v>96</v>
      </c>
      <c r="B2958" s="102">
        <v>46183</v>
      </c>
      <c r="C2958" s="25" t="s">
        <v>356</v>
      </c>
      <c r="D2958" s="103" t="s">
        <v>111</v>
      </c>
      <c r="E2958" s="26">
        <v>85</v>
      </c>
      <c r="F2958" s="26" t="s">
        <v>293</v>
      </c>
      <c r="K2958" s="24">
        <v>96</v>
      </c>
      <c r="L2958" s="102">
        <v>46183</v>
      </c>
      <c r="M2958" s="25" t="s">
        <v>357</v>
      </c>
      <c r="N2958" s="103" t="s">
        <v>111</v>
      </c>
      <c r="O2958" s="26">
        <v>277</v>
      </c>
      <c r="P2958" s="26" t="s">
        <v>293</v>
      </c>
    </row>
    <row r="2959" spans="1:16" x14ac:dyDescent="0.3">
      <c r="A2959" s="24">
        <v>96</v>
      </c>
      <c r="B2959" s="102">
        <v>46183</v>
      </c>
      <c r="C2959" s="25" t="s">
        <v>356</v>
      </c>
      <c r="D2959" s="103" t="s">
        <v>345</v>
      </c>
      <c r="E2959" s="26">
        <v>5.0999999999999996</v>
      </c>
      <c r="F2959" s="26" t="s">
        <v>293</v>
      </c>
      <c r="K2959" s="24">
        <v>96</v>
      </c>
      <c r="L2959" s="102">
        <v>46183</v>
      </c>
      <c r="M2959" s="25" t="s">
        <v>357</v>
      </c>
      <c r="N2959" s="103" t="s">
        <v>345</v>
      </c>
      <c r="O2959" s="26">
        <v>9.6</v>
      </c>
      <c r="P2959" s="26" t="s">
        <v>293</v>
      </c>
    </row>
    <row r="2960" spans="1:16" x14ac:dyDescent="0.3">
      <c r="A2960" s="24">
        <v>96</v>
      </c>
      <c r="B2960" s="102">
        <v>46183</v>
      </c>
      <c r="C2960" s="25" t="s">
        <v>356</v>
      </c>
      <c r="D2960" s="103" t="s">
        <v>347</v>
      </c>
      <c r="E2960" s="26">
        <v>2.2000000000000002</v>
      </c>
      <c r="F2960" s="26" t="s">
        <v>293</v>
      </c>
      <c r="K2960" s="24">
        <v>96</v>
      </c>
      <c r="L2960" s="102">
        <v>46183</v>
      </c>
      <c r="M2960" s="25" t="s">
        <v>357</v>
      </c>
      <c r="N2960" s="103" t="s">
        <v>347</v>
      </c>
      <c r="O2960" s="26">
        <v>4.7</v>
      </c>
      <c r="P2960" s="26" t="s">
        <v>293</v>
      </c>
    </row>
    <row r="2961" spans="1:16" x14ac:dyDescent="0.3">
      <c r="A2961" s="24">
        <v>96</v>
      </c>
      <c r="B2961" s="102">
        <v>46183</v>
      </c>
      <c r="C2961" s="25" t="s">
        <v>356</v>
      </c>
      <c r="D2961" s="103" t="s">
        <v>128</v>
      </c>
      <c r="E2961" s="26">
        <v>7.1</v>
      </c>
      <c r="F2961" s="26" t="s">
        <v>293</v>
      </c>
      <c r="K2961" s="24">
        <v>96</v>
      </c>
      <c r="L2961" s="102">
        <v>46183</v>
      </c>
      <c r="M2961" s="25" t="s">
        <v>357</v>
      </c>
      <c r="N2961" s="103" t="s">
        <v>128</v>
      </c>
      <c r="O2961" s="26">
        <v>4.5999999999999996</v>
      </c>
      <c r="P2961" s="26" t="s">
        <v>293</v>
      </c>
    </row>
    <row r="2962" spans="1:16" x14ac:dyDescent="0.3">
      <c r="A2962" s="24">
        <v>96</v>
      </c>
      <c r="B2962" s="102">
        <v>46183</v>
      </c>
      <c r="C2962" s="25" t="s">
        <v>356</v>
      </c>
      <c r="D2962" s="103" t="s">
        <v>121</v>
      </c>
      <c r="E2962" s="26">
        <v>161</v>
      </c>
      <c r="F2962" s="26" t="s">
        <v>293</v>
      </c>
      <c r="K2962" s="24">
        <v>96</v>
      </c>
      <c r="L2962" s="102">
        <v>46183</v>
      </c>
      <c r="M2962" s="25" t="s">
        <v>357</v>
      </c>
      <c r="N2962" s="103" t="s">
        <v>121</v>
      </c>
      <c r="O2962" s="26">
        <v>81</v>
      </c>
      <c r="P2962" s="26" t="s">
        <v>293</v>
      </c>
    </row>
    <row r="2963" spans="1:16" x14ac:dyDescent="0.3">
      <c r="A2963" s="24">
        <v>96</v>
      </c>
      <c r="B2963" s="102">
        <v>46183</v>
      </c>
      <c r="C2963" s="25" t="s">
        <v>356</v>
      </c>
      <c r="D2963" s="103" t="s">
        <v>115</v>
      </c>
      <c r="E2963" s="26">
        <v>36</v>
      </c>
      <c r="F2963" s="26" t="s">
        <v>293</v>
      </c>
      <c r="K2963" s="24">
        <v>96</v>
      </c>
      <c r="L2963" s="102">
        <v>46183</v>
      </c>
      <c r="M2963" s="25" t="s">
        <v>357</v>
      </c>
      <c r="N2963" s="103" t="s">
        <v>115</v>
      </c>
      <c r="O2963" s="26">
        <v>98</v>
      </c>
      <c r="P2963" s="26" t="s">
        <v>293</v>
      </c>
    </row>
    <row r="2964" spans="1:16" x14ac:dyDescent="0.3">
      <c r="A2964" s="24">
        <v>96</v>
      </c>
      <c r="B2964" s="102">
        <v>46183</v>
      </c>
      <c r="C2964" s="25" t="s">
        <v>356</v>
      </c>
      <c r="D2964" s="103" t="s">
        <v>137</v>
      </c>
      <c r="E2964" s="26">
        <v>76</v>
      </c>
      <c r="F2964" s="26" t="s">
        <v>293</v>
      </c>
      <c r="K2964" s="24">
        <v>96</v>
      </c>
      <c r="L2964" s="102">
        <v>46183</v>
      </c>
      <c r="M2964" s="25" t="s">
        <v>357</v>
      </c>
      <c r="N2964" s="103" t="s">
        <v>137</v>
      </c>
      <c r="O2964" s="26">
        <v>487</v>
      </c>
      <c r="P2964" s="26" t="s">
        <v>293</v>
      </c>
    </row>
    <row r="2965" spans="1:16" x14ac:dyDescent="0.3">
      <c r="A2965" s="24">
        <v>96</v>
      </c>
      <c r="B2965" s="102">
        <v>46183</v>
      </c>
      <c r="C2965" s="25" t="s">
        <v>356</v>
      </c>
      <c r="D2965" s="103" t="s">
        <v>348</v>
      </c>
      <c r="E2965" s="26">
        <v>131</v>
      </c>
      <c r="F2965" s="26" t="s">
        <v>293</v>
      </c>
      <c r="K2965" s="24">
        <v>96</v>
      </c>
      <c r="L2965" s="102">
        <v>46183</v>
      </c>
      <c r="M2965" s="25" t="s">
        <v>357</v>
      </c>
      <c r="N2965" s="103" t="s">
        <v>348</v>
      </c>
      <c r="O2965" s="26">
        <v>410</v>
      </c>
      <c r="P2965" s="26" t="s">
        <v>293</v>
      </c>
    </row>
    <row r="2966" spans="1:16" x14ac:dyDescent="0.3">
      <c r="A2966" s="24">
        <v>96</v>
      </c>
      <c r="B2966" s="102">
        <v>46183</v>
      </c>
      <c r="C2966" s="25" t="s">
        <v>356</v>
      </c>
      <c r="D2966" s="103" t="s">
        <v>125</v>
      </c>
      <c r="E2966" s="26">
        <v>115</v>
      </c>
      <c r="F2966" s="26" t="s">
        <v>293</v>
      </c>
      <c r="K2966" s="24">
        <v>96</v>
      </c>
      <c r="L2966" s="102">
        <v>46183</v>
      </c>
      <c r="M2966" s="25" t="s">
        <v>357</v>
      </c>
      <c r="N2966" s="103" t="s">
        <v>125</v>
      </c>
      <c r="O2966" s="26">
        <v>420</v>
      </c>
      <c r="P2966" s="26" t="s">
        <v>293</v>
      </c>
    </row>
    <row r="2967" spans="1:16" x14ac:dyDescent="0.3">
      <c r="A2967" s="24">
        <v>96</v>
      </c>
      <c r="B2967" s="102">
        <v>46183</v>
      </c>
      <c r="C2967" s="25" t="s">
        <v>356</v>
      </c>
      <c r="D2967" s="103" t="s">
        <v>126</v>
      </c>
      <c r="E2967" s="26">
        <v>80</v>
      </c>
      <c r="F2967" s="26" t="s">
        <v>293</v>
      </c>
      <c r="K2967" s="24">
        <v>96</v>
      </c>
      <c r="L2967" s="102">
        <v>46183</v>
      </c>
      <c r="M2967" s="25" t="s">
        <v>357</v>
      </c>
      <c r="N2967" s="103" t="s">
        <v>126</v>
      </c>
      <c r="O2967" s="26">
        <v>153</v>
      </c>
      <c r="P2967" s="26" t="s">
        <v>293</v>
      </c>
    </row>
    <row r="2968" spans="1:16" x14ac:dyDescent="0.3">
      <c r="A2968" s="24">
        <v>96</v>
      </c>
      <c r="B2968" s="102">
        <v>46183</v>
      </c>
      <c r="C2968" s="25" t="s">
        <v>356</v>
      </c>
      <c r="D2968" s="103" t="s">
        <v>349</v>
      </c>
      <c r="E2968" s="26">
        <v>148</v>
      </c>
      <c r="F2968" s="26" t="s">
        <v>293</v>
      </c>
      <c r="K2968" s="24">
        <v>96</v>
      </c>
      <c r="L2968" s="102">
        <v>46183</v>
      </c>
      <c r="M2968" s="25" t="s">
        <v>357</v>
      </c>
      <c r="N2968" s="103" t="s">
        <v>349</v>
      </c>
      <c r="O2968" s="26">
        <v>360</v>
      </c>
      <c r="P2968" s="26" t="s">
        <v>293</v>
      </c>
    </row>
    <row r="2969" spans="1:16" x14ac:dyDescent="0.3">
      <c r="A2969" s="24">
        <v>96</v>
      </c>
      <c r="B2969" s="102">
        <v>46183</v>
      </c>
      <c r="C2969" s="25" t="s">
        <v>356</v>
      </c>
      <c r="D2969" s="103" t="s">
        <v>350</v>
      </c>
      <c r="E2969" s="26">
        <v>59</v>
      </c>
      <c r="F2969" s="26" t="s">
        <v>293</v>
      </c>
      <c r="K2969" s="24">
        <v>96</v>
      </c>
      <c r="L2969" s="102">
        <v>46183</v>
      </c>
      <c r="M2969" s="25" t="s">
        <v>357</v>
      </c>
      <c r="N2969" s="103" t="s">
        <v>350</v>
      </c>
      <c r="O2969" s="26">
        <v>84</v>
      </c>
      <c r="P2969" s="26" t="s">
        <v>293</v>
      </c>
    </row>
    <row r="2970" spans="1:16" x14ac:dyDescent="0.3">
      <c r="A2970" s="24">
        <v>96</v>
      </c>
      <c r="B2970" s="102">
        <v>46183</v>
      </c>
      <c r="C2970" s="25" t="s">
        <v>356</v>
      </c>
      <c r="D2970" s="103" t="s">
        <v>122</v>
      </c>
      <c r="E2970" s="26">
        <v>44</v>
      </c>
      <c r="F2970" s="26" t="s">
        <v>293</v>
      </c>
      <c r="K2970" s="24">
        <v>96</v>
      </c>
      <c r="L2970" s="102">
        <v>46183</v>
      </c>
      <c r="M2970" s="25" t="s">
        <v>357</v>
      </c>
      <c r="N2970" s="103" t="s">
        <v>122</v>
      </c>
      <c r="O2970" s="26">
        <v>214</v>
      </c>
      <c r="P2970" s="26" t="s">
        <v>293</v>
      </c>
    </row>
    <row r="2971" spans="1:16" x14ac:dyDescent="0.3">
      <c r="A2971" s="24">
        <v>96</v>
      </c>
      <c r="B2971" s="102">
        <v>46183</v>
      </c>
      <c r="C2971" s="25" t="s">
        <v>356</v>
      </c>
      <c r="D2971" s="103" t="s">
        <v>124</v>
      </c>
      <c r="E2971" s="26">
        <v>29</v>
      </c>
      <c r="F2971" s="26" t="s">
        <v>293</v>
      </c>
      <c r="K2971" s="24">
        <v>96</v>
      </c>
      <c r="L2971" s="102">
        <v>46183</v>
      </c>
      <c r="M2971" s="25" t="s">
        <v>357</v>
      </c>
      <c r="N2971" s="103" t="s">
        <v>124</v>
      </c>
      <c r="O2971" s="26">
        <v>104</v>
      </c>
      <c r="P2971" s="26" t="s">
        <v>293</v>
      </c>
    </row>
    <row r="2972" spans="1:16" x14ac:dyDescent="0.3">
      <c r="A2972" s="24">
        <v>96</v>
      </c>
      <c r="B2972" s="102">
        <v>46183</v>
      </c>
      <c r="C2972" s="25" t="s">
        <v>356</v>
      </c>
      <c r="D2972" s="103" t="s">
        <v>351</v>
      </c>
      <c r="E2972" s="26">
        <v>0.97</v>
      </c>
      <c r="F2972" s="26" t="s">
        <v>293</v>
      </c>
      <c r="K2972" s="24">
        <v>96</v>
      </c>
      <c r="L2972" s="102">
        <v>46183</v>
      </c>
      <c r="M2972" s="25" t="s">
        <v>357</v>
      </c>
      <c r="N2972" s="103" t="s">
        <v>351</v>
      </c>
      <c r="O2972" s="26">
        <v>3.51</v>
      </c>
      <c r="P2972" s="26" t="s">
        <v>293</v>
      </c>
    </row>
    <row r="2973" spans="1:16" x14ac:dyDescent="0.3">
      <c r="A2973" s="24">
        <v>96</v>
      </c>
      <c r="B2973" s="102">
        <v>46183</v>
      </c>
      <c r="C2973" s="25" t="s">
        <v>356</v>
      </c>
      <c r="D2973" s="103" t="s">
        <v>353</v>
      </c>
      <c r="E2973" s="26">
        <v>33.5</v>
      </c>
      <c r="F2973" s="26" t="s">
        <v>293</v>
      </c>
      <c r="K2973" s="24">
        <v>96</v>
      </c>
      <c r="L2973" s="102">
        <v>46183</v>
      </c>
      <c r="M2973" s="25" t="s">
        <v>357</v>
      </c>
      <c r="N2973" s="103" t="s">
        <v>353</v>
      </c>
      <c r="O2973" s="26">
        <v>17.5</v>
      </c>
      <c r="P2973" s="26" t="s">
        <v>293</v>
      </c>
    </row>
    <row r="2974" spans="1:16" x14ac:dyDescent="0.3">
      <c r="A2974" s="24">
        <v>96</v>
      </c>
      <c r="B2974" s="102">
        <v>46183</v>
      </c>
      <c r="C2974" s="25" t="s">
        <v>356</v>
      </c>
      <c r="D2974" s="103" t="s">
        <v>133</v>
      </c>
      <c r="E2974" s="26">
        <v>146</v>
      </c>
      <c r="F2974" s="26" t="s">
        <v>293</v>
      </c>
      <c r="K2974" s="24">
        <v>96</v>
      </c>
      <c r="L2974" s="102">
        <v>46183</v>
      </c>
      <c r="M2974" s="25" t="s">
        <v>357</v>
      </c>
      <c r="N2974" s="103" t="s">
        <v>133</v>
      </c>
      <c r="O2974" s="26">
        <v>127</v>
      </c>
      <c r="P2974" s="26" t="s">
        <v>293</v>
      </c>
    </row>
    <row r="2975" spans="1:16" x14ac:dyDescent="0.3">
      <c r="A2975" s="24">
        <v>96</v>
      </c>
      <c r="B2975" s="102">
        <v>46183</v>
      </c>
      <c r="C2975" s="25" t="s">
        <v>356</v>
      </c>
      <c r="D2975" s="103" t="s">
        <v>135</v>
      </c>
      <c r="E2975" s="26">
        <v>3.8</v>
      </c>
      <c r="F2975" s="26" t="s">
        <v>293</v>
      </c>
      <c r="K2975" s="24">
        <v>96</v>
      </c>
      <c r="L2975" s="102">
        <v>46183</v>
      </c>
      <c r="M2975" s="25" t="s">
        <v>357</v>
      </c>
      <c r="N2975" s="103" t="s">
        <v>135</v>
      </c>
      <c r="O2975" s="26">
        <v>6.4</v>
      </c>
      <c r="P2975" s="26" t="s">
        <v>293</v>
      </c>
    </row>
    <row r="2976" spans="1:16" x14ac:dyDescent="0.3">
      <c r="A2976" s="24">
        <v>96</v>
      </c>
      <c r="B2976" s="102">
        <v>46183</v>
      </c>
      <c r="C2976" s="25" t="s">
        <v>356</v>
      </c>
      <c r="D2976" s="103" t="s">
        <v>136</v>
      </c>
      <c r="E2976" s="26">
        <v>113</v>
      </c>
      <c r="F2976" s="26" t="s">
        <v>293</v>
      </c>
      <c r="K2976" s="24">
        <v>96</v>
      </c>
      <c r="L2976" s="102">
        <v>46183</v>
      </c>
      <c r="M2976" s="25" t="s">
        <v>357</v>
      </c>
      <c r="N2976" s="103" t="s">
        <v>136</v>
      </c>
      <c r="O2976" s="26">
        <v>93</v>
      </c>
      <c r="P2976" s="26" t="s">
        <v>293</v>
      </c>
    </row>
    <row r="2977" spans="1:16" x14ac:dyDescent="0.3">
      <c r="A2977" s="24">
        <v>97</v>
      </c>
      <c r="B2977" s="102">
        <v>46184</v>
      </c>
      <c r="C2977" s="25" t="s">
        <v>356</v>
      </c>
      <c r="D2977" s="103" t="s">
        <v>339</v>
      </c>
      <c r="E2977" s="26">
        <v>4.59</v>
      </c>
      <c r="F2977" s="26" t="s">
        <v>293</v>
      </c>
      <c r="K2977" s="24">
        <v>97</v>
      </c>
      <c r="L2977" s="102">
        <v>46184</v>
      </c>
      <c r="M2977" s="25" t="s">
        <v>357</v>
      </c>
      <c r="N2977" s="103" t="s">
        <v>339</v>
      </c>
      <c r="O2977" s="26">
        <v>1.24</v>
      </c>
      <c r="P2977" s="26" t="s">
        <v>293</v>
      </c>
    </row>
    <row r="2978" spans="1:16" x14ac:dyDescent="0.3">
      <c r="A2978" s="24">
        <v>97</v>
      </c>
      <c r="B2978" s="102">
        <v>46184</v>
      </c>
      <c r="C2978" s="25" t="s">
        <v>356</v>
      </c>
      <c r="D2978" s="103" t="s">
        <v>118</v>
      </c>
      <c r="E2978" s="26">
        <v>4.4000000000000004</v>
      </c>
      <c r="F2978" s="26" t="s">
        <v>293</v>
      </c>
      <c r="K2978" s="24">
        <v>97</v>
      </c>
      <c r="L2978" s="102">
        <v>46184</v>
      </c>
      <c r="M2978" s="25" t="s">
        <v>357</v>
      </c>
      <c r="N2978" s="103" t="s">
        <v>118</v>
      </c>
      <c r="O2978" s="26">
        <v>9.6</v>
      </c>
      <c r="P2978" s="26" t="s">
        <v>293</v>
      </c>
    </row>
    <row r="2979" spans="1:16" x14ac:dyDescent="0.3">
      <c r="A2979" s="24">
        <v>97</v>
      </c>
      <c r="B2979" s="102">
        <v>46184</v>
      </c>
      <c r="C2979" s="25" t="s">
        <v>356</v>
      </c>
      <c r="D2979" s="103" t="s">
        <v>130</v>
      </c>
      <c r="E2979" s="26">
        <v>3.91</v>
      </c>
      <c r="F2979" s="26" t="s">
        <v>293</v>
      </c>
      <c r="K2979" s="24">
        <v>97</v>
      </c>
      <c r="L2979" s="102">
        <v>46184</v>
      </c>
      <c r="M2979" s="25" t="s">
        <v>357</v>
      </c>
      <c r="N2979" s="103" t="s">
        <v>130</v>
      </c>
      <c r="O2979" s="26">
        <v>2.46</v>
      </c>
      <c r="P2979" s="26" t="s">
        <v>293</v>
      </c>
    </row>
    <row r="2980" spans="1:16" x14ac:dyDescent="0.3">
      <c r="A2980" s="24">
        <v>97</v>
      </c>
      <c r="B2980" s="102">
        <v>46184</v>
      </c>
      <c r="C2980" s="25" t="s">
        <v>356</v>
      </c>
      <c r="D2980" s="103" t="s">
        <v>341</v>
      </c>
      <c r="E2980" s="26">
        <v>0.33</v>
      </c>
      <c r="F2980" s="26" t="s">
        <v>293</v>
      </c>
      <c r="K2980" s="24">
        <v>97</v>
      </c>
      <c r="L2980" s="102">
        <v>46184</v>
      </c>
      <c r="M2980" s="25" t="s">
        <v>357</v>
      </c>
      <c r="N2980" s="103" t="s">
        <v>341</v>
      </c>
      <c r="O2980" s="26">
        <v>1.22</v>
      </c>
      <c r="P2980" s="26" t="s">
        <v>293</v>
      </c>
    </row>
    <row r="2981" spans="1:16" x14ac:dyDescent="0.3">
      <c r="A2981" s="24">
        <v>97</v>
      </c>
      <c r="B2981" s="102">
        <v>46184</v>
      </c>
      <c r="C2981" s="25" t="s">
        <v>356</v>
      </c>
      <c r="D2981" s="103" t="s">
        <v>127</v>
      </c>
      <c r="E2981" s="26">
        <v>1.25</v>
      </c>
      <c r="F2981" s="26" t="s">
        <v>293</v>
      </c>
      <c r="K2981" s="24">
        <v>97</v>
      </c>
      <c r="L2981" s="102">
        <v>46184</v>
      </c>
      <c r="M2981" s="25" t="s">
        <v>357</v>
      </c>
      <c r="N2981" s="103" t="s">
        <v>127</v>
      </c>
      <c r="O2981" s="26">
        <v>4.79</v>
      </c>
      <c r="P2981" s="26" t="s">
        <v>293</v>
      </c>
    </row>
    <row r="2982" spans="1:16" x14ac:dyDescent="0.3">
      <c r="A2982" s="24">
        <v>97</v>
      </c>
      <c r="B2982" s="102">
        <v>46184</v>
      </c>
      <c r="C2982" s="25" t="s">
        <v>356</v>
      </c>
      <c r="D2982" s="103" t="s">
        <v>131</v>
      </c>
      <c r="E2982" s="26">
        <v>8.6999999999999993</v>
      </c>
      <c r="F2982" s="26" t="s">
        <v>293</v>
      </c>
      <c r="K2982" s="24">
        <v>97</v>
      </c>
      <c r="L2982" s="102">
        <v>46184</v>
      </c>
      <c r="M2982" s="25" t="s">
        <v>357</v>
      </c>
      <c r="N2982" s="103" t="s">
        <v>131</v>
      </c>
      <c r="O2982" s="26">
        <v>12</v>
      </c>
      <c r="P2982" s="26" t="s">
        <v>293</v>
      </c>
    </row>
    <row r="2983" spans="1:16" x14ac:dyDescent="0.3">
      <c r="A2983" s="24">
        <v>97</v>
      </c>
      <c r="B2983" s="102">
        <v>46184</v>
      </c>
      <c r="C2983" s="25" t="s">
        <v>356</v>
      </c>
      <c r="D2983" s="103" t="s">
        <v>342</v>
      </c>
      <c r="E2983" s="26">
        <v>317</v>
      </c>
      <c r="F2983" s="26" t="s">
        <v>293</v>
      </c>
      <c r="K2983" s="24">
        <v>97</v>
      </c>
      <c r="L2983" s="102">
        <v>46184</v>
      </c>
      <c r="M2983" s="25" t="s">
        <v>357</v>
      </c>
      <c r="N2983" s="103" t="s">
        <v>342</v>
      </c>
      <c r="O2983" s="26">
        <v>174</v>
      </c>
      <c r="P2983" s="26" t="s">
        <v>293</v>
      </c>
    </row>
    <row r="2984" spans="1:16" x14ac:dyDescent="0.3">
      <c r="A2984" s="24">
        <v>97</v>
      </c>
      <c r="B2984" s="102">
        <v>46184</v>
      </c>
      <c r="C2984" s="25" t="s">
        <v>356</v>
      </c>
      <c r="D2984" s="103" t="s">
        <v>119</v>
      </c>
      <c r="E2984" s="26">
        <v>248</v>
      </c>
      <c r="F2984" s="26" t="s">
        <v>293</v>
      </c>
      <c r="K2984" s="24">
        <v>97</v>
      </c>
      <c r="L2984" s="102">
        <v>46184</v>
      </c>
      <c r="M2984" s="25" t="s">
        <v>357</v>
      </c>
      <c r="N2984" s="103" t="s">
        <v>119</v>
      </c>
      <c r="O2984" s="26">
        <v>93</v>
      </c>
      <c r="P2984" s="26" t="s">
        <v>293</v>
      </c>
    </row>
    <row r="2985" spans="1:16" x14ac:dyDescent="0.3">
      <c r="A2985" s="24">
        <v>97</v>
      </c>
      <c r="B2985" s="102">
        <v>46184</v>
      </c>
      <c r="C2985" s="25" t="s">
        <v>356</v>
      </c>
      <c r="D2985" s="103" t="s">
        <v>120</v>
      </c>
      <c r="E2985" s="26">
        <v>77</v>
      </c>
      <c r="F2985" s="26" t="s">
        <v>293</v>
      </c>
      <c r="K2985" s="24">
        <v>97</v>
      </c>
      <c r="L2985" s="102">
        <v>46184</v>
      </c>
      <c r="M2985" s="25" t="s">
        <v>357</v>
      </c>
      <c r="N2985" s="103" t="s">
        <v>120</v>
      </c>
      <c r="O2985" s="26">
        <v>28</v>
      </c>
      <c r="P2985" s="26" t="s">
        <v>293</v>
      </c>
    </row>
    <row r="2986" spans="1:16" x14ac:dyDescent="0.3">
      <c r="A2986" s="24">
        <v>97</v>
      </c>
      <c r="B2986" s="102">
        <v>46184</v>
      </c>
      <c r="C2986" s="25" t="s">
        <v>356</v>
      </c>
      <c r="D2986" s="103" t="s">
        <v>117</v>
      </c>
      <c r="E2986" s="26">
        <v>2.82</v>
      </c>
      <c r="F2986" s="26" t="s">
        <v>293</v>
      </c>
      <c r="K2986" s="24">
        <v>97</v>
      </c>
      <c r="L2986" s="102">
        <v>46184</v>
      </c>
      <c r="M2986" s="25" t="s">
        <v>357</v>
      </c>
      <c r="N2986" s="103" t="s">
        <v>117</v>
      </c>
      <c r="O2986" s="26">
        <v>6.43</v>
      </c>
      <c r="P2986" s="26" t="s">
        <v>293</v>
      </c>
    </row>
    <row r="2987" spans="1:16" x14ac:dyDescent="0.3">
      <c r="A2987" s="24">
        <v>97</v>
      </c>
      <c r="B2987" s="102">
        <v>46184</v>
      </c>
      <c r="C2987" s="25" t="s">
        <v>356</v>
      </c>
      <c r="D2987" s="103" t="s">
        <v>344</v>
      </c>
      <c r="E2987" s="26">
        <v>231</v>
      </c>
      <c r="F2987" s="26" t="s">
        <v>293</v>
      </c>
      <c r="K2987" s="24">
        <v>97</v>
      </c>
      <c r="L2987" s="102">
        <v>46184</v>
      </c>
      <c r="M2987" s="25" t="s">
        <v>357</v>
      </c>
      <c r="N2987" s="103" t="s">
        <v>344</v>
      </c>
      <c r="O2987" s="26">
        <v>71</v>
      </c>
      <c r="P2987" s="26" t="s">
        <v>293</v>
      </c>
    </row>
    <row r="2988" spans="1:16" x14ac:dyDescent="0.3">
      <c r="A2988" s="24">
        <v>97</v>
      </c>
      <c r="B2988" s="102">
        <v>46184</v>
      </c>
      <c r="C2988" s="25" t="s">
        <v>356</v>
      </c>
      <c r="D2988" s="103" t="s">
        <v>132</v>
      </c>
      <c r="E2988" s="26">
        <v>3.5</v>
      </c>
      <c r="F2988" s="26" t="s">
        <v>293</v>
      </c>
      <c r="K2988" s="24">
        <v>97</v>
      </c>
      <c r="L2988" s="102">
        <v>46184</v>
      </c>
      <c r="M2988" s="25" t="s">
        <v>357</v>
      </c>
      <c r="N2988" s="103" t="s">
        <v>132</v>
      </c>
      <c r="O2988" s="26">
        <v>7.11</v>
      </c>
      <c r="P2988" s="26" t="s">
        <v>293</v>
      </c>
    </row>
    <row r="2989" spans="1:16" x14ac:dyDescent="0.3">
      <c r="A2989" s="24">
        <v>97</v>
      </c>
      <c r="B2989" s="102">
        <v>46184</v>
      </c>
      <c r="C2989" s="25" t="s">
        <v>356</v>
      </c>
      <c r="D2989" s="103" t="s">
        <v>111</v>
      </c>
      <c r="E2989" s="26">
        <v>85</v>
      </c>
      <c r="F2989" s="26" t="s">
        <v>293</v>
      </c>
      <c r="K2989" s="24">
        <v>97</v>
      </c>
      <c r="L2989" s="102">
        <v>46184</v>
      </c>
      <c r="M2989" s="25" t="s">
        <v>357</v>
      </c>
      <c r="N2989" s="103" t="s">
        <v>111</v>
      </c>
      <c r="O2989" s="26">
        <v>285</v>
      </c>
      <c r="P2989" s="26" t="s">
        <v>293</v>
      </c>
    </row>
    <row r="2990" spans="1:16" x14ac:dyDescent="0.3">
      <c r="A2990" s="24">
        <v>97</v>
      </c>
      <c r="B2990" s="102">
        <v>46184</v>
      </c>
      <c r="C2990" s="25" t="s">
        <v>356</v>
      </c>
      <c r="D2990" s="103" t="s">
        <v>345</v>
      </c>
      <c r="E2990" s="26">
        <v>5.12</v>
      </c>
      <c r="F2990" s="26" t="s">
        <v>293</v>
      </c>
      <c r="K2990" s="24">
        <v>97</v>
      </c>
      <c r="L2990" s="102">
        <v>46184</v>
      </c>
      <c r="M2990" s="25" t="s">
        <v>357</v>
      </c>
      <c r="N2990" s="103" t="s">
        <v>345</v>
      </c>
      <c r="O2990" s="26">
        <v>9.6</v>
      </c>
      <c r="P2990" s="26" t="s">
        <v>293</v>
      </c>
    </row>
    <row r="2991" spans="1:16" x14ac:dyDescent="0.3">
      <c r="A2991" s="24">
        <v>97</v>
      </c>
      <c r="B2991" s="102">
        <v>46184</v>
      </c>
      <c r="C2991" s="25" t="s">
        <v>356</v>
      </c>
      <c r="D2991" s="103" t="s">
        <v>347</v>
      </c>
      <c r="E2991" s="26">
        <v>2.2200000000000002</v>
      </c>
      <c r="F2991" s="26" t="s">
        <v>293</v>
      </c>
      <c r="K2991" s="24">
        <v>97</v>
      </c>
      <c r="L2991" s="102">
        <v>46184</v>
      </c>
      <c r="M2991" s="25" t="s">
        <v>357</v>
      </c>
      <c r="N2991" s="103" t="s">
        <v>347</v>
      </c>
      <c r="O2991" s="26">
        <v>4.7699999999999996</v>
      </c>
      <c r="P2991" s="26" t="s">
        <v>293</v>
      </c>
    </row>
    <row r="2992" spans="1:16" x14ac:dyDescent="0.3">
      <c r="A2992" s="24">
        <v>97</v>
      </c>
      <c r="B2992" s="102">
        <v>46184</v>
      </c>
      <c r="C2992" s="25" t="s">
        <v>356</v>
      </c>
      <c r="D2992" s="103" t="s">
        <v>128</v>
      </c>
      <c r="E2992" s="26">
        <v>7.1</v>
      </c>
      <c r="F2992" s="26" t="s">
        <v>293</v>
      </c>
      <c r="K2992" s="24">
        <v>97</v>
      </c>
      <c r="L2992" s="102">
        <v>46184</v>
      </c>
      <c r="M2992" s="25" t="s">
        <v>357</v>
      </c>
      <c r="N2992" s="103" t="s">
        <v>128</v>
      </c>
      <c r="O2992" s="26">
        <v>4.5999999999999996</v>
      </c>
      <c r="P2992" s="26" t="s">
        <v>293</v>
      </c>
    </row>
    <row r="2993" spans="1:16" x14ac:dyDescent="0.3">
      <c r="A2993" s="24">
        <v>97</v>
      </c>
      <c r="B2993" s="102">
        <v>46184</v>
      </c>
      <c r="C2993" s="25" t="s">
        <v>356</v>
      </c>
      <c r="D2993" s="103" t="s">
        <v>121</v>
      </c>
      <c r="E2993" s="26">
        <v>159</v>
      </c>
      <c r="F2993" s="26" t="s">
        <v>293</v>
      </c>
      <c r="K2993" s="24">
        <v>97</v>
      </c>
      <c r="L2993" s="102">
        <v>46184</v>
      </c>
      <c r="M2993" s="25" t="s">
        <v>357</v>
      </c>
      <c r="N2993" s="103" t="s">
        <v>121</v>
      </c>
      <c r="O2993" s="26">
        <v>80</v>
      </c>
      <c r="P2993" s="26" t="s">
        <v>293</v>
      </c>
    </row>
    <row r="2994" spans="1:16" x14ac:dyDescent="0.3">
      <c r="A2994" s="24">
        <v>97</v>
      </c>
      <c r="B2994" s="102">
        <v>46184</v>
      </c>
      <c r="C2994" s="25" t="s">
        <v>356</v>
      </c>
      <c r="D2994" s="103" t="s">
        <v>115</v>
      </c>
      <c r="E2994" s="26">
        <v>36</v>
      </c>
      <c r="F2994" s="26" t="s">
        <v>293</v>
      </c>
      <c r="K2994" s="24">
        <v>97</v>
      </c>
      <c r="L2994" s="102">
        <v>46184</v>
      </c>
      <c r="M2994" s="25" t="s">
        <v>357</v>
      </c>
      <c r="N2994" s="103" t="s">
        <v>115</v>
      </c>
      <c r="O2994" s="26">
        <v>99</v>
      </c>
      <c r="P2994" s="26" t="s">
        <v>293</v>
      </c>
    </row>
    <row r="2995" spans="1:16" x14ac:dyDescent="0.3">
      <c r="A2995" s="24">
        <v>97</v>
      </c>
      <c r="B2995" s="102">
        <v>46184</v>
      </c>
      <c r="C2995" s="25" t="s">
        <v>356</v>
      </c>
      <c r="D2995" s="103" t="s">
        <v>137</v>
      </c>
      <c r="E2995" s="26">
        <v>76</v>
      </c>
      <c r="F2995" s="26" t="s">
        <v>293</v>
      </c>
      <c r="K2995" s="24">
        <v>97</v>
      </c>
      <c r="L2995" s="102">
        <v>46184</v>
      </c>
      <c r="M2995" s="25" t="s">
        <v>357</v>
      </c>
      <c r="N2995" s="103" t="s">
        <v>137</v>
      </c>
      <c r="O2995" s="26">
        <v>485</v>
      </c>
      <c r="P2995" s="26" t="s">
        <v>293</v>
      </c>
    </row>
    <row r="2996" spans="1:16" x14ac:dyDescent="0.3">
      <c r="A2996" s="24">
        <v>97</v>
      </c>
      <c r="B2996" s="102">
        <v>46184</v>
      </c>
      <c r="C2996" s="25" t="s">
        <v>356</v>
      </c>
      <c r="D2996" s="103" t="s">
        <v>348</v>
      </c>
      <c r="E2996" s="26">
        <v>132</v>
      </c>
      <c r="F2996" s="26" t="s">
        <v>293</v>
      </c>
      <c r="K2996" s="24">
        <v>97</v>
      </c>
      <c r="L2996" s="102">
        <v>46184</v>
      </c>
      <c r="M2996" s="25" t="s">
        <v>357</v>
      </c>
      <c r="N2996" s="103" t="s">
        <v>348</v>
      </c>
      <c r="O2996" s="26">
        <v>405</v>
      </c>
      <c r="P2996" s="26" t="s">
        <v>293</v>
      </c>
    </row>
    <row r="2997" spans="1:16" x14ac:dyDescent="0.3">
      <c r="A2997" s="24">
        <v>97</v>
      </c>
      <c r="B2997" s="102">
        <v>46184</v>
      </c>
      <c r="C2997" s="25" t="s">
        <v>356</v>
      </c>
      <c r="D2997" s="103" t="s">
        <v>125</v>
      </c>
      <c r="E2997" s="26">
        <v>115</v>
      </c>
      <c r="F2997" s="26" t="s">
        <v>293</v>
      </c>
      <c r="K2997" s="24">
        <v>97</v>
      </c>
      <c r="L2997" s="102">
        <v>46184</v>
      </c>
      <c r="M2997" s="25" t="s">
        <v>357</v>
      </c>
      <c r="N2997" s="103" t="s">
        <v>125</v>
      </c>
      <c r="O2997" s="26">
        <v>419</v>
      </c>
      <c r="P2997" s="26" t="s">
        <v>293</v>
      </c>
    </row>
    <row r="2998" spans="1:16" x14ac:dyDescent="0.3">
      <c r="A2998" s="24">
        <v>97</v>
      </c>
      <c r="B2998" s="102">
        <v>46184</v>
      </c>
      <c r="C2998" s="25" t="s">
        <v>356</v>
      </c>
      <c r="D2998" s="103" t="s">
        <v>126</v>
      </c>
      <c r="E2998" s="26">
        <v>81</v>
      </c>
      <c r="F2998" s="26" t="s">
        <v>293</v>
      </c>
      <c r="K2998" s="24">
        <v>97</v>
      </c>
      <c r="L2998" s="102">
        <v>46184</v>
      </c>
      <c r="M2998" s="25" t="s">
        <v>357</v>
      </c>
      <c r="N2998" s="103" t="s">
        <v>126</v>
      </c>
      <c r="O2998" s="26">
        <v>156</v>
      </c>
      <c r="P2998" s="26" t="s">
        <v>293</v>
      </c>
    </row>
    <row r="2999" spans="1:16" x14ac:dyDescent="0.3">
      <c r="A2999" s="24">
        <v>97</v>
      </c>
      <c r="B2999" s="102">
        <v>46184</v>
      </c>
      <c r="C2999" s="25" t="s">
        <v>356</v>
      </c>
      <c r="D2999" s="103" t="s">
        <v>349</v>
      </c>
      <c r="E2999" s="26">
        <v>145</v>
      </c>
      <c r="F2999" s="26" t="s">
        <v>293</v>
      </c>
      <c r="K2999" s="24">
        <v>97</v>
      </c>
      <c r="L2999" s="102">
        <v>46184</v>
      </c>
      <c r="M2999" s="25" t="s">
        <v>357</v>
      </c>
      <c r="N2999" s="103" t="s">
        <v>349</v>
      </c>
      <c r="O2999" s="26">
        <v>341</v>
      </c>
      <c r="P2999" s="26" t="s">
        <v>293</v>
      </c>
    </row>
    <row r="3000" spans="1:16" x14ac:dyDescent="0.3">
      <c r="A3000" s="24">
        <v>97</v>
      </c>
      <c r="B3000" s="102">
        <v>46184</v>
      </c>
      <c r="C3000" s="25" t="s">
        <v>356</v>
      </c>
      <c r="D3000" s="103" t="s">
        <v>350</v>
      </c>
      <c r="E3000" s="26">
        <v>59</v>
      </c>
      <c r="F3000" s="26" t="s">
        <v>293</v>
      </c>
      <c r="K3000" s="24">
        <v>97</v>
      </c>
      <c r="L3000" s="102">
        <v>46184</v>
      </c>
      <c r="M3000" s="25" t="s">
        <v>357</v>
      </c>
      <c r="N3000" s="103" t="s">
        <v>350</v>
      </c>
      <c r="O3000" s="26">
        <v>89</v>
      </c>
      <c r="P3000" s="26" t="s">
        <v>293</v>
      </c>
    </row>
    <row r="3001" spans="1:16" x14ac:dyDescent="0.3">
      <c r="A3001" s="24">
        <v>97</v>
      </c>
      <c r="B3001" s="102">
        <v>46184</v>
      </c>
      <c r="C3001" s="25" t="s">
        <v>356</v>
      </c>
      <c r="D3001" s="103" t="s">
        <v>122</v>
      </c>
      <c r="E3001" s="26">
        <v>45</v>
      </c>
      <c r="F3001" s="26" t="s">
        <v>293</v>
      </c>
      <c r="K3001" s="24">
        <v>97</v>
      </c>
      <c r="L3001" s="102">
        <v>46184</v>
      </c>
      <c r="M3001" s="25" t="s">
        <v>357</v>
      </c>
      <c r="N3001" s="103" t="s">
        <v>122</v>
      </c>
      <c r="O3001" s="26">
        <v>216</v>
      </c>
      <c r="P3001" s="26" t="s">
        <v>293</v>
      </c>
    </row>
    <row r="3002" spans="1:16" x14ac:dyDescent="0.3">
      <c r="A3002" s="24">
        <v>97</v>
      </c>
      <c r="B3002" s="102">
        <v>46184</v>
      </c>
      <c r="C3002" s="25" t="s">
        <v>356</v>
      </c>
      <c r="D3002" s="103" t="s">
        <v>124</v>
      </c>
      <c r="E3002" s="26">
        <v>26</v>
      </c>
      <c r="F3002" s="26" t="s">
        <v>293</v>
      </c>
      <c r="K3002" s="24">
        <v>97</v>
      </c>
      <c r="L3002" s="102">
        <v>46184</v>
      </c>
      <c r="M3002" s="25" t="s">
        <v>357</v>
      </c>
      <c r="N3002" s="103" t="s">
        <v>124</v>
      </c>
      <c r="O3002" s="26">
        <v>103</v>
      </c>
      <c r="P3002" s="26" t="s">
        <v>293</v>
      </c>
    </row>
    <row r="3003" spans="1:16" x14ac:dyDescent="0.3">
      <c r="A3003" s="24">
        <v>97</v>
      </c>
      <c r="B3003" s="102">
        <v>46184</v>
      </c>
      <c r="C3003" s="25" t="s">
        <v>356</v>
      </c>
      <c r="D3003" s="103" t="s">
        <v>351</v>
      </c>
      <c r="E3003" s="26">
        <v>0.96</v>
      </c>
      <c r="F3003" s="26" t="s">
        <v>293</v>
      </c>
      <c r="K3003" s="24">
        <v>97</v>
      </c>
      <c r="L3003" s="102">
        <v>46184</v>
      </c>
      <c r="M3003" s="25" t="s">
        <v>357</v>
      </c>
      <c r="N3003" s="103" t="s">
        <v>351</v>
      </c>
      <c r="O3003" s="26">
        <v>3.54</v>
      </c>
      <c r="P3003" s="26" t="s">
        <v>293</v>
      </c>
    </row>
  </sheetData>
  <sheetProtection algorithmName="SHA-512" hashValue="bXW1e98DPDvg0N4aiKwUJXtq0BgY/Mx07k49FbsToxKEIFYwEI6KSoGY56Q9C/gLqc/pMIAsr3Rn837f2uDo3g==" saltValue="tPRoqbjn+5YuJn3wHzxdvA==" spinCount="100000" sheet="1" scenarios="1"/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8.88671875"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219" t="s">
        <v>290</v>
      </c>
      <c r="D8" s="201"/>
      <c r="E8" s="201"/>
      <c r="F8" s="201"/>
      <c r="G8" s="201"/>
      <c r="H8" s="201"/>
      <c r="I8" s="201"/>
    </row>
    <row r="9" spans="3:9" ht="18" customHeight="1" x14ac:dyDescent="0.3">
      <c r="C9" s="201"/>
      <c r="D9" s="201"/>
      <c r="E9" s="201"/>
      <c r="F9" s="201"/>
      <c r="G9" s="201"/>
      <c r="H9" s="201"/>
      <c r="I9" s="201"/>
    </row>
    <row r="10" spans="3:9" ht="18" customHeight="1" x14ac:dyDescent="0.3">
      <c r="C10" s="225" t="s">
        <v>291</v>
      </c>
      <c r="D10" s="201"/>
      <c r="E10" s="201"/>
      <c r="F10" s="201"/>
      <c r="G10" s="201"/>
      <c r="H10" s="201"/>
      <c r="I10" s="201"/>
    </row>
    <row r="11" spans="3:9" ht="18" customHeight="1" x14ac:dyDescent="0.3"/>
    <row r="12" spans="3:9" ht="18" customHeight="1" x14ac:dyDescent="0.3"/>
    <row r="13" spans="3:9" ht="18" customHeight="1" x14ac:dyDescent="0.3">
      <c r="C13" s="220" t="s">
        <v>292</v>
      </c>
      <c r="D13" s="201"/>
      <c r="E13" s="226" t="s">
        <v>267</v>
      </c>
      <c r="F13" s="223"/>
      <c r="G13" s="223"/>
      <c r="H13" s="224"/>
    </row>
    <row r="14" spans="3:9" ht="18" customHeight="1" x14ac:dyDescent="0.3"/>
    <row r="15" spans="3:9" ht="18" customHeight="1" x14ac:dyDescent="0.3">
      <c r="C15" s="220" t="s">
        <v>276</v>
      </c>
      <c r="D15" s="201"/>
      <c r="E15" s="222"/>
      <c r="F15" s="223"/>
      <c r="G15" s="223"/>
      <c r="H15" s="224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221"/>
      <c r="D20" s="201"/>
      <c r="E20" s="201"/>
      <c r="F20" s="201"/>
      <c r="G20" s="201"/>
      <c r="H20" s="201"/>
      <c r="I20" s="201"/>
    </row>
    <row r="21" spans="3:9" ht="18" customHeight="1" x14ac:dyDescent="0.3"/>
    <row r="22" spans="3:9" ht="18" customHeight="1" x14ac:dyDescent="0.3">
      <c r="C22" s="209"/>
      <c r="D22" s="201"/>
      <c r="E22" s="201"/>
      <c r="F22" s="201"/>
      <c r="G22" s="201"/>
      <c r="H22" s="201"/>
      <c r="I22" s="201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sheetProtection algorithmName="SHA-512" hashValue="1tD15zI/SQvaRUa2hQJDnzD/DaVIn4h9W1lvFutUPrx6IS6XtAXXHOgSKrxrRpQF7U3SZ5zpgJYEOAAb0UcrFg==" saltValue="Vo0coU30kmQ2dQpIZy7gjg==" spinCount="100000" sheet="1" scenarios="1"/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77734375" style="30" customWidth="1"/>
    <col min="38" max="16384" width="9.109375" style="30"/>
  </cols>
  <sheetData>
    <row r="1" spans="2:37" s="1" customFormat="1" ht="28.5" customHeight="1" x14ac:dyDescent="0.35">
      <c r="B1" s="104" t="s">
        <v>304</v>
      </c>
    </row>
    <row r="2" spans="2:37" s="1" customFormat="1" x14ac:dyDescent="0.3">
      <c r="B2" s="105" t="s">
        <v>305</v>
      </c>
    </row>
    <row r="3" spans="2:37" s="1" customFormat="1" hidden="1" x14ac:dyDescent="0.3">
      <c r="E3" s="1" t="s">
        <v>339</v>
      </c>
      <c r="F3" s="1" t="s">
        <v>118</v>
      </c>
      <c r="G3" s="1" t="s">
        <v>130</v>
      </c>
      <c r="H3" s="1" t="s">
        <v>341</v>
      </c>
      <c r="I3" s="1" t="s">
        <v>127</v>
      </c>
      <c r="J3" s="1" t="s">
        <v>131</v>
      </c>
      <c r="K3" s="1" t="s">
        <v>342</v>
      </c>
      <c r="L3" s="1" t="s">
        <v>119</v>
      </c>
      <c r="M3" s="1" t="s">
        <v>120</v>
      </c>
      <c r="N3" s="1" t="s">
        <v>117</v>
      </c>
      <c r="O3" s="1" t="s">
        <v>344</v>
      </c>
      <c r="P3" s="1" t="s">
        <v>132</v>
      </c>
      <c r="Q3" s="1" t="s">
        <v>111</v>
      </c>
      <c r="R3" s="1" t="s">
        <v>345</v>
      </c>
      <c r="S3" s="1" t="s">
        <v>347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348</v>
      </c>
      <c r="Y3" s="1" t="s">
        <v>125</v>
      </c>
      <c r="Z3" s="1" t="s">
        <v>126</v>
      </c>
      <c r="AA3" s="1" t="s">
        <v>349</v>
      </c>
      <c r="AB3" s="1" t="s">
        <v>350</v>
      </c>
      <c r="AC3" s="1" t="s">
        <v>122</v>
      </c>
      <c r="AD3" s="1" t="s">
        <v>124</v>
      </c>
      <c r="AE3" s="1" t="s">
        <v>351</v>
      </c>
      <c r="AF3" s="1" t="s">
        <v>353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106" t="s">
        <v>306</v>
      </c>
      <c r="C4" s="106" t="s">
        <v>307</v>
      </c>
      <c r="D4" s="106" t="s">
        <v>308</v>
      </c>
      <c r="E4" s="107" t="s">
        <v>309</v>
      </c>
      <c r="F4" s="107" t="s">
        <v>310</v>
      </c>
      <c r="G4" s="107" t="s">
        <v>311</v>
      </c>
      <c r="H4" s="107" t="s">
        <v>312</v>
      </c>
      <c r="I4" s="107" t="s">
        <v>313</v>
      </c>
      <c r="J4" s="107" t="s">
        <v>314</v>
      </c>
      <c r="K4" s="107" t="s">
        <v>315</v>
      </c>
      <c r="L4" s="107" t="s">
        <v>316</v>
      </c>
      <c r="M4" s="107" t="s">
        <v>317</v>
      </c>
      <c r="N4" s="107" t="s">
        <v>318</v>
      </c>
      <c r="O4" s="107" t="s">
        <v>319</v>
      </c>
      <c r="P4" s="107" t="s">
        <v>320</v>
      </c>
      <c r="Q4" s="107" t="s">
        <v>321</v>
      </c>
      <c r="R4" s="107" t="s">
        <v>322</v>
      </c>
      <c r="S4" s="107" t="s">
        <v>323</v>
      </c>
      <c r="T4" s="107" t="s">
        <v>324</v>
      </c>
      <c r="U4" s="107" t="s">
        <v>325</v>
      </c>
      <c r="V4" s="107" t="s">
        <v>326</v>
      </c>
      <c r="W4" s="107" t="s">
        <v>327</v>
      </c>
      <c r="X4" s="107" t="s">
        <v>328</v>
      </c>
      <c r="Y4" s="107" t="s">
        <v>329</v>
      </c>
      <c r="Z4" s="107" t="s">
        <v>126</v>
      </c>
      <c r="AA4" s="107" t="s">
        <v>330</v>
      </c>
      <c r="AB4" s="107" t="s">
        <v>331</v>
      </c>
      <c r="AC4" s="107" t="s">
        <v>332</v>
      </c>
      <c r="AD4" s="107" t="s">
        <v>333</v>
      </c>
      <c r="AE4" s="107" t="s">
        <v>334</v>
      </c>
      <c r="AF4" s="107" t="s">
        <v>335</v>
      </c>
      <c r="AG4" s="107" t="s">
        <v>336</v>
      </c>
      <c r="AH4" s="107" t="s">
        <v>337</v>
      </c>
      <c r="AI4" s="107" t="s">
        <v>338</v>
      </c>
      <c r="AK4" s="96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sheetProtection algorithmName="SHA-512" hashValue="F7zNS+gZ6Nyj5KjJIcxGw/21m+aj4CVUDw7FnOdxpnjk2wK3TYs07ETbKzpgonlS5VJeZx+G3v4A85NI0IHKtw==" saltValue="o+nMd4yXxdToP8AUDVy6wQ==" spinCount="100000" sheet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66</vt:i4>
      </vt:variant>
    </vt:vector>
  </HeadingPairs>
  <TitlesOfParts>
    <vt:vector size="86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Cfg_PlanoQC</vt:lpstr>
      <vt:lpstr>EQA.CAP_Dados</vt:lpstr>
      <vt:lpstr>EQA.CAP_Resumo</vt:lpstr>
      <vt:lpstr>EQA.CAP_Nao_Aceitaveis</vt:lpstr>
      <vt:lpstr>EQA.Controllab_Dados</vt:lpstr>
      <vt:lpstr>EQA.Controllab_Resumo</vt:lpstr>
      <vt:lpstr>EQA.Controllab_Desvios</vt:lpstr>
      <vt:lpstr>EQA_Base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regrasAtivas</vt:lpstr>
      <vt:lpstr>regrasRotulos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sigmaDoPlano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2026-08-23T23:05:22Z</dcterms:modified>
</cp:coreProperties>
</file>